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IQBAL TAWAQQAL\Documents\udemy\Exercise\"/>
    </mc:Choice>
  </mc:AlternateContent>
  <xr:revisionPtr revIDLastSave="0" documentId="13_ncr:1_{4A51D6C7-9941-454E-A8AE-79E6D4218A1A}" xr6:coauthVersionLast="46" xr6:coauthVersionMax="46" xr10:uidLastSave="{00000000-0000-0000-0000-000000000000}"/>
  <bookViews>
    <workbookView xWindow="-108" yWindow="-108" windowWidth="23256" windowHeight="12720" activeTab="1" xr2:uid="{00000000-000D-0000-FFFF-FFFF00000000}"/>
  </bookViews>
  <sheets>
    <sheet name="BBCA" sheetId="1" r:id="rId1"/>
    <sheet name="BMRI" sheetId="2" r:id="rId2"/>
    <sheet name="BBNI" sheetId="3" r:id="rId3"/>
    <sheet name="BBRI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50" i="4" l="1"/>
  <c r="D1449" i="4"/>
  <c r="B1448" i="4"/>
  <c r="F1446" i="4"/>
  <c r="D1445" i="4"/>
  <c r="B1444" i="4"/>
  <c r="F1442" i="4"/>
  <c r="D1441" i="4"/>
  <c r="B1440" i="4"/>
  <c r="F1438" i="4"/>
  <c r="D1437" i="4"/>
  <c r="B1436" i="4"/>
  <c r="F1434" i="4"/>
  <c r="D1433" i="4"/>
  <c r="B1432" i="4"/>
  <c r="F1430" i="4"/>
  <c r="D1429" i="4"/>
  <c r="B1428" i="4"/>
  <c r="F1426" i="4"/>
  <c r="D1425" i="4"/>
  <c r="B1424" i="4"/>
  <c r="F1422" i="4"/>
  <c r="D1421" i="4"/>
  <c r="B1420" i="4"/>
  <c r="F1418" i="4"/>
  <c r="D1417" i="4"/>
  <c r="B1416" i="4"/>
  <c r="F1414" i="4"/>
  <c r="D1413" i="4"/>
  <c r="B1412" i="4"/>
  <c r="F1410" i="4"/>
  <c r="D1409" i="4"/>
  <c r="B1408" i="4"/>
  <c r="F1406" i="4"/>
  <c r="D1405" i="4"/>
  <c r="B1404" i="4"/>
  <c r="F1402" i="4"/>
  <c r="D1401" i="4"/>
  <c r="B1400" i="4"/>
  <c r="F1398" i="4"/>
  <c r="D1397" i="4"/>
  <c r="B1396" i="4"/>
  <c r="F1394" i="4"/>
  <c r="D1393" i="4"/>
  <c r="B1392" i="4"/>
  <c r="F1390" i="4"/>
  <c r="D1389" i="4"/>
  <c r="B1388" i="4"/>
  <c r="F1386" i="4"/>
  <c r="D1385" i="4"/>
  <c r="B1384" i="4"/>
  <c r="F1382" i="4"/>
  <c r="D1381" i="4"/>
  <c r="B1380" i="4"/>
  <c r="F1378" i="4"/>
  <c r="D1377" i="4"/>
  <c r="B1376" i="4"/>
  <c r="F1374" i="4"/>
  <c r="D1373" i="4"/>
  <c r="B1372" i="4"/>
  <c r="F1370" i="4"/>
  <c r="D1369" i="4"/>
  <c r="B1368" i="4"/>
  <c r="F1366" i="4"/>
  <c r="D1365" i="4"/>
  <c r="B1364" i="4"/>
  <c r="F1362" i="4"/>
  <c r="D1361" i="4"/>
  <c r="B1360" i="4"/>
  <c r="F1358" i="4"/>
  <c r="D1357" i="4"/>
  <c r="B1356" i="4"/>
  <c r="F1354" i="4"/>
  <c r="D1353" i="4"/>
  <c r="B1352" i="4"/>
  <c r="F1350" i="4"/>
  <c r="D1349" i="4"/>
  <c r="B1348" i="4"/>
  <c r="F1346" i="4"/>
  <c r="D1345" i="4"/>
  <c r="B1344" i="4"/>
  <c r="F1342" i="4"/>
  <c r="D1341" i="4"/>
  <c r="B1340" i="4"/>
  <c r="F1338" i="4"/>
  <c r="D1337" i="4"/>
  <c r="B1336" i="4"/>
  <c r="F1334" i="4"/>
  <c r="D1333" i="4"/>
  <c r="B1332" i="4"/>
  <c r="F1330" i="4"/>
  <c r="D1329" i="4"/>
  <c r="B1328" i="4"/>
  <c r="F1326" i="4"/>
  <c r="D1325" i="4"/>
  <c r="B1324" i="4"/>
  <c r="F1322" i="4"/>
  <c r="D1321" i="4"/>
  <c r="B1320" i="4"/>
  <c r="F1318" i="4"/>
  <c r="D1317" i="4"/>
  <c r="B1316" i="4"/>
  <c r="F1314" i="4"/>
  <c r="D1313" i="4"/>
  <c r="B1312" i="4"/>
  <c r="F1310" i="4"/>
  <c r="D1309" i="4"/>
  <c r="B1308" i="4"/>
  <c r="F1306" i="4"/>
  <c r="D1305" i="4"/>
  <c r="B1304" i="4"/>
  <c r="F1302" i="4"/>
  <c r="D1301" i="4"/>
  <c r="B1300" i="4"/>
  <c r="F1298" i="4"/>
  <c r="D1297" i="4"/>
  <c r="B1296" i="4"/>
  <c r="F1294" i="4"/>
  <c r="D1293" i="4"/>
  <c r="B1292" i="4"/>
  <c r="F1290" i="4"/>
  <c r="D1289" i="4"/>
  <c r="B1288" i="4"/>
  <c r="F1286" i="4"/>
  <c r="D1285" i="4"/>
  <c r="B1284" i="4"/>
  <c r="F1282" i="4"/>
  <c r="E1450" i="4"/>
  <c r="C1449" i="4"/>
  <c r="A1448" i="4"/>
  <c r="E1446" i="4"/>
  <c r="C1445" i="4"/>
  <c r="A1444" i="4"/>
  <c r="E1442" i="4"/>
  <c r="C1441" i="4"/>
  <c r="A1440" i="4"/>
  <c r="E1438" i="4"/>
  <c r="C1437" i="4"/>
  <c r="A1436" i="4"/>
  <c r="E1434" i="4"/>
  <c r="C1433" i="4"/>
  <c r="A1432" i="4"/>
  <c r="E1430" i="4"/>
  <c r="C1429" i="4"/>
  <c r="A1428" i="4"/>
  <c r="E1426" i="4"/>
  <c r="C1425" i="4"/>
  <c r="A1424" i="4"/>
  <c r="E1422" i="4"/>
  <c r="C1421" i="4"/>
  <c r="A1420" i="4"/>
  <c r="E1418" i="4"/>
  <c r="C1417" i="4"/>
  <c r="A1416" i="4"/>
  <c r="E1414" i="4"/>
  <c r="C1413" i="4"/>
  <c r="A1412" i="4"/>
  <c r="E1410" i="4"/>
  <c r="C1409" i="4"/>
  <c r="A1408" i="4"/>
  <c r="E1406" i="4"/>
  <c r="C1405" i="4"/>
  <c r="A1404" i="4"/>
  <c r="E1402" i="4"/>
  <c r="C1401" i="4"/>
  <c r="A1400" i="4"/>
  <c r="E1398" i="4"/>
  <c r="C1397" i="4"/>
  <c r="A1396" i="4"/>
  <c r="E1394" i="4"/>
  <c r="C1393" i="4"/>
  <c r="A1392" i="4"/>
  <c r="E1390" i="4"/>
  <c r="C1389" i="4"/>
  <c r="A1388" i="4"/>
  <c r="E1386" i="4"/>
  <c r="C1385" i="4"/>
  <c r="A1384" i="4"/>
  <c r="E1382" i="4"/>
  <c r="C1381" i="4"/>
  <c r="A1380" i="4"/>
  <c r="E1378" i="4"/>
  <c r="C1377" i="4"/>
  <c r="A1376" i="4"/>
  <c r="E1374" i="4"/>
  <c r="C1373" i="4"/>
  <c r="A1372" i="4"/>
  <c r="E1370" i="4"/>
  <c r="C1369" i="4"/>
  <c r="A1368" i="4"/>
  <c r="E1366" i="4"/>
  <c r="C1365" i="4"/>
  <c r="A1364" i="4"/>
  <c r="E1362" i="4"/>
  <c r="C1361" i="4"/>
  <c r="A1360" i="4"/>
  <c r="E1358" i="4"/>
  <c r="C1357" i="4"/>
  <c r="A1356" i="4"/>
  <c r="E1354" i="4"/>
  <c r="C1353" i="4"/>
  <c r="A1352" i="4"/>
  <c r="E1350" i="4"/>
  <c r="C1349" i="4"/>
  <c r="A1348" i="4"/>
  <c r="E1346" i="4"/>
  <c r="C1345" i="4"/>
  <c r="A1344" i="4"/>
  <c r="E1342" i="4"/>
  <c r="C1341" i="4"/>
  <c r="A1340" i="4"/>
  <c r="E1338" i="4"/>
  <c r="C1337" i="4"/>
  <c r="A1336" i="4"/>
  <c r="E1334" i="4"/>
  <c r="C1333" i="4"/>
  <c r="A1332" i="4"/>
  <c r="E1330" i="4"/>
  <c r="C1329" i="4"/>
  <c r="A1328" i="4"/>
  <c r="E1326" i="4"/>
  <c r="C1325" i="4"/>
  <c r="A1324" i="4"/>
  <c r="E1322" i="4"/>
  <c r="C1321" i="4"/>
  <c r="A1320" i="4"/>
  <c r="E1318" i="4"/>
  <c r="C1317" i="4"/>
  <c r="A1316" i="4"/>
  <c r="E1314" i="4"/>
  <c r="C1313" i="4"/>
  <c r="A1312" i="4"/>
  <c r="E1310" i="4"/>
  <c r="C1309" i="4"/>
  <c r="A1308" i="4"/>
  <c r="E1306" i="4"/>
  <c r="C1305" i="4"/>
  <c r="A1304" i="4"/>
  <c r="E1302" i="4"/>
  <c r="C1301" i="4"/>
  <c r="A1300" i="4"/>
  <c r="E1298" i="4"/>
  <c r="C1297" i="4"/>
  <c r="A1296" i="4"/>
  <c r="E1294" i="4"/>
  <c r="C1293" i="4"/>
  <c r="A1292" i="4"/>
  <c r="E1290" i="4"/>
  <c r="C1289" i="4"/>
  <c r="A1288" i="4"/>
  <c r="E1286" i="4"/>
  <c r="C1285" i="4"/>
  <c r="A1284" i="4"/>
  <c r="E1282" i="4"/>
  <c r="D1450" i="4"/>
  <c r="C1450" i="4"/>
  <c r="B1450" i="4"/>
  <c r="F1448" i="4"/>
  <c r="D1447" i="4"/>
  <c r="B1446" i="4"/>
  <c r="F1444" i="4"/>
  <c r="D1443" i="4"/>
  <c r="B1442" i="4"/>
  <c r="F1440" i="4"/>
  <c r="D1439" i="4"/>
  <c r="B1438" i="4"/>
  <c r="F1436" i="4"/>
  <c r="D1435" i="4"/>
  <c r="B1434" i="4"/>
  <c r="F1432" i="4"/>
  <c r="D1431" i="4"/>
  <c r="B1430" i="4"/>
  <c r="F1428" i="4"/>
  <c r="D1427" i="4"/>
  <c r="B1426" i="4"/>
  <c r="F1424" i="4"/>
  <c r="D1423" i="4"/>
  <c r="B1422" i="4"/>
  <c r="F1420" i="4"/>
  <c r="D1419" i="4"/>
  <c r="B1418" i="4"/>
  <c r="F1416" i="4"/>
  <c r="D1415" i="4"/>
  <c r="B1414" i="4"/>
  <c r="F1412" i="4"/>
  <c r="D1411" i="4"/>
  <c r="B1410" i="4"/>
  <c r="F1408" i="4"/>
  <c r="D1407" i="4"/>
  <c r="B1406" i="4"/>
  <c r="F1404" i="4"/>
  <c r="D1403" i="4"/>
  <c r="B1402" i="4"/>
  <c r="F1400" i="4"/>
  <c r="D1399" i="4"/>
  <c r="B1398" i="4"/>
  <c r="F1396" i="4"/>
  <c r="D1395" i="4"/>
  <c r="B1394" i="4"/>
  <c r="F1392" i="4"/>
  <c r="D1391" i="4"/>
  <c r="B1390" i="4"/>
  <c r="F1388" i="4"/>
  <c r="D1387" i="4"/>
  <c r="B1386" i="4"/>
  <c r="F1384" i="4"/>
  <c r="D1383" i="4"/>
  <c r="B1382" i="4"/>
  <c r="F1380" i="4"/>
  <c r="D1379" i="4"/>
  <c r="B1378" i="4"/>
  <c r="F1376" i="4"/>
  <c r="D1375" i="4"/>
  <c r="B1374" i="4"/>
  <c r="F1372" i="4"/>
  <c r="D1371" i="4"/>
  <c r="B1370" i="4"/>
  <c r="F1368" i="4"/>
  <c r="D1367" i="4"/>
  <c r="B1366" i="4"/>
  <c r="F1364" i="4"/>
  <c r="D1363" i="4"/>
  <c r="B1362" i="4"/>
  <c r="F1360" i="4"/>
  <c r="D1359" i="4"/>
  <c r="B1358" i="4"/>
  <c r="F1356" i="4"/>
  <c r="D1355" i="4"/>
  <c r="B1354" i="4"/>
  <c r="F1352" i="4"/>
  <c r="D1351" i="4"/>
  <c r="B1350" i="4"/>
  <c r="F1348" i="4"/>
  <c r="D1347" i="4"/>
  <c r="B1346" i="4"/>
  <c r="F1344" i="4"/>
  <c r="D1343" i="4"/>
  <c r="B1342" i="4"/>
  <c r="F1340" i="4"/>
  <c r="D1339" i="4"/>
  <c r="B1338" i="4"/>
  <c r="F1336" i="4"/>
  <c r="D1335" i="4"/>
  <c r="B1334" i="4"/>
  <c r="F1332" i="4"/>
  <c r="D1331" i="4"/>
  <c r="B1330" i="4"/>
  <c r="F1328" i="4"/>
  <c r="D1327" i="4"/>
  <c r="B1326" i="4"/>
  <c r="F1324" i="4"/>
  <c r="D1323" i="4"/>
  <c r="B1322" i="4"/>
  <c r="F1320" i="4"/>
  <c r="D1319" i="4"/>
  <c r="B1318" i="4"/>
  <c r="F1316" i="4"/>
  <c r="D1315" i="4"/>
  <c r="B1314" i="4"/>
  <c r="F1312" i="4"/>
  <c r="D1311" i="4"/>
  <c r="B1310" i="4"/>
  <c r="F1308" i="4"/>
  <c r="D1307" i="4"/>
  <c r="B1306" i="4"/>
  <c r="F1304" i="4"/>
  <c r="D1303" i="4"/>
  <c r="B1302" i="4"/>
  <c r="F1300" i="4"/>
  <c r="D1299" i="4"/>
  <c r="B1298" i="4"/>
  <c r="F1296" i="4"/>
  <c r="D1295" i="4"/>
  <c r="B1294" i="4"/>
  <c r="F1292" i="4"/>
  <c r="D1291" i="4"/>
  <c r="B1290" i="4"/>
  <c r="F1288" i="4"/>
  <c r="D1287" i="4"/>
  <c r="B1286" i="4"/>
  <c r="F1284" i="4"/>
  <c r="D1283" i="4"/>
  <c r="B1282" i="4"/>
  <c r="A1450" i="4"/>
  <c r="E1448" i="4"/>
  <c r="C1447" i="4"/>
  <c r="A1446" i="4"/>
  <c r="E1444" i="4"/>
  <c r="C1443" i="4"/>
  <c r="A1442" i="4"/>
  <c r="E1440" i="4"/>
  <c r="C1439" i="4"/>
  <c r="A1438" i="4"/>
  <c r="E1436" i="4"/>
  <c r="C1435" i="4"/>
  <c r="A1434" i="4"/>
  <c r="E1432" i="4"/>
  <c r="C1431" i="4"/>
  <c r="A1430" i="4"/>
  <c r="E1428" i="4"/>
  <c r="C1427" i="4"/>
  <c r="A1426" i="4"/>
  <c r="E1424" i="4"/>
  <c r="C1423" i="4"/>
  <c r="A1422" i="4"/>
  <c r="E1420" i="4"/>
  <c r="C1419" i="4"/>
  <c r="A1418" i="4"/>
  <c r="E1416" i="4"/>
  <c r="C1415" i="4"/>
  <c r="A1414" i="4"/>
  <c r="E1412" i="4"/>
  <c r="C1411" i="4"/>
  <c r="A1410" i="4"/>
  <c r="E1408" i="4"/>
  <c r="C1407" i="4"/>
  <c r="A1406" i="4"/>
  <c r="E1404" i="4"/>
  <c r="C1403" i="4"/>
  <c r="A1402" i="4"/>
  <c r="E1400" i="4"/>
  <c r="C1399" i="4"/>
  <c r="A1398" i="4"/>
  <c r="E1396" i="4"/>
  <c r="C1395" i="4"/>
  <c r="A1394" i="4"/>
  <c r="E1392" i="4"/>
  <c r="C1391" i="4"/>
  <c r="A1390" i="4"/>
  <c r="E1388" i="4"/>
  <c r="C1387" i="4"/>
  <c r="A1386" i="4"/>
  <c r="E1384" i="4"/>
  <c r="C1383" i="4"/>
  <c r="A1382" i="4"/>
  <c r="E1380" i="4"/>
  <c r="C1379" i="4"/>
  <c r="A1378" i="4"/>
  <c r="E1376" i="4"/>
  <c r="C1375" i="4"/>
  <c r="A1374" i="4"/>
  <c r="E1372" i="4"/>
  <c r="C1371" i="4"/>
  <c r="A1370" i="4"/>
  <c r="E1368" i="4"/>
  <c r="C1367" i="4"/>
  <c r="A1366" i="4"/>
  <c r="E1364" i="4"/>
  <c r="C1363" i="4"/>
  <c r="A1362" i="4"/>
  <c r="E1360" i="4"/>
  <c r="C1359" i="4"/>
  <c r="A1358" i="4"/>
  <c r="E1356" i="4"/>
  <c r="C1355" i="4"/>
  <c r="A1354" i="4"/>
  <c r="E1352" i="4"/>
  <c r="C1351" i="4"/>
  <c r="A1350" i="4"/>
  <c r="E1348" i="4"/>
  <c r="C1347" i="4"/>
  <c r="A1346" i="4"/>
  <c r="E1344" i="4"/>
  <c r="C1343" i="4"/>
  <c r="A1342" i="4"/>
  <c r="E1340" i="4"/>
  <c r="C1339" i="4"/>
  <c r="A1338" i="4"/>
  <c r="E1336" i="4"/>
  <c r="C1335" i="4"/>
  <c r="A1334" i="4"/>
  <c r="E1332" i="4"/>
  <c r="C1331" i="4"/>
  <c r="A1330" i="4"/>
  <c r="E1328" i="4"/>
  <c r="C1327" i="4"/>
  <c r="A1326" i="4"/>
  <c r="E1324" i="4"/>
  <c r="C1323" i="4"/>
  <c r="A1322" i="4"/>
  <c r="E1320" i="4"/>
  <c r="C1319" i="4"/>
  <c r="A1318" i="4"/>
  <c r="E1316" i="4"/>
  <c r="C1315" i="4"/>
  <c r="A1314" i="4"/>
  <c r="E1312" i="4"/>
  <c r="C1311" i="4"/>
  <c r="A1310" i="4"/>
  <c r="E1308" i="4"/>
  <c r="C1307" i="4"/>
  <c r="A1306" i="4"/>
  <c r="E1304" i="4"/>
  <c r="C1303" i="4"/>
  <c r="A1302" i="4"/>
  <c r="E1300" i="4"/>
  <c r="C1299" i="4"/>
  <c r="A1298" i="4"/>
  <c r="E1296" i="4"/>
  <c r="C1295" i="4"/>
  <c r="A1294" i="4"/>
  <c r="E1292" i="4"/>
  <c r="C1291" i="4"/>
  <c r="A1290" i="4"/>
  <c r="E1288" i="4"/>
  <c r="C1287" i="4"/>
  <c r="A1286" i="4"/>
  <c r="E1284" i="4"/>
  <c r="C1283" i="4"/>
  <c r="A1282" i="4"/>
  <c r="F1449" i="4"/>
  <c r="D1448" i="4"/>
  <c r="B1447" i="4"/>
  <c r="F1445" i="4"/>
  <c r="D1444" i="4"/>
  <c r="B1443" i="4"/>
  <c r="F1441" i="4"/>
  <c r="D1440" i="4"/>
  <c r="B1439" i="4"/>
  <c r="F1437" i="4"/>
  <c r="D1436" i="4"/>
  <c r="B1435" i="4"/>
  <c r="F1433" i="4"/>
  <c r="D1432" i="4"/>
  <c r="B1431" i="4"/>
  <c r="F1429" i="4"/>
  <c r="D1428" i="4"/>
  <c r="B1427" i="4"/>
  <c r="F1425" i="4"/>
  <c r="D1424" i="4"/>
  <c r="B1423" i="4"/>
  <c r="F1421" i="4"/>
  <c r="D1420" i="4"/>
  <c r="B1419" i="4"/>
  <c r="F1417" i="4"/>
  <c r="D1416" i="4"/>
  <c r="B1415" i="4"/>
  <c r="F1413" i="4"/>
  <c r="D1412" i="4"/>
  <c r="B1411" i="4"/>
  <c r="F1409" i="4"/>
  <c r="D1408" i="4"/>
  <c r="B1407" i="4"/>
  <c r="F1405" i="4"/>
  <c r="D1404" i="4"/>
  <c r="B1403" i="4"/>
  <c r="F1401" i="4"/>
  <c r="D1400" i="4"/>
  <c r="B1399" i="4"/>
  <c r="F1397" i="4"/>
  <c r="D1396" i="4"/>
  <c r="B1395" i="4"/>
  <c r="F1393" i="4"/>
  <c r="D1392" i="4"/>
  <c r="B1391" i="4"/>
  <c r="F1389" i="4"/>
  <c r="D1388" i="4"/>
  <c r="B1387" i="4"/>
  <c r="F1385" i="4"/>
  <c r="D1384" i="4"/>
  <c r="B1383" i="4"/>
  <c r="F1381" i="4"/>
  <c r="D1380" i="4"/>
  <c r="B1379" i="4"/>
  <c r="F1377" i="4"/>
  <c r="D1376" i="4"/>
  <c r="B1375" i="4"/>
  <c r="F1373" i="4"/>
  <c r="D1372" i="4"/>
  <c r="B1371" i="4"/>
  <c r="F1369" i="4"/>
  <c r="D1368" i="4"/>
  <c r="B1367" i="4"/>
  <c r="F1365" i="4"/>
  <c r="D1364" i="4"/>
  <c r="B1363" i="4"/>
  <c r="F1361" i="4"/>
  <c r="D1360" i="4"/>
  <c r="B1359" i="4"/>
  <c r="F1357" i="4"/>
  <c r="D1356" i="4"/>
  <c r="B1355" i="4"/>
  <c r="F1353" i="4"/>
  <c r="D1352" i="4"/>
  <c r="B1351" i="4"/>
  <c r="F1349" i="4"/>
  <c r="D1348" i="4"/>
  <c r="B1347" i="4"/>
  <c r="F1345" i="4"/>
  <c r="D1344" i="4"/>
  <c r="B1343" i="4"/>
  <c r="F1341" i="4"/>
  <c r="D1340" i="4"/>
  <c r="B1339" i="4"/>
  <c r="F1337" i="4"/>
  <c r="D1336" i="4"/>
  <c r="B1335" i="4"/>
  <c r="F1333" i="4"/>
  <c r="D1332" i="4"/>
  <c r="B1331" i="4"/>
  <c r="F1329" i="4"/>
  <c r="D1328" i="4"/>
  <c r="B1327" i="4"/>
  <c r="F1325" i="4"/>
  <c r="D1324" i="4"/>
  <c r="B1323" i="4"/>
  <c r="F1321" i="4"/>
  <c r="D1320" i="4"/>
  <c r="B1319" i="4"/>
  <c r="F1317" i="4"/>
  <c r="D1316" i="4"/>
  <c r="B1315" i="4"/>
  <c r="F1313" i="4"/>
  <c r="D1312" i="4"/>
  <c r="B1311" i="4"/>
  <c r="F1309" i="4"/>
  <c r="D1308" i="4"/>
  <c r="B1307" i="4"/>
  <c r="F1305" i="4"/>
  <c r="D1304" i="4"/>
  <c r="B1303" i="4"/>
  <c r="F1301" i="4"/>
  <c r="D1300" i="4"/>
  <c r="B1299" i="4"/>
  <c r="F1297" i="4"/>
  <c r="D1296" i="4"/>
  <c r="B1295" i="4"/>
  <c r="F1293" i="4"/>
  <c r="D1292" i="4"/>
  <c r="B1291" i="4"/>
  <c r="F1289" i="4"/>
  <c r="D1288" i="4"/>
  <c r="B1287" i="4"/>
  <c r="F1285" i="4"/>
  <c r="D1284" i="4"/>
  <c r="B1283" i="4"/>
  <c r="F1281" i="4"/>
  <c r="E1449" i="4"/>
  <c r="C1448" i="4"/>
  <c r="A1447" i="4"/>
  <c r="E1445" i="4"/>
  <c r="C1444" i="4"/>
  <c r="A1443" i="4"/>
  <c r="E1441" i="4"/>
  <c r="C1440" i="4"/>
  <c r="A1439" i="4"/>
  <c r="E1437" i="4"/>
  <c r="C1436" i="4"/>
  <c r="A1435" i="4"/>
  <c r="E1433" i="4"/>
  <c r="C1432" i="4"/>
  <c r="A1431" i="4"/>
  <c r="E1429" i="4"/>
  <c r="C1428" i="4"/>
  <c r="A1427" i="4"/>
  <c r="E1425" i="4"/>
  <c r="C1424" i="4"/>
  <c r="A1423" i="4"/>
  <c r="E1421" i="4"/>
  <c r="C1420" i="4"/>
  <c r="A1419" i="4"/>
  <c r="E1417" i="4"/>
  <c r="C1416" i="4"/>
  <c r="A1415" i="4"/>
  <c r="E1413" i="4"/>
  <c r="C1412" i="4"/>
  <c r="A1411" i="4"/>
  <c r="E1409" i="4"/>
  <c r="C1408" i="4"/>
  <c r="A1407" i="4"/>
  <c r="E1405" i="4"/>
  <c r="C1404" i="4"/>
  <c r="A1403" i="4"/>
  <c r="E1401" i="4"/>
  <c r="C1400" i="4"/>
  <c r="A1399" i="4"/>
  <c r="E1397" i="4"/>
  <c r="C1396" i="4"/>
  <c r="A1395" i="4"/>
  <c r="E1393" i="4"/>
  <c r="C1392" i="4"/>
  <c r="A1391" i="4"/>
  <c r="E1389" i="4"/>
  <c r="C1388" i="4"/>
  <c r="A1387" i="4"/>
  <c r="E1385" i="4"/>
  <c r="C1384" i="4"/>
  <c r="A1383" i="4"/>
  <c r="E1381" i="4"/>
  <c r="C1380" i="4"/>
  <c r="A1379" i="4"/>
  <c r="E1377" i="4"/>
  <c r="C1376" i="4"/>
  <c r="A1375" i="4"/>
  <c r="E1373" i="4"/>
  <c r="C1372" i="4"/>
  <c r="A1371" i="4"/>
  <c r="E1369" i="4"/>
  <c r="C1368" i="4"/>
  <c r="A1367" i="4"/>
  <c r="E1365" i="4"/>
  <c r="C1364" i="4"/>
  <c r="A1363" i="4"/>
  <c r="E1361" i="4"/>
  <c r="C1360" i="4"/>
  <c r="A1359" i="4"/>
  <c r="E1357" i="4"/>
  <c r="C1356" i="4"/>
  <c r="A1355" i="4"/>
  <c r="E1353" i="4"/>
  <c r="C1352" i="4"/>
  <c r="A1351" i="4"/>
  <c r="E1349" i="4"/>
  <c r="C1348" i="4"/>
  <c r="A1347" i="4"/>
  <c r="E1345" i="4"/>
  <c r="C1344" i="4"/>
  <c r="A1343" i="4"/>
  <c r="E1341" i="4"/>
  <c r="C1340" i="4"/>
  <c r="A1339" i="4"/>
  <c r="E1337" i="4"/>
  <c r="C1336" i="4"/>
  <c r="A1335" i="4"/>
  <c r="E1333" i="4"/>
  <c r="C1332" i="4"/>
  <c r="A1331" i="4"/>
  <c r="E1329" i="4"/>
  <c r="C1328" i="4"/>
  <c r="A1327" i="4"/>
  <c r="E1325" i="4"/>
  <c r="C1324" i="4"/>
  <c r="A1323" i="4"/>
  <c r="E1321" i="4"/>
  <c r="C1320" i="4"/>
  <c r="A1319" i="4"/>
  <c r="E1317" i="4"/>
  <c r="C1316" i="4"/>
  <c r="A1315" i="4"/>
  <c r="E1313" i="4"/>
  <c r="C1312" i="4"/>
  <c r="A1311" i="4"/>
  <c r="E1309" i="4"/>
  <c r="C1308" i="4"/>
  <c r="A1307" i="4"/>
  <c r="E1305" i="4"/>
  <c r="C1304" i="4"/>
  <c r="A1303" i="4"/>
  <c r="E1301" i="4"/>
  <c r="C1300" i="4"/>
  <c r="A1299" i="4"/>
  <c r="E1297" i="4"/>
  <c r="C1296" i="4"/>
  <c r="A1295" i="4"/>
  <c r="E1293" i="4"/>
  <c r="C1292" i="4"/>
  <c r="A1291" i="4"/>
  <c r="B1449" i="4"/>
  <c r="F1443" i="4"/>
  <c r="D1438" i="4"/>
  <c r="B1433" i="4"/>
  <c r="F1427" i="4"/>
  <c r="D1422" i="4"/>
  <c r="B1417" i="4"/>
  <c r="F1411" i="4"/>
  <c r="D1406" i="4"/>
  <c r="B1401" i="4"/>
  <c r="F1395" i="4"/>
  <c r="D1390" i="4"/>
  <c r="B1385" i="4"/>
  <c r="F1379" i="4"/>
  <c r="D1374" i="4"/>
  <c r="B1369" i="4"/>
  <c r="F1363" i="4"/>
  <c r="D1358" i="4"/>
  <c r="B1353" i="4"/>
  <c r="F1347" i="4"/>
  <c r="D1342" i="4"/>
  <c r="B1337" i="4"/>
  <c r="F1331" i="4"/>
  <c r="D1326" i="4"/>
  <c r="B1321" i="4"/>
  <c r="F1315" i="4"/>
  <c r="D1310" i="4"/>
  <c r="B1305" i="4"/>
  <c r="F1299" i="4"/>
  <c r="D1294" i="4"/>
  <c r="E1289" i="4"/>
  <c r="C1286" i="4"/>
  <c r="D1282" i="4"/>
  <c r="E1280" i="4"/>
  <c r="C1279" i="4"/>
  <c r="A1278" i="4"/>
  <c r="E1276" i="4"/>
  <c r="C1275" i="4"/>
  <c r="A1274" i="4"/>
  <c r="E1272" i="4"/>
  <c r="C1271" i="4"/>
  <c r="A1270" i="4"/>
  <c r="E1268" i="4"/>
  <c r="C1267" i="4"/>
  <c r="A1266" i="4"/>
  <c r="E1264" i="4"/>
  <c r="C1263" i="4"/>
  <c r="A1262" i="4"/>
  <c r="E1260" i="4"/>
  <c r="C1259" i="4"/>
  <c r="A1258" i="4"/>
  <c r="E1256" i="4"/>
  <c r="C1255" i="4"/>
  <c r="A1254" i="4"/>
  <c r="E1252" i="4"/>
  <c r="C1251" i="4"/>
  <c r="A1250" i="4"/>
  <c r="E1248" i="4"/>
  <c r="C1247" i="4"/>
  <c r="A1246" i="4"/>
  <c r="E1244" i="4"/>
  <c r="C1243" i="4"/>
  <c r="A1242" i="4"/>
  <c r="E1240" i="4"/>
  <c r="C1239" i="4"/>
  <c r="A1238" i="4"/>
  <c r="E1236" i="4"/>
  <c r="C1235" i="4"/>
  <c r="A1234" i="4"/>
  <c r="E1232" i="4"/>
  <c r="C1231" i="4"/>
  <c r="A1230" i="4"/>
  <c r="E1228" i="4"/>
  <c r="C1227" i="4"/>
  <c r="A1226" i="4"/>
  <c r="E1224" i="4"/>
  <c r="C1223" i="4"/>
  <c r="A1222" i="4"/>
  <c r="E1220" i="4"/>
  <c r="C1219" i="4"/>
  <c r="A1218" i="4"/>
  <c r="E1216" i="4"/>
  <c r="C1215" i="4"/>
  <c r="A1214" i="4"/>
  <c r="E1212" i="4"/>
  <c r="C1211" i="4"/>
  <c r="A1210" i="4"/>
  <c r="E1208" i="4"/>
  <c r="C1207" i="4"/>
  <c r="A1206" i="4"/>
  <c r="E1204" i="4"/>
  <c r="C1203" i="4"/>
  <c r="A1202" i="4"/>
  <c r="E1200" i="4"/>
  <c r="C1199" i="4"/>
  <c r="A1198" i="4"/>
  <c r="E1196" i="4"/>
  <c r="C1195" i="4"/>
  <c r="A1194" i="4"/>
  <c r="E1192" i="4"/>
  <c r="C1191" i="4"/>
  <c r="A1190" i="4"/>
  <c r="E1188" i="4"/>
  <c r="C1187" i="4"/>
  <c r="A1186" i="4"/>
  <c r="E1184" i="4"/>
  <c r="C1183" i="4"/>
  <c r="A1182" i="4"/>
  <c r="E1180" i="4"/>
  <c r="C1179" i="4"/>
  <c r="A1178" i="4"/>
  <c r="E1176" i="4"/>
  <c r="C1175" i="4"/>
  <c r="A1174" i="4"/>
  <c r="E1172" i="4"/>
  <c r="C1171" i="4"/>
  <c r="A1170" i="4"/>
  <c r="E1168" i="4"/>
  <c r="C1167" i="4"/>
  <c r="A1166" i="4"/>
  <c r="E1164" i="4"/>
  <c r="C1163" i="4"/>
  <c r="A1162" i="4"/>
  <c r="E1160" i="4"/>
  <c r="C1159" i="4"/>
  <c r="A1158" i="4"/>
  <c r="A1449" i="4"/>
  <c r="E1443" i="4"/>
  <c r="C1438" i="4"/>
  <c r="A1433" i="4"/>
  <c r="E1427" i="4"/>
  <c r="C1422" i="4"/>
  <c r="A1417" i="4"/>
  <c r="E1411" i="4"/>
  <c r="C1406" i="4"/>
  <c r="A1401" i="4"/>
  <c r="E1395" i="4"/>
  <c r="C1390" i="4"/>
  <c r="A1385" i="4"/>
  <c r="E1379" i="4"/>
  <c r="C1374" i="4"/>
  <c r="A1369" i="4"/>
  <c r="E1363" i="4"/>
  <c r="C1358" i="4"/>
  <c r="A1353" i="4"/>
  <c r="E1347" i="4"/>
  <c r="C1342" i="4"/>
  <c r="A1337" i="4"/>
  <c r="E1331" i="4"/>
  <c r="C1326" i="4"/>
  <c r="A1321" i="4"/>
  <c r="E1315" i="4"/>
  <c r="C1310" i="4"/>
  <c r="A1305" i="4"/>
  <c r="E1299" i="4"/>
  <c r="C1294" i="4"/>
  <c r="B1289" i="4"/>
  <c r="E1285" i="4"/>
  <c r="C1282" i="4"/>
  <c r="D1280" i="4"/>
  <c r="B1279" i="4"/>
  <c r="F1277" i="4"/>
  <c r="D1276" i="4"/>
  <c r="B1275" i="4"/>
  <c r="F1273" i="4"/>
  <c r="D1272" i="4"/>
  <c r="B1271" i="4"/>
  <c r="F1269" i="4"/>
  <c r="D1268" i="4"/>
  <c r="B1267" i="4"/>
  <c r="F1265" i="4"/>
  <c r="D1264" i="4"/>
  <c r="B1263" i="4"/>
  <c r="F1261" i="4"/>
  <c r="D1260" i="4"/>
  <c r="B1259" i="4"/>
  <c r="F1257" i="4"/>
  <c r="D1256" i="4"/>
  <c r="B1255" i="4"/>
  <c r="F1253" i="4"/>
  <c r="D1252" i="4"/>
  <c r="B1251" i="4"/>
  <c r="F1249" i="4"/>
  <c r="D1248" i="4"/>
  <c r="B1247" i="4"/>
  <c r="F1245" i="4"/>
  <c r="D1244" i="4"/>
  <c r="B1243" i="4"/>
  <c r="F1241" i="4"/>
  <c r="D1240" i="4"/>
  <c r="B1239" i="4"/>
  <c r="F1237" i="4"/>
  <c r="D1236" i="4"/>
  <c r="B1235" i="4"/>
  <c r="F1233" i="4"/>
  <c r="D1232" i="4"/>
  <c r="B1231" i="4"/>
  <c r="F1229" i="4"/>
  <c r="D1228" i="4"/>
  <c r="B1227" i="4"/>
  <c r="F1225" i="4"/>
  <c r="D1224" i="4"/>
  <c r="B1223" i="4"/>
  <c r="F1221" i="4"/>
  <c r="D1220" i="4"/>
  <c r="B1219" i="4"/>
  <c r="F1217" i="4"/>
  <c r="D1216" i="4"/>
  <c r="B1215" i="4"/>
  <c r="F1213" i="4"/>
  <c r="D1212" i="4"/>
  <c r="B1211" i="4"/>
  <c r="F1209" i="4"/>
  <c r="D1208" i="4"/>
  <c r="B1207" i="4"/>
  <c r="F1205" i="4"/>
  <c r="D1204" i="4"/>
  <c r="B1203" i="4"/>
  <c r="F1201" i="4"/>
  <c r="D1200" i="4"/>
  <c r="B1199" i="4"/>
  <c r="F1197" i="4"/>
  <c r="D1196" i="4"/>
  <c r="B1195" i="4"/>
  <c r="F1193" i="4"/>
  <c r="D1192" i="4"/>
  <c r="B1191" i="4"/>
  <c r="F1189" i="4"/>
  <c r="D1188" i="4"/>
  <c r="B1187" i="4"/>
  <c r="F1185" i="4"/>
  <c r="D1184" i="4"/>
  <c r="B1183" i="4"/>
  <c r="F1181" i="4"/>
  <c r="D1180" i="4"/>
  <c r="B1179" i="4"/>
  <c r="F1177" i="4"/>
  <c r="D1176" i="4"/>
  <c r="B1175" i="4"/>
  <c r="F1173" i="4"/>
  <c r="D1172" i="4"/>
  <c r="B1171" i="4"/>
  <c r="F1169" i="4"/>
  <c r="D1168" i="4"/>
  <c r="B1167" i="4"/>
  <c r="F1165" i="4"/>
  <c r="D1164" i="4"/>
  <c r="B1163" i="4"/>
  <c r="F1161" i="4"/>
  <c r="D1160" i="4"/>
  <c r="B1159" i="4"/>
  <c r="F1157" i="4"/>
  <c r="F1447" i="4"/>
  <c r="D1442" i="4"/>
  <c r="B1437" i="4"/>
  <c r="F1431" i="4"/>
  <c r="D1426" i="4"/>
  <c r="B1421" i="4"/>
  <c r="F1415" i="4"/>
  <c r="D1410" i="4"/>
  <c r="B1405" i="4"/>
  <c r="F1399" i="4"/>
  <c r="D1394" i="4"/>
  <c r="B1389" i="4"/>
  <c r="F1383" i="4"/>
  <c r="D1378" i="4"/>
  <c r="B1373" i="4"/>
  <c r="F1367" i="4"/>
  <c r="D1362" i="4"/>
  <c r="B1357" i="4"/>
  <c r="F1351" i="4"/>
  <c r="D1346" i="4"/>
  <c r="B1341" i="4"/>
  <c r="F1335" i="4"/>
  <c r="D1330" i="4"/>
  <c r="B1325" i="4"/>
  <c r="F1319" i="4"/>
  <c r="D1314" i="4"/>
  <c r="B1309" i="4"/>
  <c r="F1303" i="4"/>
  <c r="D1298" i="4"/>
  <c r="B1293" i="4"/>
  <c r="A1289" i="4"/>
  <c r="B1285" i="4"/>
  <c r="E1281" i="4"/>
  <c r="C1280" i="4"/>
  <c r="A1279" i="4"/>
  <c r="E1277" i="4"/>
  <c r="C1276" i="4"/>
  <c r="A1275" i="4"/>
  <c r="E1273" i="4"/>
  <c r="C1272" i="4"/>
  <c r="A1271" i="4"/>
  <c r="E1269" i="4"/>
  <c r="C1268" i="4"/>
  <c r="A1267" i="4"/>
  <c r="E1265" i="4"/>
  <c r="C1264" i="4"/>
  <c r="A1263" i="4"/>
  <c r="E1261" i="4"/>
  <c r="C1260" i="4"/>
  <c r="A1259" i="4"/>
  <c r="E1257" i="4"/>
  <c r="C1256" i="4"/>
  <c r="A1255" i="4"/>
  <c r="E1253" i="4"/>
  <c r="C1252" i="4"/>
  <c r="A1251" i="4"/>
  <c r="E1249" i="4"/>
  <c r="C1248" i="4"/>
  <c r="A1247" i="4"/>
  <c r="E1245" i="4"/>
  <c r="C1244" i="4"/>
  <c r="A1243" i="4"/>
  <c r="E1241" i="4"/>
  <c r="C1240" i="4"/>
  <c r="A1239" i="4"/>
  <c r="E1237" i="4"/>
  <c r="C1236" i="4"/>
  <c r="A1235" i="4"/>
  <c r="E1233" i="4"/>
  <c r="C1232" i="4"/>
  <c r="A1231" i="4"/>
  <c r="E1229" i="4"/>
  <c r="C1228" i="4"/>
  <c r="A1227" i="4"/>
  <c r="E1225" i="4"/>
  <c r="C1224" i="4"/>
  <c r="A1223" i="4"/>
  <c r="E1221" i="4"/>
  <c r="C1220" i="4"/>
  <c r="A1219" i="4"/>
  <c r="E1217" i="4"/>
  <c r="C1216" i="4"/>
  <c r="A1215" i="4"/>
  <c r="E1213" i="4"/>
  <c r="C1212" i="4"/>
  <c r="A1211" i="4"/>
  <c r="E1209" i="4"/>
  <c r="C1208" i="4"/>
  <c r="A1207" i="4"/>
  <c r="E1205" i="4"/>
  <c r="C1204" i="4"/>
  <c r="A1203" i="4"/>
  <c r="E1201" i="4"/>
  <c r="C1200" i="4"/>
  <c r="A1199" i="4"/>
  <c r="E1197" i="4"/>
  <c r="C1196" i="4"/>
  <c r="A1195" i="4"/>
  <c r="E1193" i="4"/>
  <c r="C1192" i="4"/>
  <c r="A1191" i="4"/>
  <c r="E1189" i="4"/>
  <c r="C1188" i="4"/>
  <c r="A1187" i="4"/>
  <c r="E1185" i="4"/>
  <c r="C1184" i="4"/>
  <c r="A1183" i="4"/>
  <c r="E1181" i="4"/>
  <c r="C1180" i="4"/>
  <c r="A1179" i="4"/>
  <c r="E1177" i="4"/>
  <c r="C1176" i="4"/>
  <c r="A1175" i="4"/>
  <c r="E1173" i="4"/>
  <c r="C1172" i="4"/>
  <c r="A1171" i="4"/>
  <c r="E1169" i="4"/>
  <c r="C1168" i="4"/>
  <c r="A1167" i="4"/>
  <c r="E1165" i="4"/>
  <c r="C1164" i="4"/>
  <c r="A1163" i="4"/>
  <c r="E1161" i="4"/>
  <c r="C1160" i="4"/>
  <c r="A1159" i="4"/>
  <c r="E1157" i="4"/>
  <c r="C1156" i="4"/>
  <c r="E1447" i="4"/>
  <c r="C1442" i="4"/>
  <c r="A1437" i="4"/>
  <c r="E1431" i="4"/>
  <c r="C1426" i="4"/>
  <c r="A1421" i="4"/>
  <c r="E1415" i="4"/>
  <c r="C1410" i="4"/>
  <c r="A1405" i="4"/>
  <c r="E1399" i="4"/>
  <c r="C1394" i="4"/>
  <c r="A1389" i="4"/>
  <c r="E1383" i="4"/>
  <c r="C1378" i="4"/>
  <c r="A1373" i="4"/>
  <c r="E1367" i="4"/>
  <c r="C1362" i="4"/>
  <c r="A1357" i="4"/>
  <c r="E1351" i="4"/>
  <c r="C1346" i="4"/>
  <c r="A1341" i="4"/>
  <c r="E1335" i="4"/>
  <c r="C1330" i="4"/>
  <c r="A1325" i="4"/>
  <c r="E1319" i="4"/>
  <c r="C1314" i="4"/>
  <c r="A1309" i="4"/>
  <c r="E1303" i="4"/>
  <c r="C1298" i="4"/>
  <c r="A1293" i="4"/>
  <c r="C1288" i="4"/>
  <c r="A1285" i="4"/>
  <c r="D1281" i="4"/>
  <c r="B1280" i="4"/>
  <c r="F1278" i="4"/>
  <c r="D1277" i="4"/>
  <c r="B1276" i="4"/>
  <c r="F1274" i="4"/>
  <c r="D1273" i="4"/>
  <c r="B1272" i="4"/>
  <c r="F1270" i="4"/>
  <c r="D1269" i="4"/>
  <c r="B1268" i="4"/>
  <c r="F1266" i="4"/>
  <c r="D1265" i="4"/>
  <c r="B1264" i="4"/>
  <c r="F1262" i="4"/>
  <c r="D1261" i="4"/>
  <c r="B1260" i="4"/>
  <c r="F1258" i="4"/>
  <c r="D1257" i="4"/>
  <c r="B1256" i="4"/>
  <c r="F1254" i="4"/>
  <c r="D1253" i="4"/>
  <c r="B1252" i="4"/>
  <c r="F1250" i="4"/>
  <c r="D1249" i="4"/>
  <c r="B1248" i="4"/>
  <c r="F1246" i="4"/>
  <c r="D1245" i="4"/>
  <c r="B1244" i="4"/>
  <c r="F1242" i="4"/>
  <c r="D1241" i="4"/>
  <c r="B1240" i="4"/>
  <c r="F1238" i="4"/>
  <c r="D1237" i="4"/>
  <c r="B1236" i="4"/>
  <c r="F1234" i="4"/>
  <c r="D1233" i="4"/>
  <c r="B1232" i="4"/>
  <c r="F1230" i="4"/>
  <c r="D1229" i="4"/>
  <c r="B1228" i="4"/>
  <c r="F1226" i="4"/>
  <c r="D1225" i="4"/>
  <c r="B1224" i="4"/>
  <c r="F1222" i="4"/>
  <c r="D1221" i="4"/>
  <c r="B1220" i="4"/>
  <c r="F1218" i="4"/>
  <c r="D1217" i="4"/>
  <c r="B1216" i="4"/>
  <c r="F1214" i="4"/>
  <c r="D1213" i="4"/>
  <c r="B1212" i="4"/>
  <c r="F1210" i="4"/>
  <c r="D1209" i="4"/>
  <c r="B1208" i="4"/>
  <c r="F1206" i="4"/>
  <c r="D1205" i="4"/>
  <c r="B1204" i="4"/>
  <c r="F1202" i="4"/>
  <c r="D1201" i="4"/>
  <c r="B1200" i="4"/>
  <c r="F1198" i="4"/>
  <c r="D1197" i="4"/>
  <c r="B1196" i="4"/>
  <c r="F1194" i="4"/>
  <c r="D1193" i="4"/>
  <c r="B1192" i="4"/>
  <c r="F1190" i="4"/>
  <c r="D1189" i="4"/>
  <c r="D1446" i="4"/>
  <c r="B1441" i="4"/>
  <c r="F1435" i="4"/>
  <c r="D1430" i="4"/>
  <c r="B1425" i="4"/>
  <c r="F1419" i="4"/>
  <c r="D1414" i="4"/>
  <c r="B1409" i="4"/>
  <c r="F1403" i="4"/>
  <c r="D1398" i="4"/>
  <c r="B1393" i="4"/>
  <c r="F1387" i="4"/>
  <c r="D1382" i="4"/>
  <c r="B1377" i="4"/>
  <c r="F1371" i="4"/>
  <c r="D1366" i="4"/>
  <c r="B1361" i="4"/>
  <c r="F1355" i="4"/>
  <c r="D1350" i="4"/>
  <c r="B1345" i="4"/>
  <c r="F1339" i="4"/>
  <c r="D1334" i="4"/>
  <c r="B1329" i="4"/>
  <c r="F1323" i="4"/>
  <c r="D1318" i="4"/>
  <c r="B1313" i="4"/>
  <c r="F1307" i="4"/>
  <c r="D1302" i="4"/>
  <c r="B1297" i="4"/>
  <c r="F1291" i="4"/>
  <c r="F1287" i="4"/>
  <c r="C1284" i="4"/>
  <c r="C1281" i="4"/>
  <c r="A1280" i="4"/>
  <c r="E1278" i="4"/>
  <c r="C1277" i="4"/>
  <c r="A1276" i="4"/>
  <c r="E1274" i="4"/>
  <c r="C1273" i="4"/>
  <c r="A1272" i="4"/>
  <c r="E1270" i="4"/>
  <c r="C1269" i="4"/>
  <c r="A1268" i="4"/>
  <c r="E1266" i="4"/>
  <c r="C1265" i="4"/>
  <c r="A1264" i="4"/>
  <c r="E1262" i="4"/>
  <c r="C1261" i="4"/>
  <c r="A1260" i="4"/>
  <c r="E1258" i="4"/>
  <c r="C1257" i="4"/>
  <c r="A1256" i="4"/>
  <c r="E1254" i="4"/>
  <c r="C1253" i="4"/>
  <c r="A1252" i="4"/>
  <c r="E1250" i="4"/>
  <c r="C1249" i="4"/>
  <c r="A1248" i="4"/>
  <c r="E1246" i="4"/>
  <c r="C1245" i="4"/>
  <c r="A1244" i="4"/>
  <c r="E1242" i="4"/>
  <c r="C1241" i="4"/>
  <c r="A1240" i="4"/>
  <c r="E1238" i="4"/>
  <c r="C1237" i="4"/>
  <c r="A1236" i="4"/>
  <c r="E1234" i="4"/>
  <c r="C1233" i="4"/>
  <c r="A1232" i="4"/>
  <c r="E1230" i="4"/>
  <c r="C1229" i="4"/>
  <c r="A1228" i="4"/>
  <c r="E1226" i="4"/>
  <c r="C1225" i="4"/>
  <c r="A1224" i="4"/>
  <c r="E1222" i="4"/>
  <c r="C1221" i="4"/>
  <c r="A1220" i="4"/>
  <c r="E1218" i="4"/>
  <c r="C1217" i="4"/>
  <c r="A1216" i="4"/>
  <c r="E1214" i="4"/>
  <c r="C1213" i="4"/>
  <c r="A1212" i="4"/>
  <c r="E1210" i="4"/>
  <c r="C1209" i="4"/>
  <c r="A1208" i="4"/>
  <c r="E1206" i="4"/>
  <c r="C1205" i="4"/>
  <c r="A1204" i="4"/>
  <c r="E1202" i="4"/>
  <c r="C1201" i="4"/>
  <c r="A1200" i="4"/>
  <c r="E1198" i="4"/>
  <c r="C1197" i="4"/>
  <c r="A1196" i="4"/>
  <c r="E1194" i="4"/>
  <c r="C1193" i="4"/>
  <c r="A1192" i="4"/>
  <c r="E1190" i="4"/>
  <c r="C1189" i="4"/>
  <c r="A1188" i="4"/>
  <c r="E1186" i="4"/>
  <c r="C1185" i="4"/>
  <c r="A1184" i="4"/>
  <c r="E1182" i="4"/>
  <c r="C1181" i="4"/>
  <c r="A1180" i="4"/>
  <c r="E1178" i="4"/>
  <c r="C1177" i="4"/>
  <c r="A1176" i="4"/>
  <c r="E1174" i="4"/>
  <c r="C1173" i="4"/>
  <c r="A1172" i="4"/>
  <c r="E1170" i="4"/>
  <c r="C1169" i="4"/>
  <c r="A1168" i="4"/>
  <c r="E1166" i="4"/>
  <c r="C1165" i="4"/>
  <c r="A1164" i="4"/>
  <c r="E1162" i="4"/>
  <c r="C1161" i="4"/>
  <c r="A1160" i="4"/>
  <c r="C1446" i="4"/>
  <c r="A1441" i="4"/>
  <c r="E1435" i="4"/>
  <c r="C1430" i="4"/>
  <c r="A1425" i="4"/>
  <c r="E1419" i="4"/>
  <c r="C1414" i="4"/>
  <c r="A1409" i="4"/>
  <c r="E1403" i="4"/>
  <c r="C1398" i="4"/>
  <c r="A1393" i="4"/>
  <c r="E1387" i="4"/>
  <c r="C1382" i="4"/>
  <c r="A1377" i="4"/>
  <c r="E1371" i="4"/>
  <c r="C1366" i="4"/>
  <c r="A1361" i="4"/>
  <c r="E1355" i="4"/>
  <c r="C1350" i="4"/>
  <c r="A1345" i="4"/>
  <c r="E1339" i="4"/>
  <c r="C1334" i="4"/>
  <c r="A1329" i="4"/>
  <c r="E1323" i="4"/>
  <c r="C1318" i="4"/>
  <c r="A1313" i="4"/>
  <c r="E1307" i="4"/>
  <c r="C1302" i="4"/>
  <c r="A1297" i="4"/>
  <c r="E1291" i="4"/>
  <c r="E1287" i="4"/>
  <c r="F1283" i="4"/>
  <c r="B1281" i="4"/>
  <c r="F1279" i="4"/>
  <c r="D1278" i="4"/>
  <c r="B1277" i="4"/>
  <c r="F1275" i="4"/>
  <c r="D1274" i="4"/>
  <c r="B1273" i="4"/>
  <c r="F1271" i="4"/>
  <c r="D1270" i="4"/>
  <c r="B1269" i="4"/>
  <c r="F1267" i="4"/>
  <c r="D1266" i="4"/>
  <c r="B1265" i="4"/>
  <c r="F1263" i="4"/>
  <c r="D1262" i="4"/>
  <c r="B1261" i="4"/>
  <c r="F1259" i="4"/>
  <c r="D1258" i="4"/>
  <c r="B1257" i="4"/>
  <c r="F1255" i="4"/>
  <c r="D1254" i="4"/>
  <c r="B1253" i="4"/>
  <c r="F1251" i="4"/>
  <c r="D1250" i="4"/>
  <c r="B1249" i="4"/>
  <c r="F1247" i="4"/>
  <c r="D1246" i="4"/>
  <c r="B1245" i="4"/>
  <c r="F1243" i="4"/>
  <c r="D1242" i="4"/>
  <c r="B1241" i="4"/>
  <c r="F1239" i="4"/>
  <c r="D1238" i="4"/>
  <c r="B1237" i="4"/>
  <c r="F1235" i="4"/>
  <c r="D1234" i="4"/>
  <c r="B1233" i="4"/>
  <c r="F1231" i="4"/>
  <c r="D1230" i="4"/>
  <c r="B1229" i="4"/>
  <c r="F1227" i="4"/>
  <c r="D1226" i="4"/>
  <c r="B1225" i="4"/>
  <c r="F1223" i="4"/>
  <c r="D1222" i="4"/>
  <c r="B1221" i="4"/>
  <c r="F1219" i="4"/>
  <c r="D1218" i="4"/>
  <c r="B1217" i="4"/>
  <c r="F1215" i="4"/>
  <c r="D1214" i="4"/>
  <c r="B1213" i="4"/>
  <c r="F1211" i="4"/>
  <c r="D1210" i="4"/>
  <c r="B1209" i="4"/>
  <c r="F1207" i="4"/>
  <c r="D1206" i="4"/>
  <c r="B1205" i="4"/>
  <c r="F1203" i="4"/>
  <c r="D1202" i="4"/>
  <c r="B1201" i="4"/>
  <c r="F1199" i="4"/>
  <c r="D1198" i="4"/>
  <c r="B1197" i="4"/>
  <c r="F1195" i="4"/>
  <c r="D1194" i="4"/>
  <c r="B1193" i="4"/>
  <c r="F1191" i="4"/>
  <c r="D1190" i="4"/>
  <c r="B1189" i="4"/>
  <c r="F1187" i="4"/>
  <c r="D1186" i="4"/>
  <c r="B1185" i="4"/>
  <c r="F1183" i="4"/>
  <c r="D1182" i="4"/>
  <c r="B1181" i="4"/>
  <c r="F1179" i="4"/>
  <c r="D1178" i="4"/>
  <c r="B1177" i="4"/>
  <c r="F1175" i="4"/>
  <c r="D1174" i="4"/>
  <c r="B1173" i="4"/>
  <c r="F1171" i="4"/>
  <c r="D1170" i="4"/>
  <c r="B1169" i="4"/>
  <c r="F1167" i="4"/>
  <c r="D1166" i="4"/>
  <c r="B1165" i="4"/>
  <c r="F1163" i="4"/>
  <c r="D1162" i="4"/>
  <c r="B1161" i="4"/>
  <c r="F1159" i="4"/>
  <c r="D1158" i="4"/>
  <c r="B1157" i="4"/>
  <c r="F1155" i="4"/>
  <c r="A1445" i="4"/>
  <c r="E1439" i="4"/>
  <c r="C1434" i="4"/>
  <c r="A1429" i="4"/>
  <c r="E1423" i="4"/>
  <c r="C1418" i="4"/>
  <c r="A1413" i="4"/>
  <c r="E1407" i="4"/>
  <c r="C1402" i="4"/>
  <c r="A1397" i="4"/>
  <c r="E1391" i="4"/>
  <c r="C1386" i="4"/>
  <c r="A1381" i="4"/>
  <c r="E1375" i="4"/>
  <c r="C1370" i="4"/>
  <c r="A1365" i="4"/>
  <c r="E1359" i="4"/>
  <c r="C1354" i="4"/>
  <c r="A1349" i="4"/>
  <c r="E1343" i="4"/>
  <c r="C1338" i="4"/>
  <c r="A1333" i="4"/>
  <c r="E1327" i="4"/>
  <c r="C1322" i="4"/>
  <c r="A1317" i="4"/>
  <c r="E1311" i="4"/>
  <c r="C1306" i="4"/>
  <c r="A1301" i="4"/>
  <c r="E1295" i="4"/>
  <c r="C1290" i="4"/>
  <c r="D1286" i="4"/>
  <c r="A1283" i="4"/>
  <c r="F1280" i="4"/>
  <c r="D1279" i="4"/>
  <c r="B1278" i="4"/>
  <c r="F1276" i="4"/>
  <c r="D1275" i="4"/>
  <c r="B1274" i="4"/>
  <c r="F1272" i="4"/>
  <c r="D1271" i="4"/>
  <c r="B1270" i="4"/>
  <c r="F1268" i="4"/>
  <c r="D1267" i="4"/>
  <c r="B1266" i="4"/>
  <c r="F1264" i="4"/>
  <c r="D1263" i="4"/>
  <c r="B1262" i="4"/>
  <c r="F1260" i="4"/>
  <c r="D1259" i="4"/>
  <c r="B1258" i="4"/>
  <c r="F1256" i="4"/>
  <c r="D1255" i="4"/>
  <c r="B1254" i="4"/>
  <c r="F1252" i="4"/>
  <c r="D1251" i="4"/>
  <c r="B1250" i="4"/>
  <c r="F1248" i="4"/>
  <c r="D1247" i="4"/>
  <c r="B1246" i="4"/>
  <c r="F1244" i="4"/>
  <c r="D1243" i="4"/>
  <c r="B1242" i="4"/>
  <c r="F1240" i="4"/>
  <c r="D1239" i="4"/>
  <c r="B1238" i="4"/>
  <c r="F1236" i="4"/>
  <c r="D1235" i="4"/>
  <c r="B1234" i="4"/>
  <c r="F1232" i="4"/>
  <c r="D1231" i="4"/>
  <c r="B1230" i="4"/>
  <c r="F1228" i="4"/>
  <c r="D1227" i="4"/>
  <c r="B1226" i="4"/>
  <c r="F1224" i="4"/>
  <c r="D1223" i="4"/>
  <c r="B1222" i="4"/>
  <c r="F1220" i="4"/>
  <c r="D1219" i="4"/>
  <c r="B1218" i="4"/>
  <c r="F1216" i="4"/>
  <c r="D1215" i="4"/>
  <c r="B1214" i="4"/>
  <c r="F1212" i="4"/>
  <c r="D1211" i="4"/>
  <c r="B1210" i="4"/>
  <c r="F1208" i="4"/>
  <c r="D1207" i="4"/>
  <c r="B1206" i="4"/>
  <c r="F1204" i="4"/>
  <c r="D1203" i="4"/>
  <c r="B1202" i="4"/>
  <c r="F1200" i="4"/>
  <c r="D1199" i="4"/>
  <c r="B1198" i="4"/>
  <c r="F1196" i="4"/>
  <c r="D1195" i="4"/>
  <c r="B1194" i="4"/>
  <c r="F1192" i="4"/>
  <c r="D1191" i="4"/>
  <c r="B1190" i="4"/>
  <c r="F1188" i="4"/>
  <c r="D1187" i="4"/>
  <c r="B1186" i="4"/>
  <c r="F1184" i="4"/>
  <c r="D1183" i="4"/>
  <c r="B1182" i="4"/>
  <c r="F1180" i="4"/>
  <c r="D1179" i="4"/>
  <c r="B1178" i="4"/>
  <c r="F1176" i="4"/>
  <c r="D1175" i="4"/>
  <c r="B1174" i="4"/>
  <c r="F1172" i="4"/>
  <c r="D1171" i="4"/>
  <c r="B1170" i="4"/>
  <c r="F1168" i="4"/>
  <c r="D1167" i="4"/>
  <c r="B1166" i="4"/>
  <c r="F1164" i="4"/>
  <c r="D1163" i="4"/>
  <c r="B1162" i="4"/>
  <c r="F1160" i="4"/>
  <c r="D1159" i="4"/>
  <c r="B1445" i="4"/>
  <c r="D1402" i="4"/>
  <c r="F1359" i="4"/>
  <c r="B1317" i="4"/>
  <c r="A1281" i="4"/>
  <c r="C1270" i="4"/>
  <c r="E1259" i="4"/>
  <c r="A1249" i="4"/>
  <c r="C1238" i="4"/>
  <c r="E1227" i="4"/>
  <c r="A1217" i="4"/>
  <c r="C1206" i="4"/>
  <c r="E1195" i="4"/>
  <c r="F1186" i="4"/>
  <c r="D1181" i="4"/>
  <c r="B1176" i="4"/>
  <c r="F1170" i="4"/>
  <c r="D1165" i="4"/>
  <c r="B1160" i="4"/>
  <c r="A1157" i="4"/>
  <c r="C1155" i="4"/>
  <c r="A1154" i="4"/>
  <c r="E1152" i="4"/>
  <c r="C1151" i="4"/>
  <c r="A1150" i="4"/>
  <c r="E1148" i="4"/>
  <c r="C1147" i="4"/>
  <c r="A1146" i="4"/>
  <c r="E1144" i="4"/>
  <c r="C1143" i="4"/>
  <c r="A1142" i="4"/>
  <c r="E1140" i="4"/>
  <c r="C1139" i="4"/>
  <c r="A1138" i="4"/>
  <c r="E1136" i="4"/>
  <c r="C1135" i="4"/>
  <c r="A1134" i="4"/>
  <c r="E1132" i="4"/>
  <c r="C1131" i="4"/>
  <c r="A1130" i="4"/>
  <c r="E1128" i="4"/>
  <c r="C1127" i="4"/>
  <c r="A1126" i="4"/>
  <c r="E1124" i="4"/>
  <c r="C1123" i="4"/>
  <c r="A1122" i="4"/>
  <c r="E1120" i="4"/>
  <c r="C1119" i="4"/>
  <c r="A1118" i="4"/>
  <c r="E1116" i="4"/>
  <c r="C1115" i="4"/>
  <c r="A1114" i="4"/>
  <c r="E1112" i="4"/>
  <c r="C1111" i="4"/>
  <c r="A1110" i="4"/>
  <c r="E1108" i="4"/>
  <c r="C1107" i="4"/>
  <c r="A1106" i="4"/>
  <c r="E1104" i="4"/>
  <c r="C1103" i="4"/>
  <c r="A1102" i="4"/>
  <c r="E1100" i="4"/>
  <c r="C1099" i="4"/>
  <c r="A1098" i="4"/>
  <c r="E1096" i="4"/>
  <c r="C1095" i="4"/>
  <c r="A1094" i="4"/>
  <c r="E1092" i="4"/>
  <c r="C1091" i="4"/>
  <c r="A1090" i="4"/>
  <c r="E1088" i="4"/>
  <c r="C1087" i="4"/>
  <c r="A1086" i="4"/>
  <c r="E1084" i="4"/>
  <c r="C1083" i="4"/>
  <c r="A1082" i="4"/>
  <c r="E1080" i="4"/>
  <c r="C1079" i="4"/>
  <c r="A1078" i="4"/>
  <c r="E1076" i="4"/>
  <c r="C1075" i="4"/>
  <c r="A1074" i="4"/>
  <c r="E1072" i="4"/>
  <c r="C1071" i="4"/>
  <c r="A1070" i="4"/>
  <c r="E1068" i="4"/>
  <c r="C1067" i="4"/>
  <c r="A1066" i="4"/>
  <c r="E1064" i="4"/>
  <c r="C1063" i="4"/>
  <c r="A1062" i="4"/>
  <c r="E1060" i="4"/>
  <c r="C1059" i="4"/>
  <c r="A1058" i="4"/>
  <c r="E1056" i="4"/>
  <c r="C1055" i="4"/>
  <c r="A1054" i="4"/>
  <c r="E1052" i="4"/>
  <c r="C1051" i="4"/>
  <c r="A1050" i="4"/>
  <c r="E1048" i="4"/>
  <c r="C1047" i="4"/>
  <c r="A1046" i="4"/>
  <c r="E1044" i="4"/>
  <c r="C1043" i="4"/>
  <c r="A1042" i="4"/>
  <c r="E1040" i="4"/>
  <c r="C1039" i="4"/>
  <c r="A1038" i="4"/>
  <c r="E1036" i="4"/>
  <c r="C1035" i="4"/>
  <c r="A1034" i="4"/>
  <c r="E1032" i="4"/>
  <c r="C1031" i="4"/>
  <c r="A1030" i="4"/>
  <c r="E1028" i="4"/>
  <c r="C1027" i="4"/>
  <c r="A1026" i="4"/>
  <c r="E1024" i="4"/>
  <c r="C1023" i="4"/>
  <c r="A1022" i="4"/>
  <c r="E1020" i="4"/>
  <c r="C1019" i="4"/>
  <c r="A1018" i="4"/>
  <c r="E1016" i="4"/>
  <c r="C1015" i="4"/>
  <c r="A1014" i="4"/>
  <c r="F1439" i="4"/>
  <c r="B1397" i="4"/>
  <c r="D1354" i="4"/>
  <c r="F1311" i="4"/>
  <c r="E1279" i="4"/>
  <c r="A1269" i="4"/>
  <c r="C1258" i="4"/>
  <c r="E1247" i="4"/>
  <c r="A1237" i="4"/>
  <c r="C1226" i="4"/>
  <c r="E1215" i="4"/>
  <c r="A1205" i="4"/>
  <c r="C1194" i="4"/>
  <c r="C1186" i="4"/>
  <c r="A1181" i="4"/>
  <c r="E1175" i="4"/>
  <c r="C1170" i="4"/>
  <c r="A1165" i="4"/>
  <c r="E1159" i="4"/>
  <c r="F1156" i="4"/>
  <c r="B1155" i="4"/>
  <c r="F1153" i="4"/>
  <c r="D1152" i="4"/>
  <c r="B1151" i="4"/>
  <c r="F1149" i="4"/>
  <c r="D1148" i="4"/>
  <c r="B1147" i="4"/>
  <c r="F1145" i="4"/>
  <c r="D1144" i="4"/>
  <c r="B1143" i="4"/>
  <c r="F1141" i="4"/>
  <c r="D1140" i="4"/>
  <c r="B1139" i="4"/>
  <c r="F1137" i="4"/>
  <c r="D1136" i="4"/>
  <c r="B1135" i="4"/>
  <c r="F1133" i="4"/>
  <c r="D1132" i="4"/>
  <c r="B1131" i="4"/>
  <c r="F1129" i="4"/>
  <c r="D1128" i="4"/>
  <c r="B1127" i="4"/>
  <c r="F1125" i="4"/>
  <c r="D1124" i="4"/>
  <c r="B1123" i="4"/>
  <c r="F1121" i="4"/>
  <c r="D1120" i="4"/>
  <c r="B1119" i="4"/>
  <c r="F1117" i="4"/>
  <c r="D1116" i="4"/>
  <c r="B1115" i="4"/>
  <c r="F1113" i="4"/>
  <c r="D1112" i="4"/>
  <c r="B1111" i="4"/>
  <c r="F1109" i="4"/>
  <c r="D1108" i="4"/>
  <c r="B1107" i="4"/>
  <c r="F1105" i="4"/>
  <c r="D1104" i="4"/>
  <c r="B1103" i="4"/>
  <c r="F1101" i="4"/>
  <c r="D1100" i="4"/>
  <c r="B1099" i="4"/>
  <c r="F1097" i="4"/>
  <c r="D1096" i="4"/>
  <c r="B1095" i="4"/>
  <c r="F1093" i="4"/>
  <c r="D1092" i="4"/>
  <c r="B1091" i="4"/>
  <c r="F1089" i="4"/>
  <c r="D1088" i="4"/>
  <c r="B1087" i="4"/>
  <c r="F1085" i="4"/>
  <c r="D1084" i="4"/>
  <c r="B1083" i="4"/>
  <c r="F1081" i="4"/>
  <c r="D1080" i="4"/>
  <c r="B1079" i="4"/>
  <c r="F1077" i="4"/>
  <c r="D1076" i="4"/>
  <c r="B1075" i="4"/>
  <c r="F1073" i="4"/>
  <c r="D1072" i="4"/>
  <c r="B1071" i="4"/>
  <c r="F1069" i="4"/>
  <c r="D1068" i="4"/>
  <c r="B1067" i="4"/>
  <c r="F1065" i="4"/>
  <c r="D1064" i="4"/>
  <c r="B1063" i="4"/>
  <c r="F1061" i="4"/>
  <c r="D1060" i="4"/>
  <c r="B1059" i="4"/>
  <c r="F1057" i="4"/>
  <c r="D1056" i="4"/>
  <c r="B1055" i="4"/>
  <c r="F1053" i="4"/>
  <c r="D1052" i="4"/>
  <c r="B1051" i="4"/>
  <c r="F1049" i="4"/>
  <c r="D1048" i="4"/>
  <c r="B1047" i="4"/>
  <c r="F1045" i="4"/>
  <c r="D1044" i="4"/>
  <c r="B1043" i="4"/>
  <c r="F1041" i="4"/>
  <c r="D1040" i="4"/>
  <c r="B1039" i="4"/>
  <c r="F1037" i="4"/>
  <c r="D1036" i="4"/>
  <c r="B1035" i="4"/>
  <c r="F1033" i="4"/>
  <c r="D1032" i="4"/>
  <c r="B1031" i="4"/>
  <c r="F1029" i="4"/>
  <c r="D1028" i="4"/>
  <c r="B1027" i="4"/>
  <c r="F1025" i="4"/>
  <c r="D1024" i="4"/>
  <c r="B1023" i="4"/>
  <c r="F1021" i="4"/>
  <c r="D1020" i="4"/>
  <c r="B1019" i="4"/>
  <c r="F1017" i="4"/>
  <c r="D1016" i="4"/>
  <c r="B1015" i="4"/>
  <c r="D1434" i="4"/>
  <c r="F1391" i="4"/>
  <c r="B1349" i="4"/>
  <c r="D1306" i="4"/>
  <c r="C1278" i="4"/>
  <c r="E1267" i="4"/>
  <c r="A1257" i="4"/>
  <c r="C1246" i="4"/>
  <c r="E1235" i="4"/>
  <c r="A1225" i="4"/>
  <c r="C1214" i="4"/>
  <c r="E1203" i="4"/>
  <c r="A1193" i="4"/>
  <c r="D1185" i="4"/>
  <c r="B1180" i="4"/>
  <c r="F1174" i="4"/>
  <c r="D1169" i="4"/>
  <c r="B1164" i="4"/>
  <c r="F1158" i="4"/>
  <c r="E1156" i="4"/>
  <c r="A1155" i="4"/>
  <c r="E1153" i="4"/>
  <c r="C1152" i="4"/>
  <c r="A1151" i="4"/>
  <c r="E1149" i="4"/>
  <c r="C1148" i="4"/>
  <c r="A1147" i="4"/>
  <c r="E1145" i="4"/>
  <c r="C1144" i="4"/>
  <c r="A1143" i="4"/>
  <c r="E1141" i="4"/>
  <c r="C1140" i="4"/>
  <c r="A1139" i="4"/>
  <c r="E1137" i="4"/>
  <c r="C1136" i="4"/>
  <c r="A1135" i="4"/>
  <c r="E1133" i="4"/>
  <c r="C1132" i="4"/>
  <c r="A1131" i="4"/>
  <c r="E1129" i="4"/>
  <c r="C1128" i="4"/>
  <c r="A1127" i="4"/>
  <c r="E1125" i="4"/>
  <c r="C1124" i="4"/>
  <c r="A1123" i="4"/>
  <c r="E1121" i="4"/>
  <c r="C1120" i="4"/>
  <c r="A1119" i="4"/>
  <c r="E1117" i="4"/>
  <c r="C1116" i="4"/>
  <c r="A1115" i="4"/>
  <c r="E1113" i="4"/>
  <c r="C1112" i="4"/>
  <c r="A1111" i="4"/>
  <c r="E1109" i="4"/>
  <c r="C1108" i="4"/>
  <c r="A1107" i="4"/>
  <c r="E1105" i="4"/>
  <c r="C1104" i="4"/>
  <c r="A1103" i="4"/>
  <c r="E1101" i="4"/>
  <c r="C1100" i="4"/>
  <c r="A1099" i="4"/>
  <c r="E1097" i="4"/>
  <c r="C1096" i="4"/>
  <c r="A1095" i="4"/>
  <c r="E1093" i="4"/>
  <c r="C1092" i="4"/>
  <c r="A1091" i="4"/>
  <c r="E1089" i="4"/>
  <c r="C1088" i="4"/>
  <c r="A1087" i="4"/>
  <c r="E1085" i="4"/>
  <c r="C1084" i="4"/>
  <c r="A1083" i="4"/>
  <c r="E1081" i="4"/>
  <c r="C1080" i="4"/>
  <c r="A1079" i="4"/>
  <c r="E1077" i="4"/>
  <c r="C1076" i="4"/>
  <c r="A1075" i="4"/>
  <c r="E1073" i="4"/>
  <c r="C1072" i="4"/>
  <c r="A1071" i="4"/>
  <c r="E1069" i="4"/>
  <c r="C1068" i="4"/>
  <c r="A1067" i="4"/>
  <c r="E1065" i="4"/>
  <c r="C1064" i="4"/>
  <c r="A1063" i="4"/>
  <c r="E1061" i="4"/>
  <c r="C1060" i="4"/>
  <c r="A1059" i="4"/>
  <c r="E1057" i="4"/>
  <c r="C1056" i="4"/>
  <c r="A1055" i="4"/>
  <c r="E1053" i="4"/>
  <c r="C1052" i="4"/>
  <c r="A1051" i="4"/>
  <c r="E1049" i="4"/>
  <c r="C1048" i="4"/>
  <c r="A1047" i="4"/>
  <c r="E1045" i="4"/>
  <c r="C1044" i="4"/>
  <c r="A1043" i="4"/>
  <c r="E1041" i="4"/>
  <c r="C1040" i="4"/>
  <c r="A1039" i="4"/>
  <c r="E1037" i="4"/>
  <c r="C1036" i="4"/>
  <c r="A1035" i="4"/>
  <c r="E1033" i="4"/>
  <c r="C1032" i="4"/>
  <c r="A1031" i="4"/>
  <c r="E1029" i="4"/>
  <c r="C1028" i="4"/>
  <c r="A1027" i="4"/>
  <c r="E1025" i="4"/>
  <c r="C1024" i="4"/>
  <c r="A1023" i="4"/>
  <c r="E1021" i="4"/>
  <c r="C1020" i="4"/>
  <c r="A1019" i="4"/>
  <c r="E1017" i="4"/>
  <c r="C1016" i="4"/>
  <c r="A1015" i="4"/>
  <c r="E1013" i="4"/>
  <c r="B1429" i="4"/>
  <c r="D1386" i="4"/>
  <c r="F1343" i="4"/>
  <c r="B1301" i="4"/>
  <c r="A1277" i="4"/>
  <c r="C1266" i="4"/>
  <c r="E1255" i="4"/>
  <c r="A1245" i="4"/>
  <c r="C1234" i="4"/>
  <c r="E1223" i="4"/>
  <c r="A1213" i="4"/>
  <c r="C1202" i="4"/>
  <c r="E1191" i="4"/>
  <c r="A1185" i="4"/>
  <c r="E1179" i="4"/>
  <c r="C1174" i="4"/>
  <c r="A1169" i="4"/>
  <c r="E1163" i="4"/>
  <c r="E1158" i="4"/>
  <c r="D1156" i="4"/>
  <c r="F1154" i="4"/>
  <c r="D1153" i="4"/>
  <c r="B1152" i="4"/>
  <c r="F1150" i="4"/>
  <c r="D1149" i="4"/>
  <c r="B1148" i="4"/>
  <c r="F1146" i="4"/>
  <c r="D1145" i="4"/>
  <c r="B1144" i="4"/>
  <c r="F1142" i="4"/>
  <c r="D1141" i="4"/>
  <c r="B1140" i="4"/>
  <c r="F1138" i="4"/>
  <c r="D1137" i="4"/>
  <c r="B1136" i="4"/>
  <c r="F1134" i="4"/>
  <c r="D1133" i="4"/>
  <c r="B1132" i="4"/>
  <c r="F1130" i="4"/>
  <c r="D1129" i="4"/>
  <c r="B1128" i="4"/>
  <c r="F1126" i="4"/>
  <c r="D1125" i="4"/>
  <c r="B1124" i="4"/>
  <c r="F1122" i="4"/>
  <c r="D1121" i="4"/>
  <c r="B1120" i="4"/>
  <c r="F1118" i="4"/>
  <c r="D1117" i="4"/>
  <c r="B1116" i="4"/>
  <c r="F1114" i="4"/>
  <c r="D1113" i="4"/>
  <c r="B1112" i="4"/>
  <c r="F1110" i="4"/>
  <c r="D1109" i="4"/>
  <c r="B1108" i="4"/>
  <c r="F1106" i="4"/>
  <c r="D1105" i="4"/>
  <c r="B1104" i="4"/>
  <c r="F1102" i="4"/>
  <c r="D1101" i="4"/>
  <c r="B1100" i="4"/>
  <c r="F1098" i="4"/>
  <c r="D1097" i="4"/>
  <c r="B1096" i="4"/>
  <c r="F1094" i="4"/>
  <c r="D1093" i="4"/>
  <c r="B1092" i="4"/>
  <c r="F1090" i="4"/>
  <c r="D1089" i="4"/>
  <c r="B1088" i="4"/>
  <c r="F1086" i="4"/>
  <c r="D1085" i="4"/>
  <c r="B1084" i="4"/>
  <c r="F1082" i="4"/>
  <c r="D1081" i="4"/>
  <c r="B1080" i="4"/>
  <c r="F1078" i="4"/>
  <c r="D1077" i="4"/>
  <c r="B1076" i="4"/>
  <c r="F1074" i="4"/>
  <c r="D1073" i="4"/>
  <c r="B1072" i="4"/>
  <c r="F1070" i="4"/>
  <c r="D1069" i="4"/>
  <c r="B1068" i="4"/>
  <c r="F1066" i="4"/>
  <c r="D1065" i="4"/>
  <c r="B1064" i="4"/>
  <c r="F1062" i="4"/>
  <c r="D1061" i="4"/>
  <c r="B1060" i="4"/>
  <c r="F1058" i="4"/>
  <c r="D1057" i="4"/>
  <c r="B1056" i="4"/>
  <c r="F1054" i="4"/>
  <c r="D1053" i="4"/>
  <c r="B1052" i="4"/>
  <c r="F1050" i="4"/>
  <c r="D1049" i="4"/>
  <c r="B1048" i="4"/>
  <c r="F1046" i="4"/>
  <c r="D1045" i="4"/>
  <c r="B1044" i="4"/>
  <c r="F1042" i="4"/>
  <c r="D1041" i="4"/>
  <c r="B1040" i="4"/>
  <c r="F1038" i="4"/>
  <c r="D1037" i="4"/>
  <c r="F1423" i="4"/>
  <c r="B1381" i="4"/>
  <c r="D1338" i="4"/>
  <c r="F1295" i="4"/>
  <c r="E1275" i="4"/>
  <c r="A1265" i="4"/>
  <c r="C1254" i="4"/>
  <c r="E1243" i="4"/>
  <c r="A1233" i="4"/>
  <c r="C1222" i="4"/>
  <c r="E1211" i="4"/>
  <c r="A1201" i="4"/>
  <c r="C1190" i="4"/>
  <c r="B1184" i="4"/>
  <c r="F1178" i="4"/>
  <c r="D1173" i="4"/>
  <c r="B1168" i="4"/>
  <c r="F1162" i="4"/>
  <c r="C1158" i="4"/>
  <c r="B1156" i="4"/>
  <c r="E1154" i="4"/>
  <c r="C1153" i="4"/>
  <c r="A1152" i="4"/>
  <c r="E1150" i="4"/>
  <c r="C1149" i="4"/>
  <c r="A1148" i="4"/>
  <c r="E1146" i="4"/>
  <c r="C1145" i="4"/>
  <c r="A1144" i="4"/>
  <c r="E1142" i="4"/>
  <c r="C1141" i="4"/>
  <c r="A1140" i="4"/>
  <c r="E1138" i="4"/>
  <c r="C1137" i="4"/>
  <c r="A1136" i="4"/>
  <c r="E1134" i="4"/>
  <c r="C1133" i="4"/>
  <c r="A1132" i="4"/>
  <c r="E1130" i="4"/>
  <c r="C1129" i="4"/>
  <c r="A1128" i="4"/>
  <c r="E1126" i="4"/>
  <c r="C1125" i="4"/>
  <c r="A1124" i="4"/>
  <c r="E1122" i="4"/>
  <c r="C1121" i="4"/>
  <c r="A1120" i="4"/>
  <c r="E1118" i="4"/>
  <c r="C1117" i="4"/>
  <c r="A1116" i="4"/>
  <c r="E1114" i="4"/>
  <c r="C1113" i="4"/>
  <c r="A1112" i="4"/>
  <c r="E1110" i="4"/>
  <c r="C1109" i="4"/>
  <c r="A1108" i="4"/>
  <c r="E1106" i="4"/>
  <c r="C1105" i="4"/>
  <c r="A1104" i="4"/>
  <c r="E1102" i="4"/>
  <c r="C1101" i="4"/>
  <c r="A1100" i="4"/>
  <c r="E1098" i="4"/>
  <c r="C1097" i="4"/>
  <c r="A1096" i="4"/>
  <c r="E1094" i="4"/>
  <c r="C1093" i="4"/>
  <c r="A1092" i="4"/>
  <c r="E1090" i="4"/>
  <c r="C1089" i="4"/>
  <c r="A1088" i="4"/>
  <c r="E1086" i="4"/>
  <c r="C1085" i="4"/>
  <c r="A1084" i="4"/>
  <c r="E1082" i="4"/>
  <c r="C1081" i="4"/>
  <c r="A1080" i="4"/>
  <c r="E1078" i="4"/>
  <c r="C1077" i="4"/>
  <c r="A1076" i="4"/>
  <c r="E1074" i="4"/>
  <c r="C1073" i="4"/>
  <c r="A1072" i="4"/>
  <c r="E1070" i="4"/>
  <c r="C1069" i="4"/>
  <c r="A1068" i="4"/>
  <c r="E1066" i="4"/>
  <c r="C1065" i="4"/>
  <c r="A1064" i="4"/>
  <c r="E1062" i="4"/>
  <c r="C1061" i="4"/>
  <c r="A1060" i="4"/>
  <c r="E1058" i="4"/>
  <c r="C1057" i="4"/>
  <c r="A1056" i="4"/>
  <c r="E1054" i="4"/>
  <c r="C1053" i="4"/>
  <c r="A1052" i="4"/>
  <c r="E1050" i="4"/>
  <c r="C1049" i="4"/>
  <c r="A1048" i="4"/>
  <c r="E1046" i="4"/>
  <c r="C1045" i="4"/>
  <c r="A1044" i="4"/>
  <c r="E1042" i="4"/>
  <c r="C1041" i="4"/>
  <c r="A1040" i="4"/>
  <c r="E1038" i="4"/>
  <c r="C1037" i="4"/>
  <c r="A1036" i="4"/>
  <c r="E1034" i="4"/>
  <c r="C1033" i="4"/>
  <c r="A1032" i="4"/>
  <c r="E1030" i="4"/>
  <c r="C1029" i="4"/>
  <c r="A1028" i="4"/>
  <c r="E1026" i="4"/>
  <c r="C1025" i="4"/>
  <c r="A1024" i="4"/>
  <c r="E1022" i="4"/>
  <c r="C1021" i="4"/>
  <c r="A1020" i="4"/>
  <c r="E1018" i="4"/>
  <c r="C1017" i="4"/>
  <c r="A1016" i="4"/>
  <c r="D1418" i="4"/>
  <c r="F1375" i="4"/>
  <c r="B1333" i="4"/>
  <c r="D1290" i="4"/>
  <c r="C1274" i="4"/>
  <c r="E1263" i="4"/>
  <c r="A1253" i="4"/>
  <c r="C1242" i="4"/>
  <c r="E1231" i="4"/>
  <c r="A1221" i="4"/>
  <c r="C1210" i="4"/>
  <c r="E1199" i="4"/>
  <c r="A1189" i="4"/>
  <c r="E1183" i="4"/>
  <c r="C1178" i="4"/>
  <c r="A1173" i="4"/>
  <c r="E1167" i="4"/>
  <c r="C1162" i="4"/>
  <c r="B1158" i="4"/>
  <c r="A1156" i="4"/>
  <c r="D1154" i="4"/>
  <c r="B1153" i="4"/>
  <c r="F1151" i="4"/>
  <c r="D1150" i="4"/>
  <c r="B1149" i="4"/>
  <c r="F1147" i="4"/>
  <c r="D1146" i="4"/>
  <c r="B1145" i="4"/>
  <c r="F1143" i="4"/>
  <c r="D1142" i="4"/>
  <c r="B1141" i="4"/>
  <c r="F1139" i="4"/>
  <c r="D1138" i="4"/>
  <c r="B1137" i="4"/>
  <c r="F1135" i="4"/>
  <c r="D1134" i="4"/>
  <c r="B1133" i="4"/>
  <c r="F1131" i="4"/>
  <c r="D1130" i="4"/>
  <c r="B1129" i="4"/>
  <c r="F1127" i="4"/>
  <c r="D1126" i="4"/>
  <c r="B1125" i="4"/>
  <c r="F1123" i="4"/>
  <c r="D1122" i="4"/>
  <c r="B1121" i="4"/>
  <c r="F1119" i="4"/>
  <c r="D1118" i="4"/>
  <c r="B1117" i="4"/>
  <c r="F1115" i="4"/>
  <c r="D1114" i="4"/>
  <c r="B1113" i="4"/>
  <c r="F1111" i="4"/>
  <c r="D1110" i="4"/>
  <c r="B1109" i="4"/>
  <c r="F1107" i="4"/>
  <c r="D1106" i="4"/>
  <c r="B1105" i="4"/>
  <c r="F1103" i="4"/>
  <c r="D1102" i="4"/>
  <c r="B1101" i="4"/>
  <c r="F1099" i="4"/>
  <c r="D1098" i="4"/>
  <c r="B1097" i="4"/>
  <c r="F1095" i="4"/>
  <c r="D1094" i="4"/>
  <c r="B1093" i="4"/>
  <c r="F1091" i="4"/>
  <c r="D1090" i="4"/>
  <c r="B1089" i="4"/>
  <c r="F1087" i="4"/>
  <c r="D1086" i="4"/>
  <c r="B1085" i="4"/>
  <c r="F1083" i="4"/>
  <c r="D1082" i="4"/>
  <c r="B1081" i="4"/>
  <c r="F1079" i="4"/>
  <c r="D1078" i="4"/>
  <c r="B1077" i="4"/>
  <c r="F1075" i="4"/>
  <c r="D1074" i="4"/>
  <c r="B1073" i="4"/>
  <c r="F1071" i="4"/>
  <c r="D1070" i="4"/>
  <c r="B1069" i="4"/>
  <c r="F1067" i="4"/>
  <c r="D1066" i="4"/>
  <c r="B1065" i="4"/>
  <c r="F1063" i="4"/>
  <c r="D1062" i="4"/>
  <c r="B1061" i="4"/>
  <c r="F1059" i="4"/>
  <c r="D1058" i="4"/>
  <c r="B1057" i="4"/>
  <c r="F1055" i="4"/>
  <c r="D1054" i="4"/>
  <c r="B1053" i="4"/>
  <c r="F1051" i="4"/>
  <c r="D1050" i="4"/>
  <c r="B1049" i="4"/>
  <c r="F1047" i="4"/>
  <c r="D1046" i="4"/>
  <c r="B1045" i="4"/>
  <c r="F1043" i="4"/>
  <c r="D1042" i="4"/>
  <c r="B1041" i="4"/>
  <c r="F1039" i="4"/>
  <c r="D1038" i="4"/>
  <c r="B1037" i="4"/>
  <c r="F1035" i="4"/>
  <c r="D1034" i="4"/>
  <c r="B1033" i="4"/>
  <c r="F1031" i="4"/>
  <c r="D1030" i="4"/>
  <c r="B1029" i="4"/>
  <c r="F1027" i="4"/>
  <c r="D1026" i="4"/>
  <c r="B1025" i="4"/>
  <c r="F1023" i="4"/>
  <c r="D1022" i="4"/>
  <c r="B1021" i="4"/>
  <c r="F1019" i="4"/>
  <c r="D1018" i="4"/>
  <c r="B1017" i="4"/>
  <c r="F1015" i="4"/>
  <c r="D1014" i="4"/>
  <c r="B1013" i="4"/>
  <c r="B1413" i="4"/>
  <c r="D1370" i="4"/>
  <c r="F1327" i="4"/>
  <c r="A1287" i="4"/>
  <c r="A1273" i="4"/>
  <c r="C1262" i="4"/>
  <c r="E1251" i="4"/>
  <c r="A1241" i="4"/>
  <c r="C1230" i="4"/>
  <c r="E1219" i="4"/>
  <c r="A1209" i="4"/>
  <c r="C1198" i="4"/>
  <c r="B1188" i="4"/>
  <c r="F1182" i="4"/>
  <c r="D1177" i="4"/>
  <c r="B1172" i="4"/>
  <c r="F1166" i="4"/>
  <c r="D1161" i="4"/>
  <c r="D1157" i="4"/>
  <c r="E1155" i="4"/>
  <c r="C1154" i="4"/>
  <c r="A1153" i="4"/>
  <c r="E1151" i="4"/>
  <c r="C1150" i="4"/>
  <c r="A1149" i="4"/>
  <c r="E1147" i="4"/>
  <c r="C1146" i="4"/>
  <c r="A1145" i="4"/>
  <c r="E1143" i="4"/>
  <c r="C1142" i="4"/>
  <c r="A1141" i="4"/>
  <c r="E1139" i="4"/>
  <c r="C1138" i="4"/>
  <c r="A1137" i="4"/>
  <c r="E1135" i="4"/>
  <c r="C1134" i="4"/>
  <c r="A1133" i="4"/>
  <c r="E1131" i="4"/>
  <c r="C1130" i="4"/>
  <c r="A1129" i="4"/>
  <c r="E1127" i="4"/>
  <c r="C1126" i="4"/>
  <c r="A1125" i="4"/>
  <c r="E1123" i="4"/>
  <c r="C1122" i="4"/>
  <c r="A1121" i="4"/>
  <c r="E1119" i="4"/>
  <c r="C1118" i="4"/>
  <c r="A1117" i="4"/>
  <c r="E1115" i="4"/>
  <c r="C1114" i="4"/>
  <c r="A1113" i="4"/>
  <c r="E1111" i="4"/>
  <c r="C1110" i="4"/>
  <c r="A1109" i="4"/>
  <c r="E1107" i="4"/>
  <c r="C1106" i="4"/>
  <c r="A1105" i="4"/>
  <c r="E1103" i="4"/>
  <c r="C1102" i="4"/>
  <c r="A1101" i="4"/>
  <c r="E1099" i="4"/>
  <c r="C1098" i="4"/>
  <c r="A1097" i="4"/>
  <c r="E1095" i="4"/>
  <c r="C1094" i="4"/>
  <c r="A1093" i="4"/>
  <c r="E1091" i="4"/>
  <c r="C1090" i="4"/>
  <c r="A1089" i="4"/>
  <c r="E1087" i="4"/>
  <c r="C1086" i="4"/>
  <c r="A1085" i="4"/>
  <c r="E1083" i="4"/>
  <c r="C1082" i="4"/>
  <c r="A1081" i="4"/>
  <c r="E1079" i="4"/>
  <c r="C1078" i="4"/>
  <c r="A1077" i="4"/>
  <c r="E1075" i="4"/>
  <c r="C1074" i="4"/>
  <c r="A1073" i="4"/>
  <c r="E1071" i="4"/>
  <c r="C1070" i="4"/>
  <c r="A1069" i="4"/>
  <c r="E1067" i="4"/>
  <c r="C1066" i="4"/>
  <c r="A1065" i="4"/>
  <c r="E1063" i="4"/>
  <c r="C1062" i="4"/>
  <c r="A1061" i="4"/>
  <c r="E1059" i="4"/>
  <c r="C1058" i="4"/>
  <c r="A1057" i="4"/>
  <c r="E1055" i="4"/>
  <c r="C1054" i="4"/>
  <c r="A1053" i="4"/>
  <c r="E1051" i="4"/>
  <c r="C1050" i="4"/>
  <c r="A1049" i="4"/>
  <c r="E1047" i="4"/>
  <c r="C1046" i="4"/>
  <c r="A1045" i="4"/>
  <c r="E1043" i="4"/>
  <c r="C1042" i="4"/>
  <c r="A1041" i="4"/>
  <c r="E1039" i="4"/>
  <c r="C1038" i="4"/>
  <c r="A1037" i="4"/>
  <c r="E1035" i="4"/>
  <c r="C1034" i="4"/>
  <c r="A1033" i="4"/>
  <c r="E1031" i="4"/>
  <c r="C1030" i="4"/>
  <c r="A1029" i="4"/>
  <c r="E1027" i="4"/>
  <c r="C1026" i="4"/>
  <c r="A1025" i="4"/>
  <c r="E1023" i="4"/>
  <c r="C1022" i="4"/>
  <c r="A1021" i="4"/>
  <c r="E1019" i="4"/>
  <c r="F1407" i="4"/>
  <c r="A1229" i="4"/>
  <c r="C1166" i="4"/>
  <c r="F1148" i="4"/>
  <c r="B1138" i="4"/>
  <c r="D1127" i="4"/>
  <c r="F1116" i="4"/>
  <c r="B1106" i="4"/>
  <c r="D1095" i="4"/>
  <c r="F1084" i="4"/>
  <c r="B1074" i="4"/>
  <c r="D1063" i="4"/>
  <c r="F1052" i="4"/>
  <c r="B1042" i="4"/>
  <c r="B1034" i="4"/>
  <c r="F1028" i="4"/>
  <c r="D1023" i="4"/>
  <c r="C1018" i="4"/>
  <c r="F1014" i="4"/>
  <c r="F1012" i="4"/>
  <c r="D1011" i="4"/>
  <c r="B1010" i="4"/>
  <c r="F1008" i="4"/>
  <c r="D1007" i="4"/>
  <c r="B1006" i="4"/>
  <c r="F1004" i="4"/>
  <c r="D1003" i="4"/>
  <c r="B1002" i="4"/>
  <c r="F1000" i="4"/>
  <c r="D999" i="4"/>
  <c r="B998" i="4"/>
  <c r="F996" i="4"/>
  <c r="D995" i="4"/>
  <c r="B994" i="4"/>
  <c r="F992" i="4"/>
  <c r="D991" i="4"/>
  <c r="B990" i="4"/>
  <c r="F988" i="4"/>
  <c r="D987" i="4"/>
  <c r="B986" i="4"/>
  <c r="F984" i="4"/>
  <c r="D983" i="4"/>
  <c r="B982" i="4"/>
  <c r="F980" i="4"/>
  <c r="D979" i="4"/>
  <c r="B978" i="4"/>
  <c r="F976" i="4"/>
  <c r="D975" i="4"/>
  <c r="B974" i="4"/>
  <c r="F972" i="4"/>
  <c r="D971" i="4"/>
  <c r="B970" i="4"/>
  <c r="F968" i="4"/>
  <c r="D967" i="4"/>
  <c r="B966" i="4"/>
  <c r="F964" i="4"/>
  <c r="D963" i="4"/>
  <c r="B962" i="4"/>
  <c r="F960" i="4"/>
  <c r="D959" i="4"/>
  <c r="B958" i="4"/>
  <c r="F956" i="4"/>
  <c r="D955" i="4"/>
  <c r="B954" i="4"/>
  <c r="F952" i="4"/>
  <c r="D951" i="4"/>
  <c r="B950" i="4"/>
  <c r="F948" i="4"/>
  <c r="D947" i="4"/>
  <c r="B946" i="4"/>
  <c r="F944" i="4"/>
  <c r="D943" i="4"/>
  <c r="B942" i="4"/>
  <c r="F940" i="4"/>
  <c r="D939" i="4"/>
  <c r="B938" i="4"/>
  <c r="F936" i="4"/>
  <c r="D935" i="4"/>
  <c r="B934" i="4"/>
  <c r="F932" i="4"/>
  <c r="D931" i="4"/>
  <c r="B930" i="4"/>
  <c r="F928" i="4"/>
  <c r="D927" i="4"/>
  <c r="B926" i="4"/>
  <c r="F924" i="4"/>
  <c r="D923" i="4"/>
  <c r="B922" i="4"/>
  <c r="F920" i="4"/>
  <c r="D919" i="4"/>
  <c r="B918" i="4"/>
  <c r="F916" i="4"/>
  <c r="D915" i="4"/>
  <c r="B914" i="4"/>
  <c r="F912" i="4"/>
  <c r="D911" i="4"/>
  <c r="B910" i="4"/>
  <c r="F908" i="4"/>
  <c r="D907" i="4"/>
  <c r="B906" i="4"/>
  <c r="F904" i="4"/>
  <c r="D903" i="4"/>
  <c r="B902" i="4"/>
  <c r="F900" i="4"/>
  <c r="D899" i="4"/>
  <c r="B898" i="4"/>
  <c r="F896" i="4"/>
  <c r="D895" i="4"/>
  <c r="B894" i="4"/>
  <c r="F892" i="4"/>
  <c r="D891" i="4"/>
  <c r="B890" i="4"/>
  <c r="F888" i="4"/>
  <c r="D887" i="4"/>
  <c r="B886" i="4"/>
  <c r="F884" i="4"/>
  <c r="D883" i="4"/>
  <c r="B882" i="4"/>
  <c r="F880" i="4"/>
  <c r="D879" i="4"/>
  <c r="B878" i="4"/>
  <c r="F876" i="4"/>
  <c r="D875" i="4"/>
  <c r="B874" i="4"/>
  <c r="F872" i="4"/>
  <c r="D871" i="4"/>
  <c r="B870" i="4"/>
  <c r="B1365" i="4"/>
  <c r="C1218" i="4"/>
  <c r="A1161" i="4"/>
  <c r="D1147" i="4"/>
  <c r="F1136" i="4"/>
  <c r="B1126" i="4"/>
  <c r="D1115" i="4"/>
  <c r="F1104" i="4"/>
  <c r="B1094" i="4"/>
  <c r="D1083" i="4"/>
  <c r="F1072" i="4"/>
  <c r="B1062" i="4"/>
  <c r="D1051" i="4"/>
  <c r="F1040" i="4"/>
  <c r="D1033" i="4"/>
  <c r="B1028" i="4"/>
  <c r="F1022" i="4"/>
  <c r="B1018" i="4"/>
  <c r="E1014" i="4"/>
  <c r="E1012" i="4"/>
  <c r="C1011" i="4"/>
  <c r="A1010" i="4"/>
  <c r="E1008" i="4"/>
  <c r="C1007" i="4"/>
  <c r="A1006" i="4"/>
  <c r="E1004" i="4"/>
  <c r="C1003" i="4"/>
  <c r="A1002" i="4"/>
  <c r="E1000" i="4"/>
  <c r="C999" i="4"/>
  <c r="A998" i="4"/>
  <c r="E996" i="4"/>
  <c r="C995" i="4"/>
  <c r="A994" i="4"/>
  <c r="E992" i="4"/>
  <c r="C991" i="4"/>
  <c r="A990" i="4"/>
  <c r="E988" i="4"/>
  <c r="C987" i="4"/>
  <c r="A986" i="4"/>
  <c r="E984" i="4"/>
  <c r="C983" i="4"/>
  <c r="A982" i="4"/>
  <c r="E980" i="4"/>
  <c r="C979" i="4"/>
  <c r="A978" i="4"/>
  <c r="E976" i="4"/>
  <c r="C975" i="4"/>
  <c r="A974" i="4"/>
  <c r="E972" i="4"/>
  <c r="C971" i="4"/>
  <c r="A970" i="4"/>
  <c r="E968" i="4"/>
  <c r="C967" i="4"/>
  <c r="A966" i="4"/>
  <c r="E964" i="4"/>
  <c r="C963" i="4"/>
  <c r="A962" i="4"/>
  <c r="E960" i="4"/>
  <c r="C959" i="4"/>
  <c r="A958" i="4"/>
  <c r="E956" i="4"/>
  <c r="C955" i="4"/>
  <c r="A954" i="4"/>
  <c r="E952" i="4"/>
  <c r="C951" i="4"/>
  <c r="A950" i="4"/>
  <c r="E948" i="4"/>
  <c r="C947" i="4"/>
  <c r="A946" i="4"/>
  <c r="E944" i="4"/>
  <c r="C943" i="4"/>
  <c r="A942" i="4"/>
  <c r="E940" i="4"/>
  <c r="C939" i="4"/>
  <c r="A938" i="4"/>
  <c r="E936" i="4"/>
  <c r="C935" i="4"/>
  <c r="A934" i="4"/>
  <c r="E932" i="4"/>
  <c r="C931" i="4"/>
  <c r="A930" i="4"/>
  <c r="E928" i="4"/>
  <c r="C927" i="4"/>
  <c r="A926" i="4"/>
  <c r="E924" i="4"/>
  <c r="C923" i="4"/>
  <c r="A922" i="4"/>
  <c r="E920" i="4"/>
  <c r="C919" i="4"/>
  <c r="A918" i="4"/>
  <c r="E916" i="4"/>
  <c r="C915" i="4"/>
  <c r="A914" i="4"/>
  <c r="E912" i="4"/>
  <c r="C911" i="4"/>
  <c r="A910" i="4"/>
  <c r="E908" i="4"/>
  <c r="C907" i="4"/>
  <c r="A906" i="4"/>
  <c r="E904" i="4"/>
  <c r="C903" i="4"/>
  <c r="A902" i="4"/>
  <c r="E900" i="4"/>
  <c r="C899" i="4"/>
  <c r="A898" i="4"/>
  <c r="E896" i="4"/>
  <c r="C895" i="4"/>
  <c r="A894" i="4"/>
  <c r="E892" i="4"/>
  <c r="C891" i="4"/>
  <c r="A890" i="4"/>
  <c r="E888" i="4"/>
  <c r="C887" i="4"/>
  <c r="A886" i="4"/>
  <c r="E884" i="4"/>
  <c r="C883" i="4"/>
  <c r="A882" i="4"/>
  <c r="E880" i="4"/>
  <c r="C879" i="4"/>
  <c r="A878" i="4"/>
  <c r="E876" i="4"/>
  <c r="C875" i="4"/>
  <c r="A874" i="4"/>
  <c r="D1322" i="4"/>
  <c r="E1207" i="4"/>
  <c r="C1157" i="4"/>
  <c r="B1146" i="4"/>
  <c r="D1135" i="4"/>
  <c r="F1124" i="4"/>
  <c r="B1114" i="4"/>
  <c r="D1103" i="4"/>
  <c r="F1092" i="4"/>
  <c r="B1082" i="4"/>
  <c r="D1071" i="4"/>
  <c r="F1060" i="4"/>
  <c r="B1050" i="4"/>
  <c r="D1039" i="4"/>
  <c r="F1032" i="4"/>
  <c r="D1027" i="4"/>
  <c r="B1022" i="4"/>
  <c r="D1017" i="4"/>
  <c r="C1014" i="4"/>
  <c r="D1012" i="4"/>
  <c r="B1011" i="4"/>
  <c r="F1009" i="4"/>
  <c r="D1008" i="4"/>
  <c r="B1007" i="4"/>
  <c r="F1005" i="4"/>
  <c r="D1004" i="4"/>
  <c r="B1003" i="4"/>
  <c r="F1001" i="4"/>
  <c r="D1000" i="4"/>
  <c r="B999" i="4"/>
  <c r="F997" i="4"/>
  <c r="D996" i="4"/>
  <c r="B995" i="4"/>
  <c r="F993" i="4"/>
  <c r="D992" i="4"/>
  <c r="B991" i="4"/>
  <c r="F989" i="4"/>
  <c r="D988" i="4"/>
  <c r="B987" i="4"/>
  <c r="F985" i="4"/>
  <c r="D984" i="4"/>
  <c r="B983" i="4"/>
  <c r="F981" i="4"/>
  <c r="D980" i="4"/>
  <c r="B979" i="4"/>
  <c r="F977" i="4"/>
  <c r="D976" i="4"/>
  <c r="B975" i="4"/>
  <c r="F973" i="4"/>
  <c r="D972" i="4"/>
  <c r="B971" i="4"/>
  <c r="F969" i="4"/>
  <c r="D968" i="4"/>
  <c r="B967" i="4"/>
  <c r="F965" i="4"/>
  <c r="D964" i="4"/>
  <c r="B963" i="4"/>
  <c r="F961" i="4"/>
  <c r="D960" i="4"/>
  <c r="B959" i="4"/>
  <c r="F957" i="4"/>
  <c r="D956" i="4"/>
  <c r="B955" i="4"/>
  <c r="F953" i="4"/>
  <c r="D952" i="4"/>
  <c r="B951" i="4"/>
  <c r="F949" i="4"/>
  <c r="D948" i="4"/>
  <c r="B947" i="4"/>
  <c r="F945" i="4"/>
  <c r="D944" i="4"/>
  <c r="B943" i="4"/>
  <c r="F941" i="4"/>
  <c r="D940" i="4"/>
  <c r="B939" i="4"/>
  <c r="F937" i="4"/>
  <c r="D936" i="4"/>
  <c r="B935" i="4"/>
  <c r="F933" i="4"/>
  <c r="D932" i="4"/>
  <c r="B931" i="4"/>
  <c r="F929" i="4"/>
  <c r="D928" i="4"/>
  <c r="B927" i="4"/>
  <c r="F925" i="4"/>
  <c r="D924" i="4"/>
  <c r="B923" i="4"/>
  <c r="F921" i="4"/>
  <c r="D920" i="4"/>
  <c r="B919" i="4"/>
  <c r="F917" i="4"/>
  <c r="D916" i="4"/>
  <c r="B915" i="4"/>
  <c r="F913" i="4"/>
  <c r="D912" i="4"/>
  <c r="B911" i="4"/>
  <c r="F909" i="4"/>
  <c r="D908" i="4"/>
  <c r="B907" i="4"/>
  <c r="F905" i="4"/>
  <c r="D904" i="4"/>
  <c r="B903" i="4"/>
  <c r="F901" i="4"/>
  <c r="D900" i="4"/>
  <c r="B899" i="4"/>
  <c r="F897" i="4"/>
  <c r="D896" i="4"/>
  <c r="B895" i="4"/>
  <c r="F893" i="4"/>
  <c r="E1283" i="4"/>
  <c r="A1197" i="4"/>
  <c r="D1155" i="4"/>
  <c r="F1144" i="4"/>
  <c r="B1134" i="4"/>
  <c r="D1123" i="4"/>
  <c r="F1112" i="4"/>
  <c r="B1102" i="4"/>
  <c r="D1091" i="4"/>
  <c r="F1080" i="4"/>
  <c r="B1070" i="4"/>
  <c r="D1059" i="4"/>
  <c r="F1048" i="4"/>
  <c r="B1038" i="4"/>
  <c r="B1032" i="4"/>
  <c r="F1026" i="4"/>
  <c r="D1021" i="4"/>
  <c r="A1017" i="4"/>
  <c r="B1014" i="4"/>
  <c r="C1012" i="4"/>
  <c r="A1011" i="4"/>
  <c r="E1009" i="4"/>
  <c r="C1008" i="4"/>
  <c r="A1007" i="4"/>
  <c r="E1005" i="4"/>
  <c r="C1004" i="4"/>
  <c r="A1003" i="4"/>
  <c r="E1001" i="4"/>
  <c r="C1000" i="4"/>
  <c r="A999" i="4"/>
  <c r="E997" i="4"/>
  <c r="C996" i="4"/>
  <c r="A995" i="4"/>
  <c r="E993" i="4"/>
  <c r="C992" i="4"/>
  <c r="A991" i="4"/>
  <c r="E989" i="4"/>
  <c r="C988" i="4"/>
  <c r="A987" i="4"/>
  <c r="E985" i="4"/>
  <c r="C984" i="4"/>
  <c r="A983" i="4"/>
  <c r="E981" i="4"/>
  <c r="C980" i="4"/>
  <c r="A979" i="4"/>
  <c r="E977" i="4"/>
  <c r="C976" i="4"/>
  <c r="A975" i="4"/>
  <c r="E973" i="4"/>
  <c r="C972" i="4"/>
  <c r="A971" i="4"/>
  <c r="E969" i="4"/>
  <c r="C968" i="4"/>
  <c r="A967" i="4"/>
  <c r="E965" i="4"/>
  <c r="C964" i="4"/>
  <c r="A963" i="4"/>
  <c r="E961" i="4"/>
  <c r="C960" i="4"/>
  <c r="A959" i="4"/>
  <c r="E957" i="4"/>
  <c r="C956" i="4"/>
  <c r="A955" i="4"/>
  <c r="E953" i="4"/>
  <c r="C952" i="4"/>
  <c r="A951" i="4"/>
  <c r="E949" i="4"/>
  <c r="C948" i="4"/>
  <c r="A947" i="4"/>
  <c r="E945" i="4"/>
  <c r="C944" i="4"/>
  <c r="A943" i="4"/>
  <c r="E941" i="4"/>
  <c r="C940" i="4"/>
  <c r="A939" i="4"/>
  <c r="E937" i="4"/>
  <c r="C936" i="4"/>
  <c r="A935" i="4"/>
  <c r="E933" i="4"/>
  <c r="C932" i="4"/>
  <c r="A931" i="4"/>
  <c r="E929" i="4"/>
  <c r="C928" i="4"/>
  <c r="A927" i="4"/>
  <c r="E925" i="4"/>
  <c r="C924" i="4"/>
  <c r="A923" i="4"/>
  <c r="E921" i="4"/>
  <c r="C920" i="4"/>
  <c r="A919" i="4"/>
  <c r="E917" i="4"/>
  <c r="C916" i="4"/>
  <c r="A915" i="4"/>
  <c r="E913" i="4"/>
  <c r="C912" i="4"/>
  <c r="E1271" i="4"/>
  <c r="E1187" i="4"/>
  <c r="B1154" i="4"/>
  <c r="D1143" i="4"/>
  <c r="F1132" i="4"/>
  <c r="B1122" i="4"/>
  <c r="D1111" i="4"/>
  <c r="F1100" i="4"/>
  <c r="B1090" i="4"/>
  <c r="D1079" i="4"/>
  <c r="F1068" i="4"/>
  <c r="B1058" i="4"/>
  <c r="D1047" i="4"/>
  <c r="F1036" i="4"/>
  <c r="D1031" i="4"/>
  <c r="B1026" i="4"/>
  <c r="F1020" i="4"/>
  <c r="F1016" i="4"/>
  <c r="F1013" i="4"/>
  <c r="B1012" i="4"/>
  <c r="F1010" i="4"/>
  <c r="D1009" i="4"/>
  <c r="B1008" i="4"/>
  <c r="F1006" i="4"/>
  <c r="D1005" i="4"/>
  <c r="B1004" i="4"/>
  <c r="F1002" i="4"/>
  <c r="D1001" i="4"/>
  <c r="B1000" i="4"/>
  <c r="F998" i="4"/>
  <c r="D997" i="4"/>
  <c r="B996" i="4"/>
  <c r="F994" i="4"/>
  <c r="D993" i="4"/>
  <c r="B992" i="4"/>
  <c r="F990" i="4"/>
  <c r="D989" i="4"/>
  <c r="B988" i="4"/>
  <c r="F986" i="4"/>
  <c r="D985" i="4"/>
  <c r="B984" i="4"/>
  <c r="F982" i="4"/>
  <c r="D981" i="4"/>
  <c r="B980" i="4"/>
  <c r="F978" i="4"/>
  <c r="D977" i="4"/>
  <c r="B976" i="4"/>
  <c r="F974" i="4"/>
  <c r="D973" i="4"/>
  <c r="B972" i="4"/>
  <c r="F970" i="4"/>
  <c r="D969" i="4"/>
  <c r="B968" i="4"/>
  <c r="F966" i="4"/>
  <c r="D965" i="4"/>
  <c r="B964" i="4"/>
  <c r="F962" i="4"/>
  <c r="D961" i="4"/>
  <c r="B960" i="4"/>
  <c r="F958" i="4"/>
  <c r="D957" i="4"/>
  <c r="B956" i="4"/>
  <c r="F954" i="4"/>
  <c r="D953" i="4"/>
  <c r="B952" i="4"/>
  <c r="F950" i="4"/>
  <c r="D949" i="4"/>
  <c r="B948" i="4"/>
  <c r="F946" i="4"/>
  <c r="D945" i="4"/>
  <c r="B944" i="4"/>
  <c r="F942" i="4"/>
  <c r="D941" i="4"/>
  <c r="B940" i="4"/>
  <c r="F938" i="4"/>
  <c r="D937" i="4"/>
  <c r="B936" i="4"/>
  <c r="F934" i="4"/>
  <c r="D933" i="4"/>
  <c r="B932" i="4"/>
  <c r="F930" i="4"/>
  <c r="D929" i="4"/>
  <c r="B928" i="4"/>
  <c r="F926" i="4"/>
  <c r="D925" i="4"/>
  <c r="B924" i="4"/>
  <c r="F922" i="4"/>
  <c r="D921" i="4"/>
  <c r="B920" i="4"/>
  <c r="F918" i="4"/>
  <c r="D917" i="4"/>
  <c r="B916" i="4"/>
  <c r="F914" i="4"/>
  <c r="D913" i="4"/>
  <c r="B912" i="4"/>
  <c r="F910" i="4"/>
  <c r="D909" i="4"/>
  <c r="B908" i="4"/>
  <c r="F906" i="4"/>
  <c r="D905" i="4"/>
  <c r="B904" i="4"/>
  <c r="F902" i="4"/>
  <c r="D901" i="4"/>
  <c r="B900" i="4"/>
  <c r="F898" i="4"/>
  <c r="D897" i="4"/>
  <c r="B896" i="4"/>
  <c r="F894" i="4"/>
  <c r="A1261" i="4"/>
  <c r="C1182" i="4"/>
  <c r="F1152" i="4"/>
  <c r="B1142" i="4"/>
  <c r="D1131" i="4"/>
  <c r="F1120" i="4"/>
  <c r="B1110" i="4"/>
  <c r="D1099" i="4"/>
  <c r="F1088" i="4"/>
  <c r="B1078" i="4"/>
  <c r="D1067" i="4"/>
  <c r="F1056" i="4"/>
  <c r="B1046" i="4"/>
  <c r="B1036" i="4"/>
  <c r="F1030" i="4"/>
  <c r="D1025" i="4"/>
  <c r="B1020" i="4"/>
  <c r="B1016" i="4"/>
  <c r="D1013" i="4"/>
  <c r="A1012" i="4"/>
  <c r="E1010" i="4"/>
  <c r="C1009" i="4"/>
  <c r="A1008" i="4"/>
  <c r="E1006" i="4"/>
  <c r="C1005" i="4"/>
  <c r="A1004" i="4"/>
  <c r="E1002" i="4"/>
  <c r="C1001" i="4"/>
  <c r="A1000" i="4"/>
  <c r="E998" i="4"/>
  <c r="C997" i="4"/>
  <c r="A996" i="4"/>
  <c r="E994" i="4"/>
  <c r="C993" i="4"/>
  <c r="A992" i="4"/>
  <c r="E990" i="4"/>
  <c r="C989" i="4"/>
  <c r="A988" i="4"/>
  <c r="E986" i="4"/>
  <c r="C985" i="4"/>
  <c r="A984" i="4"/>
  <c r="E982" i="4"/>
  <c r="C981" i="4"/>
  <c r="A980" i="4"/>
  <c r="E978" i="4"/>
  <c r="C977" i="4"/>
  <c r="A976" i="4"/>
  <c r="E974" i="4"/>
  <c r="C973" i="4"/>
  <c r="A972" i="4"/>
  <c r="E970" i="4"/>
  <c r="C969" i="4"/>
  <c r="A968" i="4"/>
  <c r="E966" i="4"/>
  <c r="C965" i="4"/>
  <c r="A964" i="4"/>
  <c r="E962" i="4"/>
  <c r="C961" i="4"/>
  <c r="A960" i="4"/>
  <c r="E958" i="4"/>
  <c r="C957" i="4"/>
  <c r="A956" i="4"/>
  <c r="E954" i="4"/>
  <c r="C953" i="4"/>
  <c r="A952" i="4"/>
  <c r="E950" i="4"/>
  <c r="C949" i="4"/>
  <c r="A948" i="4"/>
  <c r="E946" i="4"/>
  <c r="C945" i="4"/>
  <c r="A944" i="4"/>
  <c r="E942" i="4"/>
  <c r="C941" i="4"/>
  <c r="A940" i="4"/>
  <c r="E938" i="4"/>
  <c r="C937" i="4"/>
  <c r="A936" i="4"/>
  <c r="E934" i="4"/>
  <c r="C933" i="4"/>
  <c r="A932" i="4"/>
  <c r="E930" i="4"/>
  <c r="C929" i="4"/>
  <c r="A928" i="4"/>
  <c r="E926" i="4"/>
  <c r="C925" i="4"/>
  <c r="A924" i="4"/>
  <c r="E922" i="4"/>
  <c r="C921" i="4"/>
  <c r="A920" i="4"/>
  <c r="E918" i="4"/>
  <c r="C917" i="4"/>
  <c r="A916" i="4"/>
  <c r="E914" i="4"/>
  <c r="C913" i="4"/>
  <c r="A912" i="4"/>
  <c r="E910" i="4"/>
  <c r="C909" i="4"/>
  <c r="A908" i="4"/>
  <c r="E906" i="4"/>
  <c r="C905" i="4"/>
  <c r="A904" i="4"/>
  <c r="E902" i="4"/>
  <c r="C901" i="4"/>
  <c r="A900" i="4"/>
  <c r="E898" i="4"/>
  <c r="C1250" i="4"/>
  <c r="A1177" i="4"/>
  <c r="D1151" i="4"/>
  <c r="F1140" i="4"/>
  <c r="B1130" i="4"/>
  <c r="D1119" i="4"/>
  <c r="F1108" i="4"/>
  <c r="B1098" i="4"/>
  <c r="D1087" i="4"/>
  <c r="F1076" i="4"/>
  <c r="B1066" i="4"/>
  <c r="D1055" i="4"/>
  <c r="F1044" i="4"/>
  <c r="D1035" i="4"/>
  <c r="B1030" i="4"/>
  <c r="F1024" i="4"/>
  <c r="D1019" i="4"/>
  <c r="E1015" i="4"/>
  <c r="C1013" i="4"/>
  <c r="F1011" i="4"/>
  <c r="D1010" i="4"/>
  <c r="B1009" i="4"/>
  <c r="F1007" i="4"/>
  <c r="D1006" i="4"/>
  <c r="B1005" i="4"/>
  <c r="F1003" i="4"/>
  <c r="D1002" i="4"/>
  <c r="B1001" i="4"/>
  <c r="F999" i="4"/>
  <c r="D998" i="4"/>
  <c r="B997" i="4"/>
  <c r="F995" i="4"/>
  <c r="D994" i="4"/>
  <c r="B993" i="4"/>
  <c r="F991" i="4"/>
  <c r="D990" i="4"/>
  <c r="B989" i="4"/>
  <c r="F987" i="4"/>
  <c r="D986" i="4"/>
  <c r="B985" i="4"/>
  <c r="F983" i="4"/>
  <c r="D982" i="4"/>
  <c r="B981" i="4"/>
  <c r="F979" i="4"/>
  <c r="D978" i="4"/>
  <c r="B977" i="4"/>
  <c r="F975" i="4"/>
  <c r="D974" i="4"/>
  <c r="B973" i="4"/>
  <c r="F971" i="4"/>
  <c r="D970" i="4"/>
  <c r="B969" i="4"/>
  <c r="F967" i="4"/>
  <c r="D966" i="4"/>
  <c r="B965" i="4"/>
  <c r="F963" i="4"/>
  <c r="D962" i="4"/>
  <c r="B961" i="4"/>
  <c r="F959" i="4"/>
  <c r="D958" i="4"/>
  <c r="B957" i="4"/>
  <c r="F955" i="4"/>
  <c r="D954" i="4"/>
  <c r="B953" i="4"/>
  <c r="F951" i="4"/>
  <c r="D950" i="4"/>
  <c r="B949" i="4"/>
  <c r="F947" i="4"/>
  <c r="D946" i="4"/>
  <c r="B945" i="4"/>
  <c r="F943" i="4"/>
  <c r="D942" i="4"/>
  <c r="B941" i="4"/>
  <c r="F939" i="4"/>
  <c r="D938" i="4"/>
  <c r="B937" i="4"/>
  <c r="F935" i="4"/>
  <c r="D934" i="4"/>
  <c r="B933" i="4"/>
  <c r="F931" i="4"/>
  <c r="D930" i="4"/>
  <c r="B929" i="4"/>
  <c r="F927" i="4"/>
  <c r="D926" i="4"/>
  <c r="B925" i="4"/>
  <c r="F923" i="4"/>
  <c r="D922" i="4"/>
  <c r="B921" i="4"/>
  <c r="F919" i="4"/>
  <c r="D918" i="4"/>
  <c r="B917" i="4"/>
  <c r="F915" i="4"/>
  <c r="D914" i="4"/>
  <c r="B913" i="4"/>
  <c r="F911" i="4"/>
  <c r="D910" i="4"/>
  <c r="B909" i="4"/>
  <c r="F907" i="4"/>
  <c r="D906" i="4"/>
  <c r="E1239" i="4"/>
  <c r="B1086" i="4"/>
  <c r="F1018" i="4"/>
  <c r="A1005" i="4"/>
  <c r="C994" i="4"/>
  <c r="E983" i="4"/>
  <c r="A973" i="4"/>
  <c r="C962" i="4"/>
  <c r="E951" i="4"/>
  <c r="A941" i="4"/>
  <c r="C930" i="4"/>
  <c r="E919" i="4"/>
  <c r="C910" i="4"/>
  <c r="B905" i="4"/>
  <c r="E901" i="4"/>
  <c r="C898" i="4"/>
  <c r="E895" i="4"/>
  <c r="B893" i="4"/>
  <c r="B891" i="4"/>
  <c r="D889" i="4"/>
  <c r="F887" i="4"/>
  <c r="F885" i="4"/>
  <c r="B884" i="4"/>
  <c r="D882" i="4"/>
  <c r="D880" i="4"/>
  <c r="F878" i="4"/>
  <c r="B877" i="4"/>
  <c r="B875" i="4"/>
  <c r="D873" i="4"/>
  <c r="A872" i="4"/>
  <c r="D870" i="4"/>
  <c r="A869" i="4"/>
  <c r="E867" i="4"/>
  <c r="C866" i="4"/>
  <c r="A865" i="4"/>
  <c r="E863" i="4"/>
  <c r="C862" i="4"/>
  <c r="A861" i="4"/>
  <c r="E859" i="4"/>
  <c r="C858" i="4"/>
  <c r="A857" i="4"/>
  <c r="E855" i="4"/>
  <c r="C854" i="4"/>
  <c r="A853" i="4"/>
  <c r="E851" i="4"/>
  <c r="C850" i="4"/>
  <c r="A849" i="4"/>
  <c r="E847" i="4"/>
  <c r="C846" i="4"/>
  <c r="A845" i="4"/>
  <c r="E843" i="4"/>
  <c r="C842" i="4"/>
  <c r="A841" i="4"/>
  <c r="E839" i="4"/>
  <c r="C838" i="4"/>
  <c r="A837" i="4"/>
  <c r="E835" i="4"/>
  <c r="C834" i="4"/>
  <c r="A833" i="4"/>
  <c r="E831" i="4"/>
  <c r="C830" i="4"/>
  <c r="A829" i="4"/>
  <c r="E827" i="4"/>
  <c r="C826" i="4"/>
  <c r="A825" i="4"/>
  <c r="E823" i="4"/>
  <c r="C822" i="4"/>
  <c r="A821" i="4"/>
  <c r="E819" i="4"/>
  <c r="C818" i="4"/>
  <c r="A817" i="4"/>
  <c r="E815" i="4"/>
  <c r="C814" i="4"/>
  <c r="A813" i="4"/>
  <c r="E811" i="4"/>
  <c r="C810" i="4"/>
  <c r="A809" i="4"/>
  <c r="E807" i="4"/>
  <c r="C806" i="4"/>
  <c r="A805" i="4"/>
  <c r="E803" i="4"/>
  <c r="C802" i="4"/>
  <c r="A801" i="4"/>
  <c r="E799" i="4"/>
  <c r="C798" i="4"/>
  <c r="A797" i="4"/>
  <c r="E795" i="4"/>
  <c r="C794" i="4"/>
  <c r="A793" i="4"/>
  <c r="E791" i="4"/>
  <c r="C790" i="4"/>
  <c r="A789" i="4"/>
  <c r="E787" i="4"/>
  <c r="C786" i="4"/>
  <c r="A785" i="4"/>
  <c r="E783" i="4"/>
  <c r="C782" i="4"/>
  <c r="A781" i="4"/>
  <c r="E779" i="4"/>
  <c r="C778" i="4"/>
  <c r="A777" i="4"/>
  <c r="E775" i="4"/>
  <c r="C774" i="4"/>
  <c r="A773" i="4"/>
  <c r="E771" i="4"/>
  <c r="C770" i="4"/>
  <c r="A769" i="4"/>
  <c r="E767" i="4"/>
  <c r="C766" i="4"/>
  <c r="A765" i="4"/>
  <c r="E763" i="4"/>
  <c r="C762" i="4"/>
  <c r="A761" i="4"/>
  <c r="E759" i="4"/>
  <c r="C758" i="4"/>
  <c r="A757" i="4"/>
  <c r="E755" i="4"/>
  <c r="C754" i="4"/>
  <c r="A753" i="4"/>
  <c r="E751" i="4"/>
  <c r="C750" i="4"/>
  <c r="A749" i="4"/>
  <c r="E747" i="4"/>
  <c r="C746" i="4"/>
  <c r="A745" i="4"/>
  <c r="E743" i="4"/>
  <c r="C742" i="4"/>
  <c r="A741" i="4"/>
  <c r="E739" i="4"/>
  <c r="C738" i="4"/>
  <c r="A737" i="4"/>
  <c r="E735" i="4"/>
  <c r="C734" i="4"/>
  <c r="A733" i="4"/>
  <c r="E731" i="4"/>
  <c r="C730" i="4"/>
  <c r="E1171" i="4"/>
  <c r="D1075" i="4"/>
  <c r="D1015" i="4"/>
  <c r="E1003" i="4"/>
  <c r="A993" i="4"/>
  <c r="C982" i="4"/>
  <c r="E971" i="4"/>
  <c r="A961" i="4"/>
  <c r="C950" i="4"/>
  <c r="E939" i="4"/>
  <c r="A929" i="4"/>
  <c r="C918" i="4"/>
  <c r="E909" i="4"/>
  <c r="A905" i="4"/>
  <c r="B901" i="4"/>
  <c r="E897" i="4"/>
  <c r="A895" i="4"/>
  <c r="A893" i="4"/>
  <c r="A891" i="4"/>
  <c r="C889" i="4"/>
  <c r="E887" i="4"/>
  <c r="E885" i="4"/>
  <c r="A884" i="4"/>
  <c r="C882" i="4"/>
  <c r="C880" i="4"/>
  <c r="E878" i="4"/>
  <c r="A877" i="4"/>
  <c r="A875" i="4"/>
  <c r="C873" i="4"/>
  <c r="F871" i="4"/>
  <c r="C870" i="4"/>
  <c r="F868" i="4"/>
  <c r="D867" i="4"/>
  <c r="B866" i="4"/>
  <c r="F864" i="4"/>
  <c r="D863" i="4"/>
  <c r="B862" i="4"/>
  <c r="F860" i="4"/>
  <c r="D859" i="4"/>
  <c r="B858" i="4"/>
  <c r="F856" i="4"/>
  <c r="D855" i="4"/>
  <c r="B854" i="4"/>
  <c r="F852" i="4"/>
  <c r="D851" i="4"/>
  <c r="B850" i="4"/>
  <c r="F848" i="4"/>
  <c r="D847" i="4"/>
  <c r="B846" i="4"/>
  <c r="F844" i="4"/>
  <c r="D843" i="4"/>
  <c r="B842" i="4"/>
  <c r="F840" i="4"/>
  <c r="D839" i="4"/>
  <c r="B838" i="4"/>
  <c r="F836" i="4"/>
  <c r="D835" i="4"/>
  <c r="B834" i="4"/>
  <c r="F832" i="4"/>
  <c r="D831" i="4"/>
  <c r="B830" i="4"/>
  <c r="F828" i="4"/>
  <c r="D827" i="4"/>
  <c r="B826" i="4"/>
  <c r="F824" i="4"/>
  <c r="D823" i="4"/>
  <c r="B822" i="4"/>
  <c r="F820" i="4"/>
  <c r="D819" i="4"/>
  <c r="B818" i="4"/>
  <c r="F816" i="4"/>
  <c r="D815" i="4"/>
  <c r="B814" i="4"/>
  <c r="F812" i="4"/>
  <c r="D811" i="4"/>
  <c r="B810" i="4"/>
  <c r="F808" i="4"/>
  <c r="D807" i="4"/>
  <c r="B806" i="4"/>
  <c r="F804" i="4"/>
  <c r="D803" i="4"/>
  <c r="B802" i="4"/>
  <c r="F800" i="4"/>
  <c r="D799" i="4"/>
  <c r="B798" i="4"/>
  <c r="F796" i="4"/>
  <c r="D795" i="4"/>
  <c r="B794" i="4"/>
  <c r="F792" i="4"/>
  <c r="D791" i="4"/>
  <c r="B790" i="4"/>
  <c r="F788" i="4"/>
  <c r="D787" i="4"/>
  <c r="B786" i="4"/>
  <c r="F784" i="4"/>
  <c r="D783" i="4"/>
  <c r="B782" i="4"/>
  <c r="F780" i="4"/>
  <c r="D779" i="4"/>
  <c r="B778" i="4"/>
  <c r="F776" i="4"/>
  <c r="D775" i="4"/>
  <c r="B774" i="4"/>
  <c r="F772" i="4"/>
  <c r="D771" i="4"/>
  <c r="B770" i="4"/>
  <c r="F768" i="4"/>
  <c r="D767" i="4"/>
  <c r="B766" i="4"/>
  <c r="F764" i="4"/>
  <c r="D763" i="4"/>
  <c r="B762" i="4"/>
  <c r="F760" i="4"/>
  <c r="D759" i="4"/>
  <c r="B758" i="4"/>
  <c r="F756" i="4"/>
  <c r="D755" i="4"/>
  <c r="B754" i="4"/>
  <c r="F752" i="4"/>
  <c r="D751" i="4"/>
  <c r="B750" i="4"/>
  <c r="F748" i="4"/>
  <c r="D747" i="4"/>
  <c r="B746" i="4"/>
  <c r="F744" i="4"/>
  <c r="D743" i="4"/>
  <c r="B742" i="4"/>
  <c r="B1150" i="4"/>
  <c r="F1064" i="4"/>
  <c r="A1013" i="4"/>
  <c r="C1002" i="4"/>
  <c r="E991" i="4"/>
  <c r="A981" i="4"/>
  <c r="C970" i="4"/>
  <c r="E959" i="4"/>
  <c r="A949" i="4"/>
  <c r="C938" i="4"/>
  <c r="E927" i="4"/>
  <c r="A917" i="4"/>
  <c r="A909" i="4"/>
  <c r="C904" i="4"/>
  <c r="A901" i="4"/>
  <c r="C897" i="4"/>
  <c r="E894" i="4"/>
  <c r="D892" i="4"/>
  <c r="F890" i="4"/>
  <c r="B889" i="4"/>
  <c r="B887" i="4"/>
  <c r="D885" i="4"/>
  <c r="F883" i="4"/>
  <c r="F881" i="4"/>
  <c r="B880" i="4"/>
  <c r="D878" i="4"/>
  <c r="D876" i="4"/>
  <c r="F874" i="4"/>
  <c r="B873" i="4"/>
  <c r="E871" i="4"/>
  <c r="A870" i="4"/>
  <c r="E868" i="4"/>
  <c r="C867" i="4"/>
  <c r="A866" i="4"/>
  <c r="E864" i="4"/>
  <c r="C863" i="4"/>
  <c r="A862" i="4"/>
  <c r="E860" i="4"/>
  <c r="C859" i="4"/>
  <c r="A858" i="4"/>
  <c r="E856" i="4"/>
  <c r="C855" i="4"/>
  <c r="A854" i="4"/>
  <c r="E852" i="4"/>
  <c r="C851" i="4"/>
  <c r="A850" i="4"/>
  <c r="E848" i="4"/>
  <c r="C847" i="4"/>
  <c r="A846" i="4"/>
  <c r="E844" i="4"/>
  <c r="C843" i="4"/>
  <c r="A842" i="4"/>
  <c r="E840" i="4"/>
  <c r="C839" i="4"/>
  <c r="A838" i="4"/>
  <c r="E836" i="4"/>
  <c r="C835" i="4"/>
  <c r="A834" i="4"/>
  <c r="E832" i="4"/>
  <c r="C831" i="4"/>
  <c r="A830" i="4"/>
  <c r="E828" i="4"/>
  <c r="C827" i="4"/>
  <c r="A826" i="4"/>
  <c r="E824" i="4"/>
  <c r="C823" i="4"/>
  <c r="A822" i="4"/>
  <c r="E820" i="4"/>
  <c r="C819" i="4"/>
  <c r="A818" i="4"/>
  <c r="E816" i="4"/>
  <c r="C815" i="4"/>
  <c r="A814" i="4"/>
  <c r="E812" i="4"/>
  <c r="C811" i="4"/>
  <c r="A810" i="4"/>
  <c r="E808" i="4"/>
  <c r="C807" i="4"/>
  <c r="A806" i="4"/>
  <c r="E804" i="4"/>
  <c r="C803" i="4"/>
  <c r="A802" i="4"/>
  <c r="E800" i="4"/>
  <c r="C799" i="4"/>
  <c r="A798" i="4"/>
  <c r="E796" i="4"/>
  <c r="C795" i="4"/>
  <c r="A794" i="4"/>
  <c r="E792" i="4"/>
  <c r="C791" i="4"/>
  <c r="A790" i="4"/>
  <c r="E788" i="4"/>
  <c r="C787" i="4"/>
  <c r="A786" i="4"/>
  <c r="E784" i="4"/>
  <c r="C783" i="4"/>
  <c r="A782" i="4"/>
  <c r="E780" i="4"/>
  <c r="C779" i="4"/>
  <c r="A778" i="4"/>
  <c r="E776" i="4"/>
  <c r="C775" i="4"/>
  <c r="A774" i="4"/>
  <c r="E772" i="4"/>
  <c r="C771" i="4"/>
  <c r="A770" i="4"/>
  <c r="E768" i="4"/>
  <c r="C767" i="4"/>
  <c r="A766" i="4"/>
  <c r="E764" i="4"/>
  <c r="C763" i="4"/>
  <c r="A762" i="4"/>
  <c r="E760" i="4"/>
  <c r="C759" i="4"/>
  <c r="A758" i="4"/>
  <c r="E756" i="4"/>
  <c r="C755" i="4"/>
  <c r="A754" i="4"/>
  <c r="E752" i="4"/>
  <c r="C751" i="4"/>
  <c r="A750" i="4"/>
  <c r="E748" i="4"/>
  <c r="C747" i="4"/>
  <c r="A746" i="4"/>
  <c r="E744" i="4"/>
  <c r="C743" i="4"/>
  <c r="A742" i="4"/>
  <c r="E740" i="4"/>
  <c r="D1139" i="4"/>
  <c r="B1054" i="4"/>
  <c r="E1011" i="4"/>
  <c r="A1001" i="4"/>
  <c r="C990" i="4"/>
  <c r="E979" i="4"/>
  <c r="A969" i="4"/>
  <c r="C958" i="4"/>
  <c r="E947" i="4"/>
  <c r="A937" i="4"/>
  <c r="C926" i="4"/>
  <c r="E915" i="4"/>
  <c r="C908" i="4"/>
  <c r="F903" i="4"/>
  <c r="C900" i="4"/>
  <c r="B897" i="4"/>
  <c r="D894" i="4"/>
  <c r="C892" i="4"/>
  <c r="E890" i="4"/>
  <c r="A889" i="4"/>
  <c r="A887" i="4"/>
  <c r="C885" i="4"/>
  <c r="E883" i="4"/>
  <c r="E881" i="4"/>
  <c r="A880" i="4"/>
  <c r="C878" i="4"/>
  <c r="C876" i="4"/>
  <c r="E874" i="4"/>
  <c r="A873" i="4"/>
  <c r="C871" i="4"/>
  <c r="F869" i="4"/>
  <c r="D868" i="4"/>
  <c r="B867" i="4"/>
  <c r="F865" i="4"/>
  <c r="D864" i="4"/>
  <c r="B863" i="4"/>
  <c r="F861" i="4"/>
  <c r="D860" i="4"/>
  <c r="B859" i="4"/>
  <c r="F857" i="4"/>
  <c r="D856" i="4"/>
  <c r="B855" i="4"/>
  <c r="F853" i="4"/>
  <c r="D852" i="4"/>
  <c r="B851" i="4"/>
  <c r="F849" i="4"/>
  <c r="D848" i="4"/>
  <c r="B847" i="4"/>
  <c r="F845" i="4"/>
  <c r="D844" i="4"/>
  <c r="B843" i="4"/>
  <c r="F841" i="4"/>
  <c r="D840" i="4"/>
  <c r="B839" i="4"/>
  <c r="F837" i="4"/>
  <c r="D836" i="4"/>
  <c r="B835" i="4"/>
  <c r="F833" i="4"/>
  <c r="D832" i="4"/>
  <c r="B831" i="4"/>
  <c r="F829" i="4"/>
  <c r="D828" i="4"/>
  <c r="B827" i="4"/>
  <c r="F825" i="4"/>
  <c r="D824" i="4"/>
  <c r="B823" i="4"/>
  <c r="F821" i="4"/>
  <c r="D820" i="4"/>
  <c r="B819" i="4"/>
  <c r="F817" i="4"/>
  <c r="D816" i="4"/>
  <c r="B815" i="4"/>
  <c r="F813" i="4"/>
  <c r="D812" i="4"/>
  <c r="B811" i="4"/>
  <c r="F809" i="4"/>
  <c r="D808" i="4"/>
  <c r="B807" i="4"/>
  <c r="F805" i="4"/>
  <c r="D804" i="4"/>
  <c r="B803" i="4"/>
  <c r="F801" i="4"/>
  <c r="D800" i="4"/>
  <c r="B799" i="4"/>
  <c r="F797" i="4"/>
  <c r="D796" i="4"/>
  <c r="B795" i="4"/>
  <c r="F793" i="4"/>
  <c r="D792" i="4"/>
  <c r="B791" i="4"/>
  <c r="F789" i="4"/>
  <c r="D788" i="4"/>
  <c r="B787" i="4"/>
  <c r="F785" i="4"/>
  <c r="D784" i="4"/>
  <c r="B783" i="4"/>
  <c r="F781" i="4"/>
  <c r="D780" i="4"/>
  <c r="B779" i="4"/>
  <c r="F777" i="4"/>
  <c r="D776" i="4"/>
  <c r="B775" i="4"/>
  <c r="F1128" i="4"/>
  <c r="D1043" i="4"/>
  <c r="C1010" i="4"/>
  <c r="E999" i="4"/>
  <c r="A989" i="4"/>
  <c r="C978" i="4"/>
  <c r="E967" i="4"/>
  <c r="A957" i="4"/>
  <c r="C946" i="4"/>
  <c r="E935" i="4"/>
  <c r="A925" i="4"/>
  <c r="C914" i="4"/>
  <c r="E907" i="4"/>
  <c r="E903" i="4"/>
  <c r="F899" i="4"/>
  <c r="A897" i="4"/>
  <c r="C894" i="4"/>
  <c r="B892" i="4"/>
  <c r="D890" i="4"/>
  <c r="D888" i="4"/>
  <c r="F886" i="4"/>
  <c r="B885" i="4"/>
  <c r="B883" i="4"/>
  <c r="D881" i="4"/>
  <c r="F879" i="4"/>
  <c r="F877" i="4"/>
  <c r="B876" i="4"/>
  <c r="D874" i="4"/>
  <c r="E872" i="4"/>
  <c r="B871" i="4"/>
  <c r="E869" i="4"/>
  <c r="C868" i="4"/>
  <c r="A867" i="4"/>
  <c r="E865" i="4"/>
  <c r="C864" i="4"/>
  <c r="A863" i="4"/>
  <c r="E861" i="4"/>
  <c r="C860" i="4"/>
  <c r="A859" i="4"/>
  <c r="E857" i="4"/>
  <c r="C856" i="4"/>
  <c r="A855" i="4"/>
  <c r="E853" i="4"/>
  <c r="C852" i="4"/>
  <c r="A851" i="4"/>
  <c r="E849" i="4"/>
  <c r="C848" i="4"/>
  <c r="A847" i="4"/>
  <c r="E845" i="4"/>
  <c r="C844" i="4"/>
  <c r="A843" i="4"/>
  <c r="E841" i="4"/>
  <c r="C840" i="4"/>
  <c r="A839" i="4"/>
  <c r="E837" i="4"/>
  <c r="C836" i="4"/>
  <c r="A835" i="4"/>
  <c r="E833" i="4"/>
  <c r="C832" i="4"/>
  <c r="A831" i="4"/>
  <c r="E829" i="4"/>
  <c r="C828" i="4"/>
  <c r="A827" i="4"/>
  <c r="E825" i="4"/>
  <c r="C824" i="4"/>
  <c r="A823" i="4"/>
  <c r="E821" i="4"/>
  <c r="C820" i="4"/>
  <c r="A819" i="4"/>
  <c r="E817" i="4"/>
  <c r="C816" i="4"/>
  <c r="A815" i="4"/>
  <c r="E813" i="4"/>
  <c r="C812" i="4"/>
  <c r="A811" i="4"/>
  <c r="E809" i="4"/>
  <c r="C808" i="4"/>
  <c r="A807" i="4"/>
  <c r="E805" i="4"/>
  <c r="C804" i="4"/>
  <c r="A803" i="4"/>
  <c r="E801" i="4"/>
  <c r="C800" i="4"/>
  <c r="A799" i="4"/>
  <c r="E797" i="4"/>
  <c r="C796" i="4"/>
  <c r="A795" i="4"/>
  <c r="E793" i="4"/>
  <c r="C792" i="4"/>
  <c r="A791" i="4"/>
  <c r="E789" i="4"/>
  <c r="C788" i="4"/>
  <c r="A787" i="4"/>
  <c r="E785" i="4"/>
  <c r="C784" i="4"/>
  <c r="A783" i="4"/>
  <c r="E781" i="4"/>
  <c r="C780" i="4"/>
  <c r="A779" i="4"/>
  <c r="E777" i="4"/>
  <c r="C776" i="4"/>
  <c r="A775" i="4"/>
  <c r="E773" i="4"/>
  <c r="C772" i="4"/>
  <c r="A771" i="4"/>
  <c r="E769" i="4"/>
  <c r="C768" i="4"/>
  <c r="A767" i="4"/>
  <c r="E765" i="4"/>
  <c r="C764" i="4"/>
  <c r="A763" i="4"/>
  <c r="E761" i="4"/>
  <c r="C760" i="4"/>
  <c r="A759" i="4"/>
  <c r="E757" i="4"/>
  <c r="C756" i="4"/>
  <c r="A755" i="4"/>
  <c r="E753" i="4"/>
  <c r="B1118" i="4"/>
  <c r="F1034" i="4"/>
  <c r="A1009" i="4"/>
  <c r="C998" i="4"/>
  <c r="E987" i="4"/>
  <c r="A977" i="4"/>
  <c r="C966" i="4"/>
  <c r="E955" i="4"/>
  <c r="A945" i="4"/>
  <c r="C934" i="4"/>
  <c r="E923" i="4"/>
  <c r="A913" i="4"/>
  <c r="A907" i="4"/>
  <c r="A903" i="4"/>
  <c r="E899" i="4"/>
  <c r="C896" i="4"/>
  <c r="E893" i="4"/>
  <c r="A892" i="4"/>
  <c r="C890" i="4"/>
  <c r="C888" i="4"/>
  <c r="E886" i="4"/>
  <c r="A885" i="4"/>
  <c r="A883" i="4"/>
  <c r="C881" i="4"/>
  <c r="E879" i="4"/>
  <c r="E877" i="4"/>
  <c r="A876" i="4"/>
  <c r="C874" i="4"/>
  <c r="D872" i="4"/>
  <c r="A871" i="4"/>
  <c r="D869" i="4"/>
  <c r="B868" i="4"/>
  <c r="F866" i="4"/>
  <c r="D865" i="4"/>
  <c r="B864" i="4"/>
  <c r="F862" i="4"/>
  <c r="D861" i="4"/>
  <c r="B860" i="4"/>
  <c r="F858" i="4"/>
  <c r="D857" i="4"/>
  <c r="B856" i="4"/>
  <c r="F854" i="4"/>
  <c r="D853" i="4"/>
  <c r="B852" i="4"/>
  <c r="F850" i="4"/>
  <c r="D849" i="4"/>
  <c r="B848" i="4"/>
  <c r="F846" i="4"/>
  <c r="D845" i="4"/>
  <c r="B844" i="4"/>
  <c r="F842" i="4"/>
  <c r="D841" i="4"/>
  <c r="B840" i="4"/>
  <c r="F838" i="4"/>
  <c r="D837" i="4"/>
  <c r="B836" i="4"/>
  <c r="F834" i="4"/>
  <c r="D833" i="4"/>
  <c r="B832" i="4"/>
  <c r="F830" i="4"/>
  <c r="D829" i="4"/>
  <c r="B828" i="4"/>
  <c r="F826" i="4"/>
  <c r="D825" i="4"/>
  <c r="B824" i="4"/>
  <c r="F822" i="4"/>
  <c r="D821" i="4"/>
  <c r="B820" i="4"/>
  <c r="F818" i="4"/>
  <c r="D817" i="4"/>
  <c r="B816" i="4"/>
  <c r="F814" i="4"/>
  <c r="D813" i="4"/>
  <c r="B812" i="4"/>
  <c r="F810" i="4"/>
  <c r="D809" i="4"/>
  <c r="B808" i="4"/>
  <c r="F806" i="4"/>
  <c r="D805" i="4"/>
  <c r="B804" i="4"/>
  <c r="F802" i="4"/>
  <c r="D801" i="4"/>
  <c r="B800" i="4"/>
  <c r="F798" i="4"/>
  <c r="D797" i="4"/>
  <c r="B796" i="4"/>
  <c r="F794" i="4"/>
  <c r="D793" i="4"/>
  <c r="B792" i="4"/>
  <c r="F790" i="4"/>
  <c r="D789" i="4"/>
  <c r="B788" i="4"/>
  <c r="F786" i="4"/>
  <c r="D785" i="4"/>
  <c r="B784" i="4"/>
  <c r="F782" i="4"/>
  <c r="D781" i="4"/>
  <c r="B780" i="4"/>
  <c r="F778" i="4"/>
  <c r="D777" i="4"/>
  <c r="B776" i="4"/>
  <c r="F774" i="4"/>
  <c r="D773" i="4"/>
  <c r="B772" i="4"/>
  <c r="F770" i="4"/>
  <c r="D769" i="4"/>
  <c r="B768" i="4"/>
  <c r="F766" i="4"/>
  <c r="D765" i="4"/>
  <c r="B764" i="4"/>
  <c r="F762" i="4"/>
  <c r="D761" i="4"/>
  <c r="B760" i="4"/>
  <c r="F758" i="4"/>
  <c r="D757" i="4"/>
  <c r="B756" i="4"/>
  <c r="F754" i="4"/>
  <c r="D753" i="4"/>
  <c r="B752" i="4"/>
  <c r="F750" i="4"/>
  <c r="D749" i="4"/>
  <c r="B748" i="4"/>
  <c r="F746" i="4"/>
  <c r="D745" i="4"/>
  <c r="B744" i="4"/>
  <c r="D1107" i="4"/>
  <c r="D1029" i="4"/>
  <c r="E1007" i="4"/>
  <c r="A997" i="4"/>
  <c r="C986" i="4"/>
  <c r="E975" i="4"/>
  <c r="A965" i="4"/>
  <c r="C954" i="4"/>
  <c r="E943" i="4"/>
  <c r="A933" i="4"/>
  <c r="C922" i="4"/>
  <c r="E911" i="4"/>
  <c r="C906" i="4"/>
  <c r="D902" i="4"/>
  <c r="A899" i="4"/>
  <c r="A896" i="4"/>
  <c r="D893" i="4"/>
  <c r="F891" i="4"/>
  <c r="F889" i="4"/>
  <c r="B888" i="4"/>
  <c r="D886" i="4"/>
  <c r="D884" i="4"/>
  <c r="F882" i="4"/>
  <c r="B881" i="4"/>
  <c r="B879" i="4"/>
  <c r="D877" i="4"/>
  <c r="F875" i="4"/>
  <c r="F873" i="4"/>
  <c r="C872" i="4"/>
  <c r="F870" i="4"/>
  <c r="C869" i="4"/>
  <c r="A868" i="4"/>
  <c r="E866" i="4"/>
  <c r="C865" i="4"/>
  <c r="A864" i="4"/>
  <c r="E862" i="4"/>
  <c r="C861" i="4"/>
  <c r="A860" i="4"/>
  <c r="E858" i="4"/>
  <c r="C857" i="4"/>
  <c r="A856" i="4"/>
  <c r="E854" i="4"/>
  <c r="C853" i="4"/>
  <c r="A852" i="4"/>
  <c r="E850" i="4"/>
  <c r="C849" i="4"/>
  <c r="A848" i="4"/>
  <c r="E846" i="4"/>
  <c r="C845" i="4"/>
  <c r="A844" i="4"/>
  <c r="E842" i="4"/>
  <c r="C841" i="4"/>
  <c r="A840" i="4"/>
  <c r="E838" i="4"/>
  <c r="C837" i="4"/>
  <c r="A836" i="4"/>
  <c r="E834" i="4"/>
  <c r="C833" i="4"/>
  <c r="A832" i="4"/>
  <c r="E830" i="4"/>
  <c r="C829" i="4"/>
  <c r="A828" i="4"/>
  <c r="E826" i="4"/>
  <c r="C825" i="4"/>
  <c r="A824" i="4"/>
  <c r="E822" i="4"/>
  <c r="C821" i="4"/>
  <c r="A820" i="4"/>
  <c r="E818" i="4"/>
  <c r="C817" i="4"/>
  <c r="A816" i="4"/>
  <c r="E814" i="4"/>
  <c r="C813" i="4"/>
  <c r="A812" i="4"/>
  <c r="E810" i="4"/>
  <c r="C809" i="4"/>
  <c r="A808" i="4"/>
  <c r="E806" i="4"/>
  <c r="C805" i="4"/>
  <c r="A804" i="4"/>
  <c r="E802" i="4"/>
  <c r="C801" i="4"/>
  <c r="A800" i="4"/>
  <c r="E798" i="4"/>
  <c r="C797" i="4"/>
  <c r="A796" i="4"/>
  <c r="E794" i="4"/>
  <c r="C793" i="4"/>
  <c r="A792" i="4"/>
  <c r="E790" i="4"/>
  <c r="C789" i="4"/>
  <c r="A788" i="4"/>
  <c r="E786" i="4"/>
  <c r="C785" i="4"/>
  <c r="A784" i="4"/>
  <c r="E782" i="4"/>
  <c r="C781" i="4"/>
  <c r="A780" i="4"/>
  <c r="E778" i="4"/>
  <c r="C777" i="4"/>
  <c r="A776" i="4"/>
  <c r="E774" i="4"/>
  <c r="C773" i="4"/>
  <c r="A772" i="4"/>
  <c r="E770" i="4"/>
  <c r="C769" i="4"/>
  <c r="A768" i="4"/>
  <c r="E766" i="4"/>
  <c r="C765" i="4"/>
  <c r="A764" i="4"/>
  <c r="E762" i="4"/>
  <c r="C761" i="4"/>
  <c r="A760" i="4"/>
  <c r="E758" i="4"/>
  <c r="C757" i="4"/>
  <c r="F1096" i="4"/>
  <c r="C942" i="4"/>
  <c r="C893" i="4"/>
  <c r="A879" i="4"/>
  <c r="D866" i="4"/>
  <c r="F855" i="4"/>
  <c r="B845" i="4"/>
  <c r="D834" i="4"/>
  <c r="F823" i="4"/>
  <c r="B813" i="4"/>
  <c r="D802" i="4"/>
  <c r="F791" i="4"/>
  <c r="B781" i="4"/>
  <c r="D772" i="4"/>
  <c r="B767" i="4"/>
  <c r="F761" i="4"/>
  <c r="D756" i="4"/>
  <c r="B753" i="4"/>
  <c r="D750" i="4"/>
  <c r="F747" i="4"/>
  <c r="B745" i="4"/>
  <c r="E742" i="4"/>
  <c r="D740" i="4"/>
  <c r="A739" i="4"/>
  <c r="D737" i="4"/>
  <c r="A736" i="4"/>
  <c r="D734" i="4"/>
  <c r="F732" i="4"/>
  <c r="C731" i="4"/>
  <c r="F729" i="4"/>
  <c r="D728" i="4"/>
  <c r="B727" i="4"/>
  <c r="F725" i="4"/>
  <c r="D724" i="4"/>
  <c r="B723" i="4"/>
  <c r="F721" i="4"/>
  <c r="D720" i="4"/>
  <c r="B719" i="4"/>
  <c r="F717" i="4"/>
  <c r="D716" i="4"/>
  <c r="B715" i="4"/>
  <c r="F713" i="4"/>
  <c r="D712" i="4"/>
  <c r="B711" i="4"/>
  <c r="F709" i="4"/>
  <c r="D708" i="4"/>
  <c r="B707" i="4"/>
  <c r="F705" i="4"/>
  <c r="D704" i="4"/>
  <c r="B703" i="4"/>
  <c r="F701" i="4"/>
  <c r="D700" i="4"/>
  <c r="B699" i="4"/>
  <c r="F697" i="4"/>
  <c r="D696" i="4"/>
  <c r="B695" i="4"/>
  <c r="F693" i="4"/>
  <c r="D692" i="4"/>
  <c r="B691" i="4"/>
  <c r="F689" i="4"/>
  <c r="D688" i="4"/>
  <c r="B687" i="4"/>
  <c r="F685" i="4"/>
  <c r="D684" i="4"/>
  <c r="B683" i="4"/>
  <c r="F681" i="4"/>
  <c r="D680" i="4"/>
  <c r="B679" i="4"/>
  <c r="F677" i="4"/>
  <c r="D676" i="4"/>
  <c r="B675" i="4"/>
  <c r="F673" i="4"/>
  <c r="D672" i="4"/>
  <c r="B671" i="4"/>
  <c r="F669" i="4"/>
  <c r="D668" i="4"/>
  <c r="B667" i="4"/>
  <c r="F665" i="4"/>
  <c r="D664" i="4"/>
  <c r="B663" i="4"/>
  <c r="F661" i="4"/>
  <c r="D660" i="4"/>
  <c r="B659" i="4"/>
  <c r="F657" i="4"/>
  <c r="D656" i="4"/>
  <c r="B655" i="4"/>
  <c r="F653" i="4"/>
  <c r="D652" i="4"/>
  <c r="B651" i="4"/>
  <c r="F649" i="4"/>
  <c r="D648" i="4"/>
  <c r="B647" i="4"/>
  <c r="F645" i="4"/>
  <c r="D644" i="4"/>
  <c r="B643" i="4"/>
  <c r="F641" i="4"/>
  <c r="D640" i="4"/>
  <c r="B639" i="4"/>
  <c r="F637" i="4"/>
  <c r="D636" i="4"/>
  <c r="B635" i="4"/>
  <c r="F633" i="4"/>
  <c r="D632" i="4"/>
  <c r="B631" i="4"/>
  <c r="F629" i="4"/>
  <c r="D628" i="4"/>
  <c r="B627" i="4"/>
  <c r="F625" i="4"/>
  <c r="D624" i="4"/>
  <c r="B623" i="4"/>
  <c r="F621" i="4"/>
  <c r="D620" i="4"/>
  <c r="B619" i="4"/>
  <c r="F617" i="4"/>
  <c r="D616" i="4"/>
  <c r="B615" i="4"/>
  <c r="F613" i="4"/>
  <c r="D612" i="4"/>
  <c r="B611" i="4"/>
  <c r="F609" i="4"/>
  <c r="D608" i="4"/>
  <c r="B607" i="4"/>
  <c r="F605" i="4"/>
  <c r="D604" i="4"/>
  <c r="B603" i="4"/>
  <c r="F601" i="4"/>
  <c r="D600" i="4"/>
  <c r="B599" i="4"/>
  <c r="F597" i="4"/>
  <c r="D596" i="4"/>
  <c r="B595" i="4"/>
  <c r="F593" i="4"/>
  <c r="D592" i="4"/>
  <c r="B591" i="4"/>
  <c r="F589" i="4"/>
  <c r="D588" i="4"/>
  <c r="B587" i="4"/>
  <c r="F585" i="4"/>
  <c r="D584" i="4"/>
  <c r="B583" i="4"/>
  <c r="F581" i="4"/>
  <c r="D580" i="4"/>
  <c r="B579" i="4"/>
  <c r="F577" i="4"/>
  <c r="D576" i="4"/>
  <c r="B575" i="4"/>
  <c r="F573" i="4"/>
  <c r="D572" i="4"/>
  <c r="B571" i="4"/>
  <c r="B1024" i="4"/>
  <c r="E931" i="4"/>
  <c r="E891" i="4"/>
  <c r="C877" i="4"/>
  <c r="B865" i="4"/>
  <c r="D854" i="4"/>
  <c r="F843" i="4"/>
  <c r="B833" i="4"/>
  <c r="D822" i="4"/>
  <c r="F811" i="4"/>
  <c r="B801" i="4"/>
  <c r="D790" i="4"/>
  <c r="F779" i="4"/>
  <c r="F771" i="4"/>
  <c r="D766" i="4"/>
  <c r="B761" i="4"/>
  <c r="A756" i="4"/>
  <c r="D752" i="4"/>
  <c r="F749" i="4"/>
  <c r="B747" i="4"/>
  <c r="D744" i="4"/>
  <c r="D742" i="4"/>
  <c r="C740" i="4"/>
  <c r="F738" i="4"/>
  <c r="C737" i="4"/>
  <c r="F735" i="4"/>
  <c r="B734" i="4"/>
  <c r="E732" i="4"/>
  <c r="B731" i="4"/>
  <c r="E729" i="4"/>
  <c r="C728" i="4"/>
  <c r="A727" i="4"/>
  <c r="E725" i="4"/>
  <c r="C724" i="4"/>
  <c r="A723" i="4"/>
  <c r="E721" i="4"/>
  <c r="C720" i="4"/>
  <c r="A719" i="4"/>
  <c r="E717" i="4"/>
  <c r="C716" i="4"/>
  <c r="A715" i="4"/>
  <c r="E713" i="4"/>
  <c r="C712" i="4"/>
  <c r="A711" i="4"/>
  <c r="E709" i="4"/>
  <c r="C708" i="4"/>
  <c r="A707" i="4"/>
  <c r="E705" i="4"/>
  <c r="C704" i="4"/>
  <c r="A703" i="4"/>
  <c r="E701" i="4"/>
  <c r="C700" i="4"/>
  <c r="A699" i="4"/>
  <c r="E697" i="4"/>
  <c r="C696" i="4"/>
  <c r="A695" i="4"/>
  <c r="E693" i="4"/>
  <c r="C692" i="4"/>
  <c r="A691" i="4"/>
  <c r="E689" i="4"/>
  <c r="C688" i="4"/>
  <c r="A687" i="4"/>
  <c r="E685" i="4"/>
  <c r="C684" i="4"/>
  <c r="A683" i="4"/>
  <c r="E681" i="4"/>
  <c r="C680" i="4"/>
  <c r="A679" i="4"/>
  <c r="E677" i="4"/>
  <c r="C676" i="4"/>
  <c r="A675" i="4"/>
  <c r="E673" i="4"/>
  <c r="C672" i="4"/>
  <c r="A671" i="4"/>
  <c r="E669" i="4"/>
  <c r="C668" i="4"/>
  <c r="A667" i="4"/>
  <c r="E665" i="4"/>
  <c r="C664" i="4"/>
  <c r="A663" i="4"/>
  <c r="E661" i="4"/>
  <c r="C660" i="4"/>
  <c r="A659" i="4"/>
  <c r="E657" i="4"/>
  <c r="C656" i="4"/>
  <c r="A655" i="4"/>
  <c r="E653" i="4"/>
  <c r="C652" i="4"/>
  <c r="A651" i="4"/>
  <c r="E649" i="4"/>
  <c r="C648" i="4"/>
  <c r="A647" i="4"/>
  <c r="E645" i="4"/>
  <c r="C644" i="4"/>
  <c r="A643" i="4"/>
  <c r="E641" i="4"/>
  <c r="C640" i="4"/>
  <c r="A639" i="4"/>
  <c r="E637" i="4"/>
  <c r="C636" i="4"/>
  <c r="A635" i="4"/>
  <c r="E633" i="4"/>
  <c r="C632" i="4"/>
  <c r="A631" i="4"/>
  <c r="E629" i="4"/>
  <c r="C628" i="4"/>
  <c r="A627" i="4"/>
  <c r="E625" i="4"/>
  <c r="C624" i="4"/>
  <c r="A623" i="4"/>
  <c r="E621" i="4"/>
  <c r="C620" i="4"/>
  <c r="A619" i="4"/>
  <c r="E617" i="4"/>
  <c r="C616" i="4"/>
  <c r="A615" i="4"/>
  <c r="E613" i="4"/>
  <c r="C612" i="4"/>
  <c r="A611" i="4"/>
  <c r="E609" i="4"/>
  <c r="C608" i="4"/>
  <c r="A607" i="4"/>
  <c r="E605" i="4"/>
  <c r="C604" i="4"/>
  <c r="A603" i="4"/>
  <c r="E601" i="4"/>
  <c r="C600" i="4"/>
  <c r="A599" i="4"/>
  <c r="E597" i="4"/>
  <c r="C596" i="4"/>
  <c r="A595" i="4"/>
  <c r="E593" i="4"/>
  <c r="C592" i="4"/>
  <c r="A591" i="4"/>
  <c r="E589" i="4"/>
  <c r="C588" i="4"/>
  <c r="A587" i="4"/>
  <c r="E585" i="4"/>
  <c r="C584" i="4"/>
  <c r="A583" i="4"/>
  <c r="E581" i="4"/>
  <c r="C580" i="4"/>
  <c r="A579" i="4"/>
  <c r="E577" i="4"/>
  <c r="C576" i="4"/>
  <c r="A575" i="4"/>
  <c r="E573" i="4"/>
  <c r="C572" i="4"/>
  <c r="C1006" i="4"/>
  <c r="A921" i="4"/>
  <c r="E889" i="4"/>
  <c r="E875" i="4"/>
  <c r="F863" i="4"/>
  <c r="B853" i="4"/>
  <c r="D842" i="4"/>
  <c r="F831" i="4"/>
  <c r="B821" i="4"/>
  <c r="D810" i="4"/>
  <c r="F799" i="4"/>
  <c r="B789" i="4"/>
  <c r="D778" i="4"/>
  <c r="B771" i="4"/>
  <c r="F765" i="4"/>
  <c r="D760" i="4"/>
  <c r="F755" i="4"/>
  <c r="C752" i="4"/>
  <c r="E749" i="4"/>
  <c r="A747" i="4"/>
  <c r="C744" i="4"/>
  <c r="F741" i="4"/>
  <c r="B740" i="4"/>
  <c r="E738" i="4"/>
  <c r="B737" i="4"/>
  <c r="D735" i="4"/>
  <c r="A734" i="4"/>
  <c r="D732" i="4"/>
  <c r="A731" i="4"/>
  <c r="D729" i="4"/>
  <c r="B728" i="4"/>
  <c r="F726" i="4"/>
  <c r="D725" i="4"/>
  <c r="B724" i="4"/>
  <c r="F722" i="4"/>
  <c r="D721" i="4"/>
  <c r="B720" i="4"/>
  <c r="F718" i="4"/>
  <c r="D717" i="4"/>
  <c r="B716" i="4"/>
  <c r="F714" i="4"/>
  <c r="D713" i="4"/>
  <c r="B712" i="4"/>
  <c r="F710" i="4"/>
  <c r="D709" i="4"/>
  <c r="B708" i="4"/>
  <c r="F706" i="4"/>
  <c r="D705" i="4"/>
  <c r="B704" i="4"/>
  <c r="F702" i="4"/>
  <c r="D701" i="4"/>
  <c r="B700" i="4"/>
  <c r="F698" i="4"/>
  <c r="D697" i="4"/>
  <c r="B696" i="4"/>
  <c r="F694" i="4"/>
  <c r="D693" i="4"/>
  <c r="B692" i="4"/>
  <c r="F690" i="4"/>
  <c r="D689" i="4"/>
  <c r="B688" i="4"/>
  <c r="F686" i="4"/>
  <c r="D685" i="4"/>
  <c r="B684" i="4"/>
  <c r="F682" i="4"/>
  <c r="D681" i="4"/>
  <c r="B680" i="4"/>
  <c r="F678" i="4"/>
  <c r="D677" i="4"/>
  <c r="B676" i="4"/>
  <c r="F674" i="4"/>
  <c r="D673" i="4"/>
  <c r="B672" i="4"/>
  <c r="F670" i="4"/>
  <c r="D669" i="4"/>
  <c r="B668" i="4"/>
  <c r="F666" i="4"/>
  <c r="D665" i="4"/>
  <c r="B664" i="4"/>
  <c r="F662" i="4"/>
  <c r="D661" i="4"/>
  <c r="B660" i="4"/>
  <c r="F658" i="4"/>
  <c r="D657" i="4"/>
  <c r="B656" i="4"/>
  <c r="F654" i="4"/>
  <c r="D653" i="4"/>
  <c r="B652" i="4"/>
  <c r="F650" i="4"/>
  <c r="D649" i="4"/>
  <c r="B648" i="4"/>
  <c r="F646" i="4"/>
  <c r="D645" i="4"/>
  <c r="B644" i="4"/>
  <c r="F642" i="4"/>
  <c r="D641" i="4"/>
  <c r="B640" i="4"/>
  <c r="F638" i="4"/>
  <c r="D637" i="4"/>
  <c r="B636" i="4"/>
  <c r="F634" i="4"/>
  <c r="D633" i="4"/>
  <c r="B632" i="4"/>
  <c r="F630" i="4"/>
  <c r="D629" i="4"/>
  <c r="B628" i="4"/>
  <c r="F626" i="4"/>
  <c r="D625" i="4"/>
  <c r="B624" i="4"/>
  <c r="F622" i="4"/>
  <c r="D621" i="4"/>
  <c r="B620" i="4"/>
  <c r="F618" i="4"/>
  <c r="D617" i="4"/>
  <c r="B616" i="4"/>
  <c r="F614" i="4"/>
  <c r="D613" i="4"/>
  <c r="B612" i="4"/>
  <c r="F610" i="4"/>
  <c r="D609" i="4"/>
  <c r="B608" i="4"/>
  <c r="F606" i="4"/>
  <c r="D605" i="4"/>
  <c r="B604" i="4"/>
  <c r="F602" i="4"/>
  <c r="D601" i="4"/>
  <c r="B600" i="4"/>
  <c r="F598" i="4"/>
  <c r="D597" i="4"/>
  <c r="B596" i="4"/>
  <c r="F594" i="4"/>
  <c r="D593" i="4"/>
  <c r="B592" i="4"/>
  <c r="F590" i="4"/>
  <c r="D589" i="4"/>
  <c r="B588" i="4"/>
  <c r="F586" i="4"/>
  <c r="D585" i="4"/>
  <c r="B584" i="4"/>
  <c r="F582" i="4"/>
  <c r="D581" i="4"/>
  <c r="B580" i="4"/>
  <c r="F578" i="4"/>
  <c r="D577" i="4"/>
  <c r="B576" i="4"/>
  <c r="F574" i="4"/>
  <c r="D573" i="4"/>
  <c r="B572" i="4"/>
  <c r="F570" i="4"/>
  <c r="D569" i="4"/>
  <c r="E995" i="4"/>
  <c r="A911" i="4"/>
  <c r="A888" i="4"/>
  <c r="E873" i="4"/>
  <c r="D862" i="4"/>
  <c r="F851" i="4"/>
  <c r="B841" i="4"/>
  <c r="D830" i="4"/>
  <c r="F819" i="4"/>
  <c r="B809" i="4"/>
  <c r="D798" i="4"/>
  <c r="F787" i="4"/>
  <c r="B777" i="4"/>
  <c r="D770" i="4"/>
  <c r="B765" i="4"/>
  <c r="F759" i="4"/>
  <c r="B755" i="4"/>
  <c r="A752" i="4"/>
  <c r="C749" i="4"/>
  <c r="E746" i="4"/>
  <c r="A744" i="4"/>
  <c r="E741" i="4"/>
  <c r="A740" i="4"/>
  <c r="D738" i="4"/>
  <c r="F736" i="4"/>
  <c r="C735" i="4"/>
  <c r="F733" i="4"/>
  <c r="C732" i="4"/>
  <c r="F730" i="4"/>
  <c r="C729" i="4"/>
  <c r="A728" i="4"/>
  <c r="E726" i="4"/>
  <c r="C725" i="4"/>
  <c r="A724" i="4"/>
  <c r="E722" i="4"/>
  <c r="C721" i="4"/>
  <c r="A720" i="4"/>
  <c r="E718" i="4"/>
  <c r="C717" i="4"/>
  <c r="A716" i="4"/>
  <c r="E714" i="4"/>
  <c r="C713" i="4"/>
  <c r="A712" i="4"/>
  <c r="E710" i="4"/>
  <c r="C709" i="4"/>
  <c r="A708" i="4"/>
  <c r="E706" i="4"/>
  <c r="C705" i="4"/>
  <c r="A704" i="4"/>
  <c r="E702" i="4"/>
  <c r="C701" i="4"/>
  <c r="A700" i="4"/>
  <c r="E698" i="4"/>
  <c r="C697" i="4"/>
  <c r="A696" i="4"/>
  <c r="E694" i="4"/>
  <c r="C693" i="4"/>
  <c r="A692" i="4"/>
  <c r="E690" i="4"/>
  <c r="C689" i="4"/>
  <c r="A688" i="4"/>
  <c r="E686" i="4"/>
  <c r="C685" i="4"/>
  <c r="A684" i="4"/>
  <c r="E682" i="4"/>
  <c r="C681" i="4"/>
  <c r="A680" i="4"/>
  <c r="E678" i="4"/>
  <c r="C677" i="4"/>
  <c r="A676" i="4"/>
  <c r="E674" i="4"/>
  <c r="C673" i="4"/>
  <c r="A672" i="4"/>
  <c r="E670" i="4"/>
  <c r="C669" i="4"/>
  <c r="A668" i="4"/>
  <c r="E666" i="4"/>
  <c r="C665" i="4"/>
  <c r="A664" i="4"/>
  <c r="E662" i="4"/>
  <c r="C661" i="4"/>
  <c r="A660" i="4"/>
  <c r="E658" i="4"/>
  <c r="C657" i="4"/>
  <c r="A656" i="4"/>
  <c r="E654" i="4"/>
  <c r="C653" i="4"/>
  <c r="A652" i="4"/>
  <c r="E650" i="4"/>
  <c r="C649" i="4"/>
  <c r="A648" i="4"/>
  <c r="E646" i="4"/>
  <c r="C645" i="4"/>
  <c r="A644" i="4"/>
  <c r="E642" i="4"/>
  <c r="C641" i="4"/>
  <c r="A640" i="4"/>
  <c r="E638" i="4"/>
  <c r="C637" i="4"/>
  <c r="A636" i="4"/>
  <c r="E634" i="4"/>
  <c r="C633" i="4"/>
  <c r="A632" i="4"/>
  <c r="E630" i="4"/>
  <c r="C629" i="4"/>
  <c r="A628" i="4"/>
  <c r="E626" i="4"/>
  <c r="C625" i="4"/>
  <c r="A624" i="4"/>
  <c r="E622" i="4"/>
  <c r="C621" i="4"/>
  <c r="A620" i="4"/>
  <c r="E618" i="4"/>
  <c r="C617" i="4"/>
  <c r="A616" i="4"/>
  <c r="E614" i="4"/>
  <c r="C613" i="4"/>
  <c r="A612" i="4"/>
  <c r="E610" i="4"/>
  <c r="C609" i="4"/>
  <c r="A608" i="4"/>
  <c r="E606" i="4"/>
  <c r="C605" i="4"/>
  <c r="A604" i="4"/>
  <c r="E602" i="4"/>
  <c r="C601" i="4"/>
  <c r="A600" i="4"/>
  <c r="A985" i="4"/>
  <c r="E905" i="4"/>
  <c r="C886" i="4"/>
  <c r="B872" i="4"/>
  <c r="B861" i="4"/>
  <c r="D850" i="4"/>
  <c r="F839" i="4"/>
  <c r="B829" i="4"/>
  <c r="D818" i="4"/>
  <c r="F807" i="4"/>
  <c r="B797" i="4"/>
  <c r="D786" i="4"/>
  <c r="F775" i="4"/>
  <c r="F769" i="4"/>
  <c r="D764" i="4"/>
  <c r="B759" i="4"/>
  <c r="E754" i="4"/>
  <c r="F751" i="4"/>
  <c r="B749" i="4"/>
  <c r="D746" i="4"/>
  <c r="F743" i="4"/>
  <c r="D741" i="4"/>
  <c r="F739" i="4"/>
  <c r="B738" i="4"/>
  <c r="E736" i="4"/>
  <c r="B735" i="4"/>
  <c r="E733" i="4"/>
  <c r="B732" i="4"/>
  <c r="E730" i="4"/>
  <c r="B729" i="4"/>
  <c r="F727" i="4"/>
  <c r="D726" i="4"/>
  <c r="B725" i="4"/>
  <c r="F723" i="4"/>
  <c r="D722" i="4"/>
  <c r="B721" i="4"/>
  <c r="F719" i="4"/>
  <c r="D718" i="4"/>
  <c r="B717" i="4"/>
  <c r="F715" i="4"/>
  <c r="D714" i="4"/>
  <c r="B713" i="4"/>
  <c r="F711" i="4"/>
  <c r="D710" i="4"/>
  <c r="B709" i="4"/>
  <c r="F707" i="4"/>
  <c r="D706" i="4"/>
  <c r="B705" i="4"/>
  <c r="F703" i="4"/>
  <c r="D702" i="4"/>
  <c r="B701" i="4"/>
  <c r="F699" i="4"/>
  <c r="D698" i="4"/>
  <c r="B697" i="4"/>
  <c r="F695" i="4"/>
  <c r="D694" i="4"/>
  <c r="B693" i="4"/>
  <c r="F691" i="4"/>
  <c r="D690" i="4"/>
  <c r="B689" i="4"/>
  <c r="F687" i="4"/>
  <c r="D686" i="4"/>
  <c r="B685" i="4"/>
  <c r="F683" i="4"/>
  <c r="D682" i="4"/>
  <c r="B681" i="4"/>
  <c r="F679" i="4"/>
  <c r="D678" i="4"/>
  <c r="B677" i="4"/>
  <c r="F675" i="4"/>
  <c r="D674" i="4"/>
  <c r="B673" i="4"/>
  <c r="F671" i="4"/>
  <c r="D670" i="4"/>
  <c r="B669" i="4"/>
  <c r="F667" i="4"/>
  <c r="D666" i="4"/>
  <c r="B665" i="4"/>
  <c r="F663" i="4"/>
  <c r="D662" i="4"/>
  <c r="B661" i="4"/>
  <c r="F659" i="4"/>
  <c r="D658" i="4"/>
  <c r="B657" i="4"/>
  <c r="F655" i="4"/>
  <c r="D654" i="4"/>
  <c r="B653" i="4"/>
  <c r="F651" i="4"/>
  <c r="D650" i="4"/>
  <c r="B649" i="4"/>
  <c r="F647" i="4"/>
  <c r="D646" i="4"/>
  <c r="B645" i="4"/>
  <c r="F643" i="4"/>
  <c r="D642" i="4"/>
  <c r="B641" i="4"/>
  <c r="F639" i="4"/>
  <c r="D638" i="4"/>
  <c r="B637" i="4"/>
  <c r="F635" i="4"/>
  <c r="D634" i="4"/>
  <c r="B633" i="4"/>
  <c r="F631" i="4"/>
  <c r="D630" i="4"/>
  <c r="B629" i="4"/>
  <c r="F627" i="4"/>
  <c r="D626" i="4"/>
  <c r="B625" i="4"/>
  <c r="F623" i="4"/>
  <c r="D622" i="4"/>
  <c r="B621" i="4"/>
  <c r="F619" i="4"/>
  <c r="D618" i="4"/>
  <c r="B617" i="4"/>
  <c r="F615" i="4"/>
  <c r="D614" i="4"/>
  <c r="B613" i="4"/>
  <c r="F611" i="4"/>
  <c r="C974" i="4"/>
  <c r="C902" i="4"/>
  <c r="C884" i="4"/>
  <c r="E870" i="4"/>
  <c r="F859" i="4"/>
  <c r="B849" i="4"/>
  <c r="D838" i="4"/>
  <c r="F827" i="4"/>
  <c r="B817" i="4"/>
  <c r="D806" i="4"/>
  <c r="F795" i="4"/>
  <c r="B785" i="4"/>
  <c r="D774" i="4"/>
  <c r="B769" i="4"/>
  <c r="F763" i="4"/>
  <c r="D758" i="4"/>
  <c r="D754" i="4"/>
  <c r="B751" i="4"/>
  <c r="D748" i="4"/>
  <c r="F745" i="4"/>
  <c r="B743" i="4"/>
  <c r="C741" i="4"/>
  <c r="D739" i="4"/>
  <c r="A738" i="4"/>
  <c r="D736" i="4"/>
  <c r="A735" i="4"/>
  <c r="D733" i="4"/>
  <c r="A732" i="4"/>
  <c r="D730" i="4"/>
  <c r="A729" i="4"/>
  <c r="E727" i="4"/>
  <c r="C726" i="4"/>
  <c r="A725" i="4"/>
  <c r="E723" i="4"/>
  <c r="C722" i="4"/>
  <c r="A721" i="4"/>
  <c r="E719" i="4"/>
  <c r="C718" i="4"/>
  <c r="A717" i="4"/>
  <c r="E715" i="4"/>
  <c r="C714" i="4"/>
  <c r="A713" i="4"/>
  <c r="E711" i="4"/>
  <c r="C710" i="4"/>
  <c r="A709" i="4"/>
  <c r="E707" i="4"/>
  <c r="C706" i="4"/>
  <c r="A705" i="4"/>
  <c r="E703" i="4"/>
  <c r="C702" i="4"/>
  <c r="A701" i="4"/>
  <c r="E699" i="4"/>
  <c r="C698" i="4"/>
  <c r="A697" i="4"/>
  <c r="E695" i="4"/>
  <c r="C694" i="4"/>
  <c r="A693" i="4"/>
  <c r="E691" i="4"/>
  <c r="C690" i="4"/>
  <c r="A689" i="4"/>
  <c r="E687" i="4"/>
  <c r="C686" i="4"/>
  <c r="A685" i="4"/>
  <c r="E683" i="4"/>
  <c r="C682" i="4"/>
  <c r="A953" i="4"/>
  <c r="F895" i="4"/>
  <c r="A881" i="4"/>
  <c r="F867" i="4"/>
  <c r="B857" i="4"/>
  <c r="D846" i="4"/>
  <c r="F835" i="4"/>
  <c r="B825" i="4"/>
  <c r="D814" i="4"/>
  <c r="F803" i="4"/>
  <c r="B793" i="4"/>
  <c r="D782" i="4"/>
  <c r="B773" i="4"/>
  <c r="F767" i="4"/>
  <c r="D762" i="4"/>
  <c r="B757" i="4"/>
  <c r="C753" i="4"/>
  <c r="E750" i="4"/>
  <c r="A748" i="4"/>
  <c r="C745" i="4"/>
  <c r="F742" i="4"/>
  <c r="F740" i="4"/>
  <c r="B739" i="4"/>
  <c r="E737" i="4"/>
  <c r="B736" i="4"/>
  <c r="E734" i="4"/>
  <c r="B733" i="4"/>
  <c r="D731" i="4"/>
  <c r="A730" i="4"/>
  <c r="E728" i="4"/>
  <c r="C727" i="4"/>
  <c r="A726" i="4"/>
  <c r="E724" i="4"/>
  <c r="C723" i="4"/>
  <c r="A722" i="4"/>
  <c r="E720" i="4"/>
  <c r="C719" i="4"/>
  <c r="A718" i="4"/>
  <c r="E716" i="4"/>
  <c r="C715" i="4"/>
  <c r="A714" i="4"/>
  <c r="E712" i="4"/>
  <c r="C711" i="4"/>
  <c r="A710" i="4"/>
  <c r="E708" i="4"/>
  <c r="C707" i="4"/>
  <c r="A706" i="4"/>
  <c r="E704" i="4"/>
  <c r="C703" i="4"/>
  <c r="A702" i="4"/>
  <c r="E700" i="4"/>
  <c r="C699" i="4"/>
  <c r="A698" i="4"/>
  <c r="E696" i="4"/>
  <c r="C695" i="4"/>
  <c r="A694" i="4"/>
  <c r="E692" i="4"/>
  <c r="C691" i="4"/>
  <c r="A690" i="4"/>
  <c r="E688" i="4"/>
  <c r="C687" i="4"/>
  <c r="A686" i="4"/>
  <c r="E684" i="4"/>
  <c r="C683" i="4"/>
  <c r="A682" i="4"/>
  <c r="E680" i="4"/>
  <c r="C679" i="4"/>
  <c r="A678" i="4"/>
  <c r="E676" i="4"/>
  <c r="C675" i="4"/>
  <c r="A674" i="4"/>
  <c r="E672" i="4"/>
  <c r="C671" i="4"/>
  <c r="A670" i="4"/>
  <c r="E668" i="4"/>
  <c r="C667" i="4"/>
  <c r="A666" i="4"/>
  <c r="E664" i="4"/>
  <c r="C663" i="4"/>
  <c r="A662" i="4"/>
  <c r="E660" i="4"/>
  <c r="C659" i="4"/>
  <c r="A658" i="4"/>
  <c r="E656" i="4"/>
  <c r="C655" i="4"/>
  <c r="A654" i="4"/>
  <c r="E652" i="4"/>
  <c r="C651" i="4"/>
  <c r="A650" i="4"/>
  <c r="E648" i="4"/>
  <c r="C647" i="4"/>
  <c r="A646" i="4"/>
  <c r="E644" i="4"/>
  <c r="C643" i="4"/>
  <c r="A642" i="4"/>
  <c r="E640" i="4"/>
  <c r="C639" i="4"/>
  <c r="A638" i="4"/>
  <c r="E636" i="4"/>
  <c r="C635" i="4"/>
  <c r="A634" i="4"/>
  <c r="E632" i="4"/>
  <c r="C631" i="4"/>
  <c r="A630" i="4"/>
  <c r="E628" i="4"/>
  <c r="C627" i="4"/>
  <c r="A626" i="4"/>
  <c r="E624" i="4"/>
  <c r="C623" i="4"/>
  <c r="A622" i="4"/>
  <c r="E620" i="4"/>
  <c r="C619" i="4"/>
  <c r="A618" i="4"/>
  <c r="E616" i="4"/>
  <c r="C615" i="4"/>
  <c r="A614" i="4"/>
  <c r="E612" i="4"/>
  <c r="C611" i="4"/>
  <c r="A610" i="4"/>
  <c r="E608" i="4"/>
  <c r="C607" i="4"/>
  <c r="A606" i="4"/>
  <c r="E604" i="4"/>
  <c r="C603" i="4"/>
  <c r="A602" i="4"/>
  <c r="E600" i="4"/>
  <c r="C599" i="4"/>
  <c r="E963" i="4"/>
  <c r="F815" i="4"/>
  <c r="F753" i="4"/>
  <c r="C736" i="4"/>
  <c r="F724" i="4"/>
  <c r="B714" i="4"/>
  <c r="D703" i="4"/>
  <c r="F692" i="4"/>
  <c r="B682" i="4"/>
  <c r="F676" i="4"/>
  <c r="D671" i="4"/>
  <c r="B666" i="4"/>
  <c r="F660" i="4"/>
  <c r="D655" i="4"/>
  <c r="B650" i="4"/>
  <c r="F644" i="4"/>
  <c r="D639" i="4"/>
  <c r="B634" i="4"/>
  <c r="F628" i="4"/>
  <c r="D623" i="4"/>
  <c r="B618" i="4"/>
  <c r="F612" i="4"/>
  <c r="F608" i="4"/>
  <c r="A605" i="4"/>
  <c r="B601" i="4"/>
  <c r="C598" i="4"/>
  <c r="A596" i="4"/>
  <c r="B594" i="4"/>
  <c r="F591" i="4"/>
  <c r="A590" i="4"/>
  <c r="E587" i="4"/>
  <c r="C585" i="4"/>
  <c r="D583" i="4"/>
  <c r="B581" i="4"/>
  <c r="C579" i="4"/>
  <c r="A577" i="4"/>
  <c r="E574" i="4"/>
  <c r="F572" i="4"/>
  <c r="E570" i="4"/>
  <c r="B569" i="4"/>
  <c r="F567" i="4"/>
  <c r="D566" i="4"/>
  <c r="B565" i="4"/>
  <c r="F563" i="4"/>
  <c r="D562" i="4"/>
  <c r="B561" i="4"/>
  <c r="F559" i="4"/>
  <c r="D558" i="4"/>
  <c r="B557" i="4"/>
  <c r="F555" i="4"/>
  <c r="D554" i="4"/>
  <c r="B553" i="4"/>
  <c r="F551" i="4"/>
  <c r="D550" i="4"/>
  <c r="B549" i="4"/>
  <c r="F547" i="4"/>
  <c r="D546" i="4"/>
  <c r="B545" i="4"/>
  <c r="F543" i="4"/>
  <c r="D542" i="4"/>
  <c r="B541" i="4"/>
  <c r="F539" i="4"/>
  <c r="D538" i="4"/>
  <c r="B537" i="4"/>
  <c r="F535" i="4"/>
  <c r="D534" i="4"/>
  <c r="B533" i="4"/>
  <c r="F531" i="4"/>
  <c r="D530" i="4"/>
  <c r="B529" i="4"/>
  <c r="F527" i="4"/>
  <c r="D526" i="4"/>
  <c r="B525" i="4"/>
  <c r="F523" i="4"/>
  <c r="D522" i="4"/>
  <c r="B521" i="4"/>
  <c r="F519" i="4"/>
  <c r="D518" i="4"/>
  <c r="B517" i="4"/>
  <c r="F515" i="4"/>
  <c r="D514" i="4"/>
  <c r="B513" i="4"/>
  <c r="F511" i="4"/>
  <c r="D510" i="4"/>
  <c r="B509" i="4"/>
  <c r="F507" i="4"/>
  <c r="D506" i="4"/>
  <c r="B505" i="4"/>
  <c r="F503" i="4"/>
  <c r="D502" i="4"/>
  <c r="B501" i="4"/>
  <c r="F499" i="4"/>
  <c r="D498" i="4"/>
  <c r="B497" i="4"/>
  <c r="F495" i="4"/>
  <c r="D494" i="4"/>
  <c r="B493" i="4"/>
  <c r="F491" i="4"/>
  <c r="D490" i="4"/>
  <c r="B489" i="4"/>
  <c r="F487" i="4"/>
  <c r="D486" i="4"/>
  <c r="B485" i="4"/>
  <c r="F483" i="4"/>
  <c r="D482" i="4"/>
  <c r="B481" i="4"/>
  <c r="F479" i="4"/>
  <c r="D478" i="4"/>
  <c r="B477" i="4"/>
  <c r="F475" i="4"/>
  <c r="D474" i="4"/>
  <c r="B473" i="4"/>
  <c r="F471" i="4"/>
  <c r="D470" i="4"/>
  <c r="B469" i="4"/>
  <c r="F467" i="4"/>
  <c r="D466" i="4"/>
  <c r="B465" i="4"/>
  <c r="F463" i="4"/>
  <c r="D462" i="4"/>
  <c r="B461" i="4"/>
  <c r="F459" i="4"/>
  <c r="D458" i="4"/>
  <c r="B457" i="4"/>
  <c r="F455" i="4"/>
  <c r="D454" i="4"/>
  <c r="B453" i="4"/>
  <c r="F451" i="4"/>
  <c r="D450" i="4"/>
  <c r="B449" i="4"/>
  <c r="F447" i="4"/>
  <c r="D446" i="4"/>
  <c r="B445" i="4"/>
  <c r="D898" i="4"/>
  <c r="B805" i="4"/>
  <c r="A751" i="4"/>
  <c r="F734" i="4"/>
  <c r="D723" i="4"/>
  <c r="F712" i="4"/>
  <c r="B702" i="4"/>
  <c r="D691" i="4"/>
  <c r="A681" i="4"/>
  <c r="E675" i="4"/>
  <c r="C670" i="4"/>
  <c r="A665" i="4"/>
  <c r="E659" i="4"/>
  <c r="C654" i="4"/>
  <c r="A649" i="4"/>
  <c r="E643" i="4"/>
  <c r="C638" i="4"/>
  <c r="A633" i="4"/>
  <c r="E627" i="4"/>
  <c r="C622" i="4"/>
  <c r="A617" i="4"/>
  <c r="E611" i="4"/>
  <c r="F607" i="4"/>
  <c r="F604" i="4"/>
  <c r="A601" i="4"/>
  <c r="B598" i="4"/>
  <c r="F595" i="4"/>
  <c r="A594" i="4"/>
  <c r="E591" i="4"/>
  <c r="C589" i="4"/>
  <c r="D587" i="4"/>
  <c r="B585" i="4"/>
  <c r="C583" i="4"/>
  <c r="A581" i="4"/>
  <c r="E578" i="4"/>
  <c r="F576" i="4"/>
  <c r="D574" i="4"/>
  <c r="E572" i="4"/>
  <c r="D570" i="4"/>
  <c r="A569" i="4"/>
  <c r="E567" i="4"/>
  <c r="C566" i="4"/>
  <c r="A565" i="4"/>
  <c r="E563" i="4"/>
  <c r="C562" i="4"/>
  <c r="A561" i="4"/>
  <c r="E559" i="4"/>
  <c r="C558" i="4"/>
  <c r="A557" i="4"/>
  <c r="E555" i="4"/>
  <c r="C554" i="4"/>
  <c r="A553" i="4"/>
  <c r="E551" i="4"/>
  <c r="C550" i="4"/>
  <c r="A549" i="4"/>
  <c r="E547" i="4"/>
  <c r="C546" i="4"/>
  <c r="A545" i="4"/>
  <c r="E543" i="4"/>
  <c r="C542" i="4"/>
  <c r="A541" i="4"/>
  <c r="E539" i="4"/>
  <c r="C538" i="4"/>
  <c r="A537" i="4"/>
  <c r="E535" i="4"/>
  <c r="C534" i="4"/>
  <c r="A533" i="4"/>
  <c r="E531" i="4"/>
  <c r="C530" i="4"/>
  <c r="A529" i="4"/>
  <c r="E527" i="4"/>
  <c r="C526" i="4"/>
  <c r="A525" i="4"/>
  <c r="E523" i="4"/>
  <c r="C522" i="4"/>
  <c r="A521" i="4"/>
  <c r="E519" i="4"/>
  <c r="C518" i="4"/>
  <c r="A517" i="4"/>
  <c r="E515" i="4"/>
  <c r="C514" i="4"/>
  <c r="A513" i="4"/>
  <c r="E511" i="4"/>
  <c r="C510" i="4"/>
  <c r="A509" i="4"/>
  <c r="E507" i="4"/>
  <c r="C506" i="4"/>
  <c r="A505" i="4"/>
  <c r="E503" i="4"/>
  <c r="C502" i="4"/>
  <c r="A501" i="4"/>
  <c r="E499" i="4"/>
  <c r="C498" i="4"/>
  <c r="A497" i="4"/>
  <c r="E495" i="4"/>
  <c r="C494" i="4"/>
  <c r="A493" i="4"/>
  <c r="E491" i="4"/>
  <c r="C490" i="4"/>
  <c r="A489" i="4"/>
  <c r="E487" i="4"/>
  <c r="C486" i="4"/>
  <c r="A485" i="4"/>
  <c r="E483" i="4"/>
  <c r="C482" i="4"/>
  <c r="A481" i="4"/>
  <c r="E479" i="4"/>
  <c r="C478" i="4"/>
  <c r="A477" i="4"/>
  <c r="E475" i="4"/>
  <c r="C474" i="4"/>
  <c r="A473" i="4"/>
  <c r="E471" i="4"/>
  <c r="C470" i="4"/>
  <c r="A469" i="4"/>
  <c r="E467" i="4"/>
  <c r="C466" i="4"/>
  <c r="A465" i="4"/>
  <c r="E463" i="4"/>
  <c r="C462" i="4"/>
  <c r="A461" i="4"/>
  <c r="E459" i="4"/>
  <c r="C458" i="4"/>
  <c r="A457" i="4"/>
  <c r="E455" i="4"/>
  <c r="C454" i="4"/>
  <c r="A453" i="4"/>
  <c r="E451" i="4"/>
  <c r="C450" i="4"/>
  <c r="A449" i="4"/>
  <c r="E447" i="4"/>
  <c r="C446" i="4"/>
  <c r="A445" i="4"/>
  <c r="E443" i="4"/>
  <c r="C442" i="4"/>
  <c r="A441" i="4"/>
  <c r="E439" i="4"/>
  <c r="C438" i="4"/>
  <c r="A437" i="4"/>
  <c r="E435" i="4"/>
  <c r="C434" i="4"/>
  <c r="A433" i="4"/>
  <c r="E431" i="4"/>
  <c r="C430" i="4"/>
  <c r="E882" i="4"/>
  <c r="D794" i="4"/>
  <c r="C748" i="4"/>
  <c r="C733" i="4"/>
  <c r="B722" i="4"/>
  <c r="D711" i="4"/>
  <c r="F700" i="4"/>
  <c r="B690" i="4"/>
  <c r="F680" i="4"/>
  <c r="D675" i="4"/>
  <c r="B670" i="4"/>
  <c r="F664" i="4"/>
  <c r="D659" i="4"/>
  <c r="B654" i="4"/>
  <c r="F648" i="4"/>
  <c r="D643" i="4"/>
  <c r="B638" i="4"/>
  <c r="F632" i="4"/>
  <c r="D627" i="4"/>
  <c r="B622" i="4"/>
  <c r="F616" i="4"/>
  <c r="D611" i="4"/>
  <c r="E607" i="4"/>
  <c r="F603" i="4"/>
  <c r="F600" i="4"/>
  <c r="A598" i="4"/>
  <c r="E595" i="4"/>
  <c r="C593" i="4"/>
  <c r="D591" i="4"/>
  <c r="B589" i="4"/>
  <c r="C587" i="4"/>
  <c r="A585" i="4"/>
  <c r="E582" i="4"/>
  <c r="F580" i="4"/>
  <c r="D578" i="4"/>
  <c r="E576" i="4"/>
  <c r="C574" i="4"/>
  <c r="A572" i="4"/>
  <c r="C570" i="4"/>
  <c r="F568" i="4"/>
  <c r="D567" i="4"/>
  <c r="B566" i="4"/>
  <c r="F564" i="4"/>
  <c r="D563" i="4"/>
  <c r="B562" i="4"/>
  <c r="F560" i="4"/>
  <c r="D559" i="4"/>
  <c r="B558" i="4"/>
  <c r="F556" i="4"/>
  <c r="D555" i="4"/>
  <c r="B554" i="4"/>
  <c r="F552" i="4"/>
  <c r="D551" i="4"/>
  <c r="B550" i="4"/>
  <c r="F548" i="4"/>
  <c r="D547" i="4"/>
  <c r="B546" i="4"/>
  <c r="F544" i="4"/>
  <c r="D543" i="4"/>
  <c r="B542" i="4"/>
  <c r="F540" i="4"/>
  <c r="D539" i="4"/>
  <c r="B538" i="4"/>
  <c r="F536" i="4"/>
  <c r="D535" i="4"/>
  <c r="B534" i="4"/>
  <c r="F532" i="4"/>
  <c r="D531" i="4"/>
  <c r="B530" i="4"/>
  <c r="F528" i="4"/>
  <c r="D527" i="4"/>
  <c r="B526" i="4"/>
  <c r="F524" i="4"/>
  <c r="D523" i="4"/>
  <c r="B522" i="4"/>
  <c r="F520" i="4"/>
  <c r="D519" i="4"/>
  <c r="B518" i="4"/>
  <c r="F516" i="4"/>
  <c r="D515" i="4"/>
  <c r="B514" i="4"/>
  <c r="F512" i="4"/>
  <c r="D511" i="4"/>
  <c r="B510" i="4"/>
  <c r="F508" i="4"/>
  <c r="D507" i="4"/>
  <c r="B506" i="4"/>
  <c r="F504" i="4"/>
  <c r="D503" i="4"/>
  <c r="B502" i="4"/>
  <c r="F500" i="4"/>
  <c r="D499" i="4"/>
  <c r="B498" i="4"/>
  <c r="F496" i="4"/>
  <c r="D495" i="4"/>
  <c r="B494" i="4"/>
  <c r="F492" i="4"/>
  <c r="D491" i="4"/>
  <c r="B490" i="4"/>
  <c r="F488" i="4"/>
  <c r="D487" i="4"/>
  <c r="B486" i="4"/>
  <c r="F484" i="4"/>
  <c r="D483" i="4"/>
  <c r="B482" i="4"/>
  <c r="F480" i="4"/>
  <c r="D479" i="4"/>
  <c r="B478" i="4"/>
  <c r="F476" i="4"/>
  <c r="D475" i="4"/>
  <c r="B474" i="4"/>
  <c r="F472" i="4"/>
  <c r="D471" i="4"/>
  <c r="B470" i="4"/>
  <c r="F468" i="4"/>
  <c r="D467" i="4"/>
  <c r="B466" i="4"/>
  <c r="F464" i="4"/>
  <c r="D463" i="4"/>
  <c r="B462" i="4"/>
  <c r="F460" i="4"/>
  <c r="D459" i="4"/>
  <c r="B458" i="4"/>
  <c r="F456" i="4"/>
  <c r="D455" i="4"/>
  <c r="B454" i="4"/>
  <c r="F452" i="4"/>
  <c r="D451" i="4"/>
  <c r="B450" i="4"/>
  <c r="F448" i="4"/>
  <c r="D447" i="4"/>
  <c r="B446" i="4"/>
  <c r="F444" i="4"/>
  <c r="B869" i="4"/>
  <c r="F783" i="4"/>
  <c r="E745" i="4"/>
  <c r="F731" i="4"/>
  <c r="F720" i="4"/>
  <c r="B710" i="4"/>
  <c r="D699" i="4"/>
  <c r="F688" i="4"/>
  <c r="E679" i="4"/>
  <c r="C674" i="4"/>
  <c r="A669" i="4"/>
  <c r="E663" i="4"/>
  <c r="C658" i="4"/>
  <c r="A653" i="4"/>
  <c r="E647" i="4"/>
  <c r="C642" i="4"/>
  <c r="A637" i="4"/>
  <c r="E631" i="4"/>
  <c r="C626" i="4"/>
  <c r="A621" i="4"/>
  <c r="E615" i="4"/>
  <c r="D610" i="4"/>
  <c r="D607" i="4"/>
  <c r="E603" i="4"/>
  <c r="F599" i="4"/>
  <c r="C597" i="4"/>
  <c r="D595" i="4"/>
  <c r="B593" i="4"/>
  <c r="C591" i="4"/>
  <c r="A589" i="4"/>
  <c r="E586" i="4"/>
  <c r="F584" i="4"/>
  <c r="D582" i="4"/>
  <c r="E580" i="4"/>
  <c r="C578" i="4"/>
  <c r="A576" i="4"/>
  <c r="B574" i="4"/>
  <c r="F571" i="4"/>
  <c r="B570" i="4"/>
  <c r="E568" i="4"/>
  <c r="C567" i="4"/>
  <c r="A566" i="4"/>
  <c r="E564" i="4"/>
  <c r="C563" i="4"/>
  <c r="A562" i="4"/>
  <c r="E560" i="4"/>
  <c r="C559" i="4"/>
  <c r="A558" i="4"/>
  <c r="E556" i="4"/>
  <c r="C555" i="4"/>
  <c r="A554" i="4"/>
  <c r="E552" i="4"/>
  <c r="C551" i="4"/>
  <c r="A550" i="4"/>
  <c r="E548" i="4"/>
  <c r="C547" i="4"/>
  <c r="A546" i="4"/>
  <c r="E544" i="4"/>
  <c r="C543" i="4"/>
  <c r="A542" i="4"/>
  <c r="E540" i="4"/>
  <c r="C539" i="4"/>
  <c r="A538" i="4"/>
  <c r="E536" i="4"/>
  <c r="C535" i="4"/>
  <c r="A534" i="4"/>
  <c r="E532" i="4"/>
  <c r="C531" i="4"/>
  <c r="A530" i="4"/>
  <c r="E528" i="4"/>
  <c r="C527" i="4"/>
  <c r="A526" i="4"/>
  <c r="E524" i="4"/>
  <c r="C523" i="4"/>
  <c r="A522" i="4"/>
  <c r="E520" i="4"/>
  <c r="C519" i="4"/>
  <c r="A518" i="4"/>
  <c r="E516" i="4"/>
  <c r="C515" i="4"/>
  <c r="A514" i="4"/>
  <c r="E512" i="4"/>
  <c r="C511" i="4"/>
  <c r="A510" i="4"/>
  <c r="E508" i="4"/>
  <c r="C507" i="4"/>
  <c r="A506" i="4"/>
  <c r="E504" i="4"/>
  <c r="C503" i="4"/>
  <c r="A502" i="4"/>
  <c r="E500" i="4"/>
  <c r="C499" i="4"/>
  <c r="A498" i="4"/>
  <c r="E496" i="4"/>
  <c r="C495" i="4"/>
  <c r="A494" i="4"/>
  <c r="E492" i="4"/>
  <c r="C491" i="4"/>
  <c r="A490" i="4"/>
  <c r="E488" i="4"/>
  <c r="C487" i="4"/>
  <c r="A486" i="4"/>
  <c r="E484" i="4"/>
  <c r="C483" i="4"/>
  <c r="A482" i="4"/>
  <c r="E480" i="4"/>
  <c r="C479" i="4"/>
  <c r="A478" i="4"/>
  <c r="E476" i="4"/>
  <c r="C475" i="4"/>
  <c r="A474" i="4"/>
  <c r="E472" i="4"/>
  <c r="C471" i="4"/>
  <c r="A470" i="4"/>
  <c r="E468" i="4"/>
  <c r="C467" i="4"/>
  <c r="A466" i="4"/>
  <c r="E464" i="4"/>
  <c r="C463" i="4"/>
  <c r="A462" i="4"/>
  <c r="E460" i="4"/>
  <c r="C459" i="4"/>
  <c r="A458" i="4"/>
  <c r="E456" i="4"/>
  <c r="C455" i="4"/>
  <c r="A454" i="4"/>
  <c r="E452" i="4"/>
  <c r="C451" i="4"/>
  <c r="A450" i="4"/>
  <c r="E448" i="4"/>
  <c r="C447" i="4"/>
  <c r="A446" i="4"/>
  <c r="E444" i="4"/>
  <c r="C443" i="4"/>
  <c r="A442" i="4"/>
  <c r="D858" i="4"/>
  <c r="F773" i="4"/>
  <c r="A743" i="4"/>
  <c r="B730" i="4"/>
  <c r="D719" i="4"/>
  <c r="F708" i="4"/>
  <c r="B698" i="4"/>
  <c r="D687" i="4"/>
  <c r="D679" i="4"/>
  <c r="B674" i="4"/>
  <c r="F668" i="4"/>
  <c r="D663" i="4"/>
  <c r="B658" i="4"/>
  <c r="F652" i="4"/>
  <c r="D647" i="4"/>
  <c r="B642" i="4"/>
  <c r="F636" i="4"/>
  <c r="D631" i="4"/>
  <c r="B626" i="4"/>
  <c r="F620" i="4"/>
  <c r="D615" i="4"/>
  <c r="C610" i="4"/>
  <c r="D606" i="4"/>
  <c r="D603" i="4"/>
  <c r="E599" i="4"/>
  <c r="B597" i="4"/>
  <c r="C595" i="4"/>
  <c r="A593" i="4"/>
  <c r="E590" i="4"/>
  <c r="F588" i="4"/>
  <c r="D586" i="4"/>
  <c r="E584" i="4"/>
  <c r="C582" i="4"/>
  <c r="A580" i="4"/>
  <c r="B578" i="4"/>
  <c r="F575" i="4"/>
  <c r="A574" i="4"/>
  <c r="E571" i="4"/>
  <c r="A570" i="4"/>
  <c r="D568" i="4"/>
  <c r="B567" i="4"/>
  <c r="F565" i="4"/>
  <c r="D564" i="4"/>
  <c r="B563" i="4"/>
  <c r="F561" i="4"/>
  <c r="D560" i="4"/>
  <c r="B559" i="4"/>
  <c r="F557" i="4"/>
  <c r="D556" i="4"/>
  <c r="B555" i="4"/>
  <c r="F553" i="4"/>
  <c r="D552" i="4"/>
  <c r="B551" i="4"/>
  <c r="F549" i="4"/>
  <c r="D548" i="4"/>
  <c r="B547" i="4"/>
  <c r="F545" i="4"/>
  <c r="D544" i="4"/>
  <c r="B543" i="4"/>
  <c r="F541" i="4"/>
  <c r="D540" i="4"/>
  <c r="B539" i="4"/>
  <c r="F537" i="4"/>
  <c r="D536" i="4"/>
  <c r="B535" i="4"/>
  <c r="F533" i="4"/>
  <c r="D532" i="4"/>
  <c r="B531" i="4"/>
  <c r="F529" i="4"/>
  <c r="D528" i="4"/>
  <c r="B527" i="4"/>
  <c r="F525" i="4"/>
  <c r="D524" i="4"/>
  <c r="B523" i="4"/>
  <c r="F521" i="4"/>
  <c r="D520" i="4"/>
  <c r="B519" i="4"/>
  <c r="F517" i="4"/>
  <c r="D516" i="4"/>
  <c r="B515" i="4"/>
  <c r="F513" i="4"/>
  <c r="D512" i="4"/>
  <c r="B511" i="4"/>
  <c r="F509" i="4"/>
  <c r="D508" i="4"/>
  <c r="B507" i="4"/>
  <c r="F505" i="4"/>
  <c r="D504" i="4"/>
  <c r="B503" i="4"/>
  <c r="F501" i="4"/>
  <c r="D500" i="4"/>
  <c r="B499" i="4"/>
  <c r="F497" i="4"/>
  <c r="D496" i="4"/>
  <c r="B495" i="4"/>
  <c r="F493" i="4"/>
  <c r="D492" i="4"/>
  <c r="B491" i="4"/>
  <c r="F489" i="4"/>
  <c r="D488" i="4"/>
  <c r="B487" i="4"/>
  <c r="F485" i="4"/>
  <c r="D484" i="4"/>
  <c r="B483" i="4"/>
  <c r="F481" i="4"/>
  <c r="D480" i="4"/>
  <c r="B479" i="4"/>
  <c r="F477" i="4"/>
  <c r="D476" i="4"/>
  <c r="B475" i="4"/>
  <c r="F473" i="4"/>
  <c r="D472" i="4"/>
  <c r="B471" i="4"/>
  <c r="F469" i="4"/>
  <c r="D468" i="4"/>
  <c r="B467" i="4"/>
  <c r="D826" i="4"/>
  <c r="F757" i="4"/>
  <c r="F737" i="4"/>
  <c r="B726" i="4"/>
  <c r="D715" i="4"/>
  <c r="F704" i="4"/>
  <c r="B694" i="4"/>
  <c r="D683" i="4"/>
  <c r="A677" i="4"/>
  <c r="E671" i="4"/>
  <c r="C666" i="4"/>
  <c r="A661" i="4"/>
  <c r="E655" i="4"/>
  <c r="C650" i="4"/>
  <c r="A645" i="4"/>
  <c r="E639" i="4"/>
  <c r="C634" i="4"/>
  <c r="A629" i="4"/>
  <c r="E623" i="4"/>
  <c r="C618" i="4"/>
  <c r="A613" i="4"/>
  <c r="A609" i="4"/>
  <c r="B605" i="4"/>
  <c r="B602" i="4"/>
  <c r="D598" i="4"/>
  <c r="E596" i="4"/>
  <c r="C594" i="4"/>
  <c r="A592" i="4"/>
  <c r="B590" i="4"/>
  <c r="F587" i="4"/>
  <c r="A586" i="4"/>
  <c r="E583" i="4"/>
  <c r="C581" i="4"/>
  <c r="D579" i="4"/>
  <c r="B577" i="4"/>
  <c r="C575" i="4"/>
  <c r="A573" i="4"/>
  <c r="A571" i="4"/>
  <c r="C569" i="4"/>
  <c r="A568" i="4"/>
  <c r="E566" i="4"/>
  <c r="C565" i="4"/>
  <c r="A564" i="4"/>
  <c r="E562" i="4"/>
  <c r="C561" i="4"/>
  <c r="A560" i="4"/>
  <c r="E558" i="4"/>
  <c r="C557" i="4"/>
  <c r="A556" i="4"/>
  <c r="E554" i="4"/>
  <c r="C553" i="4"/>
  <c r="A552" i="4"/>
  <c r="E550" i="4"/>
  <c r="C549" i="4"/>
  <c r="A548" i="4"/>
  <c r="E546" i="4"/>
  <c r="C545" i="4"/>
  <c r="A544" i="4"/>
  <c r="E542" i="4"/>
  <c r="C541" i="4"/>
  <c r="A540" i="4"/>
  <c r="E538" i="4"/>
  <c r="C537" i="4"/>
  <c r="A536" i="4"/>
  <c r="E534" i="4"/>
  <c r="C533" i="4"/>
  <c r="A532" i="4"/>
  <c r="E530" i="4"/>
  <c r="C529" i="4"/>
  <c r="A528" i="4"/>
  <c r="E526" i="4"/>
  <c r="C525" i="4"/>
  <c r="A524" i="4"/>
  <c r="E522" i="4"/>
  <c r="C521" i="4"/>
  <c r="A520" i="4"/>
  <c r="E518" i="4"/>
  <c r="C517" i="4"/>
  <c r="A516" i="4"/>
  <c r="E514" i="4"/>
  <c r="C513" i="4"/>
  <c r="A512" i="4"/>
  <c r="E510" i="4"/>
  <c r="C509" i="4"/>
  <c r="A508" i="4"/>
  <c r="E506" i="4"/>
  <c r="C505" i="4"/>
  <c r="A504" i="4"/>
  <c r="E502" i="4"/>
  <c r="C501" i="4"/>
  <c r="A500" i="4"/>
  <c r="E498" i="4"/>
  <c r="C497" i="4"/>
  <c r="A496" i="4"/>
  <c r="E494" i="4"/>
  <c r="C493" i="4"/>
  <c r="A492" i="4"/>
  <c r="E490" i="4"/>
  <c r="C489" i="4"/>
  <c r="A488" i="4"/>
  <c r="E486" i="4"/>
  <c r="C485" i="4"/>
  <c r="A484" i="4"/>
  <c r="E482" i="4"/>
  <c r="C481" i="4"/>
  <c r="A480" i="4"/>
  <c r="E478" i="4"/>
  <c r="C477" i="4"/>
  <c r="A476" i="4"/>
  <c r="E474" i="4"/>
  <c r="C473" i="4"/>
  <c r="A472" i="4"/>
  <c r="E470" i="4"/>
  <c r="C469" i="4"/>
  <c r="A468" i="4"/>
  <c r="E466" i="4"/>
  <c r="C465" i="4"/>
  <c r="A464" i="4"/>
  <c r="E462" i="4"/>
  <c r="C461" i="4"/>
  <c r="A460" i="4"/>
  <c r="E458" i="4"/>
  <c r="C457" i="4"/>
  <c r="A456" i="4"/>
  <c r="E454" i="4"/>
  <c r="C453" i="4"/>
  <c r="A452" i="4"/>
  <c r="F847" i="4"/>
  <c r="B718" i="4"/>
  <c r="C678" i="4"/>
  <c r="A657" i="4"/>
  <c r="E635" i="4"/>
  <c r="C614" i="4"/>
  <c r="D599" i="4"/>
  <c r="D590" i="4"/>
  <c r="B582" i="4"/>
  <c r="C573" i="4"/>
  <c r="A567" i="4"/>
  <c r="E561" i="4"/>
  <c r="C556" i="4"/>
  <c r="A551" i="4"/>
  <c r="E545" i="4"/>
  <c r="C540" i="4"/>
  <c r="A535" i="4"/>
  <c r="E529" i="4"/>
  <c r="C524" i="4"/>
  <c r="A519" i="4"/>
  <c r="E513" i="4"/>
  <c r="C508" i="4"/>
  <c r="A503" i="4"/>
  <c r="E497" i="4"/>
  <c r="C492" i="4"/>
  <c r="A487" i="4"/>
  <c r="E481" i="4"/>
  <c r="C476" i="4"/>
  <c r="A471" i="4"/>
  <c r="F465" i="4"/>
  <c r="F462" i="4"/>
  <c r="A459" i="4"/>
  <c r="B455" i="4"/>
  <c r="B452" i="4"/>
  <c r="C449" i="4"/>
  <c r="E446" i="4"/>
  <c r="A444" i="4"/>
  <c r="B442" i="4"/>
  <c r="D440" i="4"/>
  <c r="A439" i="4"/>
  <c r="D437" i="4"/>
  <c r="A436" i="4"/>
  <c r="D434" i="4"/>
  <c r="F432" i="4"/>
  <c r="C431" i="4"/>
  <c r="F429" i="4"/>
  <c r="D428" i="4"/>
  <c r="B427" i="4"/>
  <c r="F425" i="4"/>
  <c r="D424" i="4"/>
  <c r="B423" i="4"/>
  <c r="F421" i="4"/>
  <c r="D420" i="4"/>
  <c r="B419" i="4"/>
  <c r="F417" i="4"/>
  <c r="D416" i="4"/>
  <c r="B415" i="4"/>
  <c r="F413" i="4"/>
  <c r="D412" i="4"/>
  <c r="B411" i="4"/>
  <c r="F409" i="4"/>
  <c r="D408" i="4"/>
  <c r="B407" i="4"/>
  <c r="F405" i="4"/>
  <c r="D404" i="4"/>
  <c r="B403" i="4"/>
  <c r="F401" i="4"/>
  <c r="D400" i="4"/>
  <c r="B399" i="4"/>
  <c r="F397" i="4"/>
  <c r="D396" i="4"/>
  <c r="B395" i="4"/>
  <c r="F393" i="4"/>
  <c r="D392" i="4"/>
  <c r="B391" i="4"/>
  <c r="F389" i="4"/>
  <c r="D388" i="4"/>
  <c r="B387" i="4"/>
  <c r="F385" i="4"/>
  <c r="D384" i="4"/>
  <c r="B383" i="4"/>
  <c r="F381" i="4"/>
  <c r="D380" i="4"/>
  <c r="B379" i="4"/>
  <c r="F377" i="4"/>
  <c r="D376" i="4"/>
  <c r="B375" i="4"/>
  <c r="F373" i="4"/>
  <c r="D372" i="4"/>
  <c r="B371" i="4"/>
  <c r="F369" i="4"/>
  <c r="D368" i="4"/>
  <c r="B367" i="4"/>
  <c r="F365" i="4"/>
  <c r="D364" i="4"/>
  <c r="B363" i="4"/>
  <c r="F361" i="4"/>
  <c r="D360" i="4"/>
  <c r="B359" i="4"/>
  <c r="F357" i="4"/>
  <c r="D356" i="4"/>
  <c r="B355" i="4"/>
  <c r="F353" i="4"/>
  <c r="D352" i="4"/>
  <c r="B351" i="4"/>
  <c r="F349" i="4"/>
  <c r="D348" i="4"/>
  <c r="B347" i="4"/>
  <c r="F345" i="4"/>
  <c r="D344" i="4"/>
  <c r="B343" i="4"/>
  <c r="F341" i="4"/>
  <c r="D340" i="4"/>
  <c r="B339" i="4"/>
  <c r="F337" i="4"/>
  <c r="D336" i="4"/>
  <c r="B335" i="4"/>
  <c r="F333" i="4"/>
  <c r="D332" i="4"/>
  <c r="B331" i="4"/>
  <c r="F329" i="4"/>
  <c r="D328" i="4"/>
  <c r="B327" i="4"/>
  <c r="F325" i="4"/>
  <c r="D324" i="4"/>
  <c r="B323" i="4"/>
  <c r="F321" i="4"/>
  <c r="D320" i="4"/>
  <c r="B837" i="4"/>
  <c r="F716" i="4"/>
  <c r="B678" i="4"/>
  <c r="F656" i="4"/>
  <c r="D635" i="4"/>
  <c r="B614" i="4"/>
  <c r="E598" i="4"/>
  <c r="C590" i="4"/>
  <c r="A582" i="4"/>
  <c r="B573" i="4"/>
  <c r="F566" i="4"/>
  <c r="D561" i="4"/>
  <c r="B556" i="4"/>
  <c r="F550" i="4"/>
  <c r="D545" i="4"/>
  <c r="B540" i="4"/>
  <c r="F534" i="4"/>
  <c r="D529" i="4"/>
  <c r="B524" i="4"/>
  <c r="F518" i="4"/>
  <c r="D513" i="4"/>
  <c r="B508" i="4"/>
  <c r="F502" i="4"/>
  <c r="D497" i="4"/>
  <c r="B492" i="4"/>
  <c r="F486" i="4"/>
  <c r="D481" i="4"/>
  <c r="B476" i="4"/>
  <c r="F470" i="4"/>
  <c r="E465" i="4"/>
  <c r="F461" i="4"/>
  <c r="F458" i="4"/>
  <c r="A455" i="4"/>
  <c r="B451" i="4"/>
  <c r="D448" i="4"/>
  <c r="F445" i="4"/>
  <c r="F443" i="4"/>
  <c r="F441" i="4"/>
  <c r="C440" i="4"/>
  <c r="F438" i="4"/>
  <c r="C437" i="4"/>
  <c r="F435" i="4"/>
  <c r="B434" i="4"/>
  <c r="E432" i="4"/>
  <c r="B431" i="4"/>
  <c r="E429" i="4"/>
  <c r="C428" i="4"/>
  <c r="A427" i="4"/>
  <c r="E425" i="4"/>
  <c r="C424" i="4"/>
  <c r="A423" i="4"/>
  <c r="E421" i="4"/>
  <c r="C420" i="4"/>
  <c r="A419" i="4"/>
  <c r="E417" i="4"/>
  <c r="C416" i="4"/>
  <c r="A415" i="4"/>
  <c r="E413" i="4"/>
  <c r="C412" i="4"/>
  <c r="A411" i="4"/>
  <c r="E409" i="4"/>
  <c r="C408" i="4"/>
  <c r="A407" i="4"/>
  <c r="E405" i="4"/>
  <c r="C404" i="4"/>
  <c r="A403" i="4"/>
  <c r="E401" i="4"/>
  <c r="C400" i="4"/>
  <c r="A399" i="4"/>
  <c r="E397" i="4"/>
  <c r="C396" i="4"/>
  <c r="A395" i="4"/>
  <c r="E393" i="4"/>
  <c r="C392" i="4"/>
  <c r="A391" i="4"/>
  <c r="E389" i="4"/>
  <c r="C388" i="4"/>
  <c r="A387" i="4"/>
  <c r="E385" i="4"/>
  <c r="C384" i="4"/>
  <c r="A383" i="4"/>
  <c r="E381" i="4"/>
  <c r="C380" i="4"/>
  <c r="A379" i="4"/>
  <c r="E377" i="4"/>
  <c r="C376" i="4"/>
  <c r="A375" i="4"/>
  <c r="E373" i="4"/>
  <c r="C372" i="4"/>
  <c r="A371" i="4"/>
  <c r="E369" i="4"/>
  <c r="C368" i="4"/>
  <c r="A367" i="4"/>
  <c r="E365" i="4"/>
  <c r="C364" i="4"/>
  <c r="A363" i="4"/>
  <c r="E361" i="4"/>
  <c r="C360" i="4"/>
  <c r="A359" i="4"/>
  <c r="E357" i="4"/>
  <c r="C356" i="4"/>
  <c r="A355" i="4"/>
  <c r="E353" i="4"/>
  <c r="C352" i="4"/>
  <c r="A351" i="4"/>
  <c r="E349" i="4"/>
  <c r="C348" i="4"/>
  <c r="A347" i="4"/>
  <c r="E345" i="4"/>
  <c r="C344" i="4"/>
  <c r="A343" i="4"/>
  <c r="E341" i="4"/>
  <c r="C340" i="4"/>
  <c r="A339" i="4"/>
  <c r="E337" i="4"/>
  <c r="C336" i="4"/>
  <c r="A335" i="4"/>
  <c r="E333" i="4"/>
  <c r="C332" i="4"/>
  <c r="A331" i="4"/>
  <c r="E329" i="4"/>
  <c r="D768" i="4"/>
  <c r="D707" i="4"/>
  <c r="A673" i="4"/>
  <c r="E651" i="4"/>
  <c r="C630" i="4"/>
  <c r="B610" i="4"/>
  <c r="A597" i="4"/>
  <c r="E588" i="4"/>
  <c r="F579" i="4"/>
  <c r="D571" i="4"/>
  <c r="E565" i="4"/>
  <c r="C560" i="4"/>
  <c r="A555" i="4"/>
  <c r="E549" i="4"/>
  <c r="C544" i="4"/>
  <c r="A539" i="4"/>
  <c r="E533" i="4"/>
  <c r="C528" i="4"/>
  <c r="A523" i="4"/>
  <c r="E517" i="4"/>
  <c r="C512" i="4"/>
  <c r="A507" i="4"/>
  <c r="E501" i="4"/>
  <c r="C496" i="4"/>
  <c r="A491" i="4"/>
  <c r="E485" i="4"/>
  <c r="C480" i="4"/>
  <c r="A475" i="4"/>
  <c r="E469" i="4"/>
  <c r="D465" i="4"/>
  <c r="E461" i="4"/>
  <c r="F457" i="4"/>
  <c r="F454" i="4"/>
  <c r="A451" i="4"/>
  <c r="C448" i="4"/>
  <c r="E445" i="4"/>
  <c r="D443" i="4"/>
  <c r="E441" i="4"/>
  <c r="B440" i="4"/>
  <c r="E438" i="4"/>
  <c r="B437" i="4"/>
  <c r="D435" i="4"/>
  <c r="A434" i="4"/>
  <c r="D432" i="4"/>
  <c r="A431" i="4"/>
  <c r="D429" i="4"/>
  <c r="B428" i="4"/>
  <c r="F426" i="4"/>
  <c r="D425" i="4"/>
  <c r="B424" i="4"/>
  <c r="F422" i="4"/>
  <c r="D421" i="4"/>
  <c r="B420" i="4"/>
  <c r="F418" i="4"/>
  <c r="D417" i="4"/>
  <c r="B416" i="4"/>
  <c r="F414" i="4"/>
  <c r="D413" i="4"/>
  <c r="B412" i="4"/>
  <c r="F410" i="4"/>
  <c r="D409" i="4"/>
  <c r="B408" i="4"/>
  <c r="F406" i="4"/>
  <c r="D405" i="4"/>
  <c r="B404" i="4"/>
  <c r="F402" i="4"/>
  <c r="D401" i="4"/>
  <c r="B400" i="4"/>
  <c r="F398" i="4"/>
  <c r="D397" i="4"/>
  <c r="B396" i="4"/>
  <c r="F394" i="4"/>
  <c r="D393" i="4"/>
  <c r="B392" i="4"/>
  <c r="F390" i="4"/>
  <c r="D389" i="4"/>
  <c r="B388" i="4"/>
  <c r="F386" i="4"/>
  <c r="D385" i="4"/>
  <c r="B384" i="4"/>
  <c r="F382" i="4"/>
  <c r="D381" i="4"/>
  <c r="B380" i="4"/>
  <c r="F378" i="4"/>
  <c r="D377" i="4"/>
  <c r="B376" i="4"/>
  <c r="F374" i="4"/>
  <c r="D373" i="4"/>
  <c r="B372" i="4"/>
  <c r="F370" i="4"/>
  <c r="D369" i="4"/>
  <c r="B368" i="4"/>
  <c r="F366" i="4"/>
  <c r="D365" i="4"/>
  <c r="B364" i="4"/>
  <c r="F362" i="4"/>
  <c r="D361" i="4"/>
  <c r="B360" i="4"/>
  <c r="F358" i="4"/>
  <c r="D357" i="4"/>
  <c r="B356" i="4"/>
  <c r="F354" i="4"/>
  <c r="D353" i="4"/>
  <c r="B352" i="4"/>
  <c r="F350" i="4"/>
  <c r="D349" i="4"/>
  <c r="B348" i="4"/>
  <c r="F346" i="4"/>
  <c r="D345" i="4"/>
  <c r="B344" i="4"/>
  <c r="F342" i="4"/>
  <c r="D341" i="4"/>
  <c r="B340" i="4"/>
  <c r="F338" i="4"/>
  <c r="D337" i="4"/>
  <c r="B336" i="4"/>
  <c r="F334" i="4"/>
  <c r="D333" i="4"/>
  <c r="B332" i="4"/>
  <c r="F330" i="4"/>
  <c r="D329" i="4"/>
  <c r="B328" i="4"/>
  <c r="F326" i="4"/>
  <c r="D325" i="4"/>
  <c r="B763" i="4"/>
  <c r="B706" i="4"/>
  <c r="F672" i="4"/>
  <c r="D651" i="4"/>
  <c r="B630" i="4"/>
  <c r="B609" i="4"/>
  <c r="F596" i="4"/>
  <c r="A588" i="4"/>
  <c r="E579" i="4"/>
  <c r="C571" i="4"/>
  <c r="D565" i="4"/>
  <c r="B560" i="4"/>
  <c r="F554" i="4"/>
  <c r="D549" i="4"/>
  <c r="B544" i="4"/>
  <c r="F538" i="4"/>
  <c r="D533" i="4"/>
  <c r="B528" i="4"/>
  <c r="F522" i="4"/>
  <c r="D517" i="4"/>
  <c r="B512" i="4"/>
  <c r="F506" i="4"/>
  <c r="D501" i="4"/>
  <c r="B496" i="4"/>
  <c r="F490" i="4"/>
  <c r="D485" i="4"/>
  <c r="B480" i="4"/>
  <c r="F474" i="4"/>
  <c r="D469" i="4"/>
  <c r="D464" i="4"/>
  <c r="D461" i="4"/>
  <c r="E457" i="4"/>
  <c r="F453" i="4"/>
  <c r="F450" i="4"/>
  <c r="B448" i="4"/>
  <c r="D445" i="4"/>
  <c r="B443" i="4"/>
  <c r="D441" i="4"/>
  <c r="A440" i="4"/>
  <c r="D438" i="4"/>
  <c r="F436" i="4"/>
  <c r="C435" i="4"/>
  <c r="F433" i="4"/>
  <c r="C432" i="4"/>
  <c r="F430" i="4"/>
  <c r="C429" i="4"/>
  <c r="A428" i="4"/>
  <c r="E426" i="4"/>
  <c r="C425" i="4"/>
  <c r="A424" i="4"/>
  <c r="E422" i="4"/>
  <c r="C421" i="4"/>
  <c r="A420" i="4"/>
  <c r="E418" i="4"/>
  <c r="C417" i="4"/>
  <c r="A416" i="4"/>
  <c r="E414" i="4"/>
  <c r="C413" i="4"/>
  <c r="A412" i="4"/>
  <c r="E410" i="4"/>
  <c r="C409" i="4"/>
  <c r="A408" i="4"/>
  <c r="E406" i="4"/>
  <c r="C405" i="4"/>
  <c r="A404" i="4"/>
  <c r="E402" i="4"/>
  <c r="C401" i="4"/>
  <c r="A400" i="4"/>
  <c r="E398" i="4"/>
  <c r="C397" i="4"/>
  <c r="A396" i="4"/>
  <c r="E394" i="4"/>
  <c r="C393" i="4"/>
  <c r="A392" i="4"/>
  <c r="E390" i="4"/>
  <c r="C389" i="4"/>
  <c r="A388" i="4"/>
  <c r="E386" i="4"/>
  <c r="C385" i="4"/>
  <c r="A384" i="4"/>
  <c r="E382" i="4"/>
  <c r="C381" i="4"/>
  <c r="A380" i="4"/>
  <c r="E378" i="4"/>
  <c r="C377" i="4"/>
  <c r="A376" i="4"/>
  <c r="E374" i="4"/>
  <c r="C373" i="4"/>
  <c r="A372" i="4"/>
  <c r="E370" i="4"/>
  <c r="C369" i="4"/>
  <c r="A368" i="4"/>
  <c r="E366" i="4"/>
  <c r="C365" i="4"/>
  <c r="A364" i="4"/>
  <c r="E362" i="4"/>
  <c r="C361" i="4"/>
  <c r="A360" i="4"/>
  <c r="E358" i="4"/>
  <c r="C357" i="4"/>
  <c r="A356" i="4"/>
  <c r="E354" i="4"/>
  <c r="B741" i="4"/>
  <c r="F696" i="4"/>
  <c r="E667" i="4"/>
  <c r="C646" i="4"/>
  <c r="A625" i="4"/>
  <c r="C606" i="4"/>
  <c r="E594" i="4"/>
  <c r="C586" i="4"/>
  <c r="A578" i="4"/>
  <c r="F569" i="4"/>
  <c r="C564" i="4"/>
  <c r="A559" i="4"/>
  <c r="E553" i="4"/>
  <c r="C548" i="4"/>
  <c r="A543" i="4"/>
  <c r="E537" i="4"/>
  <c r="C532" i="4"/>
  <c r="A527" i="4"/>
  <c r="E521" i="4"/>
  <c r="C516" i="4"/>
  <c r="A511" i="4"/>
  <c r="E505" i="4"/>
  <c r="C500" i="4"/>
  <c r="A495" i="4"/>
  <c r="E489" i="4"/>
  <c r="C484" i="4"/>
  <c r="A479" i="4"/>
  <c r="E473" i="4"/>
  <c r="C468" i="4"/>
  <c r="C464" i="4"/>
  <c r="D460" i="4"/>
  <c r="D457" i="4"/>
  <c r="E453" i="4"/>
  <c r="E450" i="4"/>
  <c r="A448" i="4"/>
  <c r="C445" i="4"/>
  <c r="A443" i="4"/>
  <c r="C441" i="4"/>
  <c r="F439" i="4"/>
  <c r="B438" i="4"/>
  <c r="E436" i="4"/>
  <c r="B435" i="4"/>
  <c r="E433" i="4"/>
  <c r="B432" i="4"/>
  <c r="E430" i="4"/>
  <c r="B429" i="4"/>
  <c r="F427" i="4"/>
  <c r="D426" i="4"/>
  <c r="B425" i="4"/>
  <c r="F423" i="4"/>
  <c r="D422" i="4"/>
  <c r="B421" i="4"/>
  <c r="F419" i="4"/>
  <c r="D418" i="4"/>
  <c r="B417" i="4"/>
  <c r="F415" i="4"/>
  <c r="D414" i="4"/>
  <c r="B413" i="4"/>
  <c r="F411" i="4"/>
  <c r="D410" i="4"/>
  <c r="B409" i="4"/>
  <c r="F407" i="4"/>
  <c r="D406" i="4"/>
  <c r="B405" i="4"/>
  <c r="F403" i="4"/>
  <c r="D402" i="4"/>
  <c r="B401" i="4"/>
  <c r="F399" i="4"/>
  <c r="D398" i="4"/>
  <c r="B397" i="4"/>
  <c r="F395" i="4"/>
  <c r="D394" i="4"/>
  <c r="B393" i="4"/>
  <c r="F391" i="4"/>
  <c r="D390" i="4"/>
  <c r="B389" i="4"/>
  <c r="F387" i="4"/>
  <c r="D386" i="4"/>
  <c r="B385" i="4"/>
  <c r="F383" i="4"/>
  <c r="D382" i="4"/>
  <c r="B381" i="4"/>
  <c r="F379" i="4"/>
  <c r="D378" i="4"/>
  <c r="B377" i="4"/>
  <c r="F375" i="4"/>
  <c r="D374" i="4"/>
  <c r="B373" i="4"/>
  <c r="F371" i="4"/>
  <c r="D370" i="4"/>
  <c r="B369" i="4"/>
  <c r="F367" i="4"/>
  <c r="D366" i="4"/>
  <c r="B365" i="4"/>
  <c r="F363" i="4"/>
  <c r="D362" i="4"/>
  <c r="B361" i="4"/>
  <c r="F359" i="4"/>
  <c r="D358" i="4"/>
  <c r="B357" i="4"/>
  <c r="F355" i="4"/>
  <c r="D354" i="4"/>
  <c r="B353" i="4"/>
  <c r="F351" i="4"/>
  <c r="D350" i="4"/>
  <c r="B349" i="4"/>
  <c r="F347" i="4"/>
  <c r="D346" i="4"/>
  <c r="B345" i="4"/>
  <c r="F343" i="4"/>
  <c r="D342" i="4"/>
  <c r="B341" i="4"/>
  <c r="F339" i="4"/>
  <c r="D338" i="4"/>
  <c r="B337" i="4"/>
  <c r="F335" i="4"/>
  <c r="D334" i="4"/>
  <c r="B333" i="4"/>
  <c r="F331" i="4"/>
  <c r="D330" i="4"/>
  <c r="B329" i="4"/>
  <c r="F327" i="4"/>
  <c r="D326" i="4"/>
  <c r="B325" i="4"/>
  <c r="F323" i="4"/>
  <c r="D322" i="4"/>
  <c r="B321" i="4"/>
  <c r="C739" i="4"/>
  <c r="D695" i="4"/>
  <c r="D667" i="4"/>
  <c r="B646" i="4"/>
  <c r="F624" i="4"/>
  <c r="B606" i="4"/>
  <c r="D594" i="4"/>
  <c r="B586" i="4"/>
  <c r="C577" i="4"/>
  <c r="E569" i="4"/>
  <c r="B564" i="4"/>
  <c r="F558" i="4"/>
  <c r="D553" i="4"/>
  <c r="B548" i="4"/>
  <c r="F542" i="4"/>
  <c r="D537" i="4"/>
  <c r="B532" i="4"/>
  <c r="F526" i="4"/>
  <c r="D521" i="4"/>
  <c r="B516" i="4"/>
  <c r="F510" i="4"/>
  <c r="D505" i="4"/>
  <c r="B500" i="4"/>
  <c r="F494" i="4"/>
  <c r="D489" i="4"/>
  <c r="B484" i="4"/>
  <c r="F478" i="4"/>
  <c r="D473" i="4"/>
  <c r="B468" i="4"/>
  <c r="B464" i="4"/>
  <c r="C460" i="4"/>
  <c r="D456" i="4"/>
  <c r="D453" i="4"/>
  <c r="F449" i="4"/>
  <c r="B447" i="4"/>
  <c r="D444" i="4"/>
  <c r="F442" i="4"/>
  <c r="B441" i="4"/>
  <c r="D439" i="4"/>
  <c r="A438" i="4"/>
  <c r="D436" i="4"/>
  <c r="A435" i="4"/>
  <c r="D433" i="4"/>
  <c r="A432" i="4"/>
  <c r="D430" i="4"/>
  <c r="A429" i="4"/>
  <c r="E427" i="4"/>
  <c r="C426" i="4"/>
  <c r="A425" i="4"/>
  <c r="E423" i="4"/>
  <c r="C422" i="4"/>
  <c r="A421" i="4"/>
  <c r="E419" i="4"/>
  <c r="C418" i="4"/>
  <c r="A417" i="4"/>
  <c r="E415" i="4"/>
  <c r="C414" i="4"/>
  <c r="A413" i="4"/>
  <c r="E411" i="4"/>
  <c r="C410" i="4"/>
  <c r="A409" i="4"/>
  <c r="E407" i="4"/>
  <c r="C406" i="4"/>
  <c r="A405" i="4"/>
  <c r="E403" i="4"/>
  <c r="C402" i="4"/>
  <c r="A401" i="4"/>
  <c r="E399" i="4"/>
  <c r="C398" i="4"/>
  <c r="A397" i="4"/>
  <c r="E395" i="4"/>
  <c r="C394" i="4"/>
  <c r="A393" i="4"/>
  <c r="E391" i="4"/>
  <c r="C390" i="4"/>
  <c r="A389" i="4"/>
  <c r="E387" i="4"/>
  <c r="C386" i="4"/>
  <c r="A385" i="4"/>
  <c r="E383" i="4"/>
  <c r="C382" i="4"/>
  <c r="A381" i="4"/>
  <c r="E379" i="4"/>
  <c r="C378" i="4"/>
  <c r="A377" i="4"/>
  <c r="E375" i="4"/>
  <c r="C374" i="4"/>
  <c r="A373" i="4"/>
  <c r="E371" i="4"/>
  <c r="C370" i="4"/>
  <c r="A369" i="4"/>
  <c r="E367" i="4"/>
  <c r="C366" i="4"/>
  <c r="A365" i="4"/>
  <c r="E363" i="4"/>
  <c r="C362" i="4"/>
  <c r="A361" i="4"/>
  <c r="E359" i="4"/>
  <c r="C358" i="4"/>
  <c r="A357" i="4"/>
  <c r="E355" i="4"/>
  <c r="C354" i="4"/>
  <c r="A353" i="4"/>
  <c r="E351" i="4"/>
  <c r="C350" i="4"/>
  <c r="A349" i="4"/>
  <c r="E347" i="4"/>
  <c r="C346" i="4"/>
  <c r="A345" i="4"/>
  <c r="E343" i="4"/>
  <c r="C342" i="4"/>
  <c r="A341" i="4"/>
  <c r="F728" i="4"/>
  <c r="B686" i="4"/>
  <c r="C662" i="4"/>
  <c r="A641" i="4"/>
  <c r="E619" i="4"/>
  <c r="D602" i="4"/>
  <c r="F592" i="4"/>
  <c r="A584" i="4"/>
  <c r="E575" i="4"/>
  <c r="C568" i="4"/>
  <c r="A563" i="4"/>
  <c r="E557" i="4"/>
  <c r="C552" i="4"/>
  <c r="A547" i="4"/>
  <c r="E541" i="4"/>
  <c r="C536" i="4"/>
  <c r="A531" i="4"/>
  <c r="E525" i="4"/>
  <c r="C520" i="4"/>
  <c r="A515" i="4"/>
  <c r="E509" i="4"/>
  <c r="C504" i="4"/>
  <c r="A499" i="4"/>
  <c r="E493" i="4"/>
  <c r="C488" i="4"/>
  <c r="D727" i="4"/>
  <c r="D575" i="4"/>
  <c r="F530" i="4"/>
  <c r="B488" i="4"/>
  <c r="F466" i="4"/>
  <c r="C452" i="4"/>
  <c r="D442" i="4"/>
  <c r="B436" i="4"/>
  <c r="A430" i="4"/>
  <c r="E424" i="4"/>
  <c r="C419" i="4"/>
  <c r="A414" i="4"/>
  <c r="E408" i="4"/>
  <c r="C403" i="4"/>
  <c r="A398" i="4"/>
  <c r="E392" i="4"/>
  <c r="C387" i="4"/>
  <c r="A382" i="4"/>
  <c r="E376" i="4"/>
  <c r="C371" i="4"/>
  <c r="A366" i="4"/>
  <c r="E360" i="4"/>
  <c r="C355" i="4"/>
  <c r="C351" i="4"/>
  <c r="D347" i="4"/>
  <c r="A344" i="4"/>
  <c r="E340" i="4"/>
  <c r="A338" i="4"/>
  <c r="C335" i="4"/>
  <c r="E332" i="4"/>
  <c r="A330" i="4"/>
  <c r="D327" i="4"/>
  <c r="C325" i="4"/>
  <c r="D323" i="4"/>
  <c r="E321" i="4"/>
  <c r="A320" i="4"/>
  <c r="E318" i="4"/>
  <c r="C317" i="4"/>
  <c r="A316" i="4"/>
  <c r="E314" i="4"/>
  <c r="C313" i="4"/>
  <c r="A312" i="4"/>
  <c r="E310" i="4"/>
  <c r="C309" i="4"/>
  <c r="A308" i="4"/>
  <c r="E306" i="4"/>
  <c r="C305" i="4"/>
  <c r="A304" i="4"/>
  <c r="E302" i="4"/>
  <c r="C301" i="4"/>
  <c r="A300" i="4"/>
  <c r="E298" i="4"/>
  <c r="C297" i="4"/>
  <c r="A296" i="4"/>
  <c r="E294" i="4"/>
  <c r="C293" i="4"/>
  <c r="A292" i="4"/>
  <c r="E290" i="4"/>
  <c r="C289" i="4"/>
  <c r="A288" i="4"/>
  <c r="E286" i="4"/>
  <c r="C285" i="4"/>
  <c r="A284" i="4"/>
  <c r="E282" i="4"/>
  <c r="C281" i="4"/>
  <c r="A280" i="4"/>
  <c r="E278" i="4"/>
  <c r="C277" i="4"/>
  <c r="A276" i="4"/>
  <c r="E274" i="4"/>
  <c r="C273" i="4"/>
  <c r="A272" i="4"/>
  <c r="E270" i="4"/>
  <c r="C269" i="4"/>
  <c r="A268" i="4"/>
  <c r="E266" i="4"/>
  <c r="C265" i="4"/>
  <c r="A264" i="4"/>
  <c r="E262" i="4"/>
  <c r="C261" i="4"/>
  <c r="A260" i="4"/>
  <c r="E258" i="4"/>
  <c r="C257" i="4"/>
  <c r="A256" i="4"/>
  <c r="E254" i="4"/>
  <c r="C253" i="4"/>
  <c r="A252" i="4"/>
  <c r="E250" i="4"/>
  <c r="C249" i="4"/>
  <c r="A248" i="4"/>
  <c r="E246" i="4"/>
  <c r="C245" i="4"/>
  <c r="A244" i="4"/>
  <c r="E242" i="4"/>
  <c r="C241" i="4"/>
  <c r="A240" i="4"/>
  <c r="E238" i="4"/>
  <c r="C237" i="4"/>
  <c r="A236" i="4"/>
  <c r="E234" i="4"/>
  <c r="C233" i="4"/>
  <c r="A232" i="4"/>
  <c r="E230" i="4"/>
  <c r="C229" i="4"/>
  <c r="A228" i="4"/>
  <c r="E226" i="4"/>
  <c r="C225" i="4"/>
  <c r="A224" i="4"/>
  <c r="E222" i="4"/>
  <c r="C221" i="4"/>
  <c r="A220" i="4"/>
  <c r="E218" i="4"/>
  <c r="C217" i="4"/>
  <c r="A216" i="4"/>
  <c r="E214" i="4"/>
  <c r="C213" i="4"/>
  <c r="A212" i="4"/>
  <c r="E210" i="4"/>
  <c r="C209" i="4"/>
  <c r="A208" i="4"/>
  <c r="E206" i="4"/>
  <c r="C205" i="4"/>
  <c r="A204" i="4"/>
  <c r="E202" i="4"/>
  <c r="C201" i="4"/>
  <c r="A200" i="4"/>
  <c r="E198" i="4"/>
  <c r="C197" i="4"/>
  <c r="A196" i="4"/>
  <c r="E194" i="4"/>
  <c r="C193" i="4"/>
  <c r="A192" i="4"/>
  <c r="E190" i="4"/>
  <c r="C189" i="4"/>
  <c r="A188" i="4"/>
  <c r="E186" i="4"/>
  <c r="C185" i="4"/>
  <c r="A184" i="4"/>
  <c r="E182" i="4"/>
  <c r="C181" i="4"/>
  <c r="A180" i="4"/>
  <c r="E178" i="4"/>
  <c r="C177" i="4"/>
  <c r="A176" i="4"/>
  <c r="E174" i="4"/>
  <c r="C173" i="4"/>
  <c r="A172" i="4"/>
  <c r="E170" i="4"/>
  <c r="C169" i="4"/>
  <c r="A168" i="4"/>
  <c r="E166" i="4"/>
  <c r="C165" i="4"/>
  <c r="A164" i="4"/>
  <c r="E162" i="4"/>
  <c r="C161" i="4"/>
  <c r="A160" i="4"/>
  <c r="E158" i="4"/>
  <c r="C157" i="4"/>
  <c r="A156" i="4"/>
  <c r="E154" i="4"/>
  <c r="C153" i="4"/>
  <c r="A152" i="4"/>
  <c r="E150" i="4"/>
  <c r="C149" i="4"/>
  <c r="A148" i="4"/>
  <c r="E146" i="4"/>
  <c r="C145" i="4"/>
  <c r="A144" i="4"/>
  <c r="E142" i="4"/>
  <c r="C141" i="4"/>
  <c r="A140" i="4"/>
  <c r="E138" i="4"/>
  <c r="C137" i="4"/>
  <c r="A136" i="4"/>
  <c r="E134" i="4"/>
  <c r="C133" i="4"/>
  <c r="A132" i="4"/>
  <c r="E130" i="4"/>
  <c r="C129" i="4"/>
  <c r="A128" i="4"/>
  <c r="E126" i="4"/>
  <c r="C125" i="4"/>
  <c r="A124" i="4"/>
  <c r="E122" i="4"/>
  <c r="C121" i="4"/>
  <c r="A120" i="4"/>
  <c r="E118" i="4"/>
  <c r="C117" i="4"/>
  <c r="A116" i="4"/>
  <c r="E114" i="4"/>
  <c r="C113" i="4"/>
  <c r="A112" i="4"/>
  <c r="E110" i="4"/>
  <c r="C109" i="4"/>
  <c r="A108" i="4"/>
  <c r="E106" i="4"/>
  <c r="C105" i="4"/>
  <c r="A104" i="4"/>
  <c r="E102" i="4"/>
  <c r="C101" i="4"/>
  <c r="A100" i="4"/>
  <c r="E98" i="4"/>
  <c r="C97" i="4"/>
  <c r="A96" i="4"/>
  <c r="E94" i="4"/>
  <c r="C93" i="4"/>
  <c r="A92" i="4"/>
  <c r="E90" i="4"/>
  <c r="C89" i="4"/>
  <c r="A88" i="4"/>
  <c r="E86" i="4"/>
  <c r="C85" i="4"/>
  <c r="A84" i="4"/>
  <c r="E82" i="4"/>
  <c r="C81" i="4"/>
  <c r="A80" i="4"/>
  <c r="E78" i="4"/>
  <c r="C77" i="4"/>
  <c r="A76" i="4"/>
  <c r="E74" i="4"/>
  <c r="C73" i="4"/>
  <c r="A72" i="4"/>
  <c r="E70" i="4"/>
  <c r="C69" i="4"/>
  <c r="A68" i="4"/>
  <c r="E66" i="4"/>
  <c r="C65" i="4"/>
  <c r="A64" i="4"/>
  <c r="E62" i="4"/>
  <c r="C61" i="4"/>
  <c r="A60" i="4"/>
  <c r="E58" i="4"/>
  <c r="C57" i="4"/>
  <c r="A56" i="4"/>
  <c r="E54" i="4"/>
  <c r="C53" i="4"/>
  <c r="A52" i="4"/>
  <c r="E50" i="4"/>
  <c r="C49" i="4"/>
  <c r="A48" i="4"/>
  <c r="E46" i="4"/>
  <c r="C45" i="4"/>
  <c r="A44" i="4"/>
  <c r="E42" i="4"/>
  <c r="C41" i="4"/>
  <c r="A40" i="4"/>
  <c r="E38" i="4"/>
  <c r="C37" i="4"/>
  <c r="A36" i="4"/>
  <c r="E34" i="4"/>
  <c r="F684" i="4"/>
  <c r="B568" i="4"/>
  <c r="D525" i="4"/>
  <c r="A483" i="4"/>
  <c r="B463" i="4"/>
  <c r="E449" i="4"/>
  <c r="F440" i="4"/>
  <c r="F434" i="4"/>
  <c r="F428" i="4"/>
  <c r="D423" i="4"/>
  <c r="B418" i="4"/>
  <c r="F412" i="4"/>
  <c r="D407" i="4"/>
  <c r="B402" i="4"/>
  <c r="F396" i="4"/>
  <c r="D391" i="4"/>
  <c r="B386" i="4"/>
  <c r="F380" i="4"/>
  <c r="D375" i="4"/>
  <c r="B370" i="4"/>
  <c r="F364" i="4"/>
  <c r="D359" i="4"/>
  <c r="B354" i="4"/>
  <c r="E350" i="4"/>
  <c r="C347" i="4"/>
  <c r="D343" i="4"/>
  <c r="A340" i="4"/>
  <c r="C337" i="4"/>
  <c r="E334" i="4"/>
  <c r="A332" i="4"/>
  <c r="C329" i="4"/>
  <c r="C327" i="4"/>
  <c r="A325" i="4"/>
  <c r="C323" i="4"/>
  <c r="D321" i="4"/>
  <c r="F319" i="4"/>
  <c r="D318" i="4"/>
  <c r="B317" i="4"/>
  <c r="F315" i="4"/>
  <c r="D314" i="4"/>
  <c r="B313" i="4"/>
  <c r="F311" i="4"/>
  <c r="D310" i="4"/>
  <c r="B309" i="4"/>
  <c r="F307" i="4"/>
  <c r="D306" i="4"/>
  <c r="B305" i="4"/>
  <c r="F303" i="4"/>
  <c r="D302" i="4"/>
  <c r="B301" i="4"/>
  <c r="F299" i="4"/>
  <c r="D298" i="4"/>
  <c r="B297" i="4"/>
  <c r="F295" i="4"/>
  <c r="D294" i="4"/>
  <c r="B293" i="4"/>
  <c r="F291" i="4"/>
  <c r="D290" i="4"/>
  <c r="B289" i="4"/>
  <c r="F287" i="4"/>
  <c r="D286" i="4"/>
  <c r="B285" i="4"/>
  <c r="F283" i="4"/>
  <c r="D282" i="4"/>
  <c r="B281" i="4"/>
  <c r="F279" i="4"/>
  <c r="D278" i="4"/>
  <c r="B277" i="4"/>
  <c r="F275" i="4"/>
  <c r="D274" i="4"/>
  <c r="B273" i="4"/>
  <c r="F271" i="4"/>
  <c r="D270" i="4"/>
  <c r="B269" i="4"/>
  <c r="F267" i="4"/>
  <c r="D266" i="4"/>
  <c r="B265" i="4"/>
  <c r="F263" i="4"/>
  <c r="D262" i="4"/>
  <c r="B261" i="4"/>
  <c r="F259" i="4"/>
  <c r="D258" i="4"/>
  <c r="B257" i="4"/>
  <c r="F255" i="4"/>
  <c r="D254" i="4"/>
  <c r="B253" i="4"/>
  <c r="F251" i="4"/>
  <c r="D250" i="4"/>
  <c r="B249" i="4"/>
  <c r="F247" i="4"/>
  <c r="D246" i="4"/>
  <c r="B245" i="4"/>
  <c r="F243" i="4"/>
  <c r="D242" i="4"/>
  <c r="B241" i="4"/>
  <c r="F239" i="4"/>
  <c r="D238" i="4"/>
  <c r="B237" i="4"/>
  <c r="F235" i="4"/>
  <c r="D234" i="4"/>
  <c r="B233" i="4"/>
  <c r="F231" i="4"/>
  <c r="D230" i="4"/>
  <c r="B229" i="4"/>
  <c r="F227" i="4"/>
  <c r="D226" i="4"/>
  <c r="B225" i="4"/>
  <c r="F223" i="4"/>
  <c r="D222" i="4"/>
  <c r="B221" i="4"/>
  <c r="F219" i="4"/>
  <c r="D218" i="4"/>
  <c r="B217" i="4"/>
  <c r="F215" i="4"/>
  <c r="D214" i="4"/>
  <c r="B213" i="4"/>
  <c r="F211" i="4"/>
  <c r="D210" i="4"/>
  <c r="B209" i="4"/>
  <c r="F207" i="4"/>
  <c r="D206" i="4"/>
  <c r="B205" i="4"/>
  <c r="F203" i="4"/>
  <c r="D202" i="4"/>
  <c r="B201" i="4"/>
  <c r="F199" i="4"/>
  <c r="D198" i="4"/>
  <c r="B197" i="4"/>
  <c r="F195" i="4"/>
  <c r="D194" i="4"/>
  <c r="B193" i="4"/>
  <c r="F191" i="4"/>
  <c r="D190" i="4"/>
  <c r="B189" i="4"/>
  <c r="F187" i="4"/>
  <c r="D186" i="4"/>
  <c r="B185" i="4"/>
  <c r="F183" i="4"/>
  <c r="D182" i="4"/>
  <c r="B181" i="4"/>
  <c r="F179" i="4"/>
  <c r="D178" i="4"/>
  <c r="B177" i="4"/>
  <c r="F175" i="4"/>
  <c r="D174" i="4"/>
  <c r="B173" i="4"/>
  <c r="F171" i="4"/>
  <c r="D170" i="4"/>
  <c r="B169" i="4"/>
  <c r="F167" i="4"/>
  <c r="D166" i="4"/>
  <c r="B165" i="4"/>
  <c r="F163" i="4"/>
  <c r="D162" i="4"/>
  <c r="B161" i="4"/>
  <c r="F159" i="4"/>
  <c r="D158" i="4"/>
  <c r="B157" i="4"/>
  <c r="F155" i="4"/>
  <c r="D154" i="4"/>
  <c r="B153" i="4"/>
  <c r="F151" i="4"/>
  <c r="D150" i="4"/>
  <c r="B149" i="4"/>
  <c r="F147" i="4"/>
  <c r="D146" i="4"/>
  <c r="B145" i="4"/>
  <c r="F143" i="4"/>
  <c r="D142" i="4"/>
  <c r="B141" i="4"/>
  <c r="F139" i="4"/>
  <c r="D138" i="4"/>
  <c r="B137" i="4"/>
  <c r="F135" i="4"/>
  <c r="D134" i="4"/>
  <c r="B133" i="4"/>
  <c r="F131" i="4"/>
  <c r="D130" i="4"/>
  <c r="B129" i="4"/>
  <c r="F127" i="4"/>
  <c r="D126" i="4"/>
  <c r="B125" i="4"/>
  <c r="F123" i="4"/>
  <c r="D122" i="4"/>
  <c r="B121" i="4"/>
  <c r="F119" i="4"/>
  <c r="D118" i="4"/>
  <c r="B117" i="4"/>
  <c r="F115" i="4"/>
  <c r="D114" i="4"/>
  <c r="B113" i="4"/>
  <c r="F111" i="4"/>
  <c r="D110" i="4"/>
  <c r="B109" i="4"/>
  <c r="F107" i="4"/>
  <c r="D106" i="4"/>
  <c r="B105" i="4"/>
  <c r="F103" i="4"/>
  <c r="D102" i="4"/>
  <c r="B101" i="4"/>
  <c r="F99" i="4"/>
  <c r="D98" i="4"/>
  <c r="B97" i="4"/>
  <c r="F95" i="4"/>
  <c r="D94" i="4"/>
  <c r="B93" i="4"/>
  <c r="F91" i="4"/>
  <c r="D90" i="4"/>
  <c r="B89" i="4"/>
  <c r="F87" i="4"/>
  <c r="D86" i="4"/>
  <c r="B85" i="4"/>
  <c r="F83" i="4"/>
  <c r="D82" i="4"/>
  <c r="B81" i="4"/>
  <c r="F79" i="4"/>
  <c r="D78" i="4"/>
  <c r="B77" i="4"/>
  <c r="F75" i="4"/>
  <c r="D74" i="4"/>
  <c r="B73" i="4"/>
  <c r="F71" i="4"/>
  <c r="D70" i="4"/>
  <c r="B69" i="4"/>
  <c r="F67" i="4"/>
  <c r="D66" i="4"/>
  <c r="B65" i="4"/>
  <c r="F63" i="4"/>
  <c r="D62" i="4"/>
  <c r="B61" i="4"/>
  <c r="F59" i="4"/>
  <c r="D58" i="4"/>
  <c r="B57" i="4"/>
  <c r="F55" i="4"/>
  <c r="D54" i="4"/>
  <c r="B53" i="4"/>
  <c r="F51" i="4"/>
  <c r="D50" i="4"/>
  <c r="B49" i="4"/>
  <c r="F47" i="4"/>
  <c r="D46" i="4"/>
  <c r="B45" i="4"/>
  <c r="F43" i="4"/>
  <c r="D42" i="4"/>
  <c r="B41" i="4"/>
  <c r="F39" i="4"/>
  <c r="D38" i="4"/>
  <c r="B37" i="4"/>
  <c r="F35" i="4"/>
  <c r="D34" i="4"/>
  <c r="B33" i="4"/>
  <c r="F31" i="4"/>
  <c r="B662" i="4"/>
  <c r="F562" i="4"/>
  <c r="B520" i="4"/>
  <c r="F482" i="4"/>
  <c r="A463" i="4"/>
  <c r="D449" i="4"/>
  <c r="E440" i="4"/>
  <c r="E434" i="4"/>
  <c r="E428" i="4"/>
  <c r="C423" i="4"/>
  <c r="A418" i="4"/>
  <c r="E412" i="4"/>
  <c r="C407" i="4"/>
  <c r="A402" i="4"/>
  <c r="E396" i="4"/>
  <c r="C391" i="4"/>
  <c r="A386" i="4"/>
  <c r="E380" i="4"/>
  <c r="C375" i="4"/>
  <c r="A370" i="4"/>
  <c r="E364" i="4"/>
  <c r="C359" i="4"/>
  <c r="A354" i="4"/>
  <c r="B350" i="4"/>
  <c r="E346" i="4"/>
  <c r="C343" i="4"/>
  <c r="E339" i="4"/>
  <c r="A337" i="4"/>
  <c r="C334" i="4"/>
  <c r="E331" i="4"/>
  <c r="A329" i="4"/>
  <c r="A327" i="4"/>
  <c r="F324" i="4"/>
  <c r="A323" i="4"/>
  <c r="C321" i="4"/>
  <c r="E319" i="4"/>
  <c r="C318" i="4"/>
  <c r="A317" i="4"/>
  <c r="E315" i="4"/>
  <c r="C314" i="4"/>
  <c r="A313" i="4"/>
  <c r="E311" i="4"/>
  <c r="C310" i="4"/>
  <c r="A309" i="4"/>
  <c r="E307" i="4"/>
  <c r="C306" i="4"/>
  <c r="A305" i="4"/>
  <c r="E303" i="4"/>
  <c r="C302" i="4"/>
  <c r="A301" i="4"/>
  <c r="E299" i="4"/>
  <c r="C298" i="4"/>
  <c r="A297" i="4"/>
  <c r="E295" i="4"/>
  <c r="C294" i="4"/>
  <c r="A293" i="4"/>
  <c r="E291" i="4"/>
  <c r="C290" i="4"/>
  <c r="A289" i="4"/>
  <c r="E287" i="4"/>
  <c r="C286" i="4"/>
  <c r="A285" i="4"/>
  <c r="E283" i="4"/>
  <c r="C282" i="4"/>
  <c r="A281" i="4"/>
  <c r="E279" i="4"/>
  <c r="C278" i="4"/>
  <c r="A277" i="4"/>
  <c r="E275" i="4"/>
  <c r="C274" i="4"/>
  <c r="A273" i="4"/>
  <c r="E271" i="4"/>
  <c r="C270" i="4"/>
  <c r="A269" i="4"/>
  <c r="E267" i="4"/>
  <c r="C266" i="4"/>
  <c r="A265" i="4"/>
  <c r="E263" i="4"/>
  <c r="C262" i="4"/>
  <c r="A261" i="4"/>
  <c r="E259" i="4"/>
  <c r="C258" i="4"/>
  <c r="A257" i="4"/>
  <c r="E255" i="4"/>
  <c r="C254" i="4"/>
  <c r="A253" i="4"/>
  <c r="E251" i="4"/>
  <c r="C250" i="4"/>
  <c r="A249" i="4"/>
  <c r="E247" i="4"/>
  <c r="C246" i="4"/>
  <c r="A245" i="4"/>
  <c r="E243" i="4"/>
  <c r="C242" i="4"/>
  <c r="A241" i="4"/>
  <c r="E239" i="4"/>
  <c r="C238" i="4"/>
  <c r="A237" i="4"/>
  <c r="E235" i="4"/>
  <c r="C234" i="4"/>
  <c r="A233" i="4"/>
  <c r="E231" i="4"/>
  <c r="C230" i="4"/>
  <c r="A229" i="4"/>
  <c r="E227" i="4"/>
  <c r="C226" i="4"/>
  <c r="A225" i="4"/>
  <c r="E223" i="4"/>
  <c r="C222" i="4"/>
  <c r="A221" i="4"/>
  <c r="E219" i="4"/>
  <c r="C218" i="4"/>
  <c r="A217" i="4"/>
  <c r="E215" i="4"/>
  <c r="C214" i="4"/>
  <c r="A213" i="4"/>
  <c r="E211" i="4"/>
  <c r="C210" i="4"/>
  <c r="A209" i="4"/>
  <c r="E207" i="4"/>
  <c r="C206" i="4"/>
  <c r="A205" i="4"/>
  <c r="E203" i="4"/>
  <c r="C202" i="4"/>
  <c r="A201" i="4"/>
  <c r="E199" i="4"/>
  <c r="C198" i="4"/>
  <c r="A197" i="4"/>
  <c r="E195" i="4"/>
  <c r="C194" i="4"/>
  <c r="A193" i="4"/>
  <c r="E191" i="4"/>
  <c r="C190" i="4"/>
  <c r="A189" i="4"/>
  <c r="E187" i="4"/>
  <c r="C186" i="4"/>
  <c r="A185" i="4"/>
  <c r="E183" i="4"/>
  <c r="C182" i="4"/>
  <c r="A181" i="4"/>
  <c r="E179" i="4"/>
  <c r="C178" i="4"/>
  <c r="A177" i="4"/>
  <c r="E175" i="4"/>
  <c r="C174" i="4"/>
  <c r="A173" i="4"/>
  <c r="E171" i="4"/>
  <c r="C170" i="4"/>
  <c r="A169" i="4"/>
  <c r="E167" i="4"/>
  <c r="C166" i="4"/>
  <c r="A165" i="4"/>
  <c r="E163" i="4"/>
  <c r="C162" i="4"/>
  <c r="A161" i="4"/>
  <c r="E159" i="4"/>
  <c r="C158" i="4"/>
  <c r="A157" i="4"/>
  <c r="E155" i="4"/>
  <c r="C154" i="4"/>
  <c r="A153" i="4"/>
  <c r="E151" i="4"/>
  <c r="C150" i="4"/>
  <c r="A149" i="4"/>
  <c r="E147" i="4"/>
  <c r="C146" i="4"/>
  <c r="A145" i="4"/>
  <c r="E143" i="4"/>
  <c r="C142" i="4"/>
  <c r="A141" i="4"/>
  <c r="E139" i="4"/>
  <c r="C138" i="4"/>
  <c r="A137" i="4"/>
  <c r="E135" i="4"/>
  <c r="C134" i="4"/>
  <c r="A133" i="4"/>
  <c r="E131" i="4"/>
  <c r="C130" i="4"/>
  <c r="A129" i="4"/>
  <c r="E127" i="4"/>
  <c r="C126" i="4"/>
  <c r="A125" i="4"/>
  <c r="E123" i="4"/>
  <c r="C122" i="4"/>
  <c r="A121" i="4"/>
  <c r="E119" i="4"/>
  <c r="C118" i="4"/>
  <c r="A117" i="4"/>
  <c r="E115" i="4"/>
  <c r="C114" i="4"/>
  <c r="A113" i="4"/>
  <c r="E111" i="4"/>
  <c r="C110" i="4"/>
  <c r="A109" i="4"/>
  <c r="E107" i="4"/>
  <c r="C106" i="4"/>
  <c r="A105" i="4"/>
  <c r="E103" i="4"/>
  <c r="C102" i="4"/>
  <c r="A101" i="4"/>
  <c r="E99" i="4"/>
  <c r="C98" i="4"/>
  <c r="A97" i="4"/>
  <c r="E95" i="4"/>
  <c r="C94" i="4"/>
  <c r="A93" i="4"/>
  <c r="E91" i="4"/>
  <c r="C90" i="4"/>
  <c r="A89" i="4"/>
  <c r="E87" i="4"/>
  <c r="C86" i="4"/>
  <c r="A85" i="4"/>
  <c r="E83" i="4"/>
  <c r="C82" i="4"/>
  <c r="A81" i="4"/>
  <c r="E79" i="4"/>
  <c r="C78" i="4"/>
  <c r="A77" i="4"/>
  <c r="E75" i="4"/>
  <c r="C74" i="4"/>
  <c r="A73" i="4"/>
  <c r="E71" i="4"/>
  <c r="C70" i="4"/>
  <c r="A69" i="4"/>
  <c r="E67" i="4"/>
  <c r="C66" i="4"/>
  <c r="A65" i="4"/>
  <c r="E63" i="4"/>
  <c r="C62" i="4"/>
  <c r="A61" i="4"/>
  <c r="E59" i="4"/>
  <c r="C58" i="4"/>
  <c r="A57" i="4"/>
  <c r="E55" i="4"/>
  <c r="C54" i="4"/>
  <c r="A53" i="4"/>
  <c r="E51" i="4"/>
  <c r="C50" i="4"/>
  <c r="A49" i="4"/>
  <c r="E47" i="4"/>
  <c r="C46" i="4"/>
  <c r="A45" i="4"/>
  <c r="E43" i="4"/>
  <c r="C42" i="4"/>
  <c r="A41" i="4"/>
  <c r="E39" i="4"/>
  <c r="C38" i="4"/>
  <c r="A37" i="4"/>
  <c r="E35" i="4"/>
  <c r="C34" i="4"/>
  <c r="A33" i="4"/>
  <c r="F640" i="4"/>
  <c r="D557" i="4"/>
  <c r="F514" i="4"/>
  <c r="E477" i="4"/>
  <c r="B460" i="4"/>
  <c r="A447" i="4"/>
  <c r="C439" i="4"/>
  <c r="C433" i="4"/>
  <c r="D427" i="4"/>
  <c r="B422" i="4"/>
  <c r="F416" i="4"/>
  <c r="D411" i="4"/>
  <c r="B406" i="4"/>
  <c r="F400" i="4"/>
  <c r="D395" i="4"/>
  <c r="B390" i="4"/>
  <c r="F384" i="4"/>
  <c r="D379" i="4"/>
  <c r="B374" i="4"/>
  <c r="F368" i="4"/>
  <c r="D363" i="4"/>
  <c r="B358" i="4"/>
  <c r="C353" i="4"/>
  <c r="A350" i="4"/>
  <c r="B346" i="4"/>
  <c r="E342" i="4"/>
  <c r="D339" i="4"/>
  <c r="F336" i="4"/>
  <c r="B334" i="4"/>
  <c r="D331" i="4"/>
  <c r="F328" i="4"/>
  <c r="E326" i="4"/>
  <c r="E324" i="4"/>
  <c r="F322" i="4"/>
  <c r="A321" i="4"/>
  <c r="D319" i="4"/>
  <c r="B318" i="4"/>
  <c r="F316" i="4"/>
  <c r="D315" i="4"/>
  <c r="B314" i="4"/>
  <c r="F312" i="4"/>
  <c r="D311" i="4"/>
  <c r="B310" i="4"/>
  <c r="F308" i="4"/>
  <c r="D307" i="4"/>
  <c r="B306" i="4"/>
  <c r="F304" i="4"/>
  <c r="D303" i="4"/>
  <c r="B302" i="4"/>
  <c r="F300" i="4"/>
  <c r="D299" i="4"/>
  <c r="B298" i="4"/>
  <c r="F296" i="4"/>
  <c r="D295" i="4"/>
  <c r="B294" i="4"/>
  <c r="F292" i="4"/>
  <c r="D291" i="4"/>
  <c r="B290" i="4"/>
  <c r="F288" i="4"/>
  <c r="D287" i="4"/>
  <c r="B286" i="4"/>
  <c r="F284" i="4"/>
  <c r="D283" i="4"/>
  <c r="B282" i="4"/>
  <c r="F280" i="4"/>
  <c r="D279" i="4"/>
  <c r="B278" i="4"/>
  <c r="F276" i="4"/>
  <c r="D275" i="4"/>
  <c r="B274" i="4"/>
  <c r="F272" i="4"/>
  <c r="D271" i="4"/>
  <c r="B270" i="4"/>
  <c r="F268" i="4"/>
  <c r="D267" i="4"/>
  <c r="B266" i="4"/>
  <c r="F264" i="4"/>
  <c r="D263" i="4"/>
  <c r="B262" i="4"/>
  <c r="F260" i="4"/>
  <c r="D259" i="4"/>
  <c r="B258" i="4"/>
  <c r="F256" i="4"/>
  <c r="D255" i="4"/>
  <c r="B254" i="4"/>
  <c r="F252" i="4"/>
  <c r="D251" i="4"/>
  <c r="B250" i="4"/>
  <c r="F248" i="4"/>
  <c r="D247" i="4"/>
  <c r="B246" i="4"/>
  <c r="F244" i="4"/>
  <c r="D243" i="4"/>
  <c r="B242" i="4"/>
  <c r="F240" i="4"/>
  <c r="D239" i="4"/>
  <c r="B238" i="4"/>
  <c r="F236" i="4"/>
  <c r="D235" i="4"/>
  <c r="B234" i="4"/>
  <c r="F232" i="4"/>
  <c r="D231" i="4"/>
  <c r="B230" i="4"/>
  <c r="F228" i="4"/>
  <c r="D227" i="4"/>
  <c r="B226" i="4"/>
  <c r="F224" i="4"/>
  <c r="D223" i="4"/>
  <c r="B222" i="4"/>
  <c r="F220" i="4"/>
  <c r="D219" i="4"/>
  <c r="B218" i="4"/>
  <c r="F216" i="4"/>
  <c r="D215" i="4"/>
  <c r="B214" i="4"/>
  <c r="F212" i="4"/>
  <c r="D211" i="4"/>
  <c r="B210" i="4"/>
  <c r="F208" i="4"/>
  <c r="D207" i="4"/>
  <c r="B206" i="4"/>
  <c r="F204" i="4"/>
  <c r="D203" i="4"/>
  <c r="B202" i="4"/>
  <c r="F200" i="4"/>
  <c r="D199" i="4"/>
  <c r="B198" i="4"/>
  <c r="F196" i="4"/>
  <c r="D195" i="4"/>
  <c r="B194" i="4"/>
  <c r="F192" i="4"/>
  <c r="D191" i="4"/>
  <c r="B190" i="4"/>
  <c r="F188" i="4"/>
  <c r="D187" i="4"/>
  <c r="B186" i="4"/>
  <c r="F184" i="4"/>
  <c r="D183" i="4"/>
  <c r="B182" i="4"/>
  <c r="F180" i="4"/>
  <c r="D179" i="4"/>
  <c r="B178" i="4"/>
  <c r="F176" i="4"/>
  <c r="D175" i="4"/>
  <c r="B174" i="4"/>
  <c r="F172" i="4"/>
  <c r="D171" i="4"/>
  <c r="B170" i="4"/>
  <c r="F168" i="4"/>
  <c r="D167" i="4"/>
  <c r="B166" i="4"/>
  <c r="F164" i="4"/>
  <c r="D163" i="4"/>
  <c r="B162" i="4"/>
  <c r="F160" i="4"/>
  <c r="D159" i="4"/>
  <c r="B158" i="4"/>
  <c r="F156" i="4"/>
  <c r="D155" i="4"/>
  <c r="B154" i="4"/>
  <c r="F152" i="4"/>
  <c r="D151" i="4"/>
  <c r="B150" i="4"/>
  <c r="F148" i="4"/>
  <c r="D147" i="4"/>
  <c r="B146" i="4"/>
  <c r="F144" i="4"/>
  <c r="D143" i="4"/>
  <c r="B142" i="4"/>
  <c r="F140" i="4"/>
  <c r="D139" i="4"/>
  <c r="B138" i="4"/>
  <c r="F136" i="4"/>
  <c r="D135" i="4"/>
  <c r="B134" i="4"/>
  <c r="F132" i="4"/>
  <c r="D131" i="4"/>
  <c r="B130" i="4"/>
  <c r="F128" i="4"/>
  <c r="D127" i="4"/>
  <c r="B126" i="4"/>
  <c r="F124" i="4"/>
  <c r="D123" i="4"/>
  <c r="B122" i="4"/>
  <c r="F120" i="4"/>
  <c r="D119" i="4"/>
  <c r="B118" i="4"/>
  <c r="F116" i="4"/>
  <c r="D115" i="4"/>
  <c r="B114" i="4"/>
  <c r="F112" i="4"/>
  <c r="D111" i="4"/>
  <c r="B110" i="4"/>
  <c r="F108" i="4"/>
  <c r="D107" i="4"/>
  <c r="B106" i="4"/>
  <c r="F104" i="4"/>
  <c r="D103" i="4"/>
  <c r="B102" i="4"/>
  <c r="F100" i="4"/>
  <c r="D99" i="4"/>
  <c r="B98" i="4"/>
  <c r="F96" i="4"/>
  <c r="D95" i="4"/>
  <c r="B94" i="4"/>
  <c r="F92" i="4"/>
  <c r="D91" i="4"/>
  <c r="B90" i="4"/>
  <c r="F88" i="4"/>
  <c r="D87" i="4"/>
  <c r="B86" i="4"/>
  <c r="F84" i="4"/>
  <c r="D83" i="4"/>
  <c r="B82" i="4"/>
  <c r="F80" i="4"/>
  <c r="D79" i="4"/>
  <c r="B78" i="4"/>
  <c r="F76" i="4"/>
  <c r="D75" i="4"/>
  <c r="B74" i="4"/>
  <c r="F72" i="4"/>
  <c r="D71" i="4"/>
  <c r="B70" i="4"/>
  <c r="F68" i="4"/>
  <c r="D67" i="4"/>
  <c r="B66" i="4"/>
  <c r="F64" i="4"/>
  <c r="D63" i="4"/>
  <c r="B62" i="4"/>
  <c r="F60" i="4"/>
  <c r="D59" i="4"/>
  <c r="B58" i="4"/>
  <c r="F56" i="4"/>
  <c r="D55" i="4"/>
  <c r="B54" i="4"/>
  <c r="F52" i="4"/>
  <c r="D51" i="4"/>
  <c r="B50" i="4"/>
  <c r="F48" i="4"/>
  <c r="D47" i="4"/>
  <c r="B46" i="4"/>
  <c r="F44" i="4"/>
  <c r="D619" i="4"/>
  <c r="B552" i="4"/>
  <c r="D509" i="4"/>
  <c r="D477" i="4"/>
  <c r="B459" i="4"/>
  <c r="F446" i="4"/>
  <c r="B439" i="4"/>
  <c r="B433" i="4"/>
  <c r="C427" i="4"/>
  <c r="A422" i="4"/>
  <c r="E416" i="4"/>
  <c r="C411" i="4"/>
  <c r="A406" i="4"/>
  <c r="E400" i="4"/>
  <c r="C395" i="4"/>
  <c r="A390" i="4"/>
  <c r="E384" i="4"/>
  <c r="C379" i="4"/>
  <c r="A374" i="4"/>
  <c r="E368" i="4"/>
  <c r="C363" i="4"/>
  <c r="A358" i="4"/>
  <c r="F352" i="4"/>
  <c r="C349" i="4"/>
  <c r="A346" i="4"/>
  <c r="B342" i="4"/>
  <c r="C339" i="4"/>
  <c r="E336" i="4"/>
  <c r="A334" i="4"/>
  <c r="C331" i="4"/>
  <c r="E328" i="4"/>
  <c r="C326" i="4"/>
  <c r="C324" i="4"/>
  <c r="E322" i="4"/>
  <c r="F320" i="4"/>
  <c r="C319" i="4"/>
  <c r="A318" i="4"/>
  <c r="E316" i="4"/>
  <c r="C315" i="4"/>
  <c r="A314" i="4"/>
  <c r="E312" i="4"/>
  <c r="C311" i="4"/>
  <c r="A310" i="4"/>
  <c r="E308" i="4"/>
  <c r="C307" i="4"/>
  <c r="A306" i="4"/>
  <c r="E304" i="4"/>
  <c r="C303" i="4"/>
  <c r="A302" i="4"/>
  <c r="E300" i="4"/>
  <c r="C299" i="4"/>
  <c r="A298" i="4"/>
  <c r="E296" i="4"/>
  <c r="C295" i="4"/>
  <c r="A294" i="4"/>
  <c r="E292" i="4"/>
  <c r="C291" i="4"/>
  <c r="A290" i="4"/>
  <c r="E288" i="4"/>
  <c r="C287" i="4"/>
  <c r="A286" i="4"/>
  <c r="E284" i="4"/>
  <c r="C283" i="4"/>
  <c r="A282" i="4"/>
  <c r="E280" i="4"/>
  <c r="C279" i="4"/>
  <c r="A278" i="4"/>
  <c r="E276" i="4"/>
  <c r="C275" i="4"/>
  <c r="A274" i="4"/>
  <c r="E272" i="4"/>
  <c r="C271" i="4"/>
  <c r="A270" i="4"/>
  <c r="E268" i="4"/>
  <c r="C267" i="4"/>
  <c r="A266" i="4"/>
  <c r="E264" i="4"/>
  <c r="C263" i="4"/>
  <c r="A262" i="4"/>
  <c r="E260" i="4"/>
  <c r="C259" i="4"/>
  <c r="A258" i="4"/>
  <c r="E256" i="4"/>
  <c r="C255" i="4"/>
  <c r="A254" i="4"/>
  <c r="E252" i="4"/>
  <c r="C251" i="4"/>
  <c r="A250" i="4"/>
  <c r="E248" i="4"/>
  <c r="C247" i="4"/>
  <c r="A246" i="4"/>
  <c r="E244" i="4"/>
  <c r="C243" i="4"/>
  <c r="A242" i="4"/>
  <c r="E240" i="4"/>
  <c r="C239" i="4"/>
  <c r="A238" i="4"/>
  <c r="E236" i="4"/>
  <c r="C235" i="4"/>
  <c r="A234" i="4"/>
  <c r="E232" i="4"/>
  <c r="C231" i="4"/>
  <c r="A230" i="4"/>
  <c r="E228" i="4"/>
  <c r="C227" i="4"/>
  <c r="A226" i="4"/>
  <c r="E224" i="4"/>
  <c r="C223" i="4"/>
  <c r="A222" i="4"/>
  <c r="E220" i="4"/>
  <c r="C219" i="4"/>
  <c r="A218" i="4"/>
  <c r="E216" i="4"/>
  <c r="C215" i="4"/>
  <c r="A214" i="4"/>
  <c r="E212" i="4"/>
  <c r="C211" i="4"/>
  <c r="A210" i="4"/>
  <c r="E208" i="4"/>
  <c r="C207" i="4"/>
  <c r="A206" i="4"/>
  <c r="E204" i="4"/>
  <c r="C203" i="4"/>
  <c r="A202" i="4"/>
  <c r="E200" i="4"/>
  <c r="C199" i="4"/>
  <c r="A198" i="4"/>
  <c r="E196" i="4"/>
  <c r="C195" i="4"/>
  <c r="A194" i="4"/>
  <c r="E192" i="4"/>
  <c r="C191" i="4"/>
  <c r="A190" i="4"/>
  <c r="E188" i="4"/>
  <c r="C187" i="4"/>
  <c r="A186" i="4"/>
  <c r="E184" i="4"/>
  <c r="C183" i="4"/>
  <c r="A182" i="4"/>
  <c r="E180" i="4"/>
  <c r="C179" i="4"/>
  <c r="A178" i="4"/>
  <c r="E176" i="4"/>
  <c r="C175" i="4"/>
  <c r="A174" i="4"/>
  <c r="E172" i="4"/>
  <c r="C171" i="4"/>
  <c r="A170" i="4"/>
  <c r="E168" i="4"/>
  <c r="C167" i="4"/>
  <c r="A166" i="4"/>
  <c r="E164" i="4"/>
  <c r="C163" i="4"/>
  <c r="A162" i="4"/>
  <c r="E160" i="4"/>
  <c r="C159" i="4"/>
  <c r="A158" i="4"/>
  <c r="E156" i="4"/>
  <c r="C155" i="4"/>
  <c r="A154" i="4"/>
  <c r="E152" i="4"/>
  <c r="C151" i="4"/>
  <c r="A150" i="4"/>
  <c r="E148" i="4"/>
  <c r="C147" i="4"/>
  <c r="A146" i="4"/>
  <c r="E144" i="4"/>
  <c r="C143" i="4"/>
  <c r="A142" i="4"/>
  <c r="E140" i="4"/>
  <c r="C139" i="4"/>
  <c r="A138" i="4"/>
  <c r="E136" i="4"/>
  <c r="C135" i="4"/>
  <c r="A134" i="4"/>
  <c r="E132" i="4"/>
  <c r="C131" i="4"/>
  <c r="A130" i="4"/>
  <c r="E128" i="4"/>
  <c r="C127" i="4"/>
  <c r="A126" i="4"/>
  <c r="E124" i="4"/>
  <c r="C123" i="4"/>
  <c r="A122" i="4"/>
  <c r="E120" i="4"/>
  <c r="C119" i="4"/>
  <c r="A118" i="4"/>
  <c r="E116" i="4"/>
  <c r="C115" i="4"/>
  <c r="A114" i="4"/>
  <c r="E112" i="4"/>
  <c r="C111" i="4"/>
  <c r="A110" i="4"/>
  <c r="E108" i="4"/>
  <c r="C107" i="4"/>
  <c r="A106" i="4"/>
  <c r="E104" i="4"/>
  <c r="C103" i="4"/>
  <c r="A102" i="4"/>
  <c r="E100" i="4"/>
  <c r="C99" i="4"/>
  <c r="A98" i="4"/>
  <c r="E96" i="4"/>
  <c r="C95" i="4"/>
  <c r="A94" i="4"/>
  <c r="E92" i="4"/>
  <c r="C91" i="4"/>
  <c r="A90" i="4"/>
  <c r="E88" i="4"/>
  <c r="C87" i="4"/>
  <c r="A86" i="4"/>
  <c r="E84" i="4"/>
  <c r="C83" i="4"/>
  <c r="A82" i="4"/>
  <c r="E80" i="4"/>
  <c r="C79" i="4"/>
  <c r="A78" i="4"/>
  <c r="E76" i="4"/>
  <c r="C75" i="4"/>
  <c r="A74" i="4"/>
  <c r="E72" i="4"/>
  <c r="C71" i="4"/>
  <c r="A70" i="4"/>
  <c r="E68" i="4"/>
  <c r="C67" i="4"/>
  <c r="A66" i="4"/>
  <c r="E64" i="4"/>
  <c r="C63" i="4"/>
  <c r="A62" i="4"/>
  <c r="E60" i="4"/>
  <c r="C59" i="4"/>
  <c r="A58" i="4"/>
  <c r="E56" i="4"/>
  <c r="C55" i="4"/>
  <c r="A54" i="4"/>
  <c r="E52" i="4"/>
  <c r="C51" i="4"/>
  <c r="A50" i="4"/>
  <c r="E48" i="4"/>
  <c r="C47" i="4"/>
  <c r="A46" i="4"/>
  <c r="E44" i="4"/>
  <c r="C43" i="4"/>
  <c r="A42" i="4"/>
  <c r="E40" i="4"/>
  <c r="C39" i="4"/>
  <c r="A38" i="4"/>
  <c r="E36" i="4"/>
  <c r="C35" i="4"/>
  <c r="C602" i="4"/>
  <c r="F546" i="4"/>
  <c r="B504" i="4"/>
  <c r="C472" i="4"/>
  <c r="C456" i="4"/>
  <c r="C444" i="4"/>
  <c r="F437" i="4"/>
  <c r="F431" i="4"/>
  <c r="B426" i="4"/>
  <c r="F420" i="4"/>
  <c r="D415" i="4"/>
  <c r="B410" i="4"/>
  <c r="F404" i="4"/>
  <c r="D399" i="4"/>
  <c r="B394" i="4"/>
  <c r="F388" i="4"/>
  <c r="D383" i="4"/>
  <c r="B378" i="4"/>
  <c r="F372" i="4"/>
  <c r="D367" i="4"/>
  <c r="B362" i="4"/>
  <c r="F356" i="4"/>
  <c r="E352" i="4"/>
  <c r="F348" i="4"/>
  <c r="C345" i="4"/>
  <c r="A342" i="4"/>
  <c r="E338" i="4"/>
  <c r="A336" i="4"/>
  <c r="C333" i="4"/>
  <c r="E330" i="4"/>
  <c r="C328" i="4"/>
  <c r="B326" i="4"/>
  <c r="B324" i="4"/>
  <c r="C322" i="4"/>
  <c r="E320" i="4"/>
  <c r="B319" i="4"/>
  <c r="F317" i="4"/>
  <c r="D316" i="4"/>
  <c r="B315" i="4"/>
  <c r="F313" i="4"/>
  <c r="D312" i="4"/>
  <c r="B311" i="4"/>
  <c r="F309" i="4"/>
  <c r="D308" i="4"/>
  <c r="B307" i="4"/>
  <c r="F305" i="4"/>
  <c r="D304" i="4"/>
  <c r="B303" i="4"/>
  <c r="F301" i="4"/>
  <c r="D300" i="4"/>
  <c r="B299" i="4"/>
  <c r="F297" i="4"/>
  <c r="D296" i="4"/>
  <c r="B295" i="4"/>
  <c r="F293" i="4"/>
  <c r="D292" i="4"/>
  <c r="B291" i="4"/>
  <c r="F289" i="4"/>
  <c r="D288" i="4"/>
  <c r="B287" i="4"/>
  <c r="F285" i="4"/>
  <c r="D284" i="4"/>
  <c r="B283" i="4"/>
  <c r="F281" i="4"/>
  <c r="D280" i="4"/>
  <c r="B279" i="4"/>
  <c r="F277" i="4"/>
  <c r="D276" i="4"/>
  <c r="B275" i="4"/>
  <c r="F273" i="4"/>
  <c r="D272" i="4"/>
  <c r="B271" i="4"/>
  <c r="F269" i="4"/>
  <c r="D268" i="4"/>
  <c r="B267" i="4"/>
  <c r="F265" i="4"/>
  <c r="D264" i="4"/>
  <c r="B263" i="4"/>
  <c r="F261" i="4"/>
  <c r="D260" i="4"/>
  <c r="B259" i="4"/>
  <c r="F257" i="4"/>
  <c r="D256" i="4"/>
  <c r="B255" i="4"/>
  <c r="F253" i="4"/>
  <c r="D252" i="4"/>
  <c r="B251" i="4"/>
  <c r="F249" i="4"/>
  <c r="D248" i="4"/>
  <c r="B247" i="4"/>
  <c r="F245" i="4"/>
  <c r="D244" i="4"/>
  <c r="B243" i="4"/>
  <c r="F241" i="4"/>
  <c r="D240" i="4"/>
  <c r="B239" i="4"/>
  <c r="F237" i="4"/>
  <c r="D236" i="4"/>
  <c r="B235" i="4"/>
  <c r="F233" i="4"/>
  <c r="D232" i="4"/>
  <c r="B231" i="4"/>
  <c r="F229" i="4"/>
  <c r="D228" i="4"/>
  <c r="B227" i="4"/>
  <c r="F225" i="4"/>
  <c r="D224" i="4"/>
  <c r="B223" i="4"/>
  <c r="F221" i="4"/>
  <c r="D220" i="4"/>
  <c r="B219" i="4"/>
  <c r="F217" i="4"/>
  <c r="D216" i="4"/>
  <c r="B215" i="4"/>
  <c r="F213" i="4"/>
  <c r="D212" i="4"/>
  <c r="B211" i="4"/>
  <c r="F209" i="4"/>
  <c r="D208" i="4"/>
  <c r="B207" i="4"/>
  <c r="F205" i="4"/>
  <c r="D204" i="4"/>
  <c r="B203" i="4"/>
  <c r="F201" i="4"/>
  <c r="D200" i="4"/>
  <c r="B199" i="4"/>
  <c r="F197" i="4"/>
  <c r="D196" i="4"/>
  <c r="B195" i="4"/>
  <c r="F193" i="4"/>
  <c r="D192" i="4"/>
  <c r="B191" i="4"/>
  <c r="F189" i="4"/>
  <c r="D188" i="4"/>
  <c r="B187" i="4"/>
  <c r="F185" i="4"/>
  <c r="D184" i="4"/>
  <c r="B183" i="4"/>
  <c r="F181" i="4"/>
  <c r="D180" i="4"/>
  <c r="B179" i="4"/>
  <c r="F177" i="4"/>
  <c r="D176" i="4"/>
  <c r="B175" i="4"/>
  <c r="F173" i="4"/>
  <c r="D172" i="4"/>
  <c r="B171" i="4"/>
  <c r="F169" i="4"/>
  <c r="D168" i="4"/>
  <c r="B167" i="4"/>
  <c r="F165" i="4"/>
  <c r="D164" i="4"/>
  <c r="B163" i="4"/>
  <c r="F161" i="4"/>
  <c r="D160" i="4"/>
  <c r="B159" i="4"/>
  <c r="F157" i="4"/>
  <c r="D156" i="4"/>
  <c r="B155" i="4"/>
  <c r="F153" i="4"/>
  <c r="D152" i="4"/>
  <c r="B151" i="4"/>
  <c r="F149" i="4"/>
  <c r="D148" i="4"/>
  <c r="B147" i="4"/>
  <c r="F145" i="4"/>
  <c r="D144" i="4"/>
  <c r="B143" i="4"/>
  <c r="F141" i="4"/>
  <c r="D140" i="4"/>
  <c r="B139" i="4"/>
  <c r="F137" i="4"/>
  <c r="D136" i="4"/>
  <c r="B135" i="4"/>
  <c r="F133" i="4"/>
  <c r="D132" i="4"/>
  <c r="B131" i="4"/>
  <c r="F129" i="4"/>
  <c r="D128" i="4"/>
  <c r="B127" i="4"/>
  <c r="F125" i="4"/>
  <c r="D124" i="4"/>
  <c r="B123" i="4"/>
  <c r="F121" i="4"/>
  <c r="D120" i="4"/>
  <c r="B119" i="4"/>
  <c r="F117" i="4"/>
  <c r="D116" i="4"/>
  <c r="B115" i="4"/>
  <c r="F113" i="4"/>
  <c r="D112" i="4"/>
  <c r="B111" i="4"/>
  <c r="F109" i="4"/>
  <c r="D108" i="4"/>
  <c r="B107" i="4"/>
  <c r="F105" i="4"/>
  <c r="D104" i="4"/>
  <c r="B103" i="4"/>
  <c r="F101" i="4"/>
  <c r="D100" i="4"/>
  <c r="B99" i="4"/>
  <c r="F97" i="4"/>
  <c r="D96" i="4"/>
  <c r="B95" i="4"/>
  <c r="F93" i="4"/>
  <c r="D92" i="4"/>
  <c r="B91" i="4"/>
  <c r="F89" i="4"/>
  <c r="D88" i="4"/>
  <c r="B87" i="4"/>
  <c r="F85" i="4"/>
  <c r="D84" i="4"/>
  <c r="B83" i="4"/>
  <c r="F81" i="4"/>
  <c r="D80" i="4"/>
  <c r="B79" i="4"/>
  <c r="F77" i="4"/>
  <c r="D76" i="4"/>
  <c r="B75" i="4"/>
  <c r="F73" i="4"/>
  <c r="D72" i="4"/>
  <c r="B71" i="4"/>
  <c r="F69" i="4"/>
  <c r="D68" i="4"/>
  <c r="B67" i="4"/>
  <c r="F65" i="4"/>
  <c r="D64" i="4"/>
  <c r="B63" i="4"/>
  <c r="F61" i="4"/>
  <c r="D60" i="4"/>
  <c r="B59" i="4"/>
  <c r="F57" i="4"/>
  <c r="D56" i="4"/>
  <c r="B55" i="4"/>
  <c r="F53" i="4"/>
  <c r="D52" i="4"/>
  <c r="B51" i="4"/>
  <c r="F49" i="4"/>
  <c r="D48" i="4"/>
  <c r="B47" i="4"/>
  <c r="F45" i="4"/>
  <c r="D44" i="4"/>
  <c r="B43" i="4"/>
  <c r="F41" i="4"/>
  <c r="D40" i="4"/>
  <c r="B39" i="4"/>
  <c r="F37" i="4"/>
  <c r="D36" i="4"/>
  <c r="B35" i="4"/>
  <c r="F33" i="4"/>
  <c r="D32" i="4"/>
  <c r="B31" i="4"/>
  <c r="F29" i="4"/>
  <c r="D28" i="4"/>
  <c r="B27" i="4"/>
  <c r="E592" i="4"/>
  <c r="D541" i="4"/>
  <c r="F498" i="4"/>
  <c r="B472" i="4"/>
  <c r="B456" i="4"/>
  <c r="B444" i="4"/>
  <c r="E437" i="4"/>
  <c r="D431" i="4"/>
  <c r="A426" i="4"/>
  <c r="E420" i="4"/>
  <c r="C415" i="4"/>
  <c r="A410" i="4"/>
  <c r="E404" i="4"/>
  <c r="C399" i="4"/>
  <c r="A394" i="4"/>
  <c r="E388" i="4"/>
  <c r="C383" i="4"/>
  <c r="A378" i="4"/>
  <c r="E372" i="4"/>
  <c r="C367" i="4"/>
  <c r="A362" i="4"/>
  <c r="E356" i="4"/>
  <c r="A352" i="4"/>
  <c r="E348" i="4"/>
  <c r="F344" i="4"/>
  <c r="C341" i="4"/>
  <c r="C338" i="4"/>
  <c r="E335" i="4"/>
  <c r="A333" i="4"/>
  <c r="C330" i="4"/>
  <c r="A328" i="4"/>
  <c r="A326" i="4"/>
  <c r="A324" i="4"/>
  <c r="B322" i="4"/>
  <c r="C320" i="4"/>
  <c r="A319" i="4"/>
  <c r="E317" i="4"/>
  <c r="C316" i="4"/>
  <c r="A315" i="4"/>
  <c r="E313" i="4"/>
  <c r="C312" i="4"/>
  <c r="A311" i="4"/>
  <c r="E309" i="4"/>
  <c r="C308" i="4"/>
  <c r="A307" i="4"/>
  <c r="E305" i="4"/>
  <c r="C304" i="4"/>
  <c r="A303" i="4"/>
  <c r="E301" i="4"/>
  <c r="C300" i="4"/>
  <c r="A299" i="4"/>
  <c r="E297" i="4"/>
  <c r="C296" i="4"/>
  <c r="A295" i="4"/>
  <c r="E293" i="4"/>
  <c r="C292" i="4"/>
  <c r="A291" i="4"/>
  <c r="E289" i="4"/>
  <c r="C288" i="4"/>
  <c r="A287" i="4"/>
  <c r="E285" i="4"/>
  <c r="C284" i="4"/>
  <c r="A283" i="4"/>
  <c r="E281" i="4"/>
  <c r="C280" i="4"/>
  <c r="A279" i="4"/>
  <c r="E277" i="4"/>
  <c r="C276" i="4"/>
  <c r="A275" i="4"/>
  <c r="E273" i="4"/>
  <c r="C272" i="4"/>
  <c r="A271" i="4"/>
  <c r="E269" i="4"/>
  <c r="C268" i="4"/>
  <c r="A267" i="4"/>
  <c r="E265" i="4"/>
  <c r="C264" i="4"/>
  <c r="A263" i="4"/>
  <c r="E261" i="4"/>
  <c r="C260" i="4"/>
  <c r="A259" i="4"/>
  <c r="E257" i="4"/>
  <c r="C256" i="4"/>
  <c r="A255" i="4"/>
  <c r="E253" i="4"/>
  <c r="C252" i="4"/>
  <c r="A251" i="4"/>
  <c r="E249" i="4"/>
  <c r="C248" i="4"/>
  <c r="A247" i="4"/>
  <c r="E245" i="4"/>
  <c r="C244" i="4"/>
  <c r="A243" i="4"/>
  <c r="E241" i="4"/>
  <c r="C240" i="4"/>
  <c r="A239" i="4"/>
  <c r="E237" i="4"/>
  <c r="C236" i="4"/>
  <c r="A235" i="4"/>
  <c r="E233" i="4"/>
  <c r="C232" i="4"/>
  <c r="A231" i="4"/>
  <c r="E229" i="4"/>
  <c r="C228" i="4"/>
  <c r="A227" i="4"/>
  <c r="E225" i="4"/>
  <c r="C224" i="4"/>
  <c r="A223" i="4"/>
  <c r="E221" i="4"/>
  <c r="C220" i="4"/>
  <c r="A219" i="4"/>
  <c r="E217" i="4"/>
  <c r="C216" i="4"/>
  <c r="A215" i="4"/>
  <c r="E213" i="4"/>
  <c r="C212" i="4"/>
  <c r="A211" i="4"/>
  <c r="E209" i="4"/>
  <c r="C208" i="4"/>
  <c r="A207" i="4"/>
  <c r="E205" i="4"/>
  <c r="C204" i="4"/>
  <c r="A203" i="4"/>
  <c r="E201" i="4"/>
  <c r="C200" i="4"/>
  <c r="A199" i="4"/>
  <c r="E197" i="4"/>
  <c r="C196" i="4"/>
  <c r="A195" i="4"/>
  <c r="E193" i="4"/>
  <c r="C192" i="4"/>
  <c r="A191" i="4"/>
  <c r="E189" i="4"/>
  <c r="C188" i="4"/>
  <c r="A187" i="4"/>
  <c r="E185" i="4"/>
  <c r="C184" i="4"/>
  <c r="A183" i="4"/>
  <c r="E181" i="4"/>
  <c r="C180" i="4"/>
  <c r="A179" i="4"/>
  <c r="E177" i="4"/>
  <c r="C176" i="4"/>
  <c r="A175" i="4"/>
  <c r="E173" i="4"/>
  <c r="C172" i="4"/>
  <c r="A171" i="4"/>
  <c r="E169" i="4"/>
  <c r="C168" i="4"/>
  <c r="A167" i="4"/>
  <c r="E165" i="4"/>
  <c r="C164" i="4"/>
  <c r="A163" i="4"/>
  <c r="E161" i="4"/>
  <c r="C160" i="4"/>
  <c r="A159" i="4"/>
  <c r="E157" i="4"/>
  <c r="C156" i="4"/>
  <c r="A155" i="4"/>
  <c r="E153" i="4"/>
  <c r="C152" i="4"/>
  <c r="A151" i="4"/>
  <c r="E149" i="4"/>
  <c r="C148" i="4"/>
  <c r="A147" i="4"/>
  <c r="E145" i="4"/>
  <c r="C144" i="4"/>
  <c r="A143" i="4"/>
  <c r="E141" i="4"/>
  <c r="C140" i="4"/>
  <c r="A139" i="4"/>
  <c r="E137" i="4"/>
  <c r="C136" i="4"/>
  <c r="A135" i="4"/>
  <c r="E133" i="4"/>
  <c r="C132" i="4"/>
  <c r="A131" i="4"/>
  <c r="E129" i="4"/>
  <c r="C128" i="4"/>
  <c r="A127" i="4"/>
  <c r="E125" i="4"/>
  <c r="C124" i="4"/>
  <c r="A123" i="4"/>
  <c r="E121" i="4"/>
  <c r="C120" i="4"/>
  <c r="A119" i="4"/>
  <c r="E117" i="4"/>
  <c r="C116" i="4"/>
  <c r="A115" i="4"/>
  <c r="E113" i="4"/>
  <c r="C112" i="4"/>
  <c r="A111" i="4"/>
  <c r="E109" i="4"/>
  <c r="C108" i="4"/>
  <c r="A107" i="4"/>
  <c r="E105" i="4"/>
  <c r="C104" i="4"/>
  <c r="A103" i="4"/>
  <c r="E101" i="4"/>
  <c r="C100" i="4"/>
  <c r="A99" i="4"/>
  <c r="E97" i="4"/>
  <c r="C96" i="4"/>
  <c r="A95" i="4"/>
  <c r="E93" i="4"/>
  <c r="C92" i="4"/>
  <c r="A91" i="4"/>
  <c r="E89" i="4"/>
  <c r="C88" i="4"/>
  <c r="A87" i="4"/>
  <c r="E85" i="4"/>
  <c r="C84" i="4"/>
  <c r="A83" i="4"/>
  <c r="E81" i="4"/>
  <c r="C80" i="4"/>
  <c r="A79" i="4"/>
  <c r="E77" i="4"/>
  <c r="C76" i="4"/>
  <c r="A75" i="4"/>
  <c r="E73" i="4"/>
  <c r="C72" i="4"/>
  <c r="A71" i="4"/>
  <c r="E69" i="4"/>
  <c r="C68" i="4"/>
  <c r="A67" i="4"/>
  <c r="E65" i="4"/>
  <c r="C64" i="4"/>
  <c r="A63" i="4"/>
  <c r="E61" i="4"/>
  <c r="C60" i="4"/>
  <c r="A59" i="4"/>
  <c r="E57" i="4"/>
  <c r="C56" i="4"/>
  <c r="A55" i="4"/>
  <c r="E53" i="4"/>
  <c r="C52" i="4"/>
  <c r="A51" i="4"/>
  <c r="E49" i="4"/>
  <c r="C48" i="4"/>
  <c r="A47" i="4"/>
  <c r="E45" i="4"/>
  <c r="C44" i="4"/>
  <c r="A43" i="4"/>
  <c r="E41" i="4"/>
  <c r="C40" i="4"/>
  <c r="A39" i="4"/>
  <c r="E37" i="4"/>
  <c r="C36" i="4"/>
  <c r="A35" i="4"/>
  <c r="E33" i="4"/>
  <c r="C32" i="4"/>
  <c r="F583" i="4"/>
  <c r="F424" i="4"/>
  <c r="B382" i="4"/>
  <c r="E344" i="4"/>
  <c r="E323" i="4"/>
  <c r="B312" i="4"/>
  <c r="D301" i="4"/>
  <c r="F290" i="4"/>
  <c r="B280" i="4"/>
  <c r="D269" i="4"/>
  <c r="F258" i="4"/>
  <c r="B248" i="4"/>
  <c r="D237" i="4"/>
  <c r="F226" i="4"/>
  <c r="B216" i="4"/>
  <c r="D205" i="4"/>
  <c r="F194" i="4"/>
  <c r="B184" i="4"/>
  <c r="D173" i="4"/>
  <c r="F162" i="4"/>
  <c r="B152" i="4"/>
  <c r="D141" i="4"/>
  <c r="F130" i="4"/>
  <c r="B120" i="4"/>
  <c r="D109" i="4"/>
  <c r="F98" i="4"/>
  <c r="B88" i="4"/>
  <c r="D77" i="4"/>
  <c r="F66" i="4"/>
  <c r="B56" i="4"/>
  <c r="D45" i="4"/>
  <c r="D39" i="4"/>
  <c r="B34" i="4"/>
  <c r="E31" i="4"/>
  <c r="B30" i="4"/>
  <c r="E28" i="4"/>
  <c r="A27" i="4"/>
  <c r="E25" i="4"/>
  <c r="C24" i="4"/>
  <c r="A23" i="4"/>
  <c r="E21" i="4"/>
  <c r="C20" i="4"/>
  <c r="A19" i="4"/>
  <c r="E17" i="4"/>
  <c r="C16" i="4"/>
  <c r="A15" i="4"/>
  <c r="E13" i="4"/>
  <c r="C12" i="4"/>
  <c r="A11" i="4"/>
  <c r="E9" i="4"/>
  <c r="C8" i="4"/>
  <c r="A7" i="4"/>
  <c r="E5" i="4"/>
  <c r="C4" i="4"/>
  <c r="A3" i="4"/>
  <c r="E1" i="4"/>
  <c r="C1450" i="3"/>
  <c r="A1449" i="3"/>
  <c r="E1447" i="3"/>
  <c r="C1446" i="3"/>
  <c r="A1445" i="3"/>
  <c r="E1443" i="3"/>
  <c r="C1442" i="3"/>
  <c r="A1441" i="3"/>
  <c r="E1439" i="3"/>
  <c r="C1438" i="3"/>
  <c r="A1437" i="3"/>
  <c r="E1435" i="3"/>
  <c r="C1434" i="3"/>
  <c r="A1433" i="3"/>
  <c r="E1431" i="3"/>
  <c r="C1430" i="3"/>
  <c r="A1429" i="3"/>
  <c r="E1427" i="3"/>
  <c r="C1426" i="3"/>
  <c r="A1425" i="3"/>
  <c r="E1423" i="3"/>
  <c r="C1422" i="3"/>
  <c r="A1421" i="3"/>
  <c r="E1419" i="3"/>
  <c r="C1418" i="3"/>
  <c r="A1417" i="3"/>
  <c r="E1415" i="3"/>
  <c r="C1414" i="3"/>
  <c r="A1413" i="3"/>
  <c r="E1411" i="3"/>
  <c r="C1410" i="3"/>
  <c r="A1409" i="3"/>
  <c r="E1407" i="3"/>
  <c r="C1406" i="3"/>
  <c r="A1405" i="3"/>
  <c r="E1403" i="3"/>
  <c r="C1402" i="3"/>
  <c r="A1401" i="3"/>
  <c r="E1399" i="3"/>
  <c r="C1398" i="3"/>
  <c r="A1397" i="3"/>
  <c r="E1395" i="3"/>
  <c r="C1394" i="3"/>
  <c r="A1393" i="3"/>
  <c r="E1391" i="3"/>
  <c r="C1390" i="3"/>
  <c r="A1389" i="3"/>
  <c r="E1387" i="3"/>
  <c r="C1386" i="3"/>
  <c r="A1385" i="3"/>
  <c r="E1383" i="3"/>
  <c r="C1382" i="3"/>
  <c r="A1381" i="3"/>
  <c r="E1379" i="3"/>
  <c r="C1378" i="3"/>
  <c r="A1377" i="3"/>
  <c r="E1375" i="3"/>
  <c r="C1374" i="3"/>
  <c r="A1373" i="3"/>
  <c r="E1371" i="3"/>
  <c r="C1370" i="3"/>
  <c r="A1369" i="3"/>
  <c r="E1367" i="3"/>
  <c r="C1366" i="3"/>
  <c r="A1365" i="3"/>
  <c r="E1363" i="3"/>
  <c r="C1362" i="3"/>
  <c r="A1361" i="3"/>
  <c r="E1359" i="3"/>
  <c r="C1358" i="3"/>
  <c r="A1357" i="3"/>
  <c r="E1355" i="3"/>
  <c r="C1354" i="3"/>
  <c r="A1353" i="3"/>
  <c r="E1351" i="3"/>
  <c r="C1350" i="3"/>
  <c r="A1349" i="3"/>
  <c r="E1347" i="3"/>
  <c r="C1346" i="3"/>
  <c r="A1345" i="3"/>
  <c r="E1343" i="3"/>
  <c r="C1342" i="3"/>
  <c r="A1341" i="3"/>
  <c r="E1339" i="3"/>
  <c r="C1338" i="3"/>
  <c r="A1337" i="3"/>
  <c r="E1335" i="3"/>
  <c r="C1334" i="3"/>
  <c r="A1333" i="3"/>
  <c r="E1331" i="3"/>
  <c r="C1330" i="3"/>
  <c r="A1329" i="3"/>
  <c r="E1327" i="3"/>
  <c r="C1326" i="3"/>
  <c r="A1325" i="3"/>
  <c r="E1323" i="3"/>
  <c r="C1322" i="3"/>
  <c r="A1321" i="3"/>
  <c r="E1319" i="3"/>
  <c r="C1318" i="3"/>
  <c r="A1317" i="3"/>
  <c r="E1315" i="3"/>
  <c r="C1314" i="3"/>
  <c r="A1313" i="3"/>
  <c r="E1311" i="3"/>
  <c r="C1310" i="3"/>
  <c r="A1309" i="3"/>
  <c r="E1307" i="3"/>
  <c r="C1306" i="3"/>
  <c r="A1305" i="3"/>
  <c r="E1303" i="3"/>
  <c r="C1302" i="3"/>
  <c r="A1301" i="3"/>
  <c r="E1299" i="3"/>
  <c r="C1298" i="3"/>
  <c r="A1297" i="3"/>
  <c r="E1295" i="3"/>
  <c r="C1294" i="3"/>
  <c r="A1293" i="3"/>
  <c r="E1291" i="3"/>
  <c r="C1290" i="3"/>
  <c r="A1289" i="3"/>
  <c r="E1287" i="3"/>
  <c r="C1286" i="3"/>
  <c r="A1285" i="3"/>
  <c r="E1283" i="3"/>
  <c r="C1282" i="3"/>
  <c r="A1281" i="3"/>
  <c r="E1279" i="3"/>
  <c r="C1278" i="3"/>
  <c r="A1277" i="3"/>
  <c r="E1275" i="3"/>
  <c r="C1274" i="3"/>
  <c r="A1273" i="3"/>
  <c r="E1271" i="3"/>
  <c r="C1270" i="3"/>
  <c r="A1269" i="3"/>
  <c r="E1267" i="3"/>
  <c r="C1266" i="3"/>
  <c r="A1265" i="3"/>
  <c r="E1263" i="3"/>
  <c r="C1262" i="3"/>
  <c r="A1261" i="3"/>
  <c r="E1259" i="3"/>
  <c r="C1258" i="3"/>
  <c r="A1257" i="3"/>
  <c r="E1255" i="3"/>
  <c r="C1254" i="3"/>
  <c r="A1253" i="3"/>
  <c r="E1251" i="3"/>
  <c r="C1250" i="3"/>
  <c r="A1249" i="3"/>
  <c r="E1247" i="3"/>
  <c r="C1246" i="3"/>
  <c r="A1245" i="3"/>
  <c r="E1243" i="3"/>
  <c r="C1242" i="3"/>
  <c r="A1241" i="3"/>
  <c r="E1239" i="3"/>
  <c r="C1238" i="3"/>
  <c r="A1237" i="3"/>
  <c r="E1235" i="3"/>
  <c r="C1234" i="3"/>
  <c r="A1233" i="3"/>
  <c r="E1231" i="3"/>
  <c r="C1230" i="3"/>
  <c r="A1229" i="3"/>
  <c r="E1227" i="3"/>
  <c r="C1226" i="3"/>
  <c r="A1225" i="3"/>
  <c r="E1223" i="3"/>
  <c r="C1222" i="3"/>
  <c r="A1221" i="3"/>
  <c r="E1219" i="3"/>
  <c r="C1218" i="3"/>
  <c r="A1217" i="3"/>
  <c r="E1215" i="3"/>
  <c r="C1214" i="3"/>
  <c r="A1213" i="3"/>
  <c r="E1211" i="3"/>
  <c r="C1210" i="3"/>
  <c r="A1209" i="3"/>
  <c r="E1207" i="3"/>
  <c r="C1206" i="3"/>
  <c r="A1205" i="3"/>
  <c r="E1203" i="3"/>
  <c r="C1202" i="3"/>
  <c r="A1201" i="3"/>
  <c r="E1199" i="3"/>
  <c r="C1198" i="3"/>
  <c r="A1197" i="3"/>
  <c r="E1195" i="3"/>
  <c r="C1194" i="3"/>
  <c r="A1193" i="3"/>
  <c r="E1191" i="3"/>
  <c r="C1190" i="3"/>
  <c r="A1189" i="3"/>
  <c r="E1187" i="3"/>
  <c r="B536" i="4"/>
  <c r="D419" i="4"/>
  <c r="F376" i="4"/>
  <c r="F340" i="4"/>
  <c r="A322" i="4"/>
  <c r="F310" i="4"/>
  <c r="B300" i="4"/>
  <c r="D289" i="4"/>
  <c r="F278" i="4"/>
  <c r="B268" i="4"/>
  <c r="D257" i="4"/>
  <c r="F246" i="4"/>
  <c r="B236" i="4"/>
  <c r="D225" i="4"/>
  <c r="F214" i="4"/>
  <c r="B204" i="4"/>
  <c r="D193" i="4"/>
  <c r="F182" i="4"/>
  <c r="B172" i="4"/>
  <c r="D161" i="4"/>
  <c r="F150" i="4"/>
  <c r="B140" i="4"/>
  <c r="D129" i="4"/>
  <c r="F118" i="4"/>
  <c r="B108" i="4"/>
  <c r="D97" i="4"/>
  <c r="F86" i="4"/>
  <c r="B76" i="4"/>
  <c r="D65" i="4"/>
  <c r="F54" i="4"/>
  <c r="B44" i="4"/>
  <c r="F38" i="4"/>
  <c r="A34" i="4"/>
  <c r="D31" i="4"/>
  <c r="A30" i="4"/>
  <c r="C28" i="4"/>
  <c r="F26" i="4"/>
  <c r="D25" i="4"/>
  <c r="B24" i="4"/>
  <c r="F22" i="4"/>
  <c r="D21" i="4"/>
  <c r="B20" i="4"/>
  <c r="F18" i="4"/>
  <c r="D17" i="4"/>
  <c r="B16" i="4"/>
  <c r="F14" i="4"/>
  <c r="D13" i="4"/>
  <c r="B12" i="4"/>
  <c r="F10" i="4"/>
  <c r="D9" i="4"/>
  <c r="B8" i="4"/>
  <c r="F6" i="4"/>
  <c r="D5" i="4"/>
  <c r="B4" i="4"/>
  <c r="F2" i="4"/>
  <c r="D1" i="4"/>
  <c r="B1450" i="3"/>
  <c r="F1448" i="3"/>
  <c r="D1447" i="3"/>
  <c r="B1446" i="3"/>
  <c r="F1444" i="3"/>
  <c r="D1443" i="3"/>
  <c r="B1442" i="3"/>
  <c r="F1440" i="3"/>
  <c r="D1439" i="3"/>
  <c r="B1438" i="3"/>
  <c r="F1436" i="3"/>
  <c r="D1435" i="3"/>
  <c r="B1434" i="3"/>
  <c r="F1432" i="3"/>
  <c r="D1431" i="3"/>
  <c r="B1430" i="3"/>
  <c r="F1428" i="3"/>
  <c r="D1427" i="3"/>
  <c r="B1426" i="3"/>
  <c r="F1424" i="3"/>
  <c r="D1423" i="3"/>
  <c r="B1422" i="3"/>
  <c r="F1420" i="3"/>
  <c r="D1419" i="3"/>
  <c r="B1418" i="3"/>
  <c r="F1416" i="3"/>
  <c r="D1415" i="3"/>
  <c r="B1414" i="3"/>
  <c r="F1412" i="3"/>
  <c r="D1411" i="3"/>
  <c r="B1410" i="3"/>
  <c r="F1408" i="3"/>
  <c r="D1407" i="3"/>
  <c r="B1406" i="3"/>
  <c r="F1404" i="3"/>
  <c r="D1403" i="3"/>
  <c r="B1402" i="3"/>
  <c r="F1400" i="3"/>
  <c r="D1399" i="3"/>
  <c r="B1398" i="3"/>
  <c r="F1396" i="3"/>
  <c r="D1395" i="3"/>
  <c r="B1394" i="3"/>
  <c r="F1392" i="3"/>
  <c r="D1391" i="3"/>
  <c r="B1390" i="3"/>
  <c r="F1388" i="3"/>
  <c r="D1387" i="3"/>
  <c r="B1386" i="3"/>
  <c r="F1384" i="3"/>
  <c r="D1383" i="3"/>
  <c r="B1382" i="3"/>
  <c r="F1380" i="3"/>
  <c r="D1379" i="3"/>
  <c r="B1378" i="3"/>
  <c r="F1376" i="3"/>
  <c r="D1375" i="3"/>
  <c r="B1374" i="3"/>
  <c r="F1372" i="3"/>
  <c r="D1371" i="3"/>
  <c r="B1370" i="3"/>
  <c r="F1368" i="3"/>
  <c r="D1367" i="3"/>
  <c r="B1366" i="3"/>
  <c r="F1364" i="3"/>
  <c r="D1363" i="3"/>
  <c r="B1362" i="3"/>
  <c r="F1360" i="3"/>
  <c r="D1359" i="3"/>
  <c r="B1358" i="3"/>
  <c r="F1356" i="3"/>
  <c r="D1355" i="3"/>
  <c r="B1354" i="3"/>
  <c r="F1352" i="3"/>
  <c r="D1351" i="3"/>
  <c r="B1350" i="3"/>
  <c r="F1348" i="3"/>
  <c r="D1347" i="3"/>
  <c r="B1346" i="3"/>
  <c r="F1344" i="3"/>
  <c r="D1343" i="3"/>
  <c r="B1342" i="3"/>
  <c r="F1340" i="3"/>
  <c r="D1339" i="3"/>
  <c r="B1338" i="3"/>
  <c r="F1336" i="3"/>
  <c r="D1335" i="3"/>
  <c r="B1334" i="3"/>
  <c r="F1332" i="3"/>
  <c r="D1331" i="3"/>
  <c r="B1330" i="3"/>
  <c r="F1328" i="3"/>
  <c r="D1327" i="3"/>
  <c r="B1326" i="3"/>
  <c r="F1324" i="3"/>
  <c r="D1323" i="3"/>
  <c r="B1322" i="3"/>
  <c r="F1320" i="3"/>
  <c r="D1319" i="3"/>
  <c r="B1318" i="3"/>
  <c r="F1316" i="3"/>
  <c r="D1315" i="3"/>
  <c r="B1314" i="3"/>
  <c r="F1312" i="3"/>
  <c r="D1311" i="3"/>
  <c r="B1310" i="3"/>
  <c r="F1308" i="3"/>
  <c r="D1307" i="3"/>
  <c r="B1306" i="3"/>
  <c r="F1304" i="3"/>
  <c r="D1303" i="3"/>
  <c r="B1302" i="3"/>
  <c r="F1300" i="3"/>
  <c r="D1299" i="3"/>
  <c r="B1298" i="3"/>
  <c r="F1296" i="3"/>
  <c r="D1295" i="3"/>
  <c r="B1294" i="3"/>
  <c r="F1292" i="3"/>
  <c r="D1291" i="3"/>
  <c r="B1290" i="3"/>
  <c r="F1288" i="3"/>
  <c r="D1287" i="3"/>
  <c r="B1286" i="3"/>
  <c r="F1284" i="3"/>
  <c r="D1283" i="3"/>
  <c r="B1282" i="3"/>
  <c r="F1280" i="3"/>
  <c r="D1279" i="3"/>
  <c r="B1278" i="3"/>
  <c r="F1276" i="3"/>
  <c r="D1275" i="3"/>
  <c r="B1274" i="3"/>
  <c r="F1272" i="3"/>
  <c r="D1271" i="3"/>
  <c r="B1270" i="3"/>
  <c r="F1268" i="3"/>
  <c r="D1267" i="3"/>
  <c r="B1266" i="3"/>
  <c r="F1264" i="3"/>
  <c r="D1263" i="3"/>
  <c r="B1262" i="3"/>
  <c r="F1260" i="3"/>
  <c r="D1259" i="3"/>
  <c r="B1258" i="3"/>
  <c r="F1256" i="3"/>
  <c r="D1255" i="3"/>
  <c r="B1254" i="3"/>
  <c r="F1252" i="3"/>
  <c r="D1251" i="3"/>
  <c r="B1250" i="3"/>
  <c r="F1248" i="3"/>
  <c r="D1247" i="3"/>
  <c r="B1246" i="3"/>
  <c r="F1244" i="3"/>
  <c r="D1243" i="3"/>
  <c r="B1242" i="3"/>
  <c r="F1240" i="3"/>
  <c r="D1239" i="3"/>
  <c r="B1238" i="3"/>
  <c r="F1236" i="3"/>
  <c r="D1235" i="3"/>
  <c r="B1234" i="3"/>
  <c r="F1232" i="3"/>
  <c r="D1231" i="3"/>
  <c r="B1230" i="3"/>
  <c r="F1228" i="3"/>
  <c r="D1227" i="3"/>
  <c r="B1226" i="3"/>
  <c r="F1224" i="3"/>
  <c r="D1223" i="3"/>
  <c r="B1222" i="3"/>
  <c r="F1220" i="3"/>
  <c r="D1219" i="3"/>
  <c r="B1218" i="3"/>
  <c r="F1216" i="3"/>
  <c r="D1215" i="3"/>
  <c r="B1214" i="3"/>
  <c r="F1212" i="3"/>
  <c r="D1211" i="3"/>
  <c r="B1210" i="3"/>
  <c r="F1208" i="3"/>
  <c r="D1207" i="3"/>
  <c r="B1206" i="3"/>
  <c r="F1204" i="3"/>
  <c r="D1203" i="3"/>
  <c r="B1202" i="3"/>
  <c r="F1200" i="3"/>
  <c r="D1199" i="3"/>
  <c r="B1198" i="3"/>
  <c r="F1196" i="3"/>
  <c r="D1195" i="3"/>
  <c r="B1194" i="3"/>
  <c r="F1192" i="3"/>
  <c r="D1191" i="3"/>
  <c r="B1190" i="3"/>
  <c r="F1188" i="3"/>
  <c r="D1187" i="3"/>
  <c r="B1186" i="3"/>
  <c r="D493" i="4"/>
  <c r="B414" i="4"/>
  <c r="D371" i="4"/>
  <c r="B338" i="4"/>
  <c r="B320" i="4"/>
  <c r="D309" i="4"/>
  <c r="F298" i="4"/>
  <c r="B288" i="4"/>
  <c r="D277" i="4"/>
  <c r="F266" i="4"/>
  <c r="B256" i="4"/>
  <c r="D245" i="4"/>
  <c r="F234" i="4"/>
  <c r="B224" i="4"/>
  <c r="D213" i="4"/>
  <c r="F202" i="4"/>
  <c r="B192" i="4"/>
  <c r="D181" i="4"/>
  <c r="F170" i="4"/>
  <c r="B160" i="4"/>
  <c r="D149" i="4"/>
  <c r="F138" i="4"/>
  <c r="B128" i="4"/>
  <c r="D117" i="4"/>
  <c r="F106" i="4"/>
  <c r="B96" i="4"/>
  <c r="D85" i="4"/>
  <c r="F74" i="4"/>
  <c r="B64" i="4"/>
  <c r="D53" i="4"/>
  <c r="D43" i="4"/>
  <c r="B38" i="4"/>
  <c r="D33" i="4"/>
  <c r="C31" i="4"/>
  <c r="E29" i="4"/>
  <c r="B28" i="4"/>
  <c r="E26" i="4"/>
  <c r="C25" i="4"/>
  <c r="A24" i="4"/>
  <c r="E22" i="4"/>
  <c r="C21" i="4"/>
  <c r="A20" i="4"/>
  <c r="E18" i="4"/>
  <c r="C17" i="4"/>
  <c r="A16" i="4"/>
  <c r="E14" i="4"/>
  <c r="C13" i="4"/>
  <c r="A12" i="4"/>
  <c r="E10" i="4"/>
  <c r="C9" i="4"/>
  <c r="A8" i="4"/>
  <c r="E6" i="4"/>
  <c r="C5" i="4"/>
  <c r="A4" i="4"/>
  <c r="E2" i="4"/>
  <c r="C1" i="4"/>
  <c r="A1450" i="3"/>
  <c r="E1448" i="3"/>
  <c r="C1447" i="3"/>
  <c r="A1446" i="3"/>
  <c r="E1444" i="3"/>
  <c r="C1443" i="3"/>
  <c r="A1442" i="3"/>
  <c r="E1440" i="3"/>
  <c r="C1439" i="3"/>
  <c r="A1438" i="3"/>
  <c r="E1436" i="3"/>
  <c r="C1435" i="3"/>
  <c r="A1434" i="3"/>
  <c r="E1432" i="3"/>
  <c r="C1431" i="3"/>
  <c r="A1430" i="3"/>
  <c r="E1428" i="3"/>
  <c r="C1427" i="3"/>
  <c r="A1426" i="3"/>
  <c r="E1424" i="3"/>
  <c r="C1423" i="3"/>
  <c r="A1422" i="3"/>
  <c r="E1420" i="3"/>
  <c r="C1419" i="3"/>
  <c r="A1418" i="3"/>
  <c r="E1416" i="3"/>
  <c r="C1415" i="3"/>
  <c r="A1414" i="3"/>
  <c r="E1412" i="3"/>
  <c r="C1411" i="3"/>
  <c r="A1410" i="3"/>
  <c r="E1408" i="3"/>
  <c r="C1407" i="3"/>
  <c r="A1406" i="3"/>
  <c r="E1404" i="3"/>
  <c r="C1403" i="3"/>
  <c r="A1402" i="3"/>
  <c r="E1400" i="3"/>
  <c r="C1399" i="3"/>
  <c r="A1398" i="3"/>
  <c r="E1396" i="3"/>
  <c r="C1395" i="3"/>
  <c r="A1394" i="3"/>
  <c r="E1392" i="3"/>
  <c r="C1391" i="3"/>
  <c r="A1390" i="3"/>
  <c r="E1388" i="3"/>
  <c r="C1387" i="3"/>
  <c r="A1386" i="3"/>
  <c r="E1384" i="3"/>
  <c r="C1383" i="3"/>
  <c r="A1382" i="3"/>
  <c r="E1380" i="3"/>
  <c r="C1379" i="3"/>
  <c r="A1378" i="3"/>
  <c r="E1376" i="3"/>
  <c r="C1375" i="3"/>
  <c r="A1374" i="3"/>
  <c r="E1372" i="3"/>
  <c r="C1371" i="3"/>
  <c r="A1370" i="3"/>
  <c r="E1368" i="3"/>
  <c r="C1367" i="3"/>
  <c r="A1366" i="3"/>
  <c r="E1364" i="3"/>
  <c r="C1363" i="3"/>
  <c r="A1362" i="3"/>
  <c r="E1360" i="3"/>
  <c r="C1359" i="3"/>
  <c r="A1358" i="3"/>
  <c r="E1356" i="3"/>
  <c r="C1355" i="3"/>
  <c r="A1354" i="3"/>
  <c r="E1352" i="3"/>
  <c r="C1351" i="3"/>
  <c r="A1350" i="3"/>
  <c r="E1348" i="3"/>
  <c r="C1347" i="3"/>
  <c r="A1346" i="3"/>
  <c r="E1344" i="3"/>
  <c r="C1343" i="3"/>
  <c r="A1342" i="3"/>
  <c r="E1340" i="3"/>
  <c r="C1339" i="3"/>
  <c r="A1338" i="3"/>
  <c r="E1336" i="3"/>
  <c r="C1335" i="3"/>
  <c r="A1334" i="3"/>
  <c r="E1332" i="3"/>
  <c r="C1331" i="3"/>
  <c r="A1330" i="3"/>
  <c r="E1328" i="3"/>
  <c r="C1327" i="3"/>
  <c r="A1326" i="3"/>
  <c r="E1324" i="3"/>
  <c r="C1323" i="3"/>
  <c r="A1322" i="3"/>
  <c r="E1320" i="3"/>
  <c r="C1319" i="3"/>
  <c r="A1318" i="3"/>
  <c r="E1316" i="3"/>
  <c r="C1315" i="3"/>
  <c r="A1314" i="3"/>
  <c r="E1312" i="3"/>
  <c r="C1311" i="3"/>
  <c r="A1310" i="3"/>
  <c r="E1308" i="3"/>
  <c r="C1307" i="3"/>
  <c r="A1306" i="3"/>
  <c r="E1304" i="3"/>
  <c r="C1303" i="3"/>
  <c r="A1302" i="3"/>
  <c r="E1300" i="3"/>
  <c r="C1299" i="3"/>
  <c r="A1298" i="3"/>
  <c r="E1296" i="3"/>
  <c r="C1295" i="3"/>
  <c r="A1294" i="3"/>
  <c r="E1292" i="3"/>
  <c r="C1291" i="3"/>
  <c r="A1290" i="3"/>
  <c r="E1288" i="3"/>
  <c r="C1287" i="3"/>
  <c r="A1286" i="3"/>
  <c r="E1284" i="3"/>
  <c r="C1283" i="3"/>
  <c r="A1282" i="3"/>
  <c r="E1280" i="3"/>
  <c r="C1279" i="3"/>
  <c r="A1278" i="3"/>
  <c r="E1276" i="3"/>
  <c r="C1275" i="3"/>
  <c r="A1274" i="3"/>
  <c r="E1272" i="3"/>
  <c r="C1271" i="3"/>
  <c r="A1270" i="3"/>
  <c r="E1268" i="3"/>
  <c r="C1267" i="3"/>
  <c r="A1266" i="3"/>
  <c r="E1264" i="3"/>
  <c r="C1263" i="3"/>
  <c r="A1262" i="3"/>
  <c r="E1260" i="3"/>
  <c r="C1259" i="3"/>
  <c r="A1258" i="3"/>
  <c r="E1256" i="3"/>
  <c r="C1255" i="3"/>
  <c r="A1254" i="3"/>
  <c r="E1252" i="3"/>
  <c r="C1251" i="3"/>
  <c r="A1250" i="3"/>
  <c r="E1248" i="3"/>
  <c r="C1247" i="3"/>
  <c r="A1246" i="3"/>
  <c r="E1244" i="3"/>
  <c r="C1243" i="3"/>
  <c r="A1242" i="3"/>
  <c r="E1240" i="3"/>
  <c r="C1239" i="3"/>
  <c r="A1238" i="3"/>
  <c r="E1236" i="3"/>
  <c r="C1235" i="3"/>
  <c r="A1234" i="3"/>
  <c r="E1232" i="3"/>
  <c r="C1231" i="3"/>
  <c r="A1230" i="3"/>
  <c r="E1228" i="3"/>
  <c r="C1227" i="3"/>
  <c r="A1226" i="3"/>
  <c r="E1224" i="3"/>
  <c r="C1223" i="3"/>
  <c r="A1222" i="3"/>
  <c r="E1220" i="3"/>
  <c r="C1219" i="3"/>
  <c r="A1218" i="3"/>
  <c r="E1216" i="3"/>
  <c r="C1215" i="3"/>
  <c r="A1214" i="3"/>
  <c r="E1212" i="3"/>
  <c r="C1211" i="3"/>
  <c r="A1210" i="3"/>
  <c r="E1208" i="3"/>
  <c r="C1207" i="3"/>
  <c r="A1206" i="3"/>
  <c r="E1204" i="3"/>
  <c r="C1203" i="3"/>
  <c r="A1202" i="3"/>
  <c r="E1200" i="3"/>
  <c r="C1199" i="3"/>
  <c r="A1198" i="3"/>
  <c r="E1196" i="3"/>
  <c r="C1195" i="3"/>
  <c r="A1194" i="3"/>
  <c r="E1192" i="3"/>
  <c r="C1191" i="3"/>
  <c r="A1190" i="3"/>
  <c r="E1188" i="3"/>
  <c r="C1187" i="3"/>
  <c r="A467" i="4"/>
  <c r="F408" i="4"/>
  <c r="B366" i="4"/>
  <c r="D335" i="4"/>
  <c r="F318" i="4"/>
  <c r="B308" i="4"/>
  <c r="D297" i="4"/>
  <c r="F286" i="4"/>
  <c r="B276" i="4"/>
  <c r="D265" i="4"/>
  <c r="F254" i="4"/>
  <c r="B244" i="4"/>
  <c r="D233" i="4"/>
  <c r="F222" i="4"/>
  <c r="B212" i="4"/>
  <c r="D201" i="4"/>
  <c r="F190" i="4"/>
  <c r="B180" i="4"/>
  <c r="D169" i="4"/>
  <c r="F158" i="4"/>
  <c r="B148" i="4"/>
  <c r="D137" i="4"/>
  <c r="F126" i="4"/>
  <c r="B116" i="4"/>
  <c r="D105" i="4"/>
  <c r="F94" i="4"/>
  <c r="B84" i="4"/>
  <c r="D73" i="4"/>
  <c r="F62" i="4"/>
  <c r="B52" i="4"/>
  <c r="F42" i="4"/>
  <c r="D37" i="4"/>
  <c r="C33" i="4"/>
  <c r="A31" i="4"/>
  <c r="D29" i="4"/>
  <c r="A28" i="4"/>
  <c r="D26" i="4"/>
  <c r="B25" i="4"/>
  <c r="F23" i="4"/>
  <c r="D22" i="4"/>
  <c r="B21" i="4"/>
  <c r="F19" i="4"/>
  <c r="D18" i="4"/>
  <c r="B17" i="4"/>
  <c r="F15" i="4"/>
  <c r="D14" i="4"/>
  <c r="B13" i="4"/>
  <c r="F11" i="4"/>
  <c r="D10" i="4"/>
  <c r="B9" i="4"/>
  <c r="F7" i="4"/>
  <c r="D6" i="4"/>
  <c r="B5" i="4"/>
  <c r="F3" i="4"/>
  <c r="D2" i="4"/>
  <c r="B1" i="4"/>
  <c r="F1449" i="3"/>
  <c r="D1448" i="3"/>
  <c r="B1447" i="3"/>
  <c r="F1445" i="3"/>
  <c r="D1444" i="3"/>
  <c r="B1443" i="3"/>
  <c r="F1441" i="3"/>
  <c r="D1440" i="3"/>
  <c r="B1439" i="3"/>
  <c r="F1437" i="3"/>
  <c r="D1436" i="3"/>
  <c r="B1435" i="3"/>
  <c r="F1433" i="3"/>
  <c r="D1432" i="3"/>
  <c r="B1431" i="3"/>
  <c r="F1429" i="3"/>
  <c r="D1428" i="3"/>
  <c r="B1427" i="3"/>
  <c r="F1425" i="3"/>
  <c r="D1424" i="3"/>
  <c r="B1423" i="3"/>
  <c r="F1421" i="3"/>
  <c r="D1420" i="3"/>
  <c r="B1419" i="3"/>
  <c r="F1417" i="3"/>
  <c r="D1416" i="3"/>
  <c r="B1415" i="3"/>
  <c r="F1413" i="3"/>
  <c r="D1412" i="3"/>
  <c r="B1411" i="3"/>
  <c r="F1409" i="3"/>
  <c r="D1408" i="3"/>
  <c r="B1407" i="3"/>
  <c r="F1405" i="3"/>
  <c r="D1404" i="3"/>
  <c r="B1403" i="3"/>
  <c r="F1401" i="3"/>
  <c r="D1400" i="3"/>
  <c r="B1399" i="3"/>
  <c r="F1397" i="3"/>
  <c r="D1396" i="3"/>
  <c r="B1395" i="3"/>
  <c r="F1393" i="3"/>
  <c r="D1392" i="3"/>
  <c r="B1391" i="3"/>
  <c r="F1389" i="3"/>
  <c r="D1388" i="3"/>
  <c r="B1387" i="3"/>
  <c r="F1385" i="3"/>
  <c r="D1384" i="3"/>
  <c r="B1383" i="3"/>
  <c r="F1381" i="3"/>
  <c r="D1380" i="3"/>
  <c r="B1379" i="3"/>
  <c r="F1377" i="3"/>
  <c r="D1376" i="3"/>
  <c r="B1375" i="3"/>
  <c r="F1373" i="3"/>
  <c r="D1372" i="3"/>
  <c r="B1371" i="3"/>
  <c r="F1369" i="3"/>
  <c r="D1368" i="3"/>
  <c r="B1367" i="3"/>
  <c r="F1365" i="3"/>
  <c r="D1364" i="3"/>
  <c r="B1363" i="3"/>
  <c r="F1361" i="3"/>
  <c r="D1360" i="3"/>
  <c r="B1359" i="3"/>
  <c r="F1357" i="3"/>
  <c r="D1356" i="3"/>
  <c r="B1355" i="3"/>
  <c r="F1353" i="3"/>
  <c r="D1352" i="3"/>
  <c r="B1351" i="3"/>
  <c r="F1349" i="3"/>
  <c r="D1348" i="3"/>
  <c r="B1347" i="3"/>
  <c r="F1345" i="3"/>
  <c r="D1344" i="3"/>
  <c r="B1343" i="3"/>
  <c r="F1341" i="3"/>
  <c r="D1340" i="3"/>
  <c r="B1339" i="3"/>
  <c r="F1337" i="3"/>
  <c r="D1336" i="3"/>
  <c r="B1335" i="3"/>
  <c r="F1333" i="3"/>
  <c r="D1332" i="3"/>
  <c r="B1331" i="3"/>
  <c r="F1329" i="3"/>
  <c r="D1328" i="3"/>
  <c r="B1327" i="3"/>
  <c r="F1325" i="3"/>
  <c r="D1324" i="3"/>
  <c r="B1323" i="3"/>
  <c r="F1321" i="3"/>
  <c r="D1320" i="3"/>
  <c r="B1319" i="3"/>
  <c r="F1317" i="3"/>
  <c r="D1316" i="3"/>
  <c r="B1315" i="3"/>
  <c r="F1313" i="3"/>
  <c r="D1312" i="3"/>
  <c r="B1311" i="3"/>
  <c r="F1309" i="3"/>
  <c r="D1308" i="3"/>
  <c r="B1307" i="3"/>
  <c r="F1305" i="3"/>
  <c r="D1304" i="3"/>
  <c r="B1303" i="3"/>
  <c r="F1301" i="3"/>
  <c r="D1300" i="3"/>
  <c r="B1299" i="3"/>
  <c r="F1297" i="3"/>
  <c r="D1296" i="3"/>
  <c r="B1295" i="3"/>
  <c r="F1293" i="3"/>
  <c r="D1292" i="3"/>
  <c r="B1291" i="3"/>
  <c r="F1289" i="3"/>
  <c r="D1288" i="3"/>
  <c r="B1287" i="3"/>
  <c r="F1285" i="3"/>
  <c r="D1284" i="3"/>
  <c r="B1283" i="3"/>
  <c r="F1281" i="3"/>
  <c r="D1280" i="3"/>
  <c r="B1279" i="3"/>
  <c r="F1277" i="3"/>
  <c r="D1276" i="3"/>
  <c r="B1275" i="3"/>
  <c r="F1273" i="3"/>
  <c r="D1272" i="3"/>
  <c r="B1271" i="3"/>
  <c r="F1269" i="3"/>
  <c r="D1268" i="3"/>
  <c r="B1267" i="3"/>
  <c r="F1265" i="3"/>
  <c r="D1264" i="3"/>
  <c r="B1263" i="3"/>
  <c r="F1261" i="3"/>
  <c r="D1260" i="3"/>
  <c r="B1259" i="3"/>
  <c r="F1257" i="3"/>
  <c r="D1256" i="3"/>
  <c r="B1255" i="3"/>
  <c r="F1253" i="3"/>
  <c r="D1252" i="3"/>
  <c r="B1251" i="3"/>
  <c r="F1249" i="3"/>
  <c r="D1248" i="3"/>
  <c r="B1247" i="3"/>
  <c r="F1245" i="3"/>
  <c r="D1244" i="3"/>
  <c r="B1243" i="3"/>
  <c r="F1241" i="3"/>
  <c r="D1240" i="3"/>
  <c r="B1239" i="3"/>
  <c r="F1237" i="3"/>
  <c r="D1236" i="3"/>
  <c r="B1235" i="3"/>
  <c r="D452" i="4"/>
  <c r="D403" i="4"/>
  <c r="F360" i="4"/>
  <c r="F332" i="4"/>
  <c r="D317" i="4"/>
  <c r="F306" i="4"/>
  <c r="B296" i="4"/>
  <c r="D285" i="4"/>
  <c r="F274" i="4"/>
  <c r="B264" i="4"/>
  <c r="D253" i="4"/>
  <c r="F242" i="4"/>
  <c r="B232" i="4"/>
  <c r="D221" i="4"/>
  <c r="F210" i="4"/>
  <c r="B200" i="4"/>
  <c r="D189" i="4"/>
  <c r="F178" i="4"/>
  <c r="B168" i="4"/>
  <c r="D157" i="4"/>
  <c r="F146" i="4"/>
  <c r="B136" i="4"/>
  <c r="D125" i="4"/>
  <c r="F114" i="4"/>
  <c r="B104" i="4"/>
  <c r="D93" i="4"/>
  <c r="F82" i="4"/>
  <c r="B72" i="4"/>
  <c r="D61" i="4"/>
  <c r="F50" i="4"/>
  <c r="B42" i="4"/>
  <c r="F36" i="4"/>
  <c r="F32" i="4"/>
  <c r="F30" i="4"/>
  <c r="C29" i="4"/>
  <c r="F27" i="4"/>
  <c r="C26" i="4"/>
  <c r="A25" i="4"/>
  <c r="E23" i="4"/>
  <c r="C22" i="4"/>
  <c r="A21" i="4"/>
  <c r="E19" i="4"/>
  <c r="C18" i="4"/>
  <c r="A17" i="4"/>
  <c r="E15" i="4"/>
  <c r="C14" i="4"/>
  <c r="A13" i="4"/>
  <c r="E11" i="4"/>
  <c r="C10" i="4"/>
  <c r="A9" i="4"/>
  <c r="E7" i="4"/>
  <c r="C6" i="4"/>
  <c r="A5" i="4"/>
  <c r="E3" i="4"/>
  <c r="C2" i="4"/>
  <c r="A1" i="4"/>
  <c r="E1449" i="3"/>
  <c r="C1448" i="3"/>
  <c r="A1447" i="3"/>
  <c r="E1445" i="3"/>
  <c r="C1444" i="3"/>
  <c r="A1443" i="3"/>
  <c r="E1441" i="3"/>
  <c r="C1440" i="3"/>
  <c r="A1439" i="3"/>
  <c r="E1437" i="3"/>
  <c r="C1436" i="3"/>
  <c r="A1435" i="3"/>
  <c r="E1433" i="3"/>
  <c r="C1432" i="3"/>
  <c r="A1431" i="3"/>
  <c r="E1429" i="3"/>
  <c r="C1428" i="3"/>
  <c r="A1427" i="3"/>
  <c r="E1425" i="3"/>
  <c r="C1424" i="3"/>
  <c r="A1423" i="3"/>
  <c r="E1421" i="3"/>
  <c r="C1420" i="3"/>
  <c r="A1419" i="3"/>
  <c r="E1417" i="3"/>
  <c r="C1416" i="3"/>
  <c r="A1415" i="3"/>
  <c r="E1413" i="3"/>
  <c r="C1412" i="3"/>
  <c r="A1411" i="3"/>
  <c r="E1409" i="3"/>
  <c r="C1408" i="3"/>
  <c r="A1407" i="3"/>
  <c r="E1405" i="3"/>
  <c r="C1404" i="3"/>
  <c r="A1403" i="3"/>
  <c r="E1401" i="3"/>
  <c r="C1400" i="3"/>
  <c r="A1399" i="3"/>
  <c r="E1397" i="3"/>
  <c r="C1396" i="3"/>
  <c r="A1395" i="3"/>
  <c r="E1393" i="3"/>
  <c r="C1392" i="3"/>
  <c r="A1391" i="3"/>
  <c r="E1389" i="3"/>
  <c r="C1388" i="3"/>
  <c r="A1387" i="3"/>
  <c r="E1385" i="3"/>
  <c r="C1384" i="3"/>
  <c r="A1383" i="3"/>
  <c r="E1381" i="3"/>
  <c r="C1380" i="3"/>
  <c r="A1379" i="3"/>
  <c r="E1377" i="3"/>
  <c r="C1376" i="3"/>
  <c r="A1375" i="3"/>
  <c r="E1373" i="3"/>
  <c r="C1372" i="3"/>
  <c r="A1371" i="3"/>
  <c r="E1369" i="3"/>
  <c r="C1368" i="3"/>
  <c r="A1367" i="3"/>
  <c r="E1365" i="3"/>
  <c r="C1364" i="3"/>
  <c r="A1363" i="3"/>
  <c r="E1361" i="3"/>
  <c r="C1360" i="3"/>
  <c r="A1359" i="3"/>
  <c r="E1357" i="3"/>
  <c r="C1356" i="3"/>
  <c r="A1355" i="3"/>
  <c r="E1353" i="3"/>
  <c r="C1352" i="3"/>
  <c r="A1351" i="3"/>
  <c r="E1349" i="3"/>
  <c r="C1348" i="3"/>
  <c r="A1347" i="3"/>
  <c r="E1345" i="3"/>
  <c r="C1344" i="3"/>
  <c r="A1343" i="3"/>
  <c r="E1341" i="3"/>
  <c r="C1340" i="3"/>
  <c r="A1339" i="3"/>
  <c r="E1337" i="3"/>
  <c r="C1336" i="3"/>
  <c r="A1335" i="3"/>
  <c r="E1333" i="3"/>
  <c r="C1332" i="3"/>
  <c r="A1331" i="3"/>
  <c r="E1329" i="3"/>
  <c r="C1328" i="3"/>
  <c r="A1327" i="3"/>
  <c r="E1325" i="3"/>
  <c r="C1324" i="3"/>
  <c r="A1323" i="3"/>
  <c r="E1321" i="3"/>
  <c r="C1320" i="3"/>
  <c r="A1319" i="3"/>
  <c r="E1317" i="3"/>
  <c r="C1316" i="3"/>
  <c r="A1315" i="3"/>
  <c r="E1313" i="3"/>
  <c r="C1312" i="3"/>
  <c r="A1311" i="3"/>
  <c r="E1309" i="3"/>
  <c r="C1308" i="3"/>
  <c r="A1307" i="3"/>
  <c r="E1305" i="3"/>
  <c r="C1304" i="3"/>
  <c r="A1303" i="3"/>
  <c r="E1301" i="3"/>
  <c r="C1300" i="3"/>
  <c r="A1299" i="3"/>
  <c r="E1297" i="3"/>
  <c r="C1296" i="3"/>
  <c r="A1295" i="3"/>
  <c r="E1293" i="3"/>
  <c r="C1292" i="3"/>
  <c r="A1291" i="3"/>
  <c r="E1289" i="3"/>
  <c r="C1288" i="3"/>
  <c r="A1287" i="3"/>
  <c r="E1285" i="3"/>
  <c r="C1284" i="3"/>
  <c r="A1283" i="3"/>
  <c r="E1281" i="3"/>
  <c r="C1280" i="3"/>
  <c r="A1279" i="3"/>
  <c r="E1277" i="3"/>
  <c r="C1276" i="3"/>
  <c r="A1275" i="3"/>
  <c r="E1273" i="3"/>
  <c r="C1272" i="3"/>
  <c r="A1271" i="3"/>
  <c r="E1269" i="3"/>
  <c r="C1268" i="3"/>
  <c r="A1267" i="3"/>
  <c r="E1265" i="3"/>
  <c r="C1264" i="3"/>
  <c r="A1263" i="3"/>
  <c r="E1261" i="3"/>
  <c r="C1260" i="3"/>
  <c r="A1259" i="3"/>
  <c r="E1257" i="3"/>
  <c r="C1256" i="3"/>
  <c r="A1255" i="3"/>
  <c r="E1253" i="3"/>
  <c r="C1252" i="3"/>
  <c r="A1251" i="3"/>
  <c r="E1249" i="3"/>
  <c r="C1248" i="3"/>
  <c r="A1247" i="3"/>
  <c r="E1245" i="3"/>
  <c r="C1244" i="3"/>
  <c r="A1243" i="3"/>
  <c r="E1241" i="3"/>
  <c r="C1240" i="3"/>
  <c r="A1239" i="3"/>
  <c r="E1237" i="3"/>
  <c r="C1236" i="3"/>
  <c r="A1235" i="3"/>
  <c r="E1233" i="3"/>
  <c r="C1232" i="3"/>
  <c r="A1231" i="3"/>
  <c r="E1229" i="3"/>
  <c r="C1228" i="3"/>
  <c r="A1227" i="3"/>
  <c r="E1225" i="3"/>
  <c r="C1224" i="3"/>
  <c r="A1223" i="3"/>
  <c r="E1221" i="3"/>
  <c r="C1220" i="3"/>
  <c r="A1219" i="3"/>
  <c r="E1217" i="3"/>
  <c r="C1216" i="3"/>
  <c r="A1215" i="3"/>
  <c r="E1213" i="3"/>
  <c r="C1212" i="3"/>
  <c r="A1211" i="3"/>
  <c r="E1209" i="3"/>
  <c r="C1208" i="3"/>
  <c r="A1207" i="3"/>
  <c r="E1205" i="3"/>
  <c r="C1204" i="3"/>
  <c r="A1203" i="3"/>
  <c r="E1201" i="3"/>
  <c r="C1200" i="3"/>
  <c r="A1199" i="3"/>
  <c r="E1197" i="3"/>
  <c r="C1196" i="3"/>
  <c r="A1195" i="3"/>
  <c r="E1193" i="3"/>
  <c r="C1192" i="3"/>
  <c r="A1191" i="3"/>
  <c r="E1189" i="3"/>
  <c r="C1188" i="3"/>
  <c r="E442" i="4"/>
  <c r="B398" i="4"/>
  <c r="D355" i="4"/>
  <c r="B330" i="4"/>
  <c r="B316" i="4"/>
  <c r="D305" i="4"/>
  <c r="F294" i="4"/>
  <c r="B284" i="4"/>
  <c r="D273" i="4"/>
  <c r="F262" i="4"/>
  <c r="B252" i="4"/>
  <c r="D241" i="4"/>
  <c r="F230" i="4"/>
  <c r="B220" i="4"/>
  <c r="D209" i="4"/>
  <c r="F198" i="4"/>
  <c r="B188" i="4"/>
  <c r="D177" i="4"/>
  <c r="F166" i="4"/>
  <c r="B156" i="4"/>
  <c r="D145" i="4"/>
  <c r="F134" i="4"/>
  <c r="B124" i="4"/>
  <c r="D113" i="4"/>
  <c r="F102" i="4"/>
  <c r="B92" i="4"/>
  <c r="D81" i="4"/>
  <c r="F70" i="4"/>
  <c r="B60" i="4"/>
  <c r="D49" i="4"/>
  <c r="D41" i="4"/>
  <c r="B36" i="4"/>
  <c r="E32" i="4"/>
  <c r="E30" i="4"/>
  <c r="B29" i="4"/>
  <c r="E27" i="4"/>
  <c r="B26" i="4"/>
  <c r="F24" i="4"/>
  <c r="D23" i="4"/>
  <c r="B22" i="4"/>
  <c r="F20" i="4"/>
  <c r="D19" i="4"/>
  <c r="B18" i="4"/>
  <c r="F16" i="4"/>
  <c r="D15" i="4"/>
  <c r="B14" i="4"/>
  <c r="F12" i="4"/>
  <c r="D11" i="4"/>
  <c r="B10" i="4"/>
  <c r="F8" i="4"/>
  <c r="D7" i="4"/>
  <c r="B6" i="4"/>
  <c r="F4" i="4"/>
  <c r="D3" i="4"/>
  <c r="B2" i="4"/>
  <c r="F1450" i="3"/>
  <c r="D1449" i="3"/>
  <c r="B1448" i="3"/>
  <c r="F1446" i="3"/>
  <c r="D1445" i="3"/>
  <c r="B1444" i="3"/>
  <c r="F1442" i="3"/>
  <c r="D1441" i="3"/>
  <c r="B1440" i="3"/>
  <c r="F1438" i="3"/>
  <c r="D1437" i="3"/>
  <c r="B1436" i="3"/>
  <c r="F1434" i="3"/>
  <c r="D1433" i="3"/>
  <c r="B1432" i="3"/>
  <c r="F1430" i="3"/>
  <c r="D1429" i="3"/>
  <c r="B1428" i="3"/>
  <c r="F1426" i="3"/>
  <c r="D1425" i="3"/>
  <c r="B1424" i="3"/>
  <c r="F1422" i="3"/>
  <c r="D1421" i="3"/>
  <c r="B1420" i="3"/>
  <c r="F1418" i="3"/>
  <c r="D1417" i="3"/>
  <c r="B1416" i="3"/>
  <c r="F1414" i="3"/>
  <c r="D1413" i="3"/>
  <c r="B1412" i="3"/>
  <c r="F1410" i="3"/>
  <c r="D1409" i="3"/>
  <c r="B1408" i="3"/>
  <c r="F1406" i="3"/>
  <c r="D1405" i="3"/>
  <c r="B1404" i="3"/>
  <c r="F1402" i="3"/>
  <c r="D1401" i="3"/>
  <c r="B1400" i="3"/>
  <c r="F1398" i="3"/>
  <c r="D1397" i="3"/>
  <c r="B1396" i="3"/>
  <c r="F1394" i="3"/>
  <c r="D1393" i="3"/>
  <c r="B1392" i="3"/>
  <c r="F1390" i="3"/>
  <c r="D1389" i="3"/>
  <c r="B1388" i="3"/>
  <c r="F1386" i="3"/>
  <c r="D1385" i="3"/>
  <c r="B1384" i="3"/>
  <c r="F1382" i="3"/>
  <c r="D1381" i="3"/>
  <c r="B1380" i="3"/>
  <c r="F1378" i="3"/>
  <c r="D1377" i="3"/>
  <c r="B1376" i="3"/>
  <c r="F1374" i="3"/>
  <c r="D1373" i="3"/>
  <c r="B1372" i="3"/>
  <c r="F1370" i="3"/>
  <c r="D1369" i="3"/>
  <c r="B1368" i="3"/>
  <c r="F1366" i="3"/>
  <c r="D1365" i="3"/>
  <c r="B1364" i="3"/>
  <c r="F1362" i="3"/>
  <c r="D1361" i="3"/>
  <c r="B1360" i="3"/>
  <c r="F1358" i="3"/>
  <c r="D1357" i="3"/>
  <c r="B1356" i="3"/>
  <c r="F1354" i="3"/>
  <c r="D1353" i="3"/>
  <c r="B1352" i="3"/>
  <c r="F1350" i="3"/>
  <c r="D1349" i="3"/>
  <c r="B1348" i="3"/>
  <c r="F1346" i="3"/>
  <c r="D1345" i="3"/>
  <c r="B1344" i="3"/>
  <c r="F1342" i="3"/>
  <c r="D1341" i="3"/>
  <c r="B1340" i="3"/>
  <c r="F1338" i="3"/>
  <c r="D1337" i="3"/>
  <c r="B1336" i="3"/>
  <c r="F1334" i="3"/>
  <c r="D1333" i="3"/>
  <c r="B1332" i="3"/>
  <c r="F1330" i="3"/>
  <c r="D1329" i="3"/>
  <c r="B1328" i="3"/>
  <c r="F1326" i="3"/>
  <c r="D1325" i="3"/>
  <c r="B1324" i="3"/>
  <c r="F1322" i="3"/>
  <c r="D1321" i="3"/>
  <c r="B1320" i="3"/>
  <c r="F1318" i="3"/>
  <c r="D1317" i="3"/>
  <c r="B1316" i="3"/>
  <c r="F1314" i="3"/>
  <c r="D1313" i="3"/>
  <c r="B1312" i="3"/>
  <c r="F1310" i="3"/>
  <c r="D1309" i="3"/>
  <c r="B1308" i="3"/>
  <c r="F1306" i="3"/>
  <c r="D1305" i="3"/>
  <c r="B1304" i="3"/>
  <c r="F1302" i="3"/>
  <c r="D1301" i="3"/>
  <c r="B1300" i="3"/>
  <c r="F1298" i="3"/>
  <c r="D1297" i="3"/>
  <c r="B1296" i="3"/>
  <c r="F1294" i="3"/>
  <c r="D1293" i="3"/>
  <c r="B1292" i="3"/>
  <c r="F1290" i="3"/>
  <c r="D1289" i="3"/>
  <c r="B1288" i="3"/>
  <c r="F1286" i="3"/>
  <c r="D1285" i="3"/>
  <c r="B1284" i="3"/>
  <c r="F1282" i="3"/>
  <c r="D1281" i="3"/>
  <c r="B1280" i="3"/>
  <c r="F1278" i="3"/>
  <c r="D1277" i="3"/>
  <c r="B1276" i="3"/>
  <c r="F1274" i="3"/>
  <c r="D1273" i="3"/>
  <c r="B1272" i="3"/>
  <c r="F1270" i="3"/>
  <c r="D1269" i="3"/>
  <c r="B1268" i="3"/>
  <c r="F1266" i="3"/>
  <c r="D1265" i="3"/>
  <c r="B1264" i="3"/>
  <c r="F1262" i="3"/>
  <c r="D1261" i="3"/>
  <c r="B1260" i="3"/>
  <c r="F1258" i="3"/>
  <c r="D1257" i="3"/>
  <c r="B1256" i="3"/>
  <c r="F1254" i="3"/>
  <c r="D1253" i="3"/>
  <c r="B1252" i="3"/>
  <c r="F1250" i="3"/>
  <c r="D1249" i="3"/>
  <c r="B1248" i="3"/>
  <c r="F1246" i="3"/>
  <c r="D1245" i="3"/>
  <c r="B1244" i="3"/>
  <c r="F1242" i="3"/>
  <c r="D1241" i="3"/>
  <c r="B1240" i="3"/>
  <c r="F1238" i="3"/>
  <c r="D1237" i="3"/>
  <c r="B1236" i="3"/>
  <c r="F1234" i="3"/>
  <c r="D1233" i="3"/>
  <c r="B1232" i="3"/>
  <c r="F1230" i="3"/>
  <c r="D1229" i="3"/>
  <c r="B1228" i="3"/>
  <c r="F1226" i="3"/>
  <c r="D1225" i="3"/>
  <c r="B1224" i="3"/>
  <c r="F1222" i="3"/>
  <c r="D1221" i="3"/>
  <c r="B1220" i="3"/>
  <c r="F1218" i="3"/>
  <c r="D1217" i="3"/>
  <c r="B1216" i="3"/>
  <c r="F1214" i="3"/>
  <c r="D1213" i="3"/>
  <c r="B1212" i="3"/>
  <c r="F1210" i="3"/>
  <c r="D1209" i="3"/>
  <c r="B1208" i="3"/>
  <c r="F1206" i="3"/>
  <c r="D1205" i="3"/>
  <c r="B1204" i="3"/>
  <c r="F1202" i="3"/>
  <c r="D1201" i="3"/>
  <c r="B1200" i="3"/>
  <c r="F1198" i="3"/>
  <c r="D1197" i="3"/>
  <c r="B1196" i="3"/>
  <c r="F1194" i="3"/>
  <c r="D1193" i="3"/>
  <c r="B430" i="4"/>
  <c r="D387" i="4"/>
  <c r="A348" i="4"/>
  <c r="E325" i="4"/>
  <c r="D313" i="4"/>
  <c r="F302" i="4"/>
  <c r="B292" i="4"/>
  <c r="D281" i="4"/>
  <c r="F270" i="4"/>
  <c r="B260" i="4"/>
  <c r="D249" i="4"/>
  <c r="F238" i="4"/>
  <c r="B228" i="4"/>
  <c r="D217" i="4"/>
  <c r="F206" i="4"/>
  <c r="B196" i="4"/>
  <c r="D185" i="4"/>
  <c r="F174" i="4"/>
  <c r="B164" i="4"/>
  <c r="D153" i="4"/>
  <c r="F142" i="4"/>
  <c r="B132" i="4"/>
  <c r="D121" i="4"/>
  <c r="F110" i="4"/>
  <c r="B100" i="4"/>
  <c r="D89" i="4"/>
  <c r="F78" i="4"/>
  <c r="B68" i="4"/>
  <c r="D57" i="4"/>
  <c r="F46" i="4"/>
  <c r="B40" i="4"/>
  <c r="F34" i="4"/>
  <c r="A32" i="4"/>
  <c r="C30" i="4"/>
  <c r="F28" i="4"/>
  <c r="C27" i="4"/>
  <c r="F25" i="4"/>
  <c r="D24" i="4"/>
  <c r="B23" i="4"/>
  <c r="F21" i="4"/>
  <c r="D20" i="4"/>
  <c r="B19" i="4"/>
  <c r="F17" i="4"/>
  <c r="D16" i="4"/>
  <c r="B15" i="4"/>
  <c r="F13" i="4"/>
  <c r="D12" i="4"/>
  <c r="B11" i="4"/>
  <c r="F9" i="4"/>
  <c r="D8" i="4"/>
  <c r="B7" i="4"/>
  <c r="F5" i="4"/>
  <c r="D4" i="4"/>
  <c r="B3" i="4"/>
  <c r="F1" i="4"/>
  <c r="D1450" i="3"/>
  <c r="B1449" i="3"/>
  <c r="F1447" i="3"/>
  <c r="D1446" i="3"/>
  <c r="B1445" i="3"/>
  <c r="F1443" i="3"/>
  <c r="D1442" i="3"/>
  <c r="B1441" i="3"/>
  <c r="F1439" i="3"/>
  <c r="D1438" i="3"/>
  <c r="B1437" i="3"/>
  <c r="F1435" i="3"/>
  <c r="D1434" i="3"/>
  <c r="B1433" i="3"/>
  <c r="F1431" i="3"/>
  <c r="D1430" i="3"/>
  <c r="B1429" i="3"/>
  <c r="F1427" i="3"/>
  <c r="D1426" i="3"/>
  <c r="B1425" i="3"/>
  <c r="F1423" i="3"/>
  <c r="D1422" i="3"/>
  <c r="B1421" i="3"/>
  <c r="F1419" i="3"/>
  <c r="D1418" i="3"/>
  <c r="B1417" i="3"/>
  <c r="F1415" i="3"/>
  <c r="D1414" i="3"/>
  <c r="B1413" i="3"/>
  <c r="F1411" i="3"/>
  <c r="D1410" i="3"/>
  <c r="B1409" i="3"/>
  <c r="F1407" i="3"/>
  <c r="D1406" i="3"/>
  <c r="B1405" i="3"/>
  <c r="F1403" i="3"/>
  <c r="D1402" i="3"/>
  <c r="B1401" i="3"/>
  <c r="F1399" i="3"/>
  <c r="D1398" i="3"/>
  <c r="B1397" i="3"/>
  <c r="F1395" i="3"/>
  <c r="D1394" i="3"/>
  <c r="B1393" i="3"/>
  <c r="F1391" i="3"/>
  <c r="D1390" i="3"/>
  <c r="B1389" i="3"/>
  <c r="F1387" i="3"/>
  <c r="D1386" i="3"/>
  <c r="B1385" i="3"/>
  <c r="F1383" i="3"/>
  <c r="D1382" i="3"/>
  <c r="B1381" i="3"/>
  <c r="F1379" i="3"/>
  <c r="D1378" i="3"/>
  <c r="B1377" i="3"/>
  <c r="F1375" i="3"/>
  <c r="D1374" i="3"/>
  <c r="B1373" i="3"/>
  <c r="F1371" i="3"/>
  <c r="D1370" i="3"/>
  <c r="B1369" i="3"/>
  <c r="F1367" i="3"/>
  <c r="D1366" i="3"/>
  <c r="B1365" i="3"/>
  <c r="F1363" i="3"/>
  <c r="D1362" i="3"/>
  <c r="B1361" i="3"/>
  <c r="F1359" i="3"/>
  <c r="D1358" i="3"/>
  <c r="B1357" i="3"/>
  <c r="F1355" i="3"/>
  <c r="D1354" i="3"/>
  <c r="B1353" i="3"/>
  <c r="F1351" i="3"/>
  <c r="D1350" i="3"/>
  <c r="B1349" i="3"/>
  <c r="F1347" i="3"/>
  <c r="D1346" i="3"/>
  <c r="B1345" i="3"/>
  <c r="F1343" i="3"/>
  <c r="D1342" i="3"/>
  <c r="B1341" i="3"/>
  <c r="F1339" i="3"/>
  <c r="D1338" i="3"/>
  <c r="B1337" i="3"/>
  <c r="F1335" i="3"/>
  <c r="D1334" i="3"/>
  <c r="B1333" i="3"/>
  <c r="F1331" i="3"/>
  <c r="D1330" i="3"/>
  <c r="B1329" i="3"/>
  <c r="F1327" i="3"/>
  <c r="D1326" i="3"/>
  <c r="B1325" i="3"/>
  <c r="F1323" i="3"/>
  <c r="D1322" i="3"/>
  <c r="B1321" i="3"/>
  <c r="F1319" i="3"/>
  <c r="D1318" i="3"/>
  <c r="B1317" i="3"/>
  <c r="F1315" i="3"/>
  <c r="D1314" i="3"/>
  <c r="B1313" i="3"/>
  <c r="F1311" i="3"/>
  <c r="D1310" i="3"/>
  <c r="B1309" i="3"/>
  <c r="F1307" i="3"/>
  <c r="D1306" i="3"/>
  <c r="B1305" i="3"/>
  <c r="F1303" i="3"/>
  <c r="D1302" i="3"/>
  <c r="B1301" i="3"/>
  <c r="F1299" i="3"/>
  <c r="D1298" i="3"/>
  <c r="B1297" i="3"/>
  <c r="F1295" i="3"/>
  <c r="D1294" i="3"/>
  <c r="B1293" i="3"/>
  <c r="F1291" i="3"/>
  <c r="D1290" i="3"/>
  <c r="B1289" i="3"/>
  <c r="F1287" i="3"/>
  <c r="D1286" i="3"/>
  <c r="B1285" i="3"/>
  <c r="F1283" i="3"/>
  <c r="D1282" i="3"/>
  <c r="B1281" i="3"/>
  <c r="F1279" i="3"/>
  <c r="D1278" i="3"/>
  <c r="B1277" i="3"/>
  <c r="F1275" i="3"/>
  <c r="D1274" i="3"/>
  <c r="B1273" i="3"/>
  <c r="F1271" i="3"/>
  <c r="D1270" i="3"/>
  <c r="B1269" i="3"/>
  <c r="F1267" i="3"/>
  <c r="D1266" i="3"/>
  <c r="B1265" i="3"/>
  <c r="F1263" i="3"/>
  <c r="D1262" i="3"/>
  <c r="B1261" i="3"/>
  <c r="F1259" i="3"/>
  <c r="D1258" i="3"/>
  <c r="B1257" i="3"/>
  <c r="F1255" i="3"/>
  <c r="D1254" i="3"/>
  <c r="B1253" i="3"/>
  <c r="F1251" i="3"/>
  <c r="D1250" i="3"/>
  <c r="B1249" i="3"/>
  <c r="F1247" i="3"/>
  <c r="D1246" i="3"/>
  <c r="B1245" i="3"/>
  <c r="F1243" i="3"/>
  <c r="D1242" i="3"/>
  <c r="B1241" i="3"/>
  <c r="F1239" i="3"/>
  <c r="D1238" i="3"/>
  <c r="B1237" i="3"/>
  <c r="F1235" i="3"/>
  <c r="D1234" i="3"/>
  <c r="B1233" i="3"/>
  <c r="F1231" i="3"/>
  <c r="D1230" i="3"/>
  <c r="B1229" i="3"/>
  <c r="F1227" i="3"/>
  <c r="D1226" i="3"/>
  <c r="B1225" i="3"/>
  <c r="F1223" i="3"/>
  <c r="D1222" i="3"/>
  <c r="B1221" i="3"/>
  <c r="F1219" i="3"/>
  <c r="D1218" i="3"/>
  <c r="B1217" i="3"/>
  <c r="F1215" i="3"/>
  <c r="D1214" i="3"/>
  <c r="B1213" i="3"/>
  <c r="F1211" i="3"/>
  <c r="D1210" i="3"/>
  <c r="B1209" i="3"/>
  <c r="F1207" i="3"/>
  <c r="D1206" i="3"/>
  <c r="B1205" i="3"/>
  <c r="F1203" i="3"/>
  <c r="D1202" i="3"/>
  <c r="B1201" i="3"/>
  <c r="F1199" i="3"/>
  <c r="D1198" i="3"/>
  <c r="B1197" i="3"/>
  <c r="F1195" i="3"/>
  <c r="D1194" i="3"/>
  <c r="B1193" i="3"/>
  <c r="F1191" i="3"/>
  <c r="D1190" i="3"/>
  <c r="B1189" i="3"/>
  <c r="F1187" i="3"/>
  <c r="C436" i="4"/>
  <c r="B272" i="4"/>
  <c r="F186" i="4"/>
  <c r="D101" i="4"/>
  <c r="B32" i="4"/>
  <c r="E20" i="4"/>
  <c r="A10" i="4"/>
  <c r="C1449" i="3"/>
  <c r="E1438" i="3"/>
  <c r="A1428" i="3"/>
  <c r="C1417" i="3"/>
  <c r="E1406" i="3"/>
  <c r="A1396" i="3"/>
  <c r="C1385" i="3"/>
  <c r="E1374" i="3"/>
  <c r="A1364" i="3"/>
  <c r="C1353" i="3"/>
  <c r="E1342" i="3"/>
  <c r="A1332" i="3"/>
  <c r="C1321" i="3"/>
  <c r="E1310" i="3"/>
  <c r="A1300" i="3"/>
  <c r="C1289" i="3"/>
  <c r="E1278" i="3"/>
  <c r="A1268" i="3"/>
  <c r="C1257" i="3"/>
  <c r="E1246" i="3"/>
  <c r="A1236" i="3"/>
  <c r="F1229" i="3"/>
  <c r="D1224" i="3"/>
  <c r="B1219" i="3"/>
  <c r="F1213" i="3"/>
  <c r="D1208" i="3"/>
  <c r="B1203" i="3"/>
  <c r="F1197" i="3"/>
  <c r="D1192" i="3"/>
  <c r="C1189" i="3"/>
  <c r="D1186" i="3"/>
  <c r="A1185" i="3"/>
  <c r="E1183" i="3"/>
  <c r="C1182" i="3"/>
  <c r="A1181" i="3"/>
  <c r="E1179" i="3"/>
  <c r="C1178" i="3"/>
  <c r="A1177" i="3"/>
  <c r="E1175" i="3"/>
  <c r="C1174" i="3"/>
  <c r="A1173" i="3"/>
  <c r="E1171" i="3"/>
  <c r="C1170" i="3"/>
  <c r="A1169" i="3"/>
  <c r="E1167" i="3"/>
  <c r="C1166" i="3"/>
  <c r="A1165" i="3"/>
  <c r="E1163" i="3"/>
  <c r="C1162" i="3"/>
  <c r="A1161" i="3"/>
  <c r="E1159" i="3"/>
  <c r="C1158" i="3"/>
  <c r="A1157" i="3"/>
  <c r="E1155" i="3"/>
  <c r="C1154" i="3"/>
  <c r="A1153" i="3"/>
  <c r="E1151" i="3"/>
  <c r="C1150" i="3"/>
  <c r="A1149" i="3"/>
  <c r="E1147" i="3"/>
  <c r="C1146" i="3"/>
  <c r="A1145" i="3"/>
  <c r="E1143" i="3"/>
  <c r="C1142" i="3"/>
  <c r="A1141" i="3"/>
  <c r="E1139" i="3"/>
  <c r="C1138" i="3"/>
  <c r="A1137" i="3"/>
  <c r="E1135" i="3"/>
  <c r="C1134" i="3"/>
  <c r="A1133" i="3"/>
  <c r="E1131" i="3"/>
  <c r="C1130" i="3"/>
  <c r="A1129" i="3"/>
  <c r="E1127" i="3"/>
  <c r="C1126" i="3"/>
  <c r="A1125" i="3"/>
  <c r="E1123" i="3"/>
  <c r="C1122" i="3"/>
  <c r="A1121" i="3"/>
  <c r="E1119" i="3"/>
  <c r="C1118" i="3"/>
  <c r="A1117" i="3"/>
  <c r="E1115" i="3"/>
  <c r="C1114" i="3"/>
  <c r="A1113" i="3"/>
  <c r="E1111" i="3"/>
  <c r="C1110" i="3"/>
  <c r="A1109" i="3"/>
  <c r="E1107" i="3"/>
  <c r="C1106" i="3"/>
  <c r="A1105" i="3"/>
  <c r="E1103" i="3"/>
  <c r="C1102" i="3"/>
  <c r="A1101" i="3"/>
  <c r="E1099" i="3"/>
  <c r="C1098" i="3"/>
  <c r="A1097" i="3"/>
  <c r="E1095" i="3"/>
  <c r="C1094" i="3"/>
  <c r="A1093" i="3"/>
  <c r="E1091" i="3"/>
  <c r="C1090" i="3"/>
  <c r="A1089" i="3"/>
  <c r="E1087" i="3"/>
  <c r="C1086" i="3"/>
  <c r="A1085" i="3"/>
  <c r="E1083" i="3"/>
  <c r="C1082" i="3"/>
  <c r="A1081" i="3"/>
  <c r="E1079" i="3"/>
  <c r="C1078" i="3"/>
  <c r="A1077" i="3"/>
  <c r="E1075" i="3"/>
  <c r="C1074" i="3"/>
  <c r="A1073" i="3"/>
  <c r="E1071" i="3"/>
  <c r="C1070" i="3"/>
  <c r="A1069" i="3"/>
  <c r="E1067" i="3"/>
  <c r="C1066" i="3"/>
  <c r="A1065" i="3"/>
  <c r="E1063" i="3"/>
  <c r="C1062" i="3"/>
  <c r="A1061" i="3"/>
  <c r="E1059" i="3"/>
  <c r="C1058" i="3"/>
  <c r="A1057" i="3"/>
  <c r="E1055" i="3"/>
  <c r="C1054" i="3"/>
  <c r="A1053" i="3"/>
  <c r="E1051" i="3"/>
  <c r="C1050" i="3"/>
  <c r="A1049" i="3"/>
  <c r="E1047" i="3"/>
  <c r="C1046" i="3"/>
  <c r="A1045" i="3"/>
  <c r="E1043" i="3"/>
  <c r="C1042" i="3"/>
  <c r="A1041" i="3"/>
  <c r="E1039" i="3"/>
  <c r="C1038" i="3"/>
  <c r="A1037" i="3"/>
  <c r="E1035" i="3"/>
  <c r="C1034" i="3"/>
  <c r="A1033" i="3"/>
  <c r="E1031" i="3"/>
  <c r="C1030" i="3"/>
  <c r="A1029" i="3"/>
  <c r="E1027" i="3"/>
  <c r="C1026" i="3"/>
  <c r="A1025" i="3"/>
  <c r="E1023" i="3"/>
  <c r="C1022" i="3"/>
  <c r="A1021" i="3"/>
  <c r="E1019" i="3"/>
  <c r="C1018" i="3"/>
  <c r="A1017" i="3"/>
  <c r="E1015" i="3"/>
  <c r="C1014" i="3"/>
  <c r="A1013" i="3"/>
  <c r="E1011" i="3"/>
  <c r="C1010" i="3"/>
  <c r="A1009" i="3"/>
  <c r="E1007" i="3"/>
  <c r="C1006" i="3"/>
  <c r="A1005" i="3"/>
  <c r="E1003" i="3"/>
  <c r="C1002" i="3"/>
  <c r="A1001" i="3"/>
  <c r="E999" i="3"/>
  <c r="C998" i="3"/>
  <c r="A997" i="3"/>
  <c r="E995" i="3"/>
  <c r="C994" i="3"/>
  <c r="A993" i="3"/>
  <c r="E991" i="3"/>
  <c r="C990" i="3"/>
  <c r="A989" i="3"/>
  <c r="E987" i="3"/>
  <c r="C986" i="3"/>
  <c r="A985" i="3"/>
  <c r="E983" i="3"/>
  <c r="C982" i="3"/>
  <c r="A981" i="3"/>
  <c r="E979" i="3"/>
  <c r="C978" i="3"/>
  <c r="A977" i="3"/>
  <c r="E975" i="3"/>
  <c r="C974" i="3"/>
  <c r="A973" i="3"/>
  <c r="E971" i="3"/>
  <c r="C970" i="3"/>
  <c r="A969" i="3"/>
  <c r="E967" i="3"/>
  <c r="C966" i="3"/>
  <c r="A965" i="3"/>
  <c r="E963" i="3"/>
  <c r="C962" i="3"/>
  <c r="A961" i="3"/>
  <c r="E959" i="3"/>
  <c r="C958" i="3"/>
  <c r="A957" i="3"/>
  <c r="E955" i="3"/>
  <c r="C954" i="3"/>
  <c r="A953" i="3"/>
  <c r="E951" i="3"/>
  <c r="C950" i="3"/>
  <c r="A949" i="3"/>
  <c r="E947" i="3"/>
  <c r="C946" i="3"/>
  <c r="A945" i="3"/>
  <c r="E943" i="3"/>
  <c r="C942" i="3"/>
  <c r="A941" i="3"/>
  <c r="E939" i="3"/>
  <c r="C938" i="3"/>
  <c r="A937" i="3"/>
  <c r="E935" i="3"/>
  <c r="C934" i="3"/>
  <c r="A933" i="3"/>
  <c r="E931" i="3"/>
  <c r="C930" i="3"/>
  <c r="A929" i="3"/>
  <c r="E927" i="3"/>
  <c r="C926" i="3"/>
  <c r="A925" i="3"/>
  <c r="E923" i="3"/>
  <c r="C922" i="3"/>
  <c r="A921" i="3"/>
  <c r="E919" i="3"/>
  <c r="C918" i="3"/>
  <c r="A917" i="3"/>
  <c r="E915" i="3"/>
  <c r="C914" i="3"/>
  <c r="A913" i="3"/>
  <c r="E911" i="3"/>
  <c r="C910" i="3"/>
  <c r="A909" i="3"/>
  <c r="E907" i="3"/>
  <c r="C906" i="3"/>
  <c r="A905" i="3"/>
  <c r="E903" i="3"/>
  <c r="C902" i="3"/>
  <c r="A901" i="3"/>
  <c r="E899" i="3"/>
  <c r="C898" i="3"/>
  <c r="A897" i="3"/>
  <c r="F392" i="4"/>
  <c r="D261" i="4"/>
  <c r="B176" i="4"/>
  <c r="F90" i="4"/>
  <c r="D30" i="4"/>
  <c r="C19" i="4"/>
  <c r="E8" i="4"/>
  <c r="A1448" i="3"/>
  <c r="C1437" i="3"/>
  <c r="E1426" i="3"/>
  <c r="A1416" i="3"/>
  <c r="C1405" i="3"/>
  <c r="E1394" i="3"/>
  <c r="A1384" i="3"/>
  <c r="C1373" i="3"/>
  <c r="E1362" i="3"/>
  <c r="A1352" i="3"/>
  <c r="C1341" i="3"/>
  <c r="E1330" i="3"/>
  <c r="A1320" i="3"/>
  <c r="C1309" i="3"/>
  <c r="E1298" i="3"/>
  <c r="A1288" i="3"/>
  <c r="C1277" i="3"/>
  <c r="E1266" i="3"/>
  <c r="A1256" i="3"/>
  <c r="C1245" i="3"/>
  <c r="E1234" i="3"/>
  <c r="C1229" i="3"/>
  <c r="A1224" i="3"/>
  <c r="E1218" i="3"/>
  <c r="C1213" i="3"/>
  <c r="A1208" i="3"/>
  <c r="E1202" i="3"/>
  <c r="C1197" i="3"/>
  <c r="B1192" i="3"/>
  <c r="D1188" i="3"/>
  <c r="C1186" i="3"/>
  <c r="F1184" i="3"/>
  <c r="D1183" i="3"/>
  <c r="B1182" i="3"/>
  <c r="F1180" i="3"/>
  <c r="D1179" i="3"/>
  <c r="B1178" i="3"/>
  <c r="F1176" i="3"/>
  <c r="D1175" i="3"/>
  <c r="B1174" i="3"/>
  <c r="F1172" i="3"/>
  <c r="D1171" i="3"/>
  <c r="B1170" i="3"/>
  <c r="F1168" i="3"/>
  <c r="D1167" i="3"/>
  <c r="B1166" i="3"/>
  <c r="F1164" i="3"/>
  <c r="D1163" i="3"/>
  <c r="B1162" i="3"/>
  <c r="F1160" i="3"/>
  <c r="D1159" i="3"/>
  <c r="B1158" i="3"/>
  <c r="F1156" i="3"/>
  <c r="D1155" i="3"/>
  <c r="B1154" i="3"/>
  <c r="F1152" i="3"/>
  <c r="D1151" i="3"/>
  <c r="B1150" i="3"/>
  <c r="F1148" i="3"/>
  <c r="D1147" i="3"/>
  <c r="B1146" i="3"/>
  <c r="F1144" i="3"/>
  <c r="D1143" i="3"/>
  <c r="B1142" i="3"/>
  <c r="F1140" i="3"/>
  <c r="D1139" i="3"/>
  <c r="B1138" i="3"/>
  <c r="F1136" i="3"/>
  <c r="D1135" i="3"/>
  <c r="B1134" i="3"/>
  <c r="F1132" i="3"/>
  <c r="D1131" i="3"/>
  <c r="B1130" i="3"/>
  <c r="F1128" i="3"/>
  <c r="D1127" i="3"/>
  <c r="B1126" i="3"/>
  <c r="F1124" i="3"/>
  <c r="D1123" i="3"/>
  <c r="B1122" i="3"/>
  <c r="F1120" i="3"/>
  <c r="D1119" i="3"/>
  <c r="B1118" i="3"/>
  <c r="F1116" i="3"/>
  <c r="D1115" i="3"/>
  <c r="B1114" i="3"/>
  <c r="F1112" i="3"/>
  <c r="D1111" i="3"/>
  <c r="B1110" i="3"/>
  <c r="F1108" i="3"/>
  <c r="D1107" i="3"/>
  <c r="B1106" i="3"/>
  <c r="F1104" i="3"/>
  <c r="D1103" i="3"/>
  <c r="B1102" i="3"/>
  <c r="F1100" i="3"/>
  <c r="D1099" i="3"/>
  <c r="B1098" i="3"/>
  <c r="F1096" i="3"/>
  <c r="D1095" i="3"/>
  <c r="B1094" i="3"/>
  <c r="F1092" i="3"/>
  <c r="D1091" i="3"/>
  <c r="B1090" i="3"/>
  <c r="F1088" i="3"/>
  <c r="D1087" i="3"/>
  <c r="B1086" i="3"/>
  <c r="F1084" i="3"/>
  <c r="D1083" i="3"/>
  <c r="B1082" i="3"/>
  <c r="F1080" i="3"/>
  <c r="D1079" i="3"/>
  <c r="B1078" i="3"/>
  <c r="F1076" i="3"/>
  <c r="D1075" i="3"/>
  <c r="B1074" i="3"/>
  <c r="F1072" i="3"/>
  <c r="D1071" i="3"/>
  <c r="B1070" i="3"/>
  <c r="F1068" i="3"/>
  <c r="D1067" i="3"/>
  <c r="B1066" i="3"/>
  <c r="F1064" i="3"/>
  <c r="D1063" i="3"/>
  <c r="B1062" i="3"/>
  <c r="F1060" i="3"/>
  <c r="D1059" i="3"/>
  <c r="B1058" i="3"/>
  <c r="F1056" i="3"/>
  <c r="D1055" i="3"/>
  <c r="B1054" i="3"/>
  <c r="F1052" i="3"/>
  <c r="D1051" i="3"/>
  <c r="B1050" i="3"/>
  <c r="F1048" i="3"/>
  <c r="D1047" i="3"/>
  <c r="B1046" i="3"/>
  <c r="F1044" i="3"/>
  <c r="D1043" i="3"/>
  <c r="B1042" i="3"/>
  <c r="F1040" i="3"/>
  <c r="D1039" i="3"/>
  <c r="B1038" i="3"/>
  <c r="F1036" i="3"/>
  <c r="D1035" i="3"/>
  <c r="B1034" i="3"/>
  <c r="F1032" i="3"/>
  <c r="D1031" i="3"/>
  <c r="B1030" i="3"/>
  <c r="F1028" i="3"/>
  <c r="D1027" i="3"/>
  <c r="B1026" i="3"/>
  <c r="F1024" i="3"/>
  <c r="D1023" i="3"/>
  <c r="B1022" i="3"/>
  <c r="F1020" i="3"/>
  <c r="D1019" i="3"/>
  <c r="B1018" i="3"/>
  <c r="F1016" i="3"/>
  <c r="D1015" i="3"/>
  <c r="B1014" i="3"/>
  <c r="F1012" i="3"/>
  <c r="D1011" i="3"/>
  <c r="B1010" i="3"/>
  <c r="F1008" i="3"/>
  <c r="D1007" i="3"/>
  <c r="B1006" i="3"/>
  <c r="F1004" i="3"/>
  <c r="D1003" i="3"/>
  <c r="B1002" i="3"/>
  <c r="F1000" i="3"/>
  <c r="D999" i="3"/>
  <c r="B998" i="3"/>
  <c r="F996" i="3"/>
  <c r="D995" i="3"/>
  <c r="B994" i="3"/>
  <c r="F992" i="3"/>
  <c r="D991" i="3"/>
  <c r="B990" i="3"/>
  <c r="F988" i="3"/>
  <c r="D987" i="3"/>
  <c r="B986" i="3"/>
  <c r="F984" i="3"/>
  <c r="D983" i="3"/>
  <c r="B982" i="3"/>
  <c r="F980" i="3"/>
  <c r="D979" i="3"/>
  <c r="B978" i="3"/>
  <c r="F976" i="3"/>
  <c r="D975" i="3"/>
  <c r="B974" i="3"/>
  <c r="F972" i="3"/>
  <c r="D971" i="3"/>
  <c r="B970" i="3"/>
  <c r="F968" i="3"/>
  <c r="D967" i="3"/>
  <c r="B966" i="3"/>
  <c r="F964" i="3"/>
  <c r="D963" i="3"/>
  <c r="B962" i="3"/>
  <c r="F960" i="3"/>
  <c r="D959" i="3"/>
  <c r="B958" i="3"/>
  <c r="F956" i="3"/>
  <c r="D955" i="3"/>
  <c r="B954" i="3"/>
  <c r="F952" i="3"/>
  <c r="D951" i="3"/>
  <c r="B950" i="3"/>
  <c r="F948" i="3"/>
  <c r="D947" i="3"/>
  <c r="B946" i="3"/>
  <c r="F944" i="3"/>
  <c r="D943" i="3"/>
  <c r="B942" i="3"/>
  <c r="F940" i="3"/>
  <c r="D939" i="3"/>
  <c r="B938" i="3"/>
  <c r="F936" i="3"/>
  <c r="D935" i="3"/>
  <c r="B934" i="3"/>
  <c r="F932" i="3"/>
  <c r="D931" i="3"/>
  <c r="B930" i="3"/>
  <c r="F928" i="3"/>
  <c r="D927" i="3"/>
  <c r="B926" i="3"/>
  <c r="F924" i="3"/>
  <c r="D923" i="3"/>
  <c r="B922" i="3"/>
  <c r="F920" i="3"/>
  <c r="D919" i="3"/>
  <c r="B918" i="3"/>
  <c r="F916" i="3"/>
  <c r="D915" i="3"/>
  <c r="B914" i="3"/>
  <c r="F912" i="3"/>
  <c r="D911" i="3"/>
  <c r="B910" i="3"/>
  <c r="F908" i="3"/>
  <c r="D907" i="3"/>
  <c r="B906" i="3"/>
  <c r="F904" i="3"/>
  <c r="D903" i="3"/>
  <c r="B902" i="3"/>
  <c r="F900" i="3"/>
  <c r="D899" i="3"/>
  <c r="D351" i="4"/>
  <c r="F250" i="4"/>
  <c r="D165" i="4"/>
  <c r="B80" i="4"/>
  <c r="A29" i="4"/>
  <c r="A18" i="4"/>
  <c r="C7" i="4"/>
  <c r="E1446" i="3"/>
  <c r="A1436" i="3"/>
  <c r="C1425" i="3"/>
  <c r="E1414" i="3"/>
  <c r="A1404" i="3"/>
  <c r="C1393" i="3"/>
  <c r="E1382" i="3"/>
  <c r="A1372" i="3"/>
  <c r="C1361" i="3"/>
  <c r="E1350" i="3"/>
  <c r="A1340" i="3"/>
  <c r="C1329" i="3"/>
  <c r="E1318" i="3"/>
  <c r="A1308" i="3"/>
  <c r="C1297" i="3"/>
  <c r="E1286" i="3"/>
  <c r="A1276" i="3"/>
  <c r="C1265" i="3"/>
  <c r="E1254" i="3"/>
  <c r="A1244" i="3"/>
  <c r="F1233" i="3"/>
  <c r="D1228" i="3"/>
  <c r="B1223" i="3"/>
  <c r="F1217" i="3"/>
  <c r="D1212" i="3"/>
  <c r="B1207" i="3"/>
  <c r="F1201" i="3"/>
  <c r="D1196" i="3"/>
  <c r="A1192" i="3"/>
  <c r="B1188" i="3"/>
  <c r="A1186" i="3"/>
  <c r="E1184" i="3"/>
  <c r="C1183" i="3"/>
  <c r="A1182" i="3"/>
  <c r="E1180" i="3"/>
  <c r="C1179" i="3"/>
  <c r="A1178" i="3"/>
  <c r="E1176" i="3"/>
  <c r="C1175" i="3"/>
  <c r="A1174" i="3"/>
  <c r="E1172" i="3"/>
  <c r="C1171" i="3"/>
  <c r="A1170" i="3"/>
  <c r="E1168" i="3"/>
  <c r="C1167" i="3"/>
  <c r="A1166" i="3"/>
  <c r="E1164" i="3"/>
  <c r="C1163" i="3"/>
  <c r="A1162" i="3"/>
  <c r="E1160" i="3"/>
  <c r="C1159" i="3"/>
  <c r="A1158" i="3"/>
  <c r="E1156" i="3"/>
  <c r="C1155" i="3"/>
  <c r="A1154" i="3"/>
  <c r="E1152" i="3"/>
  <c r="C1151" i="3"/>
  <c r="A1150" i="3"/>
  <c r="E1148" i="3"/>
  <c r="C1147" i="3"/>
  <c r="A1146" i="3"/>
  <c r="E1144" i="3"/>
  <c r="C1143" i="3"/>
  <c r="A1142" i="3"/>
  <c r="E1140" i="3"/>
  <c r="C1139" i="3"/>
  <c r="A1138" i="3"/>
  <c r="E1136" i="3"/>
  <c r="C1135" i="3"/>
  <c r="A1134" i="3"/>
  <c r="E1132" i="3"/>
  <c r="C1131" i="3"/>
  <c r="A1130" i="3"/>
  <c r="E1128" i="3"/>
  <c r="C1127" i="3"/>
  <c r="A1126" i="3"/>
  <c r="E1124" i="3"/>
  <c r="C1123" i="3"/>
  <c r="A1122" i="3"/>
  <c r="E1120" i="3"/>
  <c r="C1119" i="3"/>
  <c r="A1118" i="3"/>
  <c r="E1116" i="3"/>
  <c r="C1115" i="3"/>
  <c r="A1114" i="3"/>
  <c r="E1112" i="3"/>
  <c r="C1111" i="3"/>
  <c r="A1110" i="3"/>
  <c r="E1108" i="3"/>
  <c r="C1107" i="3"/>
  <c r="A1106" i="3"/>
  <c r="E1104" i="3"/>
  <c r="C1103" i="3"/>
  <c r="A1102" i="3"/>
  <c r="E1100" i="3"/>
  <c r="C1099" i="3"/>
  <c r="A1098" i="3"/>
  <c r="E1096" i="3"/>
  <c r="C1095" i="3"/>
  <c r="A1094" i="3"/>
  <c r="E1092" i="3"/>
  <c r="C1091" i="3"/>
  <c r="A1090" i="3"/>
  <c r="E1088" i="3"/>
  <c r="C1087" i="3"/>
  <c r="A1086" i="3"/>
  <c r="E1084" i="3"/>
  <c r="C1083" i="3"/>
  <c r="A1082" i="3"/>
  <c r="E1080" i="3"/>
  <c r="C1079" i="3"/>
  <c r="A1078" i="3"/>
  <c r="E1076" i="3"/>
  <c r="C1075" i="3"/>
  <c r="A1074" i="3"/>
  <c r="E1072" i="3"/>
  <c r="C1071" i="3"/>
  <c r="A1070" i="3"/>
  <c r="E1068" i="3"/>
  <c r="C1067" i="3"/>
  <c r="A1066" i="3"/>
  <c r="E1064" i="3"/>
  <c r="C1063" i="3"/>
  <c r="A1062" i="3"/>
  <c r="E1060" i="3"/>
  <c r="C1059" i="3"/>
  <c r="A1058" i="3"/>
  <c r="E1056" i="3"/>
  <c r="C1055" i="3"/>
  <c r="A1054" i="3"/>
  <c r="E1052" i="3"/>
  <c r="C1051" i="3"/>
  <c r="A1050" i="3"/>
  <c r="E1048" i="3"/>
  <c r="C1047" i="3"/>
  <c r="A1046" i="3"/>
  <c r="E1044" i="3"/>
  <c r="C1043" i="3"/>
  <c r="A1042" i="3"/>
  <c r="E1040" i="3"/>
  <c r="C1039" i="3"/>
  <c r="A1038" i="3"/>
  <c r="E1036" i="3"/>
  <c r="C1035" i="3"/>
  <c r="A1034" i="3"/>
  <c r="E1032" i="3"/>
  <c r="C1031" i="3"/>
  <c r="A1030" i="3"/>
  <c r="E1028" i="3"/>
  <c r="C1027" i="3"/>
  <c r="A1026" i="3"/>
  <c r="E1024" i="3"/>
  <c r="C1023" i="3"/>
  <c r="A1022" i="3"/>
  <c r="E1020" i="3"/>
  <c r="C1019" i="3"/>
  <c r="A1018" i="3"/>
  <c r="E1016" i="3"/>
  <c r="C1015" i="3"/>
  <c r="A1014" i="3"/>
  <c r="E1012" i="3"/>
  <c r="C1011" i="3"/>
  <c r="A1010" i="3"/>
  <c r="E1008" i="3"/>
  <c r="C1007" i="3"/>
  <c r="A1006" i="3"/>
  <c r="E1004" i="3"/>
  <c r="C1003" i="3"/>
  <c r="A1002" i="3"/>
  <c r="E1000" i="3"/>
  <c r="C999" i="3"/>
  <c r="A998" i="3"/>
  <c r="E996" i="3"/>
  <c r="C995" i="3"/>
  <c r="A994" i="3"/>
  <c r="E992" i="3"/>
  <c r="C991" i="3"/>
  <c r="A990" i="3"/>
  <c r="E988" i="3"/>
  <c r="C987" i="3"/>
  <c r="A986" i="3"/>
  <c r="E984" i="3"/>
  <c r="C983" i="3"/>
  <c r="A982" i="3"/>
  <c r="E980" i="3"/>
  <c r="C979" i="3"/>
  <c r="A978" i="3"/>
  <c r="E976" i="3"/>
  <c r="C975" i="3"/>
  <c r="A974" i="3"/>
  <c r="E972" i="3"/>
  <c r="C971" i="3"/>
  <c r="A970" i="3"/>
  <c r="E968" i="3"/>
  <c r="C967" i="3"/>
  <c r="A966" i="3"/>
  <c r="E964" i="3"/>
  <c r="C963" i="3"/>
  <c r="A962" i="3"/>
  <c r="E960" i="3"/>
  <c r="C959" i="3"/>
  <c r="A958" i="3"/>
  <c r="E956" i="3"/>
  <c r="C955" i="3"/>
  <c r="A954" i="3"/>
  <c r="E952" i="3"/>
  <c r="C951" i="3"/>
  <c r="A950" i="3"/>
  <c r="E948" i="3"/>
  <c r="C947" i="3"/>
  <c r="A946" i="3"/>
  <c r="E944" i="3"/>
  <c r="C943" i="3"/>
  <c r="A942" i="3"/>
  <c r="E940" i="3"/>
  <c r="C939" i="3"/>
  <c r="A938" i="3"/>
  <c r="E936" i="3"/>
  <c r="C935" i="3"/>
  <c r="A934" i="3"/>
  <c r="E932" i="3"/>
  <c r="C931" i="3"/>
  <c r="A930" i="3"/>
  <c r="E928" i="3"/>
  <c r="C927" i="3"/>
  <c r="A926" i="3"/>
  <c r="E924" i="3"/>
  <c r="C923" i="3"/>
  <c r="A922" i="3"/>
  <c r="E920" i="3"/>
  <c r="C919" i="3"/>
  <c r="A918" i="3"/>
  <c r="E916" i="3"/>
  <c r="C915" i="3"/>
  <c r="A914" i="3"/>
  <c r="E912" i="3"/>
  <c r="C911" i="3"/>
  <c r="A910" i="3"/>
  <c r="E908" i="3"/>
  <c r="C907" i="3"/>
  <c r="A906" i="3"/>
  <c r="E904" i="3"/>
  <c r="C903" i="3"/>
  <c r="A902" i="3"/>
  <c r="E327" i="4"/>
  <c r="B240" i="4"/>
  <c r="F154" i="4"/>
  <c r="D69" i="4"/>
  <c r="D27" i="4"/>
  <c r="E16" i="4"/>
  <c r="A6" i="4"/>
  <c r="C1445" i="3"/>
  <c r="E1434" i="3"/>
  <c r="A1424" i="3"/>
  <c r="C1413" i="3"/>
  <c r="E1402" i="3"/>
  <c r="A1392" i="3"/>
  <c r="C1381" i="3"/>
  <c r="E1370" i="3"/>
  <c r="A1360" i="3"/>
  <c r="C1349" i="3"/>
  <c r="E1338" i="3"/>
  <c r="A1328" i="3"/>
  <c r="C1317" i="3"/>
  <c r="E1306" i="3"/>
  <c r="A1296" i="3"/>
  <c r="C1285" i="3"/>
  <c r="E1274" i="3"/>
  <c r="A1264" i="3"/>
  <c r="C1253" i="3"/>
  <c r="E1242" i="3"/>
  <c r="C1233" i="3"/>
  <c r="A1228" i="3"/>
  <c r="E1222" i="3"/>
  <c r="C1217" i="3"/>
  <c r="A1212" i="3"/>
  <c r="E1206" i="3"/>
  <c r="C1201" i="3"/>
  <c r="A1196" i="3"/>
  <c r="B1191" i="3"/>
  <c r="A1188" i="3"/>
  <c r="F1185" i="3"/>
  <c r="D1184" i="3"/>
  <c r="B1183" i="3"/>
  <c r="F1181" i="3"/>
  <c r="D1180" i="3"/>
  <c r="B1179" i="3"/>
  <c r="F1177" i="3"/>
  <c r="D1176" i="3"/>
  <c r="B1175" i="3"/>
  <c r="F1173" i="3"/>
  <c r="D1172" i="3"/>
  <c r="B1171" i="3"/>
  <c r="F1169" i="3"/>
  <c r="D1168" i="3"/>
  <c r="B1167" i="3"/>
  <c r="F1165" i="3"/>
  <c r="D1164" i="3"/>
  <c r="B1163" i="3"/>
  <c r="F1161" i="3"/>
  <c r="D1160" i="3"/>
  <c r="B1159" i="3"/>
  <c r="F1157" i="3"/>
  <c r="D1156" i="3"/>
  <c r="B1155" i="3"/>
  <c r="F1153" i="3"/>
  <c r="D1152" i="3"/>
  <c r="B1151" i="3"/>
  <c r="F1149" i="3"/>
  <c r="D1148" i="3"/>
  <c r="B1147" i="3"/>
  <c r="F1145" i="3"/>
  <c r="D1144" i="3"/>
  <c r="B1143" i="3"/>
  <c r="F1141" i="3"/>
  <c r="D1140" i="3"/>
  <c r="B1139" i="3"/>
  <c r="F1137" i="3"/>
  <c r="D1136" i="3"/>
  <c r="B1135" i="3"/>
  <c r="F1133" i="3"/>
  <c r="D1132" i="3"/>
  <c r="B1131" i="3"/>
  <c r="F1129" i="3"/>
  <c r="D1128" i="3"/>
  <c r="B1127" i="3"/>
  <c r="F1125" i="3"/>
  <c r="D1124" i="3"/>
  <c r="B1123" i="3"/>
  <c r="F1121" i="3"/>
  <c r="D1120" i="3"/>
  <c r="B1119" i="3"/>
  <c r="F1117" i="3"/>
  <c r="D1116" i="3"/>
  <c r="B1115" i="3"/>
  <c r="F1113" i="3"/>
  <c r="D1112" i="3"/>
  <c r="B1111" i="3"/>
  <c r="F1109" i="3"/>
  <c r="D1108" i="3"/>
  <c r="B1107" i="3"/>
  <c r="F1105" i="3"/>
  <c r="D1104" i="3"/>
  <c r="B1103" i="3"/>
  <c r="F1101" i="3"/>
  <c r="D1100" i="3"/>
  <c r="B1099" i="3"/>
  <c r="F1097" i="3"/>
  <c r="D1096" i="3"/>
  <c r="B1095" i="3"/>
  <c r="F1093" i="3"/>
  <c r="D1092" i="3"/>
  <c r="B1091" i="3"/>
  <c r="F1089" i="3"/>
  <c r="D1088" i="3"/>
  <c r="B1087" i="3"/>
  <c r="F1085" i="3"/>
  <c r="D1084" i="3"/>
  <c r="B1083" i="3"/>
  <c r="F1081" i="3"/>
  <c r="D1080" i="3"/>
  <c r="B1079" i="3"/>
  <c r="F1077" i="3"/>
  <c r="D1076" i="3"/>
  <c r="B1075" i="3"/>
  <c r="F1073" i="3"/>
  <c r="D1072" i="3"/>
  <c r="B1071" i="3"/>
  <c r="F1069" i="3"/>
  <c r="D1068" i="3"/>
  <c r="B1067" i="3"/>
  <c r="F1065" i="3"/>
  <c r="D1064" i="3"/>
  <c r="B1063" i="3"/>
  <c r="F1061" i="3"/>
  <c r="D1060" i="3"/>
  <c r="B1059" i="3"/>
  <c r="F1057" i="3"/>
  <c r="D1056" i="3"/>
  <c r="B1055" i="3"/>
  <c r="F1053" i="3"/>
  <c r="D1052" i="3"/>
  <c r="B1051" i="3"/>
  <c r="F1049" i="3"/>
  <c r="D1048" i="3"/>
  <c r="B1047" i="3"/>
  <c r="F1045" i="3"/>
  <c r="D1044" i="3"/>
  <c r="B1043" i="3"/>
  <c r="F1041" i="3"/>
  <c r="D1040" i="3"/>
  <c r="B1039" i="3"/>
  <c r="F1037" i="3"/>
  <c r="D1036" i="3"/>
  <c r="B1035" i="3"/>
  <c r="F1033" i="3"/>
  <c r="D1032" i="3"/>
  <c r="B1031" i="3"/>
  <c r="F1029" i="3"/>
  <c r="D1028" i="3"/>
  <c r="B1027" i="3"/>
  <c r="F1025" i="3"/>
  <c r="D1024" i="3"/>
  <c r="B1023" i="3"/>
  <c r="F1021" i="3"/>
  <c r="D1020" i="3"/>
  <c r="B1019" i="3"/>
  <c r="F1017" i="3"/>
  <c r="D1016" i="3"/>
  <c r="B1015" i="3"/>
  <c r="F1013" i="3"/>
  <c r="D1012" i="3"/>
  <c r="B1011" i="3"/>
  <c r="F1009" i="3"/>
  <c r="D1008" i="3"/>
  <c r="B1007" i="3"/>
  <c r="F1005" i="3"/>
  <c r="D1004" i="3"/>
  <c r="B1003" i="3"/>
  <c r="F1001" i="3"/>
  <c r="D1000" i="3"/>
  <c r="B999" i="3"/>
  <c r="F997" i="3"/>
  <c r="D996" i="3"/>
  <c r="B995" i="3"/>
  <c r="F993" i="3"/>
  <c r="D992" i="3"/>
  <c r="B991" i="3"/>
  <c r="F989" i="3"/>
  <c r="D988" i="3"/>
  <c r="B987" i="3"/>
  <c r="F985" i="3"/>
  <c r="D984" i="3"/>
  <c r="B983" i="3"/>
  <c r="F981" i="3"/>
  <c r="D980" i="3"/>
  <c r="B979" i="3"/>
  <c r="F977" i="3"/>
  <c r="D976" i="3"/>
  <c r="B975" i="3"/>
  <c r="F973" i="3"/>
  <c r="D972" i="3"/>
  <c r="B971" i="3"/>
  <c r="F969" i="3"/>
  <c r="D968" i="3"/>
  <c r="B967" i="3"/>
  <c r="F965" i="3"/>
  <c r="D964" i="3"/>
  <c r="B963" i="3"/>
  <c r="F961" i="3"/>
  <c r="D960" i="3"/>
  <c r="B959" i="3"/>
  <c r="F957" i="3"/>
  <c r="D956" i="3"/>
  <c r="B955" i="3"/>
  <c r="F953" i="3"/>
  <c r="D952" i="3"/>
  <c r="B951" i="3"/>
  <c r="F949" i="3"/>
  <c r="D948" i="3"/>
  <c r="B947" i="3"/>
  <c r="F945" i="3"/>
  <c r="D944" i="3"/>
  <c r="B943" i="3"/>
  <c r="F941" i="3"/>
  <c r="D940" i="3"/>
  <c r="B939" i="3"/>
  <c r="F937" i="3"/>
  <c r="D936" i="3"/>
  <c r="F314" i="4"/>
  <c r="D229" i="4"/>
  <c r="B144" i="4"/>
  <c r="F58" i="4"/>
  <c r="A26" i="4"/>
  <c r="C15" i="4"/>
  <c r="E4" i="4"/>
  <c r="A1444" i="3"/>
  <c r="C1433" i="3"/>
  <c r="E1422" i="3"/>
  <c r="A1412" i="3"/>
  <c r="C1401" i="3"/>
  <c r="E1390" i="3"/>
  <c r="A1380" i="3"/>
  <c r="C1369" i="3"/>
  <c r="E1358" i="3"/>
  <c r="A1348" i="3"/>
  <c r="C1337" i="3"/>
  <c r="E1326" i="3"/>
  <c r="A1316" i="3"/>
  <c r="C1305" i="3"/>
  <c r="E1294" i="3"/>
  <c r="A1284" i="3"/>
  <c r="C1273" i="3"/>
  <c r="E1262" i="3"/>
  <c r="A1252" i="3"/>
  <c r="C1241" i="3"/>
  <c r="D1232" i="3"/>
  <c r="B1227" i="3"/>
  <c r="F1221" i="3"/>
  <c r="D1216" i="3"/>
  <c r="B1211" i="3"/>
  <c r="F1205" i="3"/>
  <c r="D1200" i="3"/>
  <c r="B1195" i="3"/>
  <c r="F1190" i="3"/>
  <c r="B1187" i="3"/>
  <c r="E1185" i="3"/>
  <c r="C1184" i="3"/>
  <c r="A1183" i="3"/>
  <c r="E1181" i="3"/>
  <c r="C1180" i="3"/>
  <c r="A1179" i="3"/>
  <c r="E1177" i="3"/>
  <c r="C1176" i="3"/>
  <c r="A1175" i="3"/>
  <c r="E1173" i="3"/>
  <c r="C1172" i="3"/>
  <c r="A1171" i="3"/>
  <c r="E1169" i="3"/>
  <c r="C1168" i="3"/>
  <c r="A1167" i="3"/>
  <c r="E1165" i="3"/>
  <c r="C1164" i="3"/>
  <c r="A1163" i="3"/>
  <c r="E1161" i="3"/>
  <c r="C1160" i="3"/>
  <c r="A1159" i="3"/>
  <c r="E1157" i="3"/>
  <c r="C1156" i="3"/>
  <c r="A1155" i="3"/>
  <c r="E1153" i="3"/>
  <c r="C1152" i="3"/>
  <c r="A1151" i="3"/>
  <c r="E1149" i="3"/>
  <c r="C1148" i="3"/>
  <c r="A1147" i="3"/>
  <c r="E1145" i="3"/>
  <c r="C1144" i="3"/>
  <c r="A1143" i="3"/>
  <c r="E1141" i="3"/>
  <c r="C1140" i="3"/>
  <c r="A1139" i="3"/>
  <c r="E1137" i="3"/>
  <c r="C1136" i="3"/>
  <c r="A1135" i="3"/>
  <c r="E1133" i="3"/>
  <c r="C1132" i="3"/>
  <c r="A1131" i="3"/>
  <c r="E1129" i="3"/>
  <c r="C1128" i="3"/>
  <c r="A1127" i="3"/>
  <c r="E1125" i="3"/>
  <c r="C1124" i="3"/>
  <c r="A1123" i="3"/>
  <c r="E1121" i="3"/>
  <c r="C1120" i="3"/>
  <c r="A1119" i="3"/>
  <c r="E1117" i="3"/>
  <c r="C1116" i="3"/>
  <c r="A1115" i="3"/>
  <c r="E1113" i="3"/>
  <c r="C1112" i="3"/>
  <c r="A1111" i="3"/>
  <c r="E1109" i="3"/>
  <c r="C1108" i="3"/>
  <c r="A1107" i="3"/>
  <c r="E1105" i="3"/>
  <c r="C1104" i="3"/>
  <c r="A1103" i="3"/>
  <c r="E1101" i="3"/>
  <c r="C1100" i="3"/>
  <c r="A1099" i="3"/>
  <c r="E1097" i="3"/>
  <c r="C1096" i="3"/>
  <c r="A1095" i="3"/>
  <c r="E1093" i="3"/>
  <c r="C1092" i="3"/>
  <c r="A1091" i="3"/>
  <c r="E1089" i="3"/>
  <c r="C1088" i="3"/>
  <c r="A1087" i="3"/>
  <c r="E1085" i="3"/>
  <c r="C1084" i="3"/>
  <c r="A1083" i="3"/>
  <c r="E1081" i="3"/>
  <c r="C1080" i="3"/>
  <c r="A1079" i="3"/>
  <c r="E1077" i="3"/>
  <c r="C1076" i="3"/>
  <c r="A1075" i="3"/>
  <c r="E1073" i="3"/>
  <c r="C1072" i="3"/>
  <c r="A1071" i="3"/>
  <c r="E1069" i="3"/>
  <c r="C1068" i="3"/>
  <c r="A1067" i="3"/>
  <c r="E1065" i="3"/>
  <c r="C1064" i="3"/>
  <c r="A1063" i="3"/>
  <c r="E1061" i="3"/>
  <c r="C1060" i="3"/>
  <c r="A1059" i="3"/>
  <c r="E1057" i="3"/>
  <c r="C1056" i="3"/>
  <c r="A1055" i="3"/>
  <c r="E1053" i="3"/>
  <c r="C1052" i="3"/>
  <c r="A1051" i="3"/>
  <c r="E1049" i="3"/>
  <c r="C1048" i="3"/>
  <c r="A1047" i="3"/>
  <c r="E1045" i="3"/>
  <c r="C1044" i="3"/>
  <c r="A1043" i="3"/>
  <c r="E1041" i="3"/>
  <c r="C1040" i="3"/>
  <c r="A1039" i="3"/>
  <c r="E1037" i="3"/>
  <c r="C1036" i="3"/>
  <c r="A1035" i="3"/>
  <c r="E1033" i="3"/>
  <c r="C1032" i="3"/>
  <c r="A1031" i="3"/>
  <c r="E1029" i="3"/>
  <c r="C1028" i="3"/>
  <c r="A1027" i="3"/>
  <c r="E1025" i="3"/>
  <c r="C1024" i="3"/>
  <c r="A1023" i="3"/>
  <c r="E1021" i="3"/>
  <c r="C1020" i="3"/>
  <c r="A1019" i="3"/>
  <c r="E1017" i="3"/>
  <c r="C1016" i="3"/>
  <c r="A1015" i="3"/>
  <c r="E1013" i="3"/>
  <c r="C1012" i="3"/>
  <c r="A1011" i="3"/>
  <c r="E1009" i="3"/>
  <c r="C1008" i="3"/>
  <c r="A1007" i="3"/>
  <c r="E1005" i="3"/>
  <c r="C1004" i="3"/>
  <c r="A1003" i="3"/>
  <c r="E1001" i="3"/>
  <c r="C1000" i="3"/>
  <c r="A999" i="3"/>
  <c r="E997" i="3"/>
  <c r="C996" i="3"/>
  <c r="A995" i="3"/>
  <c r="E993" i="3"/>
  <c r="C992" i="3"/>
  <c r="A991" i="3"/>
  <c r="E989" i="3"/>
  <c r="C988" i="3"/>
  <c r="A987" i="3"/>
  <c r="E985" i="3"/>
  <c r="C984" i="3"/>
  <c r="A983" i="3"/>
  <c r="E981" i="3"/>
  <c r="C980" i="3"/>
  <c r="A979" i="3"/>
  <c r="E977" i="3"/>
  <c r="C976" i="3"/>
  <c r="A975" i="3"/>
  <c r="E973" i="3"/>
  <c r="C972" i="3"/>
  <c r="A971" i="3"/>
  <c r="E969" i="3"/>
  <c r="C968" i="3"/>
  <c r="A967" i="3"/>
  <c r="E965" i="3"/>
  <c r="C964" i="3"/>
  <c r="A963" i="3"/>
  <c r="E961" i="3"/>
  <c r="C960" i="3"/>
  <c r="A959" i="3"/>
  <c r="E957" i="3"/>
  <c r="C956" i="3"/>
  <c r="A955" i="3"/>
  <c r="E953" i="3"/>
  <c r="C952" i="3"/>
  <c r="A951" i="3"/>
  <c r="E949" i="3"/>
  <c r="C948" i="3"/>
  <c r="A947" i="3"/>
  <c r="E945" i="3"/>
  <c r="C944" i="3"/>
  <c r="A943" i="3"/>
  <c r="E941" i="3"/>
  <c r="C940" i="3"/>
  <c r="A939" i="3"/>
  <c r="E937" i="3"/>
  <c r="C936" i="3"/>
  <c r="A935" i="3"/>
  <c r="E933" i="3"/>
  <c r="C932" i="3"/>
  <c r="A931" i="3"/>
  <c r="E929" i="3"/>
  <c r="C928" i="3"/>
  <c r="A927" i="3"/>
  <c r="E925" i="3"/>
  <c r="C924" i="3"/>
  <c r="A923" i="3"/>
  <c r="E921" i="3"/>
  <c r="C920" i="3"/>
  <c r="A919" i="3"/>
  <c r="E917" i="3"/>
  <c r="C916" i="3"/>
  <c r="A915" i="3"/>
  <c r="E913" i="3"/>
  <c r="C912" i="3"/>
  <c r="A911" i="3"/>
  <c r="E909" i="3"/>
  <c r="C908" i="3"/>
  <c r="A907" i="3"/>
  <c r="E905" i="3"/>
  <c r="C904" i="3"/>
  <c r="B304" i="4"/>
  <c r="F218" i="4"/>
  <c r="D133" i="4"/>
  <c r="B48" i="4"/>
  <c r="E24" i="4"/>
  <c r="A14" i="4"/>
  <c r="C3" i="4"/>
  <c r="E1442" i="3"/>
  <c r="A1432" i="3"/>
  <c r="C1421" i="3"/>
  <c r="E1410" i="3"/>
  <c r="A1400" i="3"/>
  <c r="C1389" i="3"/>
  <c r="E1378" i="3"/>
  <c r="A1368" i="3"/>
  <c r="C1357" i="3"/>
  <c r="E1346" i="3"/>
  <c r="A1336" i="3"/>
  <c r="C1325" i="3"/>
  <c r="E1314" i="3"/>
  <c r="A1304" i="3"/>
  <c r="C1293" i="3"/>
  <c r="E1282" i="3"/>
  <c r="A1272" i="3"/>
  <c r="C1261" i="3"/>
  <c r="E1250" i="3"/>
  <c r="A1240" i="3"/>
  <c r="A1232" i="3"/>
  <c r="E1226" i="3"/>
  <c r="C1221" i="3"/>
  <c r="A1216" i="3"/>
  <c r="E1210" i="3"/>
  <c r="C1205" i="3"/>
  <c r="A1200" i="3"/>
  <c r="E1194" i="3"/>
  <c r="E1190" i="3"/>
  <c r="A1187" i="3"/>
  <c r="D1185" i="3"/>
  <c r="B1184" i="3"/>
  <c r="F1182" i="3"/>
  <c r="D1181" i="3"/>
  <c r="B1180" i="3"/>
  <c r="F1178" i="3"/>
  <c r="D1177" i="3"/>
  <c r="B1176" i="3"/>
  <c r="F1174" i="3"/>
  <c r="D1173" i="3"/>
  <c r="B1172" i="3"/>
  <c r="F1170" i="3"/>
  <c r="D1169" i="3"/>
  <c r="B1168" i="3"/>
  <c r="F1166" i="3"/>
  <c r="D1165" i="3"/>
  <c r="B1164" i="3"/>
  <c r="F1162" i="3"/>
  <c r="D1161" i="3"/>
  <c r="B1160" i="3"/>
  <c r="F1158" i="3"/>
  <c r="D1157" i="3"/>
  <c r="B1156" i="3"/>
  <c r="F1154" i="3"/>
  <c r="D1153" i="3"/>
  <c r="B1152" i="3"/>
  <c r="F1150" i="3"/>
  <c r="D1149" i="3"/>
  <c r="B1148" i="3"/>
  <c r="F1146" i="3"/>
  <c r="D1145" i="3"/>
  <c r="B1144" i="3"/>
  <c r="F1142" i="3"/>
  <c r="D1141" i="3"/>
  <c r="B1140" i="3"/>
  <c r="F1138" i="3"/>
  <c r="D1137" i="3"/>
  <c r="B1136" i="3"/>
  <c r="F1134" i="3"/>
  <c r="D1133" i="3"/>
  <c r="B1132" i="3"/>
  <c r="F1130" i="3"/>
  <c r="D1129" i="3"/>
  <c r="B1128" i="3"/>
  <c r="F1126" i="3"/>
  <c r="D1125" i="3"/>
  <c r="B1124" i="3"/>
  <c r="F1122" i="3"/>
  <c r="D1121" i="3"/>
  <c r="B1120" i="3"/>
  <c r="F1118" i="3"/>
  <c r="D1117" i="3"/>
  <c r="B1116" i="3"/>
  <c r="F1114" i="3"/>
  <c r="D1113" i="3"/>
  <c r="B1112" i="3"/>
  <c r="F1110" i="3"/>
  <c r="D1109" i="3"/>
  <c r="B1108" i="3"/>
  <c r="F1106" i="3"/>
  <c r="D1105" i="3"/>
  <c r="B1104" i="3"/>
  <c r="F1102" i="3"/>
  <c r="D1101" i="3"/>
  <c r="B1100" i="3"/>
  <c r="F1098" i="3"/>
  <c r="D1097" i="3"/>
  <c r="B1096" i="3"/>
  <c r="F1094" i="3"/>
  <c r="D1093" i="3"/>
  <c r="B1092" i="3"/>
  <c r="F1090" i="3"/>
  <c r="D1089" i="3"/>
  <c r="B1088" i="3"/>
  <c r="F1086" i="3"/>
  <c r="D1085" i="3"/>
  <c r="B1084" i="3"/>
  <c r="F1082" i="3"/>
  <c r="D1081" i="3"/>
  <c r="B1080" i="3"/>
  <c r="F1078" i="3"/>
  <c r="D1077" i="3"/>
  <c r="B1076" i="3"/>
  <c r="F1074" i="3"/>
  <c r="D1073" i="3"/>
  <c r="B1072" i="3"/>
  <c r="F1070" i="3"/>
  <c r="D1069" i="3"/>
  <c r="B1068" i="3"/>
  <c r="F1066" i="3"/>
  <c r="D1065" i="3"/>
  <c r="B1064" i="3"/>
  <c r="F1062" i="3"/>
  <c r="D1061" i="3"/>
  <c r="B1060" i="3"/>
  <c r="F1058" i="3"/>
  <c r="D1057" i="3"/>
  <c r="B1056" i="3"/>
  <c r="F1054" i="3"/>
  <c r="D1053" i="3"/>
  <c r="B1052" i="3"/>
  <c r="F1050" i="3"/>
  <c r="D1049" i="3"/>
  <c r="B1048" i="3"/>
  <c r="F1046" i="3"/>
  <c r="D1045" i="3"/>
  <c r="B1044" i="3"/>
  <c r="F1042" i="3"/>
  <c r="D1041" i="3"/>
  <c r="B1040" i="3"/>
  <c r="F1038" i="3"/>
  <c r="D1037" i="3"/>
  <c r="B1036" i="3"/>
  <c r="F1034" i="3"/>
  <c r="D1033" i="3"/>
  <c r="B1032" i="3"/>
  <c r="F1030" i="3"/>
  <c r="D1029" i="3"/>
  <c r="B1028" i="3"/>
  <c r="F1026" i="3"/>
  <c r="D1025" i="3"/>
  <c r="B1024" i="3"/>
  <c r="F1022" i="3"/>
  <c r="D1021" i="3"/>
  <c r="B1020" i="3"/>
  <c r="F1018" i="3"/>
  <c r="D1017" i="3"/>
  <c r="B1016" i="3"/>
  <c r="F1014" i="3"/>
  <c r="D1013" i="3"/>
  <c r="B1012" i="3"/>
  <c r="F1010" i="3"/>
  <c r="D1009" i="3"/>
  <c r="B1008" i="3"/>
  <c r="F1006" i="3"/>
  <c r="D1005" i="3"/>
  <c r="B1004" i="3"/>
  <c r="F1002" i="3"/>
  <c r="D1001" i="3"/>
  <c r="B1000" i="3"/>
  <c r="F998" i="3"/>
  <c r="D997" i="3"/>
  <c r="B996" i="3"/>
  <c r="F994" i="3"/>
  <c r="D993" i="3"/>
  <c r="B992" i="3"/>
  <c r="F990" i="3"/>
  <c r="D989" i="3"/>
  <c r="B988" i="3"/>
  <c r="F986" i="3"/>
  <c r="D985" i="3"/>
  <c r="B984" i="3"/>
  <c r="F982" i="3"/>
  <c r="D981" i="3"/>
  <c r="B980" i="3"/>
  <c r="F978" i="3"/>
  <c r="D977" i="3"/>
  <c r="B976" i="3"/>
  <c r="F974" i="3"/>
  <c r="D973" i="3"/>
  <c r="B972" i="3"/>
  <c r="F970" i="3"/>
  <c r="D969" i="3"/>
  <c r="B968" i="3"/>
  <c r="F966" i="3"/>
  <c r="D965" i="3"/>
  <c r="B964" i="3"/>
  <c r="F962" i="3"/>
  <c r="D961" i="3"/>
  <c r="B960" i="3"/>
  <c r="F958" i="3"/>
  <c r="D957" i="3"/>
  <c r="B956" i="3"/>
  <c r="F954" i="3"/>
  <c r="D953" i="3"/>
  <c r="B952" i="3"/>
  <c r="F950" i="3"/>
  <c r="D949" i="3"/>
  <c r="B948" i="3"/>
  <c r="F946" i="3"/>
  <c r="D945" i="3"/>
  <c r="B944" i="3"/>
  <c r="F942" i="3"/>
  <c r="D941" i="3"/>
  <c r="B940" i="3"/>
  <c r="F938" i="3"/>
  <c r="D937" i="3"/>
  <c r="B936" i="3"/>
  <c r="F934" i="3"/>
  <c r="D933" i="3"/>
  <c r="B932" i="3"/>
  <c r="F930" i="3"/>
  <c r="D929" i="3"/>
  <c r="B928" i="3"/>
  <c r="F926" i="3"/>
  <c r="D925" i="3"/>
  <c r="B924" i="3"/>
  <c r="F922" i="3"/>
  <c r="D921" i="3"/>
  <c r="B920" i="3"/>
  <c r="F918" i="3"/>
  <c r="D917" i="3"/>
  <c r="B916" i="3"/>
  <c r="F914" i="3"/>
  <c r="D913" i="3"/>
  <c r="B912" i="3"/>
  <c r="F910" i="3"/>
  <c r="D293" i="4"/>
  <c r="B208" i="4"/>
  <c r="F122" i="4"/>
  <c r="F40" i="4"/>
  <c r="C23" i="4"/>
  <c r="E12" i="4"/>
  <c r="A2" i="4"/>
  <c r="C1441" i="3"/>
  <c r="E1430" i="3"/>
  <c r="A1420" i="3"/>
  <c r="C1409" i="3"/>
  <c r="E1398" i="3"/>
  <c r="A1388" i="3"/>
  <c r="C1377" i="3"/>
  <c r="E1366" i="3"/>
  <c r="A1356" i="3"/>
  <c r="C1345" i="3"/>
  <c r="E1334" i="3"/>
  <c r="A1324" i="3"/>
  <c r="C1313" i="3"/>
  <c r="E1302" i="3"/>
  <c r="A1292" i="3"/>
  <c r="C1281" i="3"/>
  <c r="E1270" i="3"/>
  <c r="A1260" i="3"/>
  <c r="C1249" i="3"/>
  <c r="E1238" i="3"/>
  <c r="B1231" i="3"/>
  <c r="F1225" i="3"/>
  <c r="D1220" i="3"/>
  <c r="B1215" i="3"/>
  <c r="F1209" i="3"/>
  <c r="D1204" i="3"/>
  <c r="B1199" i="3"/>
  <c r="F1193" i="3"/>
  <c r="F1189" i="3"/>
  <c r="F1186" i="3"/>
  <c r="C1185" i="3"/>
  <c r="A1184" i="3"/>
  <c r="E1182" i="3"/>
  <c r="C1181" i="3"/>
  <c r="A1180" i="3"/>
  <c r="E1178" i="3"/>
  <c r="C1177" i="3"/>
  <c r="A1176" i="3"/>
  <c r="E1174" i="3"/>
  <c r="C1173" i="3"/>
  <c r="A1172" i="3"/>
  <c r="E1170" i="3"/>
  <c r="C1169" i="3"/>
  <c r="A1168" i="3"/>
  <c r="E1166" i="3"/>
  <c r="C1165" i="3"/>
  <c r="A1164" i="3"/>
  <c r="E1162" i="3"/>
  <c r="C1161" i="3"/>
  <c r="A1160" i="3"/>
  <c r="E1158" i="3"/>
  <c r="C1157" i="3"/>
  <c r="A1156" i="3"/>
  <c r="E1154" i="3"/>
  <c r="C1153" i="3"/>
  <c r="A1152" i="3"/>
  <c r="E1150" i="3"/>
  <c r="C1149" i="3"/>
  <c r="A1148" i="3"/>
  <c r="E1146" i="3"/>
  <c r="C1145" i="3"/>
  <c r="A1144" i="3"/>
  <c r="E1142" i="3"/>
  <c r="C1141" i="3"/>
  <c r="A1140" i="3"/>
  <c r="E1138" i="3"/>
  <c r="C1137" i="3"/>
  <c r="A1136" i="3"/>
  <c r="E1134" i="3"/>
  <c r="C1133" i="3"/>
  <c r="A1132" i="3"/>
  <c r="E1130" i="3"/>
  <c r="C1129" i="3"/>
  <c r="A1128" i="3"/>
  <c r="E1126" i="3"/>
  <c r="C1125" i="3"/>
  <c r="A1124" i="3"/>
  <c r="E1122" i="3"/>
  <c r="C1121" i="3"/>
  <c r="A1120" i="3"/>
  <c r="E1118" i="3"/>
  <c r="C1117" i="3"/>
  <c r="A1116" i="3"/>
  <c r="E1114" i="3"/>
  <c r="C1113" i="3"/>
  <c r="A1112" i="3"/>
  <c r="E1110" i="3"/>
  <c r="C1109" i="3"/>
  <c r="A1108" i="3"/>
  <c r="E1106" i="3"/>
  <c r="C1105" i="3"/>
  <c r="A1104" i="3"/>
  <c r="E1102" i="3"/>
  <c r="C1101" i="3"/>
  <c r="A1100" i="3"/>
  <c r="E1098" i="3"/>
  <c r="C1097" i="3"/>
  <c r="A1096" i="3"/>
  <c r="E1094" i="3"/>
  <c r="C1093" i="3"/>
  <c r="A1092" i="3"/>
  <c r="E1090" i="3"/>
  <c r="C1089" i="3"/>
  <c r="A1088" i="3"/>
  <c r="E1086" i="3"/>
  <c r="C1085" i="3"/>
  <c r="A1084" i="3"/>
  <c r="E1082" i="3"/>
  <c r="C1081" i="3"/>
  <c r="A1080" i="3"/>
  <c r="E1078" i="3"/>
  <c r="C1077" i="3"/>
  <c r="A1076" i="3"/>
  <c r="E1074" i="3"/>
  <c r="C1073" i="3"/>
  <c r="A1072" i="3"/>
  <c r="E1070" i="3"/>
  <c r="C1069" i="3"/>
  <c r="A1068" i="3"/>
  <c r="E1066" i="3"/>
  <c r="C1065" i="3"/>
  <c r="A1064" i="3"/>
  <c r="E1062" i="3"/>
  <c r="C1061" i="3"/>
  <c r="A1060" i="3"/>
  <c r="E1058" i="3"/>
  <c r="C1057" i="3"/>
  <c r="A1056" i="3"/>
  <c r="E1054" i="3"/>
  <c r="C1053" i="3"/>
  <c r="A1052" i="3"/>
  <c r="E1050" i="3"/>
  <c r="C1049" i="3"/>
  <c r="A1048" i="3"/>
  <c r="E1046" i="3"/>
  <c r="C1045" i="3"/>
  <c r="A1044" i="3"/>
  <c r="E1042" i="3"/>
  <c r="C1041" i="3"/>
  <c r="A1040" i="3"/>
  <c r="E1038" i="3"/>
  <c r="C1037" i="3"/>
  <c r="A1036" i="3"/>
  <c r="E1034" i="3"/>
  <c r="C1033" i="3"/>
  <c r="A1032" i="3"/>
  <c r="E1030" i="3"/>
  <c r="C1029" i="3"/>
  <c r="A1028" i="3"/>
  <c r="E1026" i="3"/>
  <c r="C1025" i="3"/>
  <c r="A1024" i="3"/>
  <c r="E1022" i="3"/>
  <c r="C1021" i="3"/>
  <c r="A1020" i="3"/>
  <c r="E1018" i="3"/>
  <c r="C1017" i="3"/>
  <c r="A1016" i="3"/>
  <c r="E1014" i="3"/>
  <c r="C1013" i="3"/>
  <c r="A1012" i="3"/>
  <c r="E1010" i="3"/>
  <c r="C1009" i="3"/>
  <c r="A1008" i="3"/>
  <c r="E1006" i="3"/>
  <c r="C1005" i="3"/>
  <c r="A1004" i="3"/>
  <c r="E1002" i="3"/>
  <c r="C1001" i="3"/>
  <c r="A1000" i="3"/>
  <c r="E998" i="3"/>
  <c r="C997" i="3"/>
  <c r="A996" i="3"/>
  <c r="E994" i="3"/>
  <c r="C993" i="3"/>
  <c r="A992" i="3"/>
  <c r="E990" i="3"/>
  <c r="C989" i="3"/>
  <c r="A988" i="3"/>
  <c r="E986" i="3"/>
  <c r="C985" i="3"/>
  <c r="A984" i="3"/>
  <c r="E982" i="3"/>
  <c r="C981" i="3"/>
  <c r="A980" i="3"/>
  <c r="E978" i="3"/>
  <c r="C977" i="3"/>
  <c r="A976" i="3"/>
  <c r="E974" i="3"/>
  <c r="C973" i="3"/>
  <c r="A972" i="3"/>
  <c r="E970" i="3"/>
  <c r="C969" i="3"/>
  <c r="A968" i="3"/>
  <c r="E966" i="3"/>
  <c r="C965" i="3"/>
  <c r="A964" i="3"/>
  <c r="E962" i="3"/>
  <c r="C961" i="3"/>
  <c r="A960" i="3"/>
  <c r="E958" i="3"/>
  <c r="C957" i="3"/>
  <c r="A956" i="3"/>
  <c r="E954" i="3"/>
  <c r="C953" i="3"/>
  <c r="A952" i="3"/>
  <c r="E950" i="3"/>
  <c r="C949" i="3"/>
  <c r="A948" i="3"/>
  <c r="E946" i="3"/>
  <c r="C945" i="3"/>
  <c r="A944" i="3"/>
  <c r="E942" i="3"/>
  <c r="C941" i="3"/>
  <c r="A940" i="3"/>
  <c r="E938" i="3"/>
  <c r="C937" i="3"/>
  <c r="A936" i="3"/>
  <c r="E934" i="3"/>
  <c r="C933" i="3"/>
  <c r="A932" i="3"/>
  <c r="E930" i="3"/>
  <c r="C929" i="3"/>
  <c r="A928" i="3"/>
  <c r="E926" i="3"/>
  <c r="C925" i="3"/>
  <c r="A924" i="3"/>
  <c r="E922" i="3"/>
  <c r="C921" i="3"/>
  <c r="A920" i="3"/>
  <c r="E918" i="3"/>
  <c r="C917" i="3"/>
  <c r="A916" i="3"/>
  <c r="E914" i="3"/>
  <c r="C913" i="3"/>
  <c r="A912" i="3"/>
  <c r="E910" i="3"/>
  <c r="C909" i="3"/>
  <c r="A908" i="3"/>
  <c r="F282" i="4"/>
  <c r="C1429" i="3"/>
  <c r="A1344" i="3"/>
  <c r="E1258" i="3"/>
  <c r="A1204" i="3"/>
  <c r="B1181" i="3"/>
  <c r="D1170" i="3"/>
  <c r="F1159" i="3"/>
  <c r="B1149" i="3"/>
  <c r="D1138" i="3"/>
  <c r="F1127" i="3"/>
  <c r="B1117" i="3"/>
  <c r="D1106" i="3"/>
  <c r="F1095" i="3"/>
  <c r="B1085" i="3"/>
  <c r="D1074" i="3"/>
  <c r="F1063" i="3"/>
  <c r="B1053" i="3"/>
  <c r="D1042" i="3"/>
  <c r="F1031" i="3"/>
  <c r="B1021" i="3"/>
  <c r="D1010" i="3"/>
  <c r="F999" i="3"/>
  <c r="B989" i="3"/>
  <c r="D978" i="3"/>
  <c r="F967" i="3"/>
  <c r="B957" i="3"/>
  <c r="D946" i="3"/>
  <c r="F935" i="3"/>
  <c r="D930" i="3"/>
  <c r="B925" i="3"/>
  <c r="F919" i="3"/>
  <c r="D914" i="3"/>
  <c r="D909" i="3"/>
  <c r="D906" i="3"/>
  <c r="F903" i="3"/>
  <c r="D901" i="3"/>
  <c r="F899" i="3"/>
  <c r="A898" i="3"/>
  <c r="D896" i="3"/>
  <c r="B895" i="3"/>
  <c r="F893" i="3"/>
  <c r="D892" i="3"/>
  <c r="B891" i="3"/>
  <c r="F889" i="3"/>
  <c r="D888" i="3"/>
  <c r="B887" i="3"/>
  <c r="F885" i="3"/>
  <c r="D884" i="3"/>
  <c r="B883" i="3"/>
  <c r="F881" i="3"/>
  <c r="D880" i="3"/>
  <c r="B879" i="3"/>
  <c r="F877" i="3"/>
  <c r="D876" i="3"/>
  <c r="B875" i="3"/>
  <c r="F873" i="3"/>
  <c r="D872" i="3"/>
  <c r="B871" i="3"/>
  <c r="F869" i="3"/>
  <c r="D868" i="3"/>
  <c r="B867" i="3"/>
  <c r="F865" i="3"/>
  <c r="D864" i="3"/>
  <c r="B863" i="3"/>
  <c r="F861" i="3"/>
  <c r="D860" i="3"/>
  <c r="B859" i="3"/>
  <c r="F857" i="3"/>
  <c r="D856" i="3"/>
  <c r="B855" i="3"/>
  <c r="F853" i="3"/>
  <c r="D852" i="3"/>
  <c r="B851" i="3"/>
  <c r="F849" i="3"/>
  <c r="D848" i="3"/>
  <c r="B847" i="3"/>
  <c r="F845" i="3"/>
  <c r="D844" i="3"/>
  <c r="B843" i="3"/>
  <c r="F841" i="3"/>
  <c r="D840" i="3"/>
  <c r="B839" i="3"/>
  <c r="F837" i="3"/>
  <c r="D836" i="3"/>
  <c r="B835" i="3"/>
  <c r="F833" i="3"/>
  <c r="D832" i="3"/>
  <c r="B831" i="3"/>
  <c r="F829" i="3"/>
  <c r="D828" i="3"/>
  <c r="B827" i="3"/>
  <c r="F825" i="3"/>
  <c r="D824" i="3"/>
  <c r="B823" i="3"/>
  <c r="F821" i="3"/>
  <c r="D820" i="3"/>
  <c r="B819" i="3"/>
  <c r="F817" i="3"/>
  <c r="D816" i="3"/>
  <c r="B815" i="3"/>
  <c r="F813" i="3"/>
  <c r="D812" i="3"/>
  <c r="B811" i="3"/>
  <c r="F809" i="3"/>
  <c r="D808" i="3"/>
  <c r="B807" i="3"/>
  <c r="F805" i="3"/>
  <c r="D804" i="3"/>
  <c r="B803" i="3"/>
  <c r="F801" i="3"/>
  <c r="D800" i="3"/>
  <c r="B799" i="3"/>
  <c r="F797" i="3"/>
  <c r="D796" i="3"/>
  <c r="B795" i="3"/>
  <c r="F793" i="3"/>
  <c r="D792" i="3"/>
  <c r="B791" i="3"/>
  <c r="F789" i="3"/>
  <c r="D788" i="3"/>
  <c r="B787" i="3"/>
  <c r="F785" i="3"/>
  <c r="D784" i="3"/>
  <c r="B783" i="3"/>
  <c r="F781" i="3"/>
  <c r="D780" i="3"/>
  <c r="B779" i="3"/>
  <c r="F777" i="3"/>
  <c r="D776" i="3"/>
  <c r="B775" i="3"/>
  <c r="F773" i="3"/>
  <c r="D772" i="3"/>
  <c r="B771" i="3"/>
  <c r="F769" i="3"/>
  <c r="D768" i="3"/>
  <c r="B767" i="3"/>
  <c r="F765" i="3"/>
  <c r="D764" i="3"/>
  <c r="B763" i="3"/>
  <c r="F761" i="3"/>
  <c r="D760" i="3"/>
  <c r="B759" i="3"/>
  <c r="F757" i="3"/>
  <c r="D756" i="3"/>
  <c r="B755" i="3"/>
  <c r="F753" i="3"/>
  <c r="D752" i="3"/>
  <c r="B751" i="3"/>
  <c r="F749" i="3"/>
  <c r="D748" i="3"/>
  <c r="B747" i="3"/>
  <c r="F745" i="3"/>
  <c r="D744" i="3"/>
  <c r="B743" i="3"/>
  <c r="F741" i="3"/>
  <c r="D740" i="3"/>
  <c r="B739" i="3"/>
  <c r="F737" i="3"/>
  <c r="D736" i="3"/>
  <c r="B735" i="3"/>
  <c r="F733" i="3"/>
  <c r="D732" i="3"/>
  <c r="B731" i="3"/>
  <c r="F729" i="3"/>
  <c r="D728" i="3"/>
  <c r="B727" i="3"/>
  <c r="F725" i="3"/>
  <c r="D724" i="3"/>
  <c r="B723" i="3"/>
  <c r="F721" i="3"/>
  <c r="D720" i="3"/>
  <c r="B719" i="3"/>
  <c r="F717" i="3"/>
  <c r="D716" i="3"/>
  <c r="B715" i="3"/>
  <c r="F713" i="3"/>
  <c r="D712" i="3"/>
  <c r="B711" i="3"/>
  <c r="F709" i="3"/>
  <c r="D708" i="3"/>
  <c r="B707" i="3"/>
  <c r="F705" i="3"/>
  <c r="D704" i="3"/>
  <c r="B703" i="3"/>
  <c r="F701" i="3"/>
  <c r="D700" i="3"/>
  <c r="B699" i="3"/>
  <c r="F697" i="3"/>
  <c r="D696" i="3"/>
  <c r="B695" i="3"/>
  <c r="F693" i="3"/>
  <c r="D692" i="3"/>
  <c r="B691" i="3"/>
  <c r="F689" i="3"/>
  <c r="D688" i="3"/>
  <c r="B687" i="3"/>
  <c r="F685" i="3"/>
  <c r="D684" i="3"/>
  <c r="B683" i="3"/>
  <c r="F681" i="3"/>
  <c r="D680" i="3"/>
  <c r="B679" i="3"/>
  <c r="F677" i="3"/>
  <c r="D676" i="3"/>
  <c r="B675" i="3"/>
  <c r="F673" i="3"/>
  <c r="D672" i="3"/>
  <c r="B671" i="3"/>
  <c r="F669" i="3"/>
  <c r="D668" i="3"/>
  <c r="B667" i="3"/>
  <c r="F665" i="3"/>
  <c r="D664" i="3"/>
  <c r="B663" i="3"/>
  <c r="F661" i="3"/>
  <c r="D660" i="3"/>
  <c r="B659" i="3"/>
  <c r="F657" i="3"/>
  <c r="D656" i="3"/>
  <c r="B655" i="3"/>
  <c r="F653" i="3"/>
  <c r="D652" i="3"/>
  <c r="B651" i="3"/>
  <c r="F649" i="3"/>
  <c r="D648" i="3"/>
  <c r="B647" i="3"/>
  <c r="F645" i="3"/>
  <c r="D644" i="3"/>
  <c r="B643" i="3"/>
  <c r="F641" i="3"/>
  <c r="D640" i="3"/>
  <c r="B639" i="3"/>
  <c r="F637" i="3"/>
  <c r="D636" i="3"/>
  <c r="B635" i="3"/>
  <c r="F633" i="3"/>
  <c r="D632" i="3"/>
  <c r="B631" i="3"/>
  <c r="F629" i="3"/>
  <c r="D628" i="3"/>
  <c r="B627" i="3"/>
  <c r="F625" i="3"/>
  <c r="D624" i="3"/>
  <c r="B623" i="3"/>
  <c r="F621" i="3"/>
  <c r="D620" i="3"/>
  <c r="B619" i="3"/>
  <c r="F617" i="3"/>
  <c r="D616" i="3"/>
  <c r="B615" i="3"/>
  <c r="F613" i="3"/>
  <c r="D612" i="3"/>
  <c r="D197" i="4"/>
  <c r="E1418" i="3"/>
  <c r="C1333" i="3"/>
  <c r="A1248" i="3"/>
  <c r="E1198" i="3"/>
  <c r="F1179" i="3"/>
  <c r="B1169" i="3"/>
  <c r="D1158" i="3"/>
  <c r="F1147" i="3"/>
  <c r="B1137" i="3"/>
  <c r="D1126" i="3"/>
  <c r="F1115" i="3"/>
  <c r="B1105" i="3"/>
  <c r="D1094" i="3"/>
  <c r="F1083" i="3"/>
  <c r="B1073" i="3"/>
  <c r="D1062" i="3"/>
  <c r="F1051" i="3"/>
  <c r="B1041" i="3"/>
  <c r="D1030" i="3"/>
  <c r="F1019" i="3"/>
  <c r="B1009" i="3"/>
  <c r="D998" i="3"/>
  <c r="F987" i="3"/>
  <c r="B977" i="3"/>
  <c r="D966" i="3"/>
  <c r="F955" i="3"/>
  <c r="B945" i="3"/>
  <c r="B935" i="3"/>
  <c r="F929" i="3"/>
  <c r="D924" i="3"/>
  <c r="B919" i="3"/>
  <c r="F913" i="3"/>
  <c r="B909" i="3"/>
  <c r="F905" i="3"/>
  <c r="B903" i="3"/>
  <c r="C901" i="3"/>
  <c r="C899" i="3"/>
  <c r="F897" i="3"/>
  <c r="C896" i="3"/>
  <c r="A895" i="3"/>
  <c r="E893" i="3"/>
  <c r="C892" i="3"/>
  <c r="A891" i="3"/>
  <c r="E889" i="3"/>
  <c r="C888" i="3"/>
  <c r="A887" i="3"/>
  <c r="E885" i="3"/>
  <c r="C884" i="3"/>
  <c r="A883" i="3"/>
  <c r="E881" i="3"/>
  <c r="C880" i="3"/>
  <c r="A879" i="3"/>
  <c r="E877" i="3"/>
  <c r="C876" i="3"/>
  <c r="A875" i="3"/>
  <c r="E873" i="3"/>
  <c r="C872" i="3"/>
  <c r="A871" i="3"/>
  <c r="E869" i="3"/>
  <c r="C868" i="3"/>
  <c r="A867" i="3"/>
  <c r="E865" i="3"/>
  <c r="C864" i="3"/>
  <c r="A863" i="3"/>
  <c r="E861" i="3"/>
  <c r="C860" i="3"/>
  <c r="A859" i="3"/>
  <c r="E857" i="3"/>
  <c r="C856" i="3"/>
  <c r="A855" i="3"/>
  <c r="E853" i="3"/>
  <c r="C852" i="3"/>
  <c r="A851" i="3"/>
  <c r="E849" i="3"/>
  <c r="C848" i="3"/>
  <c r="A847" i="3"/>
  <c r="E845" i="3"/>
  <c r="C844" i="3"/>
  <c r="A843" i="3"/>
  <c r="E841" i="3"/>
  <c r="C840" i="3"/>
  <c r="A839" i="3"/>
  <c r="E837" i="3"/>
  <c r="C836" i="3"/>
  <c r="A835" i="3"/>
  <c r="E833" i="3"/>
  <c r="C832" i="3"/>
  <c r="A831" i="3"/>
  <c r="E829" i="3"/>
  <c r="C828" i="3"/>
  <c r="A827" i="3"/>
  <c r="E825" i="3"/>
  <c r="C824" i="3"/>
  <c r="A823" i="3"/>
  <c r="E821" i="3"/>
  <c r="C820" i="3"/>
  <c r="A819" i="3"/>
  <c r="E817" i="3"/>
  <c r="C816" i="3"/>
  <c r="A815" i="3"/>
  <c r="E813" i="3"/>
  <c r="C812" i="3"/>
  <c r="A811" i="3"/>
  <c r="E809" i="3"/>
  <c r="C808" i="3"/>
  <c r="A807" i="3"/>
  <c r="E805" i="3"/>
  <c r="C804" i="3"/>
  <c r="A803" i="3"/>
  <c r="E801" i="3"/>
  <c r="C800" i="3"/>
  <c r="A799" i="3"/>
  <c r="E797" i="3"/>
  <c r="C796" i="3"/>
  <c r="A795" i="3"/>
  <c r="E793" i="3"/>
  <c r="C792" i="3"/>
  <c r="A791" i="3"/>
  <c r="E789" i="3"/>
  <c r="C788" i="3"/>
  <c r="A787" i="3"/>
  <c r="E785" i="3"/>
  <c r="C784" i="3"/>
  <c r="A783" i="3"/>
  <c r="E781" i="3"/>
  <c r="C780" i="3"/>
  <c r="A779" i="3"/>
  <c r="E777" i="3"/>
  <c r="C776" i="3"/>
  <c r="A775" i="3"/>
  <c r="E773" i="3"/>
  <c r="C772" i="3"/>
  <c r="A771" i="3"/>
  <c r="E769" i="3"/>
  <c r="C768" i="3"/>
  <c r="A767" i="3"/>
  <c r="E765" i="3"/>
  <c r="C764" i="3"/>
  <c r="A763" i="3"/>
  <c r="E761" i="3"/>
  <c r="C760" i="3"/>
  <c r="A759" i="3"/>
  <c r="E757" i="3"/>
  <c r="C756" i="3"/>
  <c r="A755" i="3"/>
  <c r="E753" i="3"/>
  <c r="C752" i="3"/>
  <c r="A751" i="3"/>
  <c r="E749" i="3"/>
  <c r="C748" i="3"/>
  <c r="A747" i="3"/>
  <c r="E745" i="3"/>
  <c r="C744" i="3"/>
  <c r="A743" i="3"/>
  <c r="E741" i="3"/>
  <c r="C740" i="3"/>
  <c r="A739" i="3"/>
  <c r="E737" i="3"/>
  <c r="C736" i="3"/>
  <c r="A735" i="3"/>
  <c r="E733" i="3"/>
  <c r="C732" i="3"/>
  <c r="A731" i="3"/>
  <c r="E729" i="3"/>
  <c r="C728" i="3"/>
  <c r="A727" i="3"/>
  <c r="E725" i="3"/>
  <c r="C724" i="3"/>
  <c r="A723" i="3"/>
  <c r="E721" i="3"/>
  <c r="C720" i="3"/>
  <c r="A719" i="3"/>
  <c r="E717" i="3"/>
  <c r="C716" i="3"/>
  <c r="A715" i="3"/>
  <c r="E713" i="3"/>
  <c r="C712" i="3"/>
  <c r="A711" i="3"/>
  <c r="E709" i="3"/>
  <c r="C708" i="3"/>
  <c r="A707" i="3"/>
  <c r="E705" i="3"/>
  <c r="C704" i="3"/>
  <c r="A703" i="3"/>
  <c r="E701" i="3"/>
  <c r="C700" i="3"/>
  <c r="A699" i="3"/>
  <c r="E697" i="3"/>
  <c r="C696" i="3"/>
  <c r="A695" i="3"/>
  <c r="E693" i="3"/>
  <c r="C692" i="3"/>
  <c r="A691" i="3"/>
  <c r="E689" i="3"/>
  <c r="C688" i="3"/>
  <c r="A687" i="3"/>
  <c r="E685" i="3"/>
  <c r="C684" i="3"/>
  <c r="A683" i="3"/>
  <c r="E681" i="3"/>
  <c r="C680" i="3"/>
  <c r="A679" i="3"/>
  <c r="E677" i="3"/>
  <c r="C676" i="3"/>
  <c r="A675" i="3"/>
  <c r="E673" i="3"/>
  <c r="C672" i="3"/>
  <c r="A671" i="3"/>
  <c r="E669" i="3"/>
  <c r="C668" i="3"/>
  <c r="A667" i="3"/>
  <c r="E665" i="3"/>
  <c r="C664" i="3"/>
  <c r="A663" i="3"/>
  <c r="E661" i="3"/>
  <c r="C660" i="3"/>
  <c r="A659" i="3"/>
  <c r="E657" i="3"/>
  <c r="C656" i="3"/>
  <c r="A655" i="3"/>
  <c r="E653" i="3"/>
  <c r="C652" i="3"/>
  <c r="A651" i="3"/>
  <c r="E649" i="3"/>
  <c r="C648" i="3"/>
  <c r="A647" i="3"/>
  <c r="E645" i="3"/>
  <c r="C644" i="3"/>
  <c r="A643" i="3"/>
  <c r="E641" i="3"/>
  <c r="C640" i="3"/>
  <c r="A639" i="3"/>
  <c r="E637" i="3"/>
  <c r="C636" i="3"/>
  <c r="A635" i="3"/>
  <c r="E633" i="3"/>
  <c r="C632" i="3"/>
  <c r="A631" i="3"/>
  <c r="E629" i="3"/>
  <c r="C628" i="3"/>
  <c r="A627" i="3"/>
  <c r="E625" i="3"/>
  <c r="C624" i="3"/>
  <c r="A623" i="3"/>
  <c r="E621" i="3"/>
  <c r="C620" i="3"/>
  <c r="A619" i="3"/>
  <c r="E617" i="3"/>
  <c r="C616" i="3"/>
  <c r="A615" i="3"/>
  <c r="E613" i="3"/>
  <c r="C612" i="3"/>
  <c r="A611" i="3"/>
  <c r="B112" i="4"/>
  <c r="A1408" i="3"/>
  <c r="E1322" i="3"/>
  <c r="C1237" i="3"/>
  <c r="C1193" i="3"/>
  <c r="D1178" i="3"/>
  <c r="F1167" i="3"/>
  <c r="B1157" i="3"/>
  <c r="D1146" i="3"/>
  <c r="F1135" i="3"/>
  <c r="B1125" i="3"/>
  <c r="D1114" i="3"/>
  <c r="F1103" i="3"/>
  <c r="B1093" i="3"/>
  <c r="D1082" i="3"/>
  <c r="F1071" i="3"/>
  <c r="B1061" i="3"/>
  <c r="D1050" i="3"/>
  <c r="F1039" i="3"/>
  <c r="B1029" i="3"/>
  <c r="D1018" i="3"/>
  <c r="F1007" i="3"/>
  <c r="B997" i="3"/>
  <c r="D986" i="3"/>
  <c r="F975" i="3"/>
  <c r="B965" i="3"/>
  <c r="D954" i="3"/>
  <c r="F943" i="3"/>
  <c r="D934" i="3"/>
  <c r="B929" i="3"/>
  <c r="F923" i="3"/>
  <c r="D918" i="3"/>
  <c r="B913" i="3"/>
  <c r="D908" i="3"/>
  <c r="D905" i="3"/>
  <c r="A903" i="3"/>
  <c r="B901" i="3"/>
  <c r="B899" i="3"/>
  <c r="E897" i="3"/>
  <c r="B896" i="3"/>
  <c r="F894" i="3"/>
  <c r="D893" i="3"/>
  <c r="B892" i="3"/>
  <c r="F890" i="3"/>
  <c r="D889" i="3"/>
  <c r="B888" i="3"/>
  <c r="F886" i="3"/>
  <c r="D885" i="3"/>
  <c r="B884" i="3"/>
  <c r="F882" i="3"/>
  <c r="D881" i="3"/>
  <c r="B880" i="3"/>
  <c r="F878" i="3"/>
  <c r="D877" i="3"/>
  <c r="B876" i="3"/>
  <c r="F874" i="3"/>
  <c r="D873" i="3"/>
  <c r="B872" i="3"/>
  <c r="F870" i="3"/>
  <c r="D869" i="3"/>
  <c r="B868" i="3"/>
  <c r="F866" i="3"/>
  <c r="D865" i="3"/>
  <c r="B864" i="3"/>
  <c r="F862" i="3"/>
  <c r="D861" i="3"/>
  <c r="B860" i="3"/>
  <c r="F858" i="3"/>
  <c r="D857" i="3"/>
  <c r="B856" i="3"/>
  <c r="F854" i="3"/>
  <c r="D853" i="3"/>
  <c r="B852" i="3"/>
  <c r="F850" i="3"/>
  <c r="D849" i="3"/>
  <c r="B848" i="3"/>
  <c r="F846" i="3"/>
  <c r="D845" i="3"/>
  <c r="B844" i="3"/>
  <c r="F842" i="3"/>
  <c r="D841" i="3"/>
  <c r="B840" i="3"/>
  <c r="F838" i="3"/>
  <c r="D837" i="3"/>
  <c r="B836" i="3"/>
  <c r="F834" i="3"/>
  <c r="D833" i="3"/>
  <c r="B832" i="3"/>
  <c r="F830" i="3"/>
  <c r="D829" i="3"/>
  <c r="B828" i="3"/>
  <c r="F826" i="3"/>
  <c r="D825" i="3"/>
  <c r="B824" i="3"/>
  <c r="F822" i="3"/>
  <c r="D821" i="3"/>
  <c r="B820" i="3"/>
  <c r="F818" i="3"/>
  <c r="D817" i="3"/>
  <c r="B816" i="3"/>
  <c r="F814" i="3"/>
  <c r="D813" i="3"/>
  <c r="B812" i="3"/>
  <c r="F810" i="3"/>
  <c r="D809" i="3"/>
  <c r="B808" i="3"/>
  <c r="F806" i="3"/>
  <c r="D805" i="3"/>
  <c r="B804" i="3"/>
  <c r="F802" i="3"/>
  <c r="D801" i="3"/>
  <c r="B800" i="3"/>
  <c r="F798" i="3"/>
  <c r="D797" i="3"/>
  <c r="B796" i="3"/>
  <c r="F794" i="3"/>
  <c r="D793" i="3"/>
  <c r="B792" i="3"/>
  <c r="F790" i="3"/>
  <c r="D789" i="3"/>
  <c r="B788" i="3"/>
  <c r="F786" i="3"/>
  <c r="D785" i="3"/>
  <c r="B784" i="3"/>
  <c r="F782" i="3"/>
  <c r="D781" i="3"/>
  <c r="B780" i="3"/>
  <c r="F778" i="3"/>
  <c r="D777" i="3"/>
  <c r="B776" i="3"/>
  <c r="F774" i="3"/>
  <c r="D773" i="3"/>
  <c r="B772" i="3"/>
  <c r="F770" i="3"/>
  <c r="D769" i="3"/>
  <c r="B768" i="3"/>
  <c r="F766" i="3"/>
  <c r="D765" i="3"/>
  <c r="B764" i="3"/>
  <c r="F762" i="3"/>
  <c r="D761" i="3"/>
  <c r="B760" i="3"/>
  <c r="F758" i="3"/>
  <c r="D757" i="3"/>
  <c r="B756" i="3"/>
  <c r="F754" i="3"/>
  <c r="D753" i="3"/>
  <c r="B752" i="3"/>
  <c r="F750" i="3"/>
  <c r="D749" i="3"/>
  <c r="B748" i="3"/>
  <c r="F746" i="3"/>
  <c r="D745" i="3"/>
  <c r="B744" i="3"/>
  <c r="F742" i="3"/>
  <c r="D741" i="3"/>
  <c r="B740" i="3"/>
  <c r="F738" i="3"/>
  <c r="D737" i="3"/>
  <c r="B736" i="3"/>
  <c r="F734" i="3"/>
  <c r="D733" i="3"/>
  <c r="B732" i="3"/>
  <c r="F730" i="3"/>
  <c r="D729" i="3"/>
  <c r="B728" i="3"/>
  <c r="F726" i="3"/>
  <c r="D725" i="3"/>
  <c r="B724" i="3"/>
  <c r="F722" i="3"/>
  <c r="D721" i="3"/>
  <c r="B720" i="3"/>
  <c r="F718" i="3"/>
  <c r="D717" i="3"/>
  <c r="B716" i="3"/>
  <c r="F714" i="3"/>
  <c r="D713" i="3"/>
  <c r="B712" i="3"/>
  <c r="F710" i="3"/>
  <c r="D709" i="3"/>
  <c r="B708" i="3"/>
  <c r="F706" i="3"/>
  <c r="D705" i="3"/>
  <c r="B704" i="3"/>
  <c r="F702" i="3"/>
  <c r="D701" i="3"/>
  <c r="B700" i="3"/>
  <c r="F698" i="3"/>
  <c r="D697" i="3"/>
  <c r="B696" i="3"/>
  <c r="F694" i="3"/>
  <c r="D693" i="3"/>
  <c r="B692" i="3"/>
  <c r="F690" i="3"/>
  <c r="D689" i="3"/>
  <c r="B688" i="3"/>
  <c r="F686" i="3"/>
  <c r="D685" i="3"/>
  <c r="B684" i="3"/>
  <c r="F682" i="3"/>
  <c r="D681" i="3"/>
  <c r="B680" i="3"/>
  <c r="F678" i="3"/>
  <c r="D677" i="3"/>
  <c r="B676" i="3"/>
  <c r="F674" i="3"/>
  <c r="D673" i="3"/>
  <c r="B672" i="3"/>
  <c r="F670" i="3"/>
  <c r="D669" i="3"/>
  <c r="B668" i="3"/>
  <c r="F666" i="3"/>
  <c r="D665" i="3"/>
  <c r="B664" i="3"/>
  <c r="F662" i="3"/>
  <c r="D661" i="3"/>
  <c r="B660" i="3"/>
  <c r="F658" i="3"/>
  <c r="D657" i="3"/>
  <c r="B656" i="3"/>
  <c r="F654" i="3"/>
  <c r="D653" i="3"/>
  <c r="B652" i="3"/>
  <c r="F650" i="3"/>
  <c r="D649" i="3"/>
  <c r="B648" i="3"/>
  <c r="F646" i="3"/>
  <c r="D645" i="3"/>
  <c r="B644" i="3"/>
  <c r="F642" i="3"/>
  <c r="D641" i="3"/>
  <c r="B640" i="3"/>
  <c r="F638" i="3"/>
  <c r="D637" i="3"/>
  <c r="B636" i="3"/>
  <c r="F634" i="3"/>
  <c r="D633" i="3"/>
  <c r="B632" i="3"/>
  <c r="F630" i="3"/>
  <c r="D629" i="3"/>
  <c r="B628" i="3"/>
  <c r="F626" i="3"/>
  <c r="D625" i="3"/>
  <c r="B624" i="3"/>
  <c r="F622" i="3"/>
  <c r="D621" i="3"/>
  <c r="B620" i="3"/>
  <c r="F618" i="3"/>
  <c r="D617" i="3"/>
  <c r="B616" i="3"/>
  <c r="F614" i="3"/>
  <c r="D613" i="3"/>
  <c r="B612" i="3"/>
  <c r="F610" i="3"/>
  <c r="D609" i="3"/>
  <c r="D35" i="4"/>
  <c r="C1397" i="3"/>
  <c r="A1312" i="3"/>
  <c r="E1230" i="3"/>
  <c r="D1189" i="3"/>
  <c r="B1177" i="3"/>
  <c r="D1166" i="3"/>
  <c r="F1155" i="3"/>
  <c r="B1145" i="3"/>
  <c r="D1134" i="3"/>
  <c r="F1123" i="3"/>
  <c r="B1113" i="3"/>
  <c r="D1102" i="3"/>
  <c r="F1091" i="3"/>
  <c r="B1081" i="3"/>
  <c r="D1070" i="3"/>
  <c r="F1059" i="3"/>
  <c r="B1049" i="3"/>
  <c r="D1038" i="3"/>
  <c r="F1027" i="3"/>
  <c r="B1017" i="3"/>
  <c r="D1006" i="3"/>
  <c r="F995" i="3"/>
  <c r="B985" i="3"/>
  <c r="D974" i="3"/>
  <c r="F963" i="3"/>
  <c r="B953" i="3"/>
  <c r="D942" i="3"/>
  <c r="F933" i="3"/>
  <c r="D928" i="3"/>
  <c r="B923" i="3"/>
  <c r="F917" i="3"/>
  <c r="D912" i="3"/>
  <c r="B908" i="3"/>
  <c r="C905" i="3"/>
  <c r="F902" i="3"/>
  <c r="E900" i="3"/>
  <c r="A899" i="3"/>
  <c r="D897" i="3"/>
  <c r="A896" i="3"/>
  <c r="E894" i="3"/>
  <c r="C893" i="3"/>
  <c r="A892" i="3"/>
  <c r="E890" i="3"/>
  <c r="C889" i="3"/>
  <c r="A888" i="3"/>
  <c r="E886" i="3"/>
  <c r="C885" i="3"/>
  <c r="A884" i="3"/>
  <c r="E882" i="3"/>
  <c r="C881" i="3"/>
  <c r="A880" i="3"/>
  <c r="E878" i="3"/>
  <c r="C877" i="3"/>
  <c r="A876" i="3"/>
  <c r="E874" i="3"/>
  <c r="C873" i="3"/>
  <c r="A872" i="3"/>
  <c r="E870" i="3"/>
  <c r="C869" i="3"/>
  <c r="A868" i="3"/>
  <c r="E866" i="3"/>
  <c r="C865" i="3"/>
  <c r="A864" i="3"/>
  <c r="E862" i="3"/>
  <c r="C861" i="3"/>
  <c r="A860" i="3"/>
  <c r="E858" i="3"/>
  <c r="C857" i="3"/>
  <c r="A856" i="3"/>
  <c r="E854" i="3"/>
  <c r="C853" i="3"/>
  <c r="A852" i="3"/>
  <c r="E850" i="3"/>
  <c r="C849" i="3"/>
  <c r="A848" i="3"/>
  <c r="E846" i="3"/>
  <c r="C845" i="3"/>
  <c r="A844" i="3"/>
  <c r="E842" i="3"/>
  <c r="C841" i="3"/>
  <c r="A840" i="3"/>
  <c r="E838" i="3"/>
  <c r="C837" i="3"/>
  <c r="A836" i="3"/>
  <c r="E834" i="3"/>
  <c r="C833" i="3"/>
  <c r="A832" i="3"/>
  <c r="E830" i="3"/>
  <c r="C829" i="3"/>
  <c r="A828" i="3"/>
  <c r="E826" i="3"/>
  <c r="C825" i="3"/>
  <c r="A824" i="3"/>
  <c r="E822" i="3"/>
  <c r="C821" i="3"/>
  <c r="A820" i="3"/>
  <c r="E818" i="3"/>
  <c r="C817" i="3"/>
  <c r="A816" i="3"/>
  <c r="E814" i="3"/>
  <c r="C813" i="3"/>
  <c r="A812" i="3"/>
  <c r="E810" i="3"/>
  <c r="C809" i="3"/>
  <c r="A808" i="3"/>
  <c r="E806" i="3"/>
  <c r="C805" i="3"/>
  <c r="A804" i="3"/>
  <c r="E802" i="3"/>
  <c r="C801" i="3"/>
  <c r="A800" i="3"/>
  <c r="E798" i="3"/>
  <c r="C797" i="3"/>
  <c r="A796" i="3"/>
  <c r="E794" i="3"/>
  <c r="C793" i="3"/>
  <c r="A792" i="3"/>
  <c r="E790" i="3"/>
  <c r="C789" i="3"/>
  <c r="A788" i="3"/>
  <c r="E786" i="3"/>
  <c r="C785" i="3"/>
  <c r="A784" i="3"/>
  <c r="E782" i="3"/>
  <c r="C781" i="3"/>
  <c r="A780" i="3"/>
  <c r="E778" i="3"/>
  <c r="C777" i="3"/>
  <c r="A776" i="3"/>
  <c r="E774" i="3"/>
  <c r="C773" i="3"/>
  <c r="A772" i="3"/>
  <c r="E770" i="3"/>
  <c r="C769" i="3"/>
  <c r="A768" i="3"/>
  <c r="E766" i="3"/>
  <c r="C765" i="3"/>
  <c r="A764" i="3"/>
  <c r="E762" i="3"/>
  <c r="C761" i="3"/>
  <c r="A760" i="3"/>
  <c r="E758" i="3"/>
  <c r="C757" i="3"/>
  <c r="A756" i="3"/>
  <c r="E754" i="3"/>
  <c r="C753" i="3"/>
  <c r="A752" i="3"/>
  <c r="E750" i="3"/>
  <c r="C749" i="3"/>
  <c r="A748" i="3"/>
  <c r="E746" i="3"/>
  <c r="C745" i="3"/>
  <c r="A744" i="3"/>
  <c r="E742" i="3"/>
  <c r="C741" i="3"/>
  <c r="A740" i="3"/>
  <c r="E738" i="3"/>
  <c r="C737" i="3"/>
  <c r="A736" i="3"/>
  <c r="E734" i="3"/>
  <c r="C733" i="3"/>
  <c r="A732" i="3"/>
  <c r="E730" i="3"/>
  <c r="C729" i="3"/>
  <c r="A728" i="3"/>
  <c r="E726" i="3"/>
  <c r="C725" i="3"/>
  <c r="A724" i="3"/>
  <c r="E722" i="3"/>
  <c r="C721" i="3"/>
  <c r="A720" i="3"/>
  <c r="E718" i="3"/>
  <c r="C717" i="3"/>
  <c r="A716" i="3"/>
  <c r="E714" i="3"/>
  <c r="C713" i="3"/>
  <c r="A712" i="3"/>
  <c r="E710" i="3"/>
  <c r="C709" i="3"/>
  <c r="A708" i="3"/>
  <c r="E706" i="3"/>
  <c r="C705" i="3"/>
  <c r="A704" i="3"/>
  <c r="E702" i="3"/>
  <c r="C701" i="3"/>
  <c r="A700" i="3"/>
  <c r="E698" i="3"/>
  <c r="C697" i="3"/>
  <c r="A696" i="3"/>
  <c r="E694" i="3"/>
  <c r="C693" i="3"/>
  <c r="A692" i="3"/>
  <c r="E690" i="3"/>
  <c r="C689" i="3"/>
  <c r="A688" i="3"/>
  <c r="E686" i="3"/>
  <c r="C685" i="3"/>
  <c r="A684" i="3"/>
  <c r="E682" i="3"/>
  <c r="C681" i="3"/>
  <c r="A680" i="3"/>
  <c r="E678" i="3"/>
  <c r="C677" i="3"/>
  <c r="A676" i="3"/>
  <c r="E674" i="3"/>
  <c r="C673" i="3"/>
  <c r="A672" i="3"/>
  <c r="E670" i="3"/>
  <c r="C669" i="3"/>
  <c r="A668" i="3"/>
  <c r="E666" i="3"/>
  <c r="C665" i="3"/>
  <c r="A664" i="3"/>
  <c r="E662" i="3"/>
  <c r="C661" i="3"/>
  <c r="A660" i="3"/>
  <c r="E658" i="3"/>
  <c r="C657" i="3"/>
  <c r="A656" i="3"/>
  <c r="E654" i="3"/>
  <c r="C653" i="3"/>
  <c r="A652" i="3"/>
  <c r="E650" i="3"/>
  <c r="C649" i="3"/>
  <c r="A648" i="3"/>
  <c r="E646" i="3"/>
  <c r="C645" i="3"/>
  <c r="A644" i="3"/>
  <c r="E642" i="3"/>
  <c r="C641" i="3"/>
  <c r="A640" i="3"/>
  <c r="E638" i="3"/>
  <c r="C637" i="3"/>
  <c r="A636" i="3"/>
  <c r="E634" i="3"/>
  <c r="C633" i="3"/>
  <c r="A632" i="3"/>
  <c r="E630" i="3"/>
  <c r="C629" i="3"/>
  <c r="A628" i="3"/>
  <c r="E626" i="3"/>
  <c r="C625" i="3"/>
  <c r="A624" i="3"/>
  <c r="E622" i="3"/>
  <c r="C621" i="3"/>
  <c r="A620" i="3"/>
  <c r="E618" i="3"/>
  <c r="C617" i="3"/>
  <c r="A616" i="3"/>
  <c r="E614" i="3"/>
  <c r="C613" i="3"/>
  <c r="A612" i="3"/>
  <c r="E610" i="3"/>
  <c r="A22" i="4"/>
  <c r="E1386" i="3"/>
  <c r="C1301" i="3"/>
  <c r="C1225" i="3"/>
  <c r="E1186" i="3"/>
  <c r="F1175" i="3"/>
  <c r="B1165" i="3"/>
  <c r="D1154" i="3"/>
  <c r="F1143" i="3"/>
  <c r="B1133" i="3"/>
  <c r="D1122" i="3"/>
  <c r="F1111" i="3"/>
  <c r="B1101" i="3"/>
  <c r="D1090" i="3"/>
  <c r="F1079" i="3"/>
  <c r="B1069" i="3"/>
  <c r="D1058" i="3"/>
  <c r="F1047" i="3"/>
  <c r="B1037" i="3"/>
  <c r="D1026" i="3"/>
  <c r="F1015" i="3"/>
  <c r="B1005" i="3"/>
  <c r="D994" i="3"/>
  <c r="F983" i="3"/>
  <c r="B973" i="3"/>
  <c r="D962" i="3"/>
  <c r="F951" i="3"/>
  <c r="B941" i="3"/>
  <c r="B933" i="3"/>
  <c r="F927" i="3"/>
  <c r="D922" i="3"/>
  <c r="B917" i="3"/>
  <c r="F911" i="3"/>
  <c r="F907" i="3"/>
  <c r="B905" i="3"/>
  <c r="E902" i="3"/>
  <c r="D900" i="3"/>
  <c r="F898" i="3"/>
  <c r="C897" i="3"/>
  <c r="F895" i="3"/>
  <c r="D894" i="3"/>
  <c r="B893" i="3"/>
  <c r="F891" i="3"/>
  <c r="D890" i="3"/>
  <c r="B889" i="3"/>
  <c r="F887" i="3"/>
  <c r="D886" i="3"/>
  <c r="B885" i="3"/>
  <c r="F883" i="3"/>
  <c r="D882" i="3"/>
  <c r="B881" i="3"/>
  <c r="F879" i="3"/>
  <c r="D878" i="3"/>
  <c r="B877" i="3"/>
  <c r="F875" i="3"/>
  <c r="D874" i="3"/>
  <c r="B873" i="3"/>
  <c r="F871" i="3"/>
  <c r="D870" i="3"/>
  <c r="B869" i="3"/>
  <c r="F867" i="3"/>
  <c r="D866" i="3"/>
  <c r="B865" i="3"/>
  <c r="F863" i="3"/>
  <c r="D862" i="3"/>
  <c r="B861" i="3"/>
  <c r="F859" i="3"/>
  <c r="D858" i="3"/>
  <c r="B857" i="3"/>
  <c r="F855" i="3"/>
  <c r="D854" i="3"/>
  <c r="B853" i="3"/>
  <c r="F851" i="3"/>
  <c r="D850" i="3"/>
  <c r="B849" i="3"/>
  <c r="F847" i="3"/>
  <c r="D846" i="3"/>
  <c r="B845" i="3"/>
  <c r="F843" i="3"/>
  <c r="D842" i="3"/>
  <c r="B841" i="3"/>
  <c r="F839" i="3"/>
  <c r="D838" i="3"/>
  <c r="B837" i="3"/>
  <c r="F835" i="3"/>
  <c r="C11" i="4"/>
  <c r="A1376" i="3"/>
  <c r="E1290" i="3"/>
  <c r="A1220" i="3"/>
  <c r="B1185" i="3"/>
  <c r="D1174" i="3"/>
  <c r="F1163" i="3"/>
  <c r="B1153" i="3"/>
  <c r="D1142" i="3"/>
  <c r="F1131" i="3"/>
  <c r="B1121" i="3"/>
  <c r="D1110" i="3"/>
  <c r="F1099" i="3"/>
  <c r="B1089" i="3"/>
  <c r="D1078" i="3"/>
  <c r="F1067" i="3"/>
  <c r="B1057" i="3"/>
  <c r="D1046" i="3"/>
  <c r="F1035" i="3"/>
  <c r="B1025" i="3"/>
  <c r="D1014" i="3"/>
  <c r="F1003" i="3"/>
  <c r="B993" i="3"/>
  <c r="D982" i="3"/>
  <c r="F971" i="3"/>
  <c r="B961" i="3"/>
  <c r="D950" i="3"/>
  <c r="F939" i="3"/>
  <c r="D932" i="3"/>
  <c r="B927" i="3"/>
  <c r="F921" i="3"/>
  <c r="D916" i="3"/>
  <c r="B911" i="3"/>
  <c r="B907" i="3"/>
  <c r="D904" i="3"/>
  <c r="D902" i="3"/>
  <c r="C900" i="3"/>
  <c r="E898" i="3"/>
  <c r="B897" i="3"/>
  <c r="E895" i="3"/>
  <c r="C894" i="3"/>
  <c r="A893" i="3"/>
  <c r="E891" i="3"/>
  <c r="C890" i="3"/>
  <c r="A889" i="3"/>
  <c r="E887" i="3"/>
  <c r="C886" i="3"/>
  <c r="A885" i="3"/>
  <c r="E883" i="3"/>
  <c r="C882" i="3"/>
  <c r="A881" i="3"/>
  <c r="E879" i="3"/>
  <c r="C878" i="3"/>
  <c r="A877" i="3"/>
  <c r="E875" i="3"/>
  <c r="C874" i="3"/>
  <c r="A873" i="3"/>
  <c r="E871" i="3"/>
  <c r="C870" i="3"/>
  <c r="A869" i="3"/>
  <c r="E867" i="3"/>
  <c r="C866" i="3"/>
  <c r="A865" i="3"/>
  <c r="E863" i="3"/>
  <c r="C862" i="3"/>
  <c r="A861" i="3"/>
  <c r="E859" i="3"/>
  <c r="C858" i="3"/>
  <c r="A857" i="3"/>
  <c r="E855" i="3"/>
  <c r="C854" i="3"/>
  <c r="A853" i="3"/>
  <c r="E851" i="3"/>
  <c r="C850" i="3"/>
  <c r="A849" i="3"/>
  <c r="E847" i="3"/>
  <c r="C846" i="3"/>
  <c r="A845" i="3"/>
  <c r="E843" i="3"/>
  <c r="C842" i="3"/>
  <c r="A841" i="3"/>
  <c r="E839" i="3"/>
  <c r="C838" i="3"/>
  <c r="A837" i="3"/>
  <c r="E835" i="3"/>
  <c r="C834" i="3"/>
  <c r="A833" i="3"/>
  <c r="E831" i="3"/>
  <c r="C830" i="3"/>
  <c r="A829" i="3"/>
  <c r="E827" i="3"/>
  <c r="C826" i="3"/>
  <c r="A825" i="3"/>
  <c r="E823" i="3"/>
  <c r="C822" i="3"/>
  <c r="A821" i="3"/>
  <c r="E819" i="3"/>
  <c r="C818" i="3"/>
  <c r="A817" i="3"/>
  <c r="E815" i="3"/>
  <c r="C814" i="3"/>
  <c r="A813" i="3"/>
  <c r="E811" i="3"/>
  <c r="C810" i="3"/>
  <c r="A809" i="3"/>
  <c r="E807" i="3"/>
  <c r="C806" i="3"/>
  <c r="A805" i="3"/>
  <c r="E803" i="3"/>
  <c r="C802" i="3"/>
  <c r="A801" i="3"/>
  <c r="E799" i="3"/>
  <c r="C798" i="3"/>
  <c r="A797" i="3"/>
  <c r="E795" i="3"/>
  <c r="C794" i="3"/>
  <c r="A793" i="3"/>
  <c r="E791" i="3"/>
  <c r="C790" i="3"/>
  <c r="A789" i="3"/>
  <c r="E787" i="3"/>
  <c r="C786" i="3"/>
  <c r="A785" i="3"/>
  <c r="E783" i="3"/>
  <c r="C782" i="3"/>
  <c r="A781" i="3"/>
  <c r="E779" i="3"/>
  <c r="C778" i="3"/>
  <c r="A777" i="3"/>
  <c r="E775" i="3"/>
  <c r="C774" i="3"/>
  <c r="A773" i="3"/>
  <c r="E771" i="3"/>
  <c r="C770" i="3"/>
  <c r="A769" i="3"/>
  <c r="E767" i="3"/>
  <c r="C766" i="3"/>
  <c r="A765" i="3"/>
  <c r="E763" i="3"/>
  <c r="C762" i="3"/>
  <c r="A761" i="3"/>
  <c r="E759" i="3"/>
  <c r="C758" i="3"/>
  <c r="A757" i="3"/>
  <c r="E755" i="3"/>
  <c r="C754" i="3"/>
  <c r="A753" i="3"/>
  <c r="E751" i="3"/>
  <c r="C750" i="3"/>
  <c r="A749" i="3"/>
  <c r="E747" i="3"/>
  <c r="C746" i="3"/>
  <c r="A745" i="3"/>
  <c r="E743" i="3"/>
  <c r="C742" i="3"/>
  <c r="A741" i="3"/>
  <c r="E739" i="3"/>
  <c r="C738" i="3"/>
  <c r="A737" i="3"/>
  <c r="E735" i="3"/>
  <c r="C734" i="3"/>
  <c r="A733" i="3"/>
  <c r="E731" i="3"/>
  <c r="C730" i="3"/>
  <c r="A729" i="3"/>
  <c r="E727" i="3"/>
  <c r="C726" i="3"/>
  <c r="A725" i="3"/>
  <c r="E723" i="3"/>
  <c r="C722" i="3"/>
  <c r="A721" i="3"/>
  <c r="E719" i="3"/>
  <c r="C718" i="3"/>
  <c r="A717" i="3"/>
  <c r="E715" i="3"/>
  <c r="C714" i="3"/>
  <c r="A713" i="3"/>
  <c r="E711" i="3"/>
  <c r="C710" i="3"/>
  <c r="A709" i="3"/>
  <c r="E707" i="3"/>
  <c r="C706" i="3"/>
  <c r="A705" i="3"/>
  <c r="E703" i="3"/>
  <c r="C702" i="3"/>
  <c r="A701" i="3"/>
  <c r="E699" i="3"/>
  <c r="C698" i="3"/>
  <c r="A697" i="3"/>
  <c r="E695" i="3"/>
  <c r="C694" i="3"/>
  <c r="A693" i="3"/>
  <c r="E691" i="3"/>
  <c r="C690" i="3"/>
  <c r="A689" i="3"/>
  <c r="E687" i="3"/>
  <c r="C686" i="3"/>
  <c r="A685" i="3"/>
  <c r="E683" i="3"/>
  <c r="C682" i="3"/>
  <c r="A681" i="3"/>
  <c r="E679" i="3"/>
  <c r="C678" i="3"/>
  <c r="A677" i="3"/>
  <c r="E675" i="3"/>
  <c r="C674" i="3"/>
  <c r="A673" i="3"/>
  <c r="E671" i="3"/>
  <c r="C670" i="3"/>
  <c r="A669" i="3"/>
  <c r="E667" i="3"/>
  <c r="C666" i="3"/>
  <c r="A665" i="3"/>
  <c r="E663" i="3"/>
  <c r="C662" i="3"/>
  <c r="A661" i="3"/>
  <c r="E659" i="3"/>
  <c r="C658" i="3"/>
  <c r="A657" i="3"/>
  <c r="E655" i="3"/>
  <c r="C654" i="3"/>
  <c r="A653" i="3"/>
  <c r="E651" i="3"/>
  <c r="C650" i="3"/>
  <c r="A649" i="3"/>
  <c r="E647" i="3"/>
  <c r="C646" i="3"/>
  <c r="A645" i="3"/>
  <c r="E643" i="3"/>
  <c r="C642" i="3"/>
  <c r="A641" i="3"/>
  <c r="E639" i="3"/>
  <c r="C638" i="3"/>
  <c r="A637" i="3"/>
  <c r="E635" i="3"/>
  <c r="C634" i="3"/>
  <c r="A633" i="3"/>
  <c r="E631" i="3"/>
  <c r="C630" i="3"/>
  <c r="A629" i="3"/>
  <c r="E627" i="3"/>
  <c r="C626" i="3"/>
  <c r="A625" i="3"/>
  <c r="E623" i="3"/>
  <c r="C622" i="3"/>
  <c r="A621" i="3"/>
  <c r="E619" i="3"/>
  <c r="C618" i="3"/>
  <c r="A617" i="3"/>
  <c r="E615" i="3"/>
  <c r="C614" i="3"/>
  <c r="A613" i="3"/>
  <c r="E611" i="3"/>
  <c r="C610" i="3"/>
  <c r="A609" i="3"/>
  <c r="E607" i="3"/>
  <c r="E1450" i="3"/>
  <c r="C1365" i="3"/>
  <c r="A1280" i="3"/>
  <c r="E1214" i="3"/>
  <c r="F1183" i="3"/>
  <c r="B1173" i="3"/>
  <c r="D1162" i="3"/>
  <c r="F1151" i="3"/>
  <c r="B1141" i="3"/>
  <c r="D1130" i="3"/>
  <c r="F1119" i="3"/>
  <c r="B1109" i="3"/>
  <c r="D1098" i="3"/>
  <c r="F1087" i="3"/>
  <c r="B1077" i="3"/>
  <c r="D1066" i="3"/>
  <c r="F1055" i="3"/>
  <c r="B1045" i="3"/>
  <c r="D1034" i="3"/>
  <c r="F1023" i="3"/>
  <c r="B1013" i="3"/>
  <c r="D1002" i="3"/>
  <c r="F991" i="3"/>
  <c r="B981" i="3"/>
  <c r="D970" i="3"/>
  <c r="F959" i="3"/>
  <c r="B949" i="3"/>
  <c r="D938" i="3"/>
  <c r="F931" i="3"/>
  <c r="D926" i="3"/>
  <c r="B921" i="3"/>
  <c r="F915" i="3"/>
  <c r="D910" i="3"/>
  <c r="F906" i="3"/>
  <c r="B904" i="3"/>
  <c r="F901" i="3"/>
  <c r="B900" i="3"/>
  <c r="D898" i="3"/>
  <c r="F896" i="3"/>
  <c r="D895" i="3"/>
  <c r="B894" i="3"/>
  <c r="F892" i="3"/>
  <c r="D891" i="3"/>
  <c r="B890" i="3"/>
  <c r="F888" i="3"/>
  <c r="D887" i="3"/>
  <c r="B886" i="3"/>
  <c r="F884" i="3"/>
  <c r="D883" i="3"/>
  <c r="B882" i="3"/>
  <c r="F880" i="3"/>
  <c r="D879" i="3"/>
  <c r="B878" i="3"/>
  <c r="F876" i="3"/>
  <c r="D875" i="3"/>
  <c r="B874" i="3"/>
  <c r="F872" i="3"/>
  <c r="D871" i="3"/>
  <c r="B870" i="3"/>
  <c r="F868" i="3"/>
  <c r="D867" i="3"/>
  <c r="B866" i="3"/>
  <c r="F864" i="3"/>
  <c r="D863" i="3"/>
  <c r="B862" i="3"/>
  <c r="F860" i="3"/>
  <c r="D859" i="3"/>
  <c r="B858" i="3"/>
  <c r="F856" i="3"/>
  <c r="D855" i="3"/>
  <c r="B854" i="3"/>
  <c r="F852" i="3"/>
  <c r="D851" i="3"/>
  <c r="B850" i="3"/>
  <c r="F848" i="3"/>
  <c r="D847" i="3"/>
  <c r="B846" i="3"/>
  <c r="F844" i="3"/>
  <c r="D843" i="3"/>
  <c r="B842" i="3"/>
  <c r="F840" i="3"/>
  <c r="D839" i="3"/>
  <c r="B838" i="3"/>
  <c r="F836" i="3"/>
  <c r="D835" i="3"/>
  <c r="B834" i="3"/>
  <c r="F832" i="3"/>
  <c r="D831" i="3"/>
  <c r="B830" i="3"/>
  <c r="F828" i="3"/>
  <c r="D827" i="3"/>
  <c r="B826" i="3"/>
  <c r="F824" i="3"/>
  <c r="D823" i="3"/>
  <c r="B822" i="3"/>
  <c r="F820" i="3"/>
  <c r="D819" i="3"/>
  <c r="B818" i="3"/>
  <c r="F816" i="3"/>
  <c r="D815" i="3"/>
  <c r="B814" i="3"/>
  <c r="F812" i="3"/>
  <c r="D811" i="3"/>
  <c r="B810" i="3"/>
  <c r="F808" i="3"/>
  <c r="D807" i="3"/>
  <c r="B806" i="3"/>
  <c r="F804" i="3"/>
  <c r="D803" i="3"/>
  <c r="B802" i="3"/>
  <c r="F800" i="3"/>
  <c r="D799" i="3"/>
  <c r="B798" i="3"/>
  <c r="F796" i="3"/>
  <c r="D795" i="3"/>
  <c r="B794" i="3"/>
  <c r="F792" i="3"/>
  <c r="D791" i="3"/>
  <c r="B790" i="3"/>
  <c r="F788" i="3"/>
  <c r="D787" i="3"/>
  <c r="B786" i="3"/>
  <c r="F784" i="3"/>
  <c r="D783" i="3"/>
  <c r="B782" i="3"/>
  <c r="F780" i="3"/>
  <c r="D779" i="3"/>
  <c r="B778" i="3"/>
  <c r="F776" i="3"/>
  <c r="D775" i="3"/>
  <c r="B774" i="3"/>
  <c r="F772" i="3"/>
  <c r="D771" i="3"/>
  <c r="B770" i="3"/>
  <c r="F768" i="3"/>
  <c r="D767" i="3"/>
  <c r="B766" i="3"/>
  <c r="F764" i="3"/>
  <c r="D763" i="3"/>
  <c r="B762" i="3"/>
  <c r="F760" i="3"/>
  <c r="D759" i="3"/>
  <c r="B758" i="3"/>
  <c r="F756" i="3"/>
  <c r="D755" i="3"/>
  <c r="B754" i="3"/>
  <c r="F752" i="3"/>
  <c r="D751" i="3"/>
  <c r="B750" i="3"/>
  <c r="F748" i="3"/>
  <c r="D747" i="3"/>
  <c r="B746" i="3"/>
  <c r="F744" i="3"/>
  <c r="D743" i="3"/>
  <c r="B742" i="3"/>
  <c r="F740" i="3"/>
  <c r="D739" i="3"/>
  <c r="B738" i="3"/>
  <c r="F736" i="3"/>
  <c r="D735" i="3"/>
  <c r="B734" i="3"/>
  <c r="F732" i="3"/>
  <c r="D731" i="3"/>
  <c r="B730" i="3"/>
  <c r="F728" i="3"/>
  <c r="D727" i="3"/>
  <c r="B726" i="3"/>
  <c r="F724" i="3"/>
  <c r="D723" i="3"/>
  <c r="B722" i="3"/>
  <c r="F720" i="3"/>
  <c r="D719" i="3"/>
  <c r="B718" i="3"/>
  <c r="F716" i="3"/>
  <c r="D715" i="3"/>
  <c r="B714" i="3"/>
  <c r="F712" i="3"/>
  <c r="D711" i="3"/>
  <c r="B710" i="3"/>
  <c r="F708" i="3"/>
  <c r="D707" i="3"/>
  <c r="B706" i="3"/>
  <c r="F704" i="3"/>
  <c r="D703" i="3"/>
  <c r="B702" i="3"/>
  <c r="F700" i="3"/>
  <c r="D699" i="3"/>
  <c r="B698" i="3"/>
  <c r="F696" i="3"/>
  <c r="D695" i="3"/>
  <c r="B694" i="3"/>
  <c r="F692" i="3"/>
  <c r="D691" i="3"/>
  <c r="B690" i="3"/>
  <c r="F688" i="3"/>
  <c r="D687" i="3"/>
  <c r="B686" i="3"/>
  <c r="F684" i="3"/>
  <c r="D683" i="3"/>
  <c r="B682" i="3"/>
  <c r="F680" i="3"/>
  <c r="D679" i="3"/>
  <c r="B678" i="3"/>
  <c r="F676" i="3"/>
  <c r="D675" i="3"/>
  <c r="B674" i="3"/>
  <c r="F672" i="3"/>
  <c r="D671" i="3"/>
  <c r="B670" i="3"/>
  <c r="F668" i="3"/>
  <c r="D667" i="3"/>
  <c r="B666" i="3"/>
  <c r="F664" i="3"/>
  <c r="D663" i="3"/>
  <c r="B662" i="3"/>
  <c r="F660" i="3"/>
  <c r="D659" i="3"/>
  <c r="B658" i="3"/>
  <c r="F656" i="3"/>
  <c r="D655" i="3"/>
  <c r="B654" i="3"/>
  <c r="F652" i="3"/>
  <c r="D651" i="3"/>
  <c r="B650" i="3"/>
  <c r="F648" i="3"/>
  <c r="D647" i="3"/>
  <c r="B646" i="3"/>
  <c r="F644" i="3"/>
  <c r="D643" i="3"/>
  <c r="B642" i="3"/>
  <c r="F640" i="3"/>
  <c r="D639" i="3"/>
  <c r="B638" i="3"/>
  <c r="F636" i="3"/>
  <c r="D635" i="3"/>
  <c r="B634" i="3"/>
  <c r="F632" i="3"/>
  <c r="D631" i="3"/>
  <c r="B630" i="3"/>
  <c r="F628" i="3"/>
  <c r="D627" i="3"/>
  <c r="B626" i="3"/>
  <c r="F624" i="3"/>
  <c r="D623" i="3"/>
  <c r="B622" i="3"/>
  <c r="F620" i="3"/>
  <c r="D619" i="3"/>
  <c r="B618" i="3"/>
  <c r="F616" i="3"/>
  <c r="D615" i="3"/>
  <c r="B614" i="3"/>
  <c r="F612" i="3"/>
  <c r="D611" i="3"/>
  <c r="B610" i="3"/>
  <c r="A1440" i="3"/>
  <c r="F1139" i="3"/>
  <c r="D1054" i="3"/>
  <c r="B969" i="3"/>
  <c r="F909" i="3"/>
  <c r="A894" i="3"/>
  <c r="C883" i="3"/>
  <c r="E872" i="3"/>
  <c r="A862" i="3"/>
  <c r="C851" i="3"/>
  <c r="E840" i="3"/>
  <c r="E832" i="3"/>
  <c r="C827" i="3"/>
  <c r="A822" i="3"/>
  <c r="E816" i="3"/>
  <c r="C811" i="3"/>
  <c r="A806" i="3"/>
  <c r="E800" i="3"/>
  <c r="C795" i="3"/>
  <c r="A790" i="3"/>
  <c r="E784" i="3"/>
  <c r="C779" i="3"/>
  <c r="A774" i="3"/>
  <c r="E768" i="3"/>
  <c r="C763" i="3"/>
  <c r="A758" i="3"/>
  <c r="E752" i="3"/>
  <c r="C747" i="3"/>
  <c r="A742" i="3"/>
  <c r="E736" i="3"/>
  <c r="C731" i="3"/>
  <c r="A726" i="3"/>
  <c r="E720" i="3"/>
  <c r="C715" i="3"/>
  <c r="A710" i="3"/>
  <c r="E704" i="3"/>
  <c r="C699" i="3"/>
  <c r="A694" i="3"/>
  <c r="E688" i="3"/>
  <c r="C683" i="3"/>
  <c r="A678" i="3"/>
  <c r="E672" i="3"/>
  <c r="C667" i="3"/>
  <c r="A662" i="3"/>
  <c r="E656" i="3"/>
  <c r="C651" i="3"/>
  <c r="A646" i="3"/>
  <c r="E640" i="3"/>
  <c r="C635" i="3"/>
  <c r="A630" i="3"/>
  <c r="E624" i="3"/>
  <c r="C619" i="3"/>
  <c r="A614" i="3"/>
  <c r="F609" i="3"/>
  <c r="B608" i="3"/>
  <c r="E606" i="3"/>
  <c r="C605" i="3"/>
  <c r="A604" i="3"/>
  <c r="E602" i="3"/>
  <c r="C601" i="3"/>
  <c r="A600" i="3"/>
  <c r="E598" i="3"/>
  <c r="C597" i="3"/>
  <c r="A596" i="3"/>
  <c r="E594" i="3"/>
  <c r="C593" i="3"/>
  <c r="A592" i="3"/>
  <c r="E590" i="3"/>
  <c r="C589" i="3"/>
  <c r="A588" i="3"/>
  <c r="E586" i="3"/>
  <c r="C585" i="3"/>
  <c r="A584" i="3"/>
  <c r="E582" i="3"/>
  <c r="C581" i="3"/>
  <c r="A580" i="3"/>
  <c r="E578" i="3"/>
  <c r="C577" i="3"/>
  <c r="A576" i="3"/>
  <c r="E574" i="3"/>
  <c r="C573" i="3"/>
  <c r="A572" i="3"/>
  <c r="E570" i="3"/>
  <c r="C569" i="3"/>
  <c r="A568" i="3"/>
  <c r="E566" i="3"/>
  <c r="C565" i="3"/>
  <c r="A564" i="3"/>
  <c r="E562" i="3"/>
  <c r="C561" i="3"/>
  <c r="A560" i="3"/>
  <c r="E558" i="3"/>
  <c r="C557" i="3"/>
  <c r="A556" i="3"/>
  <c r="E554" i="3"/>
  <c r="C553" i="3"/>
  <c r="A552" i="3"/>
  <c r="E550" i="3"/>
  <c r="C549" i="3"/>
  <c r="A548" i="3"/>
  <c r="E546" i="3"/>
  <c r="C545" i="3"/>
  <c r="A544" i="3"/>
  <c r="E542" i="3"/>
  <c r="C541" i="3"/>
  <c r="A540" i="3"/>
  <c r="E538" i="3"/>
  <c r="C537" i="3"/>
  <c r="A536" i="3"/>
  <c r="E534" i="3"/>
  <c r="C533" i="3"/>
  <c r="A532" i="3"/>
  <c r="E530" i="3"/>
  <c r="C529" i="3"/>
  <c r="A528" i="3"/>
  <c r="E526" i="3"/>
  <c r="C525" i="3"/>
  <c r="A524" i="3"/>
  <c r="E522" i="3"/>
  <c r="C521" i="3"/>
  <c r="A520" i="3"/>
  <c r="E518" i="3"/>
  <c r="C517" i="3"/>
  <c r="A516" i="3"/>
  <c r="E514" i="3"/>
  <c r="C513" i="3"/>
  <c r="A512" i="3"/>
  <c r="E510" i="3"/>
  <c r="C509" i="3"/>
  <c r="A508" i="3"/>
  <c r="E506" i="3"/>
  <c r="C505" i="3"/>
  <c r="A504" i="3"/>
  <c r="E502" i="3"/>
  <c r="C501" i="3"/>
  <c r="A500" i="3"/>
  <c r="E498" i="3"/>
  <c r="C497" i="3"/>
  <c r="A496" i="3"/>
  <c r="E494" i="3"/>
  <c r="C493" i="3"/>
  <c r="A492" i="3"/>
  <c r="E490" i="3"/>
  <c r="C489" i="3"/>
  <c r="A488" i="3"/>
  <c r="E486" i="3"/>
  <c r="C485" i="3"/>
  <c r="A484" i="3"/>
  <c r="E482" i="3"/>
  <c r="C481" i="3"/>
  <c r="A480" i="3"/>
  <c r="E478" i="3"/>
  <c r="C477" i="3"/>
  <c r="A476" i="3"/>
  <c r="E474" i="3"/>
  <c r="C473" i="3"/>
  <c r="A472" i="3"/>
  <c r="E470" i="3"/>
  <c r="C469" i="3"/>
  <c r="A468" i="3"/>
  <c r="E466" i="3"/>
  <c r="C465" i="3"/>
  <c r="A464" i="3"/>
  <c r="E462" i="3"/>
  <c r="C461" i="3"/>
  <c r="A460" i="3"/>
  <c r="E458" i="3"/>
  <c r="C457" i="3"/>
  <c r="A456" i="3"/>
  <c r="E454" i="3"/>
  <c r="C453" i="3"/>
  <c r="A452" i="3"/>
  <c r="E450" i="3"/>
  <c r="C449" i="3"/>
  <c r="A448" i="3"/>
  <c r="E446" i="3"/>
  <c r="C445" i="3"/>
  <c r="A444" i="3"/>
  <c r="E442" i="3"/>
  <c r="C441" i="3"/>
  <c r="A440" i="3"/>
  <c r="E438" i="3"/>
  <c r="C437" i="3"/>
  <c r="A436" i="3"/>
  <c r="E434" i="3"/>
  <c r="C433" i="3"/>
  <c r="A432" i="3"/>
  <c r="E430" i="3"/>
  <c r="C429" i="3"/>
  <c r="A428" i="3"/>
  <c r="E426" i="3"/>
  <c r="C425" i="3"/>
  <c r="A424" i="3"/>
  <c r="E422" i="3"/>
  <c r="C421" i="3"/>
  <c r="A420" i="3"/>
  <c r="E418" i="3"/>
  <c r="C417" i="3"/>
  <c r="A416" i="3"/>
  <c r="E414" i="3"/>
  <c r="C413" i="3"/>
  <c r="A412" i="3"/>
  <c r="E410" i="3"/>
  <c r="C409" i="3"/>
  <c r="A408" i="3"/>
  <c r="E406" i="3"/>
  <c r="C405" i="3"/>
  <c r="A404" i="3"/>
  <c r="E402" i="3"/>
  <c r="C401" i="3"/>
  <c r="A400" i="3"/>
  <c r="E398" i="3"/>
  <c r="C397" i="3"/>
  <c r="A396" i="3"/>
  <c r="E394" i="3"/>
  <c r="C393" i="3"/>
  <c r="A392" i="3"/>
  <c r="E390" i="3"/>
  <c r="C389" i="3"/>
  <c r="A388" i="3"/>
  <c r="E386" i="3"/>
  <c r="C385" i="3"/>
  <c r="A384" i="3"/>
  <c r="E382" i="3"/>
  <c r="C381" i="3"/>
  <c r="A380" i="3"/>
  <c r="E378" i="3"/>
  <c r="C377" i="3"/>
  <c r="A376" i="3"/>
  <c r="E374" i="3"/>
  <c r="C373" i="3"/>
  <c r="A372" i="3"/>
  <c r="E370" i="3"/>
  <c r="C369" i="3"/>
  <c r="A368" i="3"/>
  <c r="E366" i="3"/>
  <c r="C365" i="3"/>
  <c r="A364" i="3"/>
  <c r="E362" i="3"/>
  <c r="C361" i="3"/>
  <c r="A360" i="3"/>
  <c r="E358" i="3"/>
  <c r="C357" i="3"/>
  <c r="A356" i="3"/>
  <c r="E354" i="3"/>
  <c r="C353" i="3"/>
  <c r="A352" i="3"/>
  <c r="E350" i="3"/>
  <c r="C349" i="3"/>
  <c r="A348" i="3"/>
  <c r="E346" i="3"/>
  <c r="C345" i="3"/>
  <c r="A344" i="3"/>
  <c r="E342" i="3"/>
  <c r="C341" i="3"/>
  <c r="A340" i="3"/>
  <c r="E338" i="3"/>
  <c r="C337" i="3"/>
  <c r="A336" i="3"/>
  <c r="E334" i="3"/>
  <c r="C333" i="3"/>
  <c r="A332" i="3"/>
  <c r="E330" i="3"/>
  <c r="C329" i="3"/>
  <c r="A328" i="3"/>
  <c r="E326" i="3"/>
  <c r="C325" i="3"/>
  <c r="A324" i="3"/>
  <c r="E322" i="3"/>
  <c r="C321" i="3"/>
  <c r="A320" i="3"/>
  <c r="E318" i="3"/>
  <c r="C317" i="3"/>
  <c r="A316" i="3"/>
  <c r="E314" i="3"/>
  <c r="C313" i="3"/>
  <c r="A312" i="3"/>
  <c r="E310" i="3"/>
  <c r="C309" i="3"/>
  <c r="A308" i="3"/>
  <c r="E306" i="3"/>
  <c r="C305" i="3"/>
  <c r="A304" i="3"/>
  <c r="E302" i="3"/>
  <c r="C301" i="3"/>
  <c r="A300" i="3"/>
  <c r="E298" i="3"/>
  <c r="C297" i="3"/>
  <c r="A296" i="3"/>
  <c r="E294" i="3"/>
  <c r="C293" i="3"/>
  <c r="A292" i="3"/>
  <c r="E290" i="3"/>
  <c r="C289" i="3"/>
  <c r="A288" i="3"/>
  <c r="E286" i="3"/>
  <c r="C285" i="3"/>
  <c r="A284" i="3"/>
  <c r="E282" i="3"/>
  <c r="C281" i="3"/>
  <c r="A280" i="3"/>
  <c r="E278" i="3"/>
  <c r="C277" i="3"/>
  <c r="A276" i="3"/>
  <c r="E274" i="3"/>
  <c r="C273" i="3"/>
  <c r="A272" i="3"/>
  <c r="E270" i="3"/>
  <c r="C269" i="3"/>
  <c r="A268" i="3"/>
  <c r="E1354" i="3"/>
  <c r="B1129" i="3"/>
  <c r="F1043" i="3"/>
  <c r="D958" i="3"/>
  <c r="E906" i="3"/>
  <c r="E892" i="3"/>
  <c r="A882" i="3"/>
  <c r="C871" i="3"/>
  <c r="E860" i="3"/>
  <c r="A850" i="3"/>
  <c r="C839" i="3"/>
  <c r="F831" i="3"/>
  <c r="D826" i="3"/>
  <c r="B821" i="3"/>
  <c r="F815" i="3"/>
  <c r="D810" i="3"/>
  <c r="B805" i="3"/>
  <c r="F799" i="3"/>
  <c r="D794" i="3"/>
  <c r="B789" i="3"/>
  <c r="F783" i="3"/>
  <c r="D778" i="3"/>
  <c r="B773" i="3"/>
  <c r="F767" i="3"/>
  <c r="D762" i="3"/>
  <c r="B757" i="3"/>
  <c r="F751" i="3"/>
  <c r="D746" i="3"/>
  <c r="B741" i="3"/>
  <c r="F735" i="3"/>
  <c r="D730" i="3"/>
  <c r="B725" i="3"/>
  <c r="F719" i="3"/>
  <c r="D714" i="3"/>
  <c r="B709" i="3"/>
  <c r="F703" i="3"/>
  <c r="D698" i="3"/>
  <c r="B693" i="3"/>
  <c r="F687" i="3"/>
  <c r="D682" i="3"/>
  <c r="B677" i="3"/>
  <c r="F671" i="3"/>
  <c r="D666" i="3"/>
  <c r="B661" i="3"/>
  <c r="F655" i="3"/>
  <c r="D650" i="3"/>
  <c r="B645" i="3"/>
  <c r="F639" i="3"/>
  <c r="D634" i="3"/>
  <c r="B629" i="3"/>
  <c r="F623" i="3"/>
  <c r="D618" i="3"/>
  <c r="B613" i="3"/>
  <c r="E609" i="3"/>
  <c r="A608" i="3"/>
  <c r="D606" i="3"/>
  <c r="B605" i="3"/>
  <c r="F603" i="3"/>
  <c r="D602" i="3"/>
  <c r="B601" i="3"/>
  <c r="F599" i="3"/>
  <c r="D598" i="3"/>
  <c r="B597" i="3"/>
  <c r="F595" i="3"/>
  <c r="D594" i="3"/>
  <c r="B593" i="3"/>
  <c r="F591" i="3"/>
  <c r="D590" i="3"/>
  <c r="B589" i="3"/>
  <c r="F587" i="3"/>
  <c r="D586" i="3"/>
  <c r="B585" i="3"/>
  <c r="F583" i="3"/>
  <c r="D582" i="3"/>
  <c r="B581" i="3"/>
  <c r="F579" i="3"/>
  <c r="D578" i="3"/>
  <c r="B577" i="3"/>
  <c r="F575" i="3"/>
  <c r="D574" i="3"/>
  <c r="B573" i="3"/>
  <c r="F571" i="3"/>
  <c r="D570" i="3"/>
  <c r="B569" i="3"/>
  <c r="F567" i="3"/>
  <c r="D566" i="3"/>
  <c r="B565" i="3"/>
  <c r="F563" i="3"/>
  <c r="D562" i="3"/>
  <c r="B561" i="3"/>
  <c r="F559" i="3"/>
  <c r="D558" i="3"/>
  <c r="B557" i="3"/>
  <c r="F555" i="3"/>
  <c r="D554" i="3"/>
  <c r="B553" i="3"/>
  <c r="F551" i="3"/>
  <c r="D550" i="3"/>
  <c r="B549" i="3"/>
  <c r="F547" i="3"/>
  <c r="D546" i="3"/>
  <c r="B545" i="3"/>
  <c r="F543" i="3"/>
  <c r="D542" i="3"/>
  <c r="B541" i="3"/>
  <c r="F539" i="3"/>
  <c r="D538" i="3"/>
  <c r="B537" i="3"/>
  <c r="F535" i="3"/>
  <c r="D534" i="3"/>
  <c r="B533" i="3"/>
  <c r="F531" i="3"/>
  <c r="D530" i="3"/>
  <c r="B529" i="3"/>
  <c r="F527" i="3"/>
  <c r="D526" i="3"/>
  <c r="B525" i="3"/>
  <c r="F523" i="3"/>
  <c r="D522" i="3"/>
  <c r="B521" i="3"/>
  <c r="F519" i="3"/>
  <c r="D518" i="3"/>
  <c r="B517" i="3"/>
  <c r="F515" i="3"/>
  <c r="D514" i="3"/>
  <c r="B513" i="3"/>
  <c r="F511" i="3"/>
  <c r="D510" i="3"/>
  <c r="B509" i="3"/>
  <c r="F507" i="3"/>
  <c r="D506" i="3"/>
  <c r="B505" i="3"/>
  <c r="F503" i="3"/>
  <c r="D502" i="3"/>
  <c r="B501" i="3"/>
  <c r="F499" i="3"/>
  <c r="D498" i="3"/>
  <c r="B497" i="3"/>
  <c r="F495" i="3"/>
  <c r="D494" i="3"/>
  <c r="B493" i="3"/>
  <c r="F491" i="3"/>
  <c r="D490" i="3"/>
  <c r="B489" i="3"/>
  <c r="F487" i="3"/>
  <c r="D486" i="3"/>
  <c r="B485" i="3"/>
  <c r="F483" i="3"/>
  <c r="D482" i="3"/>
  <c r="B481" i="3"/>
  <c r="F479" i="3"/>
  <c r="D478" i="3"/>
  <c r="B477" i="3"/>
  <c r="F475" i="3"/>
  <c r="D474" i="3"/>
  <c r="B473" i="3"/>
  <c r="F471" i="3"/>
  <c r="D470" i="3"/>
  <c r="B469" i="3"/>
  <c r="F467" i="3"/>
  <c r="D466" i="3"/>
  <c r="B465" i="3"/>
  <c r="F463" i="3"/>
  <c r="D462" i="3"/>
  <c r="B461" i="3"/>
  <c r="F459" i="3"/>
  <c r="D458" i="3"/>
  <c r="B457" i="3"/>
  <c r="F455" i="3"/>
  <c r="D454" i="3"/>
  <c r="B453" i="3"/>
  <c r="F451" i="3"/>
  <c r="D450" i="3"/>
  <c r="B449" i="3"/>
  <c r="F447" i="3"/>
  <c r="D446" i="3"/>
  <c r="B445" i="3"/>
  <c r="F443" i="3"/>
  <c r="D442" i="3"/>
  <c r="B441" i="3"/>
  <c r="F439" i="3"/>
  <c r="D438" i="3"/>
  <c r="B437" i="3"/>
  <c r="F435" i="3"/>
  <c r="D434" i="3"/>
  <c r="B433" i="3"/>
  <c r="F431" i="3"/>
  <c r="D430" i="3"/>
  <c r="B429" i="3"/>
  <c r="F427" i="3"/>
  <c r="D426" i="3"/>
  <c r="B425" i="3"/>
  <c r="F423" i="3"/>
  <c r="D422" i="3"/>
  <c r="B421" i="3"/>
  <c r="F419" i="3"/>
  <c r="D418" i="3"/>
  <c r="B417" i="3"/>
  <c r="F415" i="3"/>
  <c r="D414" i="3"/>
  <c r="B413" i="3"/>
  <c r="F411" i="3"/>
  <c r="D410" i="3"/>
  <c r="B409" i="3"/>
  <c r="F407" i="3"/>
  <c r="D406" i="3"/>
  <c r="B405" i="3"/>
  <c r="F403" i="3"/>
  <c r="D402" i="3"/>
  <c r="B401" i="3"/>
  <c r="F399" i="3"/>
  <c r="D398" i="3"/>
  <c r="B397" i="3"/>
  <c r="F395" i="3"/>
  <c r="D394" i="3"/>
  <c r="B393" i="3"/>
  <c r="F391" i="3"/>
  <c r="D390" i="3"/>
  <c r="B389" i="3"/>
  <c r="F387" i="3"/>
  <c r="D386" i="3"/>
  <c r="B385" i="3"/>
  <c r="F383" i="3"/>
  <c r="D382" i="3"/>
  <c r="B381" i="3"/>
  <c r="F379" i="3"/>
  <c r="D378" i="3"/>
  <c r="B377" i="3"/>
  <c r="F375" i="3"/>
  <c r="D374" i="3"/>
  <c r="B373" i="3"/>
  <c r="F371" i="3"/>
  <c r="D370" i="3"/>
  <c r="B369" i="3"/>
  <c r="F367" i="3"/>
  <c r="D366" i="3"/>
  <c r="B365" i="3"/>
  <c r="F363" i="3"/>
  <c r="D362" i="3"/>
  <c r="B361" i="3"/>
  <c r="F359" i="3"/>
  <c r="D358" i="3"/>
  <c r="B357" i="3"/>
  <c r="F355" i="3"/>
  <c r="D354" i="3"/>
  <c r="B353" i="3"/>
  <c r="F351" i="3"/>
  <c r="D350" i="3"/>
  <c r="B349" i="3"/>
  <c r="F347" i="3"/>
  <c r="D346" i="3"/>
  <c r="B345" i="3"/>
  <c r="F343" i="3"/>
  <c r="D342" i="3"/>
  <c r="B341" i="3"/>
  <c r="F339" i="3"/>
  <c r="D338" i="3"/>
  <c r="B337" i="3"/>
  <c r="F335" i="3"/>
  <c r="D334" i="3"/>
  <c r="B333" i="3"/>
  <c r="F331" i="3"/>
  <c r="D330" i="3"/>
  <c r="B329" i="3"/>
  <c r="F327" i="3"/>
  <c r="D326" i="3"/>
  <c r="B325" i="3"/>
  <c r="F323" i="3"/>
  <c r="D322" i="3"/>
  <c r="B321" i="3"/>
  <c r="F319" i="3"/>
  <c r="D318" i="3"/>
  <c r="B317" i="3"/>
  <c r="F315" i="3"/>
  <c r="D314" i="3"/>
  <c r="B313" i="3"/>
  <c r="F311" i="3"/>
  <c r="D310" i="3"/>
  <c r="B309" i="3"/>
  <c r="F307" i="3"/>
  <c r="D306" i="3"/>
  <c r="B305" i="3"/>
  <c r="F303" i="3"/>
  <c r="D302" i="3"/>
  <c r="B301" i="3"/>
  <c r="F299" i="3"/>
  <c r="D298" i="3"/>
  <c r="B297" i="3"/>
  <c r="F295" i="3"/>
  <c r="D294" i="3"/>
  <c r="B293" i="3"/>
  <c r="F291" i="3"/>
  <c r="D290" i="3"/>
  <c r="B289" i="3"/>
  <c r="F287" i="3"/>
  <c r="D286" i="3"/>
  <c r="B285" i="3"/>
  <c r="F283" i="3"/>
  <c r="D282" i="3"/>
  <c r="B281" i="3"/>
  <c r="F279" i="3"/>
  <c r="D278" i="3"/>
  <c r="B277" i="3"/>
  <c r="F275" i="3"/>
  <c r="D274" i="3"/>
  <c r="B273" i="3"/>
  <c r="F271" i="3"/>
  <c r="D270" i="3"/>
  <c r="B269" i="3"/>
  <c r="F267" i="3"/>
  <c r="C1269" i="3"/>
  <c r="D1118" i="3"/>
  <c r="B1033" i="3"/>
  <c r="F947" i="3"/>
  <c r="A904" i="3"/>
  <c r="C891" i="3"/>
  <c r="E880" i="3"/>
  <c r="A870" i="3"/>
  <c r="C859" i="3"/>
  <c r="E848" i="3"/>
  <c r="A838" i="3"/>
  <c r="C831" i="3"/>
  <c r="A826" i="3"/>
  <c r="E820" i="3"/>
  <c r="C815" i="3"/>
  <c r="A810" i="3"/>
  <c r="E804" i="3"/>
  <c r="C799" i="3"/>
  <c r="A794" i="3"/>
  <c r="E788" i="3"/>
  <c r="C783" i="3"/>
  <c r="A778" i="3"/>
  <c r="E772" i="3"/>
  <c r="C767" i="3"/>
  <c r="A762" i="3"/>
  <c r="E756" i="3"/>
  <c r="C751" i="3"/>
  <c r="A746" i="3"/>
  <c r="E740" i="3"/>
  <c r="C735" i="3"/>
  <c r="A730" i="3"/>
  <c r="E724" i="3"/>
  <c r="C719" i="3"/>
  <c r="A714" i="3"/>
  <c r="E708" i="3"/>
  <c r="C703" i="3"/>
  <c r="A698" i="3"/>
  <c r="E692" i="3"/>
  <c r="C687" i="3"/>
  <c r="A682" i="3"/>
  <c r="E676" i="3"/>
  <c r="C671" i="3"/>
  <c r="A666" i="3"/>
  <c r="E660" i="3"/>
  <c r="C655" i="3"/>
  <c r="A650" i="3"/>
  <c r="E644" i="3"/>
  <c r="C639" i="3"/>
  <c r="A634" i="3"/>
  <c r="E628" i="3"/>
  <c r="C623" i="3"/>
  <c r="A618" i="3"/>
  <c r="E612" i="3"/>
  <c r="C609" i="3"/>
  <c r="F607" i="3"/>
  <c r="C606" i="3"/>
  <c r="A605" i="3"/>
  <c r="E603" i="3"/>
  <c r="C602" i="3"/>
  <c r="A601" i="3"/>
  <c r="E599" i="3"/>
  <c r="C598" i="3"/>
  <c r="A597" i="3"/>
  <c r="E595" i="3"/>
  <c r="C594" i="3"/>
  <c r="A593" i="3"/>
  <c r="E591" i="3"/>
  <c r="C590" i="3"/>
  <c r="A589" i="3"/>
  <c r="E587" i="3"/>
  <c r="C586" i="3"/>
  <c r="A585" i="3"/>
  <c r="E583" i="3"/>
  <c r="C582" i="3"/>
  <c r="A581" i="3"/>
  <c r="E579" i="3"/>
  <c r="C578" i="3"/>
  <c r="A577" i="3"/>
  <c r="E575" i="3"/>
  <c r="C574" i="3"/>
  <c r="A573" i="3"/>
  <c r="E571" i="3"/>
  <c r="C570" i="3"/>
  <c r="A569" i="3"/>
  <c r="E567" i="3"/>
  <c r="C566" i="3"/>
  <c r="A565" i="3"/>
  <c r="E563" i="3"/>
  <c r="C562" i="3"/>
  <c r="A561" i="3"/>
  <c r="E559" i="3"/>
  <c r="C558" i="3"/>
  <c r="A557" i="3"/>
  <c r="E555" i="3"/>
  <c r="C554" i="3"/>
  <c r="A553" i="3"/>
  <c r="E551" i="3"/>
  <c r="C550" i="3"/>
  <c r="A549" i="3"/>
  <c r="E547" i="3"/>
  <c r="C546" i="3"/>
  <c r="A545" i="3"/>
  <c r="E543" i="3"/>
  <c r="C542" i="3"/>
  <c r="A541" i="3"/>
  <c r="E539" i="3"/>
  <c r="C538" i="3"/>
  <c r="A537" i="3"/>
  <c r="E535" i="3"/>
  <c r="C534" i="3"/>
  <c r="A533" i="3"/>
  <c r="E531" i="3"/>
  <c r="C530" i="3"/>
  <c r="A529" i="3"/>
  <c r="E527" i="3"/>
  <c r="C526" i="3"/>
  <c r="A525" i="3"/>
  <c r="E523" i="3"/>
  <c r="C522" i="3"/>
  <c r="A521" i="3"/>
  <c r="E519" i="3"/>
  <c r="C518" i="3"/>
  <c r="A517" i="3"/>
  <c r="E515" i="3"/>
  <c r="C514" i="3"/>
  <c r="A513" i="3"/>
  <c r="E511" i="3"/>
  <c r="C510" i="3"/>
  <c r="A509" i="3"/>
  <c r="E507" i="3"/>
  <c r="C506" i="3"/>
  <c r="A505" i="3"/>
  <c r="E503" i="3"/>
  <c r="C502" i="3"/>
  <c r="A501" i="3"/>
  <c r="E499" i="3"/>
  <c r="C498" i="3"/>
  <c r="A497" i="3"/>
  <c r="E495" i="3"/>
  <c r="C494" i="3"/>
  <c r="A493" i="3"/>
  <c r="E491" i="3"/>
  <c r="C490" i="3"/>
  <c r="A489" i="3"/>
  <c r="E487" i="3"/>
  <c r="C486" i="3"/>
  <c r="A485" i="3"/>
  <c r="E483" i="3"/>
  <c r="C482" i="3"/>
  <c r="A481" i="3"/>
  <c r="E479" i="3"/>
  <c r="C478" i="3"/>
  <c r="A477" i="3"/>
  <c r="E475" i="3"/>
  <c r="C474" i="3"/>
  <c r="A473" i="3"/>
  <c r="E471" i="3"/>
  <c r="C470" i="3"/>
  <c r="A469" i="3"/>
  <c r="E467" i="3"/>
  <c r="C466" i="3"/>
  <c r="A465" i="3"/>
  <c r="E463" i="3"/>
  <c r="C462" i="3"/>
  <c r="A461" i="3"/>
  <c r="E459" i="3"/>
  <c r="C458" i="3"/>
  <c r="A457" i="3"/>
  <c r="E455" i="3"/>
  <c r="C454" i="3"/>
  <c r="A453" i="3"/>
  <c r="E451" i="3"/>
  <c r="C450" i="3"/>
  <c r="A449" i="3"/>
  <c r="E447" i="3"/>
  <c r="C446" i="3"/>
  <c r="A445" i="3"/>
  <c r="E443" i="3"/>
  <c r="C442" i="3"/>
  <c r="A441" i="3"/>
  <c r="E439" i="3"/>
  <c r="C438" i="3"/>
  <c r="A437" i="3"/>
  <c r="E435" i="3"/>
  <c r="C434" i="3"/>
  <c r="A433" i="3"/>
  <c r="E431" i="3"/>
  <c r="C430" i="3"/>
  <c r="A429" i="3"/>
  <c r="E427" i="3"/>
  <c r="C426" i="3"/>
  <c r="A425" i="3"/>
  <c r="E423" i="3"/>
  <c r="C422" i="3"/>
  <c r="A421" i="3"/>
  <c r="E419" i="3"/>
  <c r="C418" i="3"/>
  <c r="A417" i="3"/>
  <c r="E415" i="3"/>
  <c r="C414" i="3"/>
  <c r="A413" i="3"/>
  <c r="E411" i="3"/>
  <c r="C410" i="3"/>
  <c r="A409" i="3"/>
  <c r="E407" i="3"/>
  <c r="C406" i="3"/>
  <c r="A405" i="3"/>
  <c r="E403" i="3"/>
  <c r="C402" i="3"/>
  <c r="A401" i="3"/>
  <c r="E399" i="3"/>
  <c r="C398" i="3"/>
  <c r="A397" i="3"/>
  <c r="E395" i="3"/>
  <c r="C394" i="3"/>
  <c r="A393" i="3"/>
  <c r="E391" i="3"/>
  <c r="C390" i="3"/>
  <c r="A389" i="3"/>
  <c r="E387" i="3"/>
  <c r="C386" i="3"/>
  <c r="A385" i="3"/>
  <c r="E383" i="3"/>
  <c r="C382" i="3"/>
  <c r="A381" i="3"/>
  <c r="E379" i="3"/>
  <c r="C378" i="3"/>
  <c r="A377" i="3"/>
  <c r="E375" i="3"/>
  <c r="C374" i="3"/>
  <c r="A373" i="3"/>
  <c r="E371" i="3"/>
  <c r="C370" i="3"/>
  <c r="A369" i="3"/>
  <c r="E367" i="3"/>
  <c r="C366" i="3"/>
  <c r="A365" i="3"/>
  <c r="E363" i="3"/>
  <c r="C362" i="3"/>
  <c r="A361" i="3"/>
  <c r="E359" i="3"/>
  <c r="C358" i="3"/>
  <c r="A357" i="3"/>
  <c r="E355" i="3"/>
  <c r="C354" i="3"/>
  <c r="A353" i="3"/>
  <c r="E351" i="3"/>
  <c r="C350" i="3"/>
  <c r="A349" i="3"/>
  <c r="E347" i="3"/>
  <c r="C346" i="3"/>
  <c r="A345" i="3"/>
  <c r="E343" i="3"/>
  <c r="C342" i="3"/>
  <c r="A341" i="3"/>
  <c r="E339" i="3"/>
  <c r="C338" i="3"/>
  <c r="A337" i="3"/>
  <c r="E335" i="3"/>
  <c r="C334" i="3"/>
  <c r="A333" i="3"/>
  <c r="E331" i="3"/>
  <c r="C330" i="3"/>
  <c r="A329" i="3"/>
  <c r="E327" i="3"/>
  <c r="C326" i="3"/>
  <c r="A325" i="3"/>
  <c r="E323" i="3"/>
  <c r="C322" i="3"/>
  <c r="A321" i="3"/>
  <c r="E319" i="3"/>
  <c r="C318" i="3"/>
  <c r="A317" i="3"/>
  <c r="E315" i="3"/>
  <c r="C314" i="3"/>
  <c r="A313" i="3"/>
  <c r="E311" i="3"/>
  <c r="C310" i="3"/>
  <c r="A309" i="3"/>
  <c r="E307" i="3"/>
  <c r="C306" i="3"/>
  <c r="A305" i="3"/>
  <c r="E303" i="3"/>
  <c r="C302" i="3"/>
  <c r="A301" i="3"/>
  <c r="E299" i="3"/>
  <c r="C298" i="3"/>
  <c r="A297" i="3"/>
  <c r="E295" i="3"/>
  <c r="C294" i="3"/>
  <c r="A293" i="3"/>
  <c r="E291" i="3"/>
  <c r="C290" i="3"/>
  <c r="A289" i="3"/>
  <c r="E287" i="3"/>
  <c r="C286" i="3"/>
  <c r="A285" i="3"/>
  <c r="E283" i="3"/>
  <c r="C282" i="3"/>
  <c r="A281" i="3"/>
  <c r="E279" i="3"/>
  <c r="C278" i="3"/>
  <c r="A277" i="3"/>
  <c r="E275" i="3"/>
  <c r="C274" i="3"/>
  <c r="A273" i="3"/>
  <c r="E271" i="3"/>
  <c r="C270" i="3"/>
  <c r="A269" i="3"/>
  <c r="E267" i="3"/>
  <c r="C266" i="3"/>
  <c r="A265" i="3"/>
  <c r="E263" i="3"/>
  <c r="C262" i="3"/>
  <c r="A261" i="3"/>
  <c r="E259" i="3"/>
  <c r="C1209" i="3"/>
  <c r="F1107" i="3"/>
  <c r="D1022" i="3"/>
  <c r="B937" i="3"/>
  <c r="E901" i="3"/>
  <c r="A890" i="3"/>
  <c r="C879" i="3"/>
  <c r="E868" i="3"/>
  <c r="A858" i="3"/>
  <c r="C847" i="3"/>
  <c r="E836" i="3"/>
  <c r="D830" i="3"/>
  <c r="B825" i="3"/>
  <c r="F819" i="3"/>
  <c r="D814" i="3"/>
  <c r="B809" i="3"/>
  <c r="F803" i="3"/>
  <c r="D798" i="3"/>
  <c r="B793" i="3"/>
  <c r="F787" i="3"/>
  <c r="D782" i="3"/>
  <c r="B777" i="3"/>
  <c r="F771" i="3"/>
  <c r="D766" i="3"/>
  <c r="B761" i="3"/>
  <c r="F755" i="3"/>
  <c r="D750" i="3"/>
  <c r="B745" i="3"/>
  <c r="F739" i="3"/>
  <c r="D734" i="3"/>
  <c r="B729" i="3"/>
  <c r="F723" i="3"/>
  <c r="D718" i="3"/>
  <c r="B713" i="3"/>
  <c r="F707" i="3"/>
  <c r="D702" i="3"/>
  <c r="B697" i="3"/>
  <c r="F691" i="3"/>
  <c r="D686" i="3"/>
  <c r="B681" i="3"/>
  <c r="F675" i="3"/>
  <c r="D670" i="3"/>
  <c r="B665" i="3"/>
  <c r="F659" i="3"/>
  <c r="D654" i="3"/>
  <c r="B649" i="3"/>
  <c r="F643" i="3"/>
  <c r="D638" i="3"/>
  <c r="B633" i="3"/>
  <c r="F627" i="3"/>
  <c r="D622" i="3"/>
  <c r="B617" i="3"/>
  <c r="F611" i="3"/>
  <c r="B609" i="3"/>
  <c r="D607" i="3"/>
  <c r="B606" i="3"/>
  <c r="F604" i="3"/>
  <c r="D603" i="3"/>
  <c r="B602" i="3"/>
  <c r="F600" i="3"/>
  <c r="D599" i="3"/>
  <c r="B598" i="3"/>
  <c r="F596" i="3"/>
  <c r="D595" i="3"/>
  <c r="B594" i="3"/>
  <c r="F592" i="3"/>
  <c r="D591" i="3"/>
  <c r="B590" i="3"/>
  <c r="F588" i="3"/>
  <c r="D587" i="3"/>
  <c r="B586" i="3"/>
  <c r="F584" i="3"/>
  <c r="D583" i="3"/>
  <c r="B582" i="3"/>
  <c r="F580" i="3"/>
  <c r="D579" i="3"/>
  <c r="B578" i="3"/>
  <c r="F576" i="3"/>
  <c r="D575" i="3"/>
  <c r="B574" i="3"/>
  <c r="F572" i="3"/>
  <c r="D571" i="3"/>
  <c r="B570" i="3"/>
  <c r="F568" i="3"/>
  <c r="D567" i="3"/>
  <c r="B566" i="3"/>
  <c r="F564" i="3"/>
  <c r="D563" i="3"/>
  <c r="B562" i="3"/>
  <c r="F560" i="3"/>
  <c r="D559" i="3"/>
  <c r="B558" i="3"/>
  <c r="F556" i="3"/>
  <c r="D555" i="3"/>
  <c r="B554" i="3"/>
  <c r="F552" i="3"/>
  <c r="D551" i="3"/>
  <c r="B550" i="3"/>
  <c r="F548" i="3"/>
  <c r="D547" i="3"/>
  <c r="B546" i="3"/>
  <c r="F544" i="3"/>
  <c r="D543" i="3"/>
  <c r="B542" i="3"/>
  <c r="F540" i="3"/>
  <c r="D539" i="3"/>
  <c r="B538" i="3"/>
  <c r="F536" i="3"/>
  <c r="D535" i="3"/>
  <c r="B534" i="3"/>
  <c r="F532" i="3"/>
  <c r="D531" i="3"/>
  <c r="B530" i="3"/>
  <c r="F528" i="3"/>
  <c r="D527" i="3"/>
  <c r="B526" i="3"/>
  <c r="F524" i="3"/>
  <c r="D523" i="3"/>
  <c r="B522" i="3"/>
  <c r="F520" i="3"/>
  <c r="D519" i="3"/>
  <c r="B518" i="3"/>
  <c r="F516" i="3"/>
  <c r="D515" i="3"/>
  <c r="B514" i="3"/>
  <c r="F512" i="3"/>
  <c r="D511" i="3"/>
  <c r="B510" i="3"/>
  <c r="F508" i="3"/>
  <c r="D507" i="3"/>
  <c r="B506" i="3"/>
  <c r="F504" i="3"/>
  <c r="D503" i="3"/>
  <c r="B502" i="3"/>
  <c r="F500" i="3"/>
  <c r="D499" i="3"/>
  <c r="B498" i="3"/>
  <c r="F496" i="3"/>
  <c r="D495" i="3"/>
  <c r="B494" i="3"/>
  <c r="F492" i="3"/>
  <c r="D491" i="3"/>
  <c r="B490" i="3"/>
  <c r="F488" i="3"/>
  <c r="D487" i="3"/>
  <c r="B486" i="3"/>
  <c r="F484" i="3"/>
  <c r="D483" i="3"/>
  <c r="B482" i="3"/>
  <c r="F480" i="3"/>
  <c r="D479" i="3"/>
  <c r="B478" i="3"/>
  <c r="F476" i="3"/>
  <c r="D475" i="3"/>
  <c r="B474" i="3"/>
  <c r="F472" i="3"/>
  <c r="D471" i="3"/>
  <c r="B470" i="3"/>
  <c r="F468" i="3"/>
  <c r="D467" i="3"/>
  <c r="B466" i="3"/>
  <c r="F464" i="3"/>
  <c r="D463" i="3"/>
  <c r="B462" i="3"/>
  <c r="F460" i="3"/>
  <c r="D459" i="3"/>
  <c r="B458" i="3"/>
  <c r="F456" i="3"/>
  <c r="D455" i="3"/>
  <c r="B454" i="3"/>
  <c r="F452" i="3"/>
  <c r="D451" i="3"/>
  <c r="B450" i="3"/>
  <c r="F448" i="3"/>
  <c r="D447" i="3"/>
  <c r="B446" i="3"/>
  <c r="F444" i="3"/>
  <c r="D443" i="3"/>
  <c r="B442" i="3"/>
  <c r="F440" i="3"/>
  <c r="D439" i="3"/>
  <c r="B438" i="3"/>
  <c r="F436" i="3"/>
  <c r="D435" i="3"/>
  <c r="B434" i="3"/>
  <c r="F432" i="3"/>
  <c r="D431" i="3"/>
  <c r="B430" i="3"/>
  <c r="F428" i="3"/>
  <c r="D427" i="3"/>
  <c r="B426" i="3"/>
  <c r="F424" i="3"/>
  <c r="D423" i="3"/>
  <c r="B422" i="3"/>
  <c r="F420" i="3"/>
  <c r="D419" i="3"/>
  <c r="B418" i="3"/>
  <c r="F416" i="3"/>
  <c r="D415" i="3"/>
  <c r="B414" i="3"/>
  <c r="F412" i="3"/>
  <c r="D411" i="3"/>
  <c r="B410" i="3"/>
  <c r="F408" i="3"/>
  <c r="D407" i="3"/>
  <c r="B406" i="3"/>
  <c r="F404" i="3"/>
  <c r="D403" i="3"/>
  <c r="B402" i="3"/>
  <c r="F400" i="3"/>
  <c r="D399" i="3"/>
  <c r="B398" i="3"/>
  <c r="F396" i="3"/>
  <c r="D395" i="3"/>
  <c r="B394" i="3"/>
  <c r="F392" i="3"/>
  <c r="D391" i="3"/>
  <c r="B390" i="3"/>
  <c r="F388" i="3"/>
  <c r="D387" i="3"/>
  <c r="B386" i="3"/>
  <c r="F384" i="3"/>
  <c r="D383" i="3"/>
  <c r="B382" i="3"/>
  <c r="F380" i="3"/>
  <c r="D379" i="3"/>
  <c r="B378" i="3"/>
  <c r="F376" i="3"/>
  <c r="D375" i="3"/>
  <c r="B374" i="3"/>
  <c r="F372" i="3"/>
  <c r="D371" i="3"/>
  <c r="B370" i="3"/>
  <c r="F368" i="3"/>
  <c r="D367" i="3"/>
  <c r="B366" i="3"/>
  <c r="F364" i="3"/>
  <c r="D363" i="3"/>
  <c r="B362" i="3"/>
  <c r="F360" i="3"/>
  <c r="D359" i="3"/>
  <c r="B358" i="3"/>
  <c r="F356" i="3"/>
  <c r="D355" i="3"/>
  <c r="B354" i="3"/>
  <c r="F352" i="3"/>
  <c r="D351" i="3"/>
  <c r="B350" i="3"/>
  <c r="F348" i="3"/>
  <c r="D347" i="3"/>
  <c r="B346" i="3"/>
  <c r="F344" i="3"/>
  <c r="D343" i="3"/>
  <c r="B342" i="3"/>
  <c r="F340" i="3"/>
  <c r="D1182" i="3"/>
  <c r="B1097" i="3"/>
  <c r="F1011" i="3"/>
  <c r="B931" i="3"/>
  <c r="A900" i="3"/>
  <c r="E888" i="3"/>
  <c r="A878" i="3"/>
  <c r="C867" i="3"/>
  <c r="E856" i="3"/>
  <c r="A846" i="3"/>
  <c r="C835" i="3"/>
  <c r="A830" i="3"/>
  <c r="E824" i="3"/>
  <c r="C819" i="3"/>
  <c r="A814" i="3"/>
  <c r="E808" i="3"/>
  <c r="C803" i="3"/>
  <c r="A798" i="3"/>
  <c r="E792" i="3"/>
  <c r="C787" i="3"/>
  <c r="A782" i="3"/>
  <c r="E776" i="3"/>
  <c r="C771" i="3"/>
  <c r="A766" i="3"/>
  <c r="E760" i="3"/>
  <c r="C755" i="3"/>
  <c r="A750" i="3"/>
  <c r="E744" i="3"/>
  <c r="C739" i="3"/>
  <c r="A734" i="3"/>
  <c r="E728" i="3"/>
  <c r="C723" i="3"/>
  <c r="A718" i="3"/>
  <c r="E712" i="3"/>
  <c r="C707" i="3"/>
  <c r="A702" i="3"/>
  <c r="E696" i="3"/>
  <c r="C691" i="3"/>
  <c r="A686" i="3"/>
  <c r="E680" i="3"/>
  <c r="C675" i="3"/>
  <c r="A670" i="3"/>
  <c r="E664" i="3"/>
  <c r="C659" i="3"/>
  <c r="A654" i="3"/>
  <c r="E648" i="3"/>
  <c r="C643" i="3"/>
  <c r="A638" i="3"/>
  <c r="E632" i="3"/>
  <c r="C627" i="3"/>
  <c r="A622" i="3"/>
  <c r="E616" i="3"/>
  <c r="C611" i="3"/>
  <c r="F608" i="3"/>
  <c r="C607" i="3"/>
  <c r="A606" i="3"/>
  <c r="E604" i="3"/>
  <c r="C603" i="3"/>
  <c r="A602" i="3"/>
  <c r="E600" i="3"/>
  <c r="C599" i="3"/>
  <c r="A598" i="3"/>
  <c r="E596" i="3"/>
  <c r="C595" i="3"/>
  <c r="A594" i="3"/>
  <c r="E592" i="3"/>
  <c r="C591" i="3"/>
  <c r="A590" i="3"/>
  <c r="E588" i="3"/>
  <c r="C587" i="3"/>
  <c r="A586" i="3"/>
  <c r="E584" i="3"/>
  <c r="C583" i="3"/>
  <c r="A582" i="3"/>
  <c r="E580" i="3"/>
  <c r="C579" i="3"/>
  <c r="A578" i="3"/>
  <c r="E576" i="3"/>
  <c r="C575" i="3"/>
  <c r="A574" i="3"/>
  <c r="E572" i="3"/>
  <c r="C571" i="3"/>
  <c r="A570" i="3"/>
  <c r="E568" i="3"/>
  <c r="C567" i="3"/>
  <c r="A566" i="3"/>
  <c r="E564" i="3"/>
  <c r="C563" i="3"/>
  <c r="A562" i="3"/>
  <c r="E560" i="3"/>
  <c r="C559" i="3"/>
  <c r="A558" i="3"/>
  <c r="E556" i="3"/>
  <c r="C555" i="3"/>
  <c r="A554" i="3"/>
  <c r="E552" i="3"/>
  <c r="C551" i="3"/>
  <c r="A550" i="3"/>
  <c r="E548" i="3"/>
  <c r="C547" i="3"/>
  <c r="A546" i="3"/>
  <c r="E544" i="3"/>
  <c r="C543" i="3"/>
  <c r="A542" i="3"/>
  <c r="E540" i="3"/>
  <c r="C539" i="3"/>
  <c r="A538" i="3"/>
  <c r="E536" i="3"/>
  <c r="C535" i="3"/>
  <c r="A534" i="3"/>
  <c r="E532" i="3"/>
  <c r="C531" i="3"/>
  <c r="A530" i="3"/>
  <c r="E528" i="3"/>
  <c r="C527" i="3"/>
  <c r="A526" i="3"/>
  <c r="E524" i="3"/>
  <c r="C523" i="3"/>
  <c r="A522" i="3"/>
  <c r="E520" i="3"/>
  <c r="C519" i="3"/>
  <c r="A518" i="3"/>
  <c r="E516" i="3"/>
  <c r="C515" i="3"/>
  <c r="A514" i="3"/>
  <c r="E512" i="3"/>
  <c r="C511" i="3"/>
  <c r="A510" i="3"/>
  <c r="E508" i="3"/>
  <c r="C507" i="3"/>
  <c r="A506" i="3"/>
  <c r="E504" i="3"/>
  <c r="C503" i="3"/>
  <c r="A502" i="3"/>
  <c r="E500" i="3"/>
  <c r="C499" i="3"/>
  <c r="A498" i="3"/>
  <c r="E496" i="3"/>
  <c r="C495" i="3"/>
  <c r="A494" i="3"/>
  <c r="E492" i="3"/>
  <c r="C491" i="3"/>
  <c r="A490" i="3"/>
  <c r="E488" i="3"/>
  <c r="C487" i="3"/>
  <c r="A486" i="3"/>
  <c r="E484" i="3"/>
  <c r="C483" i="3"/>
  <c r="A482" i="3"/>
  <c r="E480" i="3"/>
  <c r="C479" i="3"/>
  <c r="A478" i="3"/>
  <c r="E476" i="3"/>
  <c r="C475" i="3"/>
  <c r="A474" i="3"/>
  <c r="E472" i="3"/>
  <c r="C471" i="3"/>
  <c r="A470" i="3"/>
  <c r="E468" i="3"/>
  <c r="C467" i="3"/>
  <c r="A466" i="3"/>
  <c r="E464" i="3"/>
  <c r="C463" i="3"/>
  <c r="A462" i="3"/>
  <c r="E460" i="3"/>
  <c r="C459" i="3"/>
  <c r="A458" i="3"/>
  <c r="E456" i="3"/>
  <c r="C455" i="3"/>
  <c r="A454" i="3"/>
  <c r="E452" i="3"/>
  <c r="C451" i="3"/>
  <c r="A450" i="3"/>
  <c r="E448" i="3"/>
  <c r="C447" i="3"/>
  <c r="A446" i="3"/>
  <c r="E444" i="3"/>
  <c r="C443" i="3"/>
  <c r="A442" i="3"/>
  <c r="E440" i="3"/>
  <c r="C439" i="3"/>
  <c r="A438" i="3"/>
  <c r="E436" i="3"/>
  <c r="C435" i="3"/>
  <c r="A434" i="3"/>
  <c r="E432" i="3"/>
  <c r="C431" i="3"/>
  <c r="A430" i="3"/>
  <c r="E428" i="3"/>
  <c r="C427" i="3"/>
  <c r="A426" i="3"/>
  <c r="E424" i="3"/>
  <c r="C423" i="3"/>
  <c r="A422" i="3"/>
  <c r="E420" i="3"/>
  <c r="C419" i="3"/>
  <c r="A418" i="3"/>
  <c r="E416" i="3"/>
  <c r="C415" i="3"/>
  <c r="A414" i="3"/>
  <c r="E412" i="3"/>
  <c r="C411" i="3"/>
  <c r="A410" i="3"/>
  <c r="E408" i="3"/>
  <c r="C407" i="3"/>
  <c r="A406" i="3"/>
  <c r="E404" i="3"/>
  <c r="C403" i="3"/>
  <c r="A402" i="3"/>
  <c r="E400" i="3"/>
  <c r="C399" i="3"/>
  <c r="A398" i="3"/>
  <c r="E396" i="3"/>
  <c r="C395" i="3"/>
  <c r="A394" i="3"/>
  <c r="E392" i="3"/>
  <c r="C391" i="3"/>
  <c r="A390" i="3"/>
  <c r="E388" i="3"/>
  <c r="C387" i="3"/>
  <c r="A386" i="3"/>
  <c r="E384" i="3"/>
  <c r="C383" i="3"/>
  <c r="A382" i="3"/>
  <c r="E380" i="3"/>
  <c r="F1171" i="3"/>
  <c r="D1086" i="3"/>
  <c r="B1001" i="3"/>
  <c r="F925" i="3"/>
  <c r="B898" i="3"/>
  <c r="C887" i="3"/>
  <c r="E876" i="3"/>
  <c r="A866" i="3"/>
  <c r="C855" i="3"/>
  <c r="E844" i="3"/>
  <c r="D834" i="3"/>
  <c r="B829" i="3"/>
  <c r="F823" i="3"/>
  <c r="D818" i="3"/>
  <c r="B813" i="3"/>
  <c r="F807" i="3"/>
  <c r="D802" i="3"/>
  <c r="B797" i="3"/>
  <c r="F791" i="3"/>
  <c r="D786" i="3"/>
  <c r="B781" i="3"/>
  <c r="F775" i="3"/>
  <c r="D770" i="3"/>
  <c r="B765" i="3"/>
  <c r="F759" i="3"/>
  <c r="D754" i="3"/>
  <c r="B749" i="3"/>
  <c r="F743" i="3"/>
  <c r="D738" i="3"/>
  <c r="B733" i="3"/>
  <c r="F727" i="3"/>
  <c r="D722" i="3"/>
  <c r="B717" i="3"/>
  <c r="F711" i="3"/>
  <c r="D706" i="3"/>
  <c r="B701" i="3"/>
  <c r="F695" i="3"/>
  <c r="D690" i="3"/>
  <c r="B685" i="3"/>
  <c r="F679" i="3"/>
  <c r="D674" i="3"/>
  <c r="B669" i="3"/>
  <c r="F663" i="3"/>
  <c r="D658" i="3"/>
  <c r="B653" i="3"/>
  <c r="F647" i="3"/>
  <c r="D642" i="3"/>
  <c r="B637" i="3"/>
  <c r="F631" i="3"/>
  <c r="D626" i="3"/>
  <c r="B621" i="3"/>
  <c r="F615" i="3"/>
  <c r="B611" i="3"/>
  <c r="E608" i="3"/>
  <c r="B607" i="3"/>
  <c r="F605" i="3"/>
  <c r="D604" i="3"/>
  <c r="B603" i="3"/>
  <c r="F601" i="3"/>
  <c r="D600" i="3"/>
  <c r="B599" i="3"/>
  <c r="F597" i="3"/>
  <c r="D596" i="3"/>
  <c r="B595" i="3"/>
  <c r="F593" i="3"/>
  <c r="D592" i="3"/>
  <c r="B591" i="3"/>
  <c r="F589" i="3"/>
  <c r="D588" i="3"/>
  <c r="B587" i="3"/>
  <c r="F585" i="3"/>
  <c r="D584" i="3"/>
  <c r="B583" i="3"/>
  <c r="F581" i="3"/>
  <c r="D580" i="3"/>
  <c r="B579" i="3"/>
  <c r="F577" i="3"/>
  <c r="D576" i="3"/>
  <c r="B575" i="3"/>
  <c r="F573" i="3"/>
  <c r="D572" i="3"/>
  <c r="B571" i="3"/>
  <c r="F569" i="3"/>
  <c r="D568" i="3"/>
  <c r="B567" i="3"/>
  <c r="F565" i="3"/>
  <c r="D564" i="3"/>
  <c r="B563" i="3"/>
  <c r="F561" i="3"/>
  <c r="D560" i="3"/>
  <c r="B559" i="3"/>
  <c r="F557" i="3"/>
  <c r="D556" i="3"/>
  <c r="B555" i="3"/>
  <c r="F553" i="3"/>
  <c r="D552" i="3"/>
  <c r="B551" i="3"/>
  <c r="F549" i="3"/>
  <c r="D548" i="3"/>
  <c r="B547" i="3"/>
  <c r="F545" i="3"/>
  <c r="D544" i="3"/>
  <c r="B543" i="3"/>
  <c r="F541" i="3"/>
  <c r="D540" i="3"/>
  <c r="B539" i="3"/>
  <c r="F537" i="3"/>
  <c r="D536" i="3"/>
  <c r="B535" i="3"/>
  <c r="F533" i="3"/>
  <c r="D532" i="3"/>
  <c r="B531" i="3"/>
  <c r="F529" i="3"/>
  <c r="D528" i="3"/>
  <c r="B527" i="3"/>
  <c r="F525" i="3"/>
  <c r="D524" i="3"/>
  <c r="B523" i="3"/>
  <c r="F521" i="3"/>
  <c r="D520" i="3"/>
  <c r="B519" i="3"/>
  <c r="F517" i="3"/>
  <c r="D516" i="3"/>
  <c r="B515" i="3"/>
  <c r="F513" i="3"/>
  <c r="D512" i="3"/>
  <c r="B511" i="3"/>
  <c r="F509" i="3"/>
  <c r="D508" i="3"/>
  <c r="B507" i="3"/>
  <c r="F505" i="3"/>
  <c r="D504" i="3"/>
  <c r="B503" i="3"/>
  <c r="F501" i="3"/>
  <c r="D500" i="3"/>
  <c r="B499" i="3"/>
  <c r="F497" i="3"/>
  <c r="D496" i="3"/>
  <c r="B495" i="3"/>
  <c r="F493" i="3"/>
  <c r="D492" i="3"/>
  <c r="B491" i="3"/>
  <c r="F489" i="3"/>
  <c r="D488" i="3"/>
  <c r="B487" i="3"/>
  <c r="F485" i="3"/>
  <c r="D484" i="3"/>
  <c r="B483" i="3"/>
  <c r="F481" i="3"/>
  <c r="D480" i="3"/>
  <c r="B479" i="3"/>
  <c r="F477" i="3"/>
  <c r="D476" i="3"/>
  <c r="B475" i="3"/>
  <c r="F473" i="3"/>
  <c r="D472" i="3"/>
  <c r="B471" i="3"/>
  <c r="F469" i="3"/>
  <c r="D468" i="3"/>
  <c r="B467" i="3"/>
  <c r="F465" i="3"/>
  <c r="D464" i="3"/>
  <c r="B463" i="3"/>
  <c r="F461" i="3"/>
  <c r="D460" i="3"/>
  <c r="B459" i="3"/>
  <c r="F457" i="3"/>
  <c r="D456" i="3"/>
  <c r="B455" i="3"/>
  <c r="F453" i="3"/>
  <c r="D452" i="3"/>
  <c r="B451" i="3"/>
  <c r="F449" i="3"/>
  <c r="D448" i="3"/>
  <c r="B447" i="3"/>
  <c r="F445" i="3"/>
  <c r="D444" i="3"/>
  <c r="B443" i="3"/>
  <c r="F441" i="3"/>
  <c r="D440" i="3"/>
  <c r="B439" i="3"/>
  <c r="F437" i="3"/>
  <c r="D436" i="3"/>
  <c r="B435" i="3"/>
  <c r="F433" i="3"/>
  <c r="D432" i="3"/>
  <c r="B431" i="3"/>
  <c r="F429" i="3"/>
  <c r="D428" i="3"/>
  <c r="B427" i="3"/>
  <c r="F425" i="3"/>
  <c r="D424" i="3"/>
  <c r="B423" i="3"/>
  <c r="F421" i="3"/>
  <c r="D420" i="3"/>
  <c r="B419" i="3"/>
  <c r="F417" i="3"/>
  <c r="D416" i="3"/>
  <c r="B415" i="3"/>
  <c r="F413" i="3"/>
  <c r="D412" i="3"/>
  <c r="B411" i="3"/>
  <c r="F409" i="3"/>
  <c r="D408" i="3"/>
  <c r="B407" i="3"/>
  <c r="F405" i="3"/>
  <c r="D404" i="3"/>
  <c r="B403" i="3"/>
  <c r="F401" i="3"/>
  <c r="D400" i="3"/>
  <c r="B399" i="3"/>
  <c r="F397" i="3"/>
  <c r="D396" i="3"/>
  <c r="B395" i="3"/>
  <c r="F393" i="3"/>
  <c r="D392" i="3"/>
  <c r="B391" i="3"/>
  <c r="F389" i="3"/>
  <c r="D388" i="3"/>
  <c r="B387" i="3"/>
  <c r="F385" i="3"/>
  <c r="D384" i="3"/>
  <c r="B383" i="3"/>
  <c r="F381" i="3"/>
  <c r="D380" i="3"/>
  <c r="B379" i="3"/>
  <c r="F377" i="3"/>
  <c r="D376" i="3"/>
  <c r="B375" i="3"/>
  <c r="F373" i="3"/>
  <c r="D372" i="3"/>
  <c r="B371" i="3"/>
  <c r="F369" i="3"/>
  <c r="D368" i="3"/>
  <c r="B367" i="3"/>
  <c r="F365" i="3"/>
  <c r="D364" i="3"/>
  <c r="B363" i="3"/>
  <c r="F361" i="3"/>
  <c r="D360" i="3"/>
  <c r="B359" i="3"/>
  <c r="F357" i="3"/>
  <c r="D356" i="3"/>
  <c r="B355" i="3"/>
  <c r="F353" i="3"/>
  <c r="D352" i="3"/>
  <c r="B351" i="3"/>
  <c r="F349" i="3"/>
  <c r="D348" i="3"/>
  <c r="B347" i="3"/>
  <c r="F345" i="3"/>
  <c r="D344" i="3"/>
  <c r="B343" i="3"/>
  <c r="F341" i="3"/>
  <c r="D340" i="3"/>
  <c r="B339" i="3"/>
  <c r="F337" i="3"/>
  <c r="D336" i="3"/>
  <c r="B335" i="3"/>
  <c r="F333" i="3"/>
  <c r="D332" i="3"/>
  <c r="B331" i="3"/>
  <c r="F329" i="3"/>
  <c r="D328" i="3"/>
  <c r="B327" i="3"/>
  <c r="F325" i="3"/>
  <c r="D324" i="3"/>
  <c r="B323" i="3"/>
  <c r="F321" i="3"/>
  <c r="D320" i="3"/>
  <c r="B319" i="3"/>
  <c r="F317" i="3"/>
  <c r="D316" i="3"/>
  <c r="B315" i="3"/>
  <c r="F313" i="3"/>
  <c r="D312" i="3"/>
  <c r="B311" i="3"/>
  <c r="F309" i="3"/>
  <c r="D308" i="3"/>
  <c r="B307" i="3"/>
  <c r="F305" i="3"/>
  <c r="D304" i="3"/>
  <c r="B303" i="3"/>
  <c r="F301" i="3"/>
  <c r="D300" i="3"/>
  <c r="B299" i="3"/>
  <c r="F297" i="3"/>
  <c r="D296" i="3"/>
  <c r="B295" i="3"/>
  <c r="F293" i="3"/>
  <c r="D292" i="3"/>
  <c r="B291" i="3"/>
  <c r="F289" i="3"/>
  <c r="D288" i="3"/>
  <c r="B287" i="3"/>
  <c r="F285" i="3"/>
  <c r="D284" i="3"/>
  <c r="B283" i="3"/>
  <c r="F281" i="3"/>
  <c r="D280" i="3"/>
  <c r="B279" i="3"/>
  <c r="F277" i="3"/>
  <c r="D276" i="3"/>
  <c r="B275" i="3"/>
  <c r="F273" i="3"/>
  <c r="D272" i="3"/>
  <c r="B271" i="3"/>
  <c r="F269" i="3"/>
  <c r="D268" i="3"/>
  <c r="B267" i="3"/>
  <c r="F265" i="3"/>
  <c r="D264" i="3"/>
  <c r="B263" i="3"/>
  <c r="F261" i="3"/>
  <c r="D260" i="3"/>
  <c r="B259" i="3"/>
  <c r="B1161" i="3"/>
  <c r="E896" i="3"/>
  <c r="A854" i="3"/>
  <c r="C823" i="3"/>
  <c r="A802" i="3"/>
  <c r="E780" i="3"/>
  <c r="C759" i="3"/>
  <c r="A738" i="3"/>
  <c r="E716" i="3"/>
  <c r="C695" i="3"/>
  <c r="A674" i="3"/>
  <c r="E652" i="3"/>
  <c r="C631" i="3"/>
  <c r="D610" i="3"/>
  <c r="C604" i="3"/>
  <c r="A599" i="3"/>
  <c r="E593" i="3"/>
  <c r="C588" i="3"/>
  <c r="A583" i="3"/>
  <c r="E577" i="3"/>
  <c r="C572" i="3"/>
  <c r="A567" i="3"/>
  <c r="E561" i="3"/>
  <c r="C556" i="3"/>
  <c r="A551" i="3"/>
  <c r="E545" i="3"/>
  <c r="C540" i="3"/>
  <c r="A535" i="3"/>
  <c r="E529" i="3"/>
  <c r="C524" i="3"/>
  <c r="A519" i="3"/>
  <c r="E513" i="3"/>
  <c r="C508" i="3"/>
  <c r="A503" i="3"/>
  <c r="E497" i="3"/>
  <c r="C492" i="3"/>
  <c r="A487" i="3"/>
  <c r="E481" i="3"/>
  <c r="C476" i="3"/>
  <c r="A471" i="3"/>
  <c r="E465" i="3"/>
  <c r="C460" i="3"/>
  <c r="A455" i="3"/>
  <c r="E449" i="3"/>
  <c r="C444" i="3"/>
  <c r="A439" i="3"/>
  <c r="E433" i="3"/>
  <c r="C428" i="3"/>
  <c r="A423" i="3"/>
  <c r="E417" i="3"/>
  <c r="C412" i="3"/>
  <c r="A407" i="3"/>
  <c r="E401" i="3"/>
  <c r="C396" i="3"/>
  <c r="A391" i="3"/>
  <c r="E385" i="3"/>
  <c r="C380" i="3"/>
  <c r="E376" i="3"/>
  <c r="D373" i="3"/>
  <c r="E369" i="3"/>
  <c r="A366" i="3"/>
  <c r="F362" i="3"/>
  <c r="A359" i="3"/>
  <c r="C355" i="3"/>
  <c r="B352" i="3"/>
  <c r="C348" i="3"/>
  <c r="E344" i="3"/>
  <c r="D341" i="3"/>
  <c r="B338" i="3"/>
  <c r="D335" i="3"/>
  <c r="F332" i="3"/>
  <c r="B330" i="3"/>
  <c r="D327" i="3"/>
  <c r="F324" i="3"/>
  <c r="B322" i="3"/>
  <c r="D319" i="3"/>
  <c r="F316" i="3"/>
  <c r="B314" i="3"/>
  <c r="D311" i="3"/>
  <c r="F308" i="3"/>
  <c r="B306" i="3"/>
  <c r="D303" i="3"/>
  <c r="F300" i="3"/>
  <c r="B298" i="3"/>
  <c r="D295" i="3"/>
  <c r="F292" i="3"/>
  <c r="B290" i="3"/>
  <c r="D287" i="3"/>
  <c r="F284" i="3"/>
  <c r="B282" i="3"/>
  <c r="D279" i="3"/>
  <c r="F276" i="3"/>
  <c r="B274" i="3"/>
  <c r="D271" i="3"/>
  <c r="F268" i="3"/>
  <c r="E266" i="3"/>
  <c r="F264" i="3"/>
  <c r="A263" i="3"/>
  <c r="C261" i="3"/>
  <c r="D259" i="3"/>
  <c r="A258" i="3"/>
  <c r="E256" i="3"/>
  <c r="C255" i="3"/>
  <c r="A254" i="3"/>
  <c r="E252" i="3"/>
  <c r="C251" i="3"/>
  <c r="A250" i="3"/>
  <c r="E248" i="3"/>
  <c r="C247" i="3"/>
  <c r="A246" i="3"/>
  <c r="E244" i="3"/>
  <c r="C243" i="3"/>
  <c r="A242" i="3"/>
  <c r="E240" i="3"/>
  <c r="C239" i="3"/>
  <c r="A238" i="3"/>
  <c r="E236" i="3"/>
  <c r="C235" i="3"/>
  <c r="A234" i="3"/>
  <c r="E232" i="3"/>
  <c r="C231" i="3"/>
  <c r="A230" i="3"/>
  <c r="E228" i="3"/>
  <c r="C227" i="3"/>
  <c r="A226" i="3"/>
  <c r="E224" i="3"/>
  <c r="C223" i="3"/>
  <c r="A222" i="3"/>
  <c r="E220" i="3"/>
  <c r="C219" i="3"/>
  <c r="A218" i="3"/>
  <c r="E216" i="3"/>
  <c r="C215" i="3"/>
  <c r="A214" i="3"/>
  <c r="E212" i="3"/>
  <c r="C211" i="3"/>
  <c r="A210" i="3"/>
  <c r="E208" i="3"/>
  <c r="C207" i="3"/>
  <c r="A206" i="3"/>
  <c r="E204" i="3"/>
  <c r="C203" i="3"/>
  <c r="A202" i="3"/>
  <c r="E200" i="3"/>
  <c r="C199" i="3"/>
  <c r="A198" i="3"/>
  <c r="E196" i="3"/>
  <c r="C195" i="3"/>
  <c r="A194" i="3"/>
  <c r="E192" i="3"/>
  <c r="C191" i="3"/>
  <c r="A190" i="3"/>
  <c r="E188" i="3"/>
  <c r="C187" i="3"/>
  <c r="A186" i="3"/>
  <c r="E184" i="3"/>
  <c r="C183" i="3"/>
  <c r="A182" i="3"/>
  <c r="E180" i="3"/>
  <c r="C179" i="3"/>
  <c r="A178" i="3"/>
  <c r="E176" i="3"/>
  <c r="C175" i="3"/>
  <c r="A174" i="3"/>
  <c r="E172" i="3"/>
  <c r="C171" i="3"/>
  <c r="A170" i="3"/>
  <c r="E168" i="3"/>
  <c r="C167" i="3"/>
  <c r="A166" i="3"/>
  <c r="E164" i="3"/>
  <c r="C163" i="3"/>
  <c r="A162" i="3"/>
  <c r="E160" i="3"/>
  <c r="C159" i="3"/>
  <c r="A158" i="3"/>
  <c r="E156" i="3"/>
  <c r="C155" i="3"/>
  <c r="A154" i="3"/>
  <c r="E152" i="3"/>
  <c r="C151" i="3"/>
  <c r="A150" i="3"/>
  <c r="E148" i="3"/>
  <c r="C147" i="3"/>
  <c r="A146" i="3"/>
  <c r="E144" i="3"/>
  <c r="C143" i="3"/>
  <c r="A142" i="3"/>
  <c r="E140" i="3"/>
  <c r="C139" i="3"/>
  <c r="A138" i="3"/>
  <c r="E136" i="3"/>
  <c r="C135" i="3"/>
  <c r="A134" i="3"/>
  <c r="E132" i="3"/>
  <c r="C131" i="3"/>
  <c r="A130" i="3"/>
  <c r="E128" i="3"/>
  <c r="C127" i="3"/>
  <c r="A126" i="3"/>
  <c r="E124" i="3"/>
  <c r="C123" i="3"/>
  <c r="A122" i="3"/>
  <c r="E120" i="3"/>
  <c r="C119" i="3"/>
  <c r="A118" i="3"/>
  <c r="E116" i="3"/>
  <c r="C115" i="3"/>
  <c r="A114" i="3"/>
  <c r="E112" i="3"/>
  <c r="C111" i="3"/>
  <c r="A110" i="3"/>
  <c r="E108" i="3"/>
  <c r="C107" i="3"/>
  <c r="A106" i="3"/>
  <c r="E104" i="3"/>
  <c r="C103" i="3"/>
  <c r="A102" i="3"/>
  <c r="E100" i="3"/>
  <c r="C99" i="3"/>
  <c r="A98" i="3"/>
  <c r="E96" i="3"/>
  <c r="C95" i="3"/>
  <c r="A94" i="3"/>
  <c r="E92" i="3"/>
  <c r="C91" i="3"/>
  <c r="A90" i="3"/>
  <c r="E88" i="3"/>
  <c r="C87" i="3"/>
  <c r="A86" i="3"/>
  <c r="E84" i="3"/>
  <c r="C83" i="3"/>
  <c r="A82" i="3"/>
  <c r="E80" i="3"/>
  <c r="C79" i="3"/>
  <c r="A78" i="3"/>
  <c r="E76" i="3"/>
  <c r="D1150" i="3"/>
  <c r="C895" i="3"/>
  <c r="E852" i="3"/>
  <c r="D822" i="3"/>
  <c r="B801" i="3"/>
  <c r="F779" i="3"/>
  <c r="D758" i="3"/>
  <c r="B737" i="3"/>
  <c r="F715" i="3"/>
  <c r="D694" i="3"/>
  <c r="B673" i="3"/>
  <c r="F651" i="3"/>
  <c r="D630" i="3"/>
  <c r="A610" i="3"/>
  <c r="B604" i="3"/>
  <c r="F598" i="3"/>
  <c r="D593" i="3"/>
  <c r="B588" i="3"/>
  <c r="F582" i="3"/>
  <c r="D577" i="3"/>
  <c r="B572" i="3"/>
  <c r="F566" i="3"/>
  <c r="D561" i="3"/>
  <c r="B556" i="3"/>
  <c r="F550" i="3"/>
  <c r="D545" i="3"/>
  <c r="B540" i="3"/>
  <c r="F534" i="3"/>
  <c r="D529" i="3"/>
  <c r="B524" i="3"/>
  <c r="F518" i="3"/>
  <c r="D513" i="3"/>
  <c r="B508" i="3"/>
  <c r="F502" i="3"/>
  <c r="D497" i="3"/>
  <c r="B492" i="3"/>
  <c r="F486" i="3"/>
  <c r="D481" i="3"/>
  <c r="B476" i="3"/>
  <c r="F470" i="3"/>
  <c r="D465" i="3"/>
  <c r="B460" i="3"/>
  <c r="F454" i="3"/>
  <c r="D449" i="3"/>
  <c r="B444" i="3"/>
  <c r="F438" i="3"/>
  <c r="D433" i="3"/>
  <c r="B428" i="3"/>
  <c r="F422" i="3"/>
  <c r="D417" i="3"/>
  <c r="B412" i="3"/>
  <c r="F406" i="3"/>
  <c r="D401" i="3"/>
  <c r="B396" i="3"/>
  <c r="F390" i="3"/>
  <c r="D385" i="3"/>
  <c r="B380" i="3"/>
  <c r="C376" i="3"/>
  <c r="E372" i="3"/>
  <c r="D369" i="3"/>
  <c r="E365" i="3"/>
  <c r="A362" i="3"/>
  <c r="F358" i="3"/>
  <c r="A355" i="3"/>
  <c r="C351" i="3"/>
  <c r="B348" i="3"/>
  <c r="C344" i="3"/>
  <c r="E340" i="3"/>
  <c r="A338" i="3"/>
  <c r="C335" i="3"/>
  <c r="E332" i="3"/>
  <c r="A330" i="3"/>
  <c r="C327" i="3"/>
  <c r="E324" i="3"/>
  <c r="A322" i="3"/>
  <c r="C319" i="3"/>
  <c r="E316" i="3"/>
  <c r="A314" i="3"/>
  <c r="C311" i="3"/>
  <c r="E308" i="3"/>
  <c r="A306" i="3"/>
  <c r="C303" i="3"/>
  <c r="E300" i="3"/>
  <c r="A298" i="3"/>
  <c r="C295" i="3"/>
  <c r="E292" i="3"/>
  <c r="A290" i="3"/>
  <c r="C287" i="3"/>
  <c r="E284" i="3"/>
  <c r="A282" i="3"/>
  <c r="C279" i="3"/>
  <c r="E276" i="3"/>
  <c r="A274" i="3"/>
  <c r="C271" i="3"/>
  <c r="E268" i="3"/>
  <c r="D266" i="3"/>
  <c r="E264" i="3"/>
  <c r="F262" i="3"/>
  <c r="B261" i="3"/>
  <c r="C259" i="3"/>
  <c r="F257" i="3"/>
  <c r="D256" i="3"/>
  <c r="B255" i="3"/>
  <c r="F253" i="3"/>
  <c r="D252" i="3"/>
  <c r="B251" i="3"/>
  <c r="F249" i="3"/>
  <c r="D248" i="3"/>
  <c r="B247" i="3"/>
  <c r="F245" i="3"/>
  <c r="D244" i="3"/>
  <c r="B243" i="3"/>
  <c r="F241" i="3"/>
  <c r="D240" i="3"/>
  <c r="B239" i="3"/>
  <c r="F237" i="3"/>
  <c r="D236" i="3"/>
  <c r="B235" i="3"/>
  <c r="F233" i="3"/>
  <c r="D232" i="3"/>
  <c r="B231" i="3"/>
  <c r="F229" i="3"/>
  <c r="D228" i="3"/>
  <c r="B227" i="3"/>
  <c r="F225" i="3"/>
  <c r="D224" i="3"/>
  <c r="B223" i="3"/>
  <c r="F221" i="3"/>
  <c r="D220" i="3"/>
  <c r="B219" i="3"/>
  <c r="F217" i="3"/>
  <c r="D216" i="3"/>
  <c r="B215" i="3"/>
  <c r="F213" i="3"/>
  <c r="D212" i="3"/>
  <c r="B211" i="3"/>
  <c r="F209" i="3"/>
  <c r="D208" i="3"/>
  <c r="B207" i="3"/>
  <c r="F205" i="3"/>
  <c r="D204" i="3"/>
  <c r="B203" i="3"/>
  <c r="F201" i="3"/>
  <c r="D200" i="3"/>
  <c r="B199" i="3"/>
  <c r="F197" i="3"/>
  <c r="D196" i="3"/>
  <c r="B195" i="3"/>
  <c r="F193" i="3"/>
  <c r="D192" i="3"/>
  <c r="B191" i="3"/>
  <c r="F189" i="3"/>
  <c r="D188" i="3"/>
  <c r="B187" i="3"/>
  <c r="F185" i="3"/>
  <c r="D184" i="3"/>
  <c r="B183" i="3"/>
  <c r="F181" i="3"/>
  <c r="D180" i="3"/>
  <c r="B179" i="3"/>
  <c r="F177" i="3"/>
  <c r="D176" i="3"/>
  <c r="B175" i="3"/>
  <c r="F173" i="3"/>
  <c r="D172" i="3"/>
  <c r="B171" i="3"/>
  <c r="F169" i="3"/>
  <c r="D168" i="3"/>
  <c r="B167" i="3"/>
  <c r="F165" i="3"/>
  <c r="D164" i="3"/>
  <c r="B163" i="3"/>
  <c r="F161" i="3"/>
  <c r="D160" i="3"/>
  <c r="B159" i="3"/>
  <c r="F157" i="3"/>
  <c r="D156" i="3"/>
  <c r="B155" i="3"/>
  <c r="F153" i="3"/>
  <c r="D152" i="3"/>
  <c r="B151" i="3"/>
  <c r="F149" i="3"/>
  <c r="D148" i="3"/>
  <c r="B147" i="3"/>
  <c r="F145" i="3"/>
  <c r="D144" i="3"/>
  <c r="B143" i="3"/>
  <c r="F141" i="3"/>
  <c r="D140" i="3"/>
  <c r="B139" i="3"/>
  <c r="F137" i="3"/>
  <c r="D136" i="3"/>
  <c r="B135" i="3"/>
  <c r="F133" i="3"/>
  <c r="D132" i="3"/>
  <c r="B131" i="3"/>
  <c r="F129" i="3"/>
  <c r="D128" i="3"/>
  <c r="B127" i="3"/>
  <c r="F125" i="3"/>
  <c r="D124" i="3"/>
  <c r="B123" i="3"/>
  <c r="F121" i="3"/>
  <c r="D120" i="3"/>
  <c r="B119" i="3"/>
  <c r="F117" i="3"/>
  <c r="D116" i="3"/>
  <c r="B115" i="3"/>
  <c r="F113" i="3"/>
  <c r="D112" i="3"/>
  <c r="B111" i="3"/>
  <c r="F109" i="3"/>
  <c r="D108" i="3"/>
  <c r="B107" i="3"/>
  <c r="F105" i="3"/>
  <c r="D104" i="3"/>
  <c r="B103" i="3"/>
  <c r="F101" i="3"/>
  <c r="D100" i="3"/>
  <c r="B99" i="3"/>
  <c r="F97" i="3"/>
  <c r="D96" i="3"/>
  <c r="B95" i="3"/>
  <c r="F93" i="3"/>
  <c r="D92" i="3"/>
  <c r="B91" i="3"/>
  <c r="F89" i="3"/>
  <c r="D88" i="3"/>
  <c r="B87" i="3"/>
  <c r="F85" i="3"/>
  <c r="D84" i="3"/>
  <c r="B83" i="3"/>
  <c r="F81" i="3"/>
  <c r="D80" i="3"/>
  <c r="B79" i="3"/>
  <c r="F77" i="3"/>
  <c r="D76" i="3"/>
  <c r="B75" i="3"/>
  <c r="F73" i="3"/>
  <c r="D72" i="3"/>
  <c r="B71" i="3"/>
  <c r="F69" i="3"/>
  <c r="D68" i="3"/>
  <c r="B67" i="3"/>
  <c r="F65" i="3"/>
  <c r="D64" i="3"/>
  <c r="B63" i="3"/>
  <c r="F61" i="3"/>
  <c r="D60" i="3"/>
  <c r="B59" i="3"/>
  <c r="F57" i="3"/>
  <c r="D56" i="3"/>
  <c r="B55" i="3"/>
  <c r="F53" i="3"/>
  <c r="D52" i="3"/>
  <c r="F1075" i="3"/>
  <c r="A886" i="3"/>
  <c r="C843" i="3"/>
  <c r="A818" i="3"/>
  <c r="E796" i="3"/>
  <c r="C775" i="3"/>
  <c r="A754" i="3"/>
  <c r="E732" i="3"/>
  <c r="C711" i="3"/>
  <c r="A690" i="3"/>
  <c r="E668" i="3"/>
  <c r="C647" i="3"/>
  <c r="A626" i="3"/>
  <c r="D608" i="3"/>
  <c r="A603" i="3"/>
  <c r="E597" i="3"/>
  <c r="C592" i="3"/>
  <c r="A587" i="3"/>
  <c r="E581" i="3"/>
  <c r="C576" i="3"/>
  <c r="A571" i="3"/>
  <c r="E565" i="3"/>
  <c r="C560" i="3"/>
  <c r="A555" i="3"/>
  <c r="E549" i="3"/>
  <c r="C544" i="3"/>
  <c r="A539" i="3"/>
  <c r="E533" i="3"/>
  <c r="C528" i="3"/>
  <c r="A523" i="3"/>
  <c r="E517" i="3"/>
  <c r="C512" i="3"/>
  <c r="A507" i="3"/>
  <c r="E501" i="3"/>
  <c r="C496" i="3"/>
  <c r="A491" i="3"/>
  <c r="E485" i="3"/>
  <c r="C480" i="3"/>
  <c r="A475" i="3"/>
  <c r="E469" i="3"/>
  <c r="C464" i="3"/>
  <c r="A459" i="3"/>
  <c r="E453" i="3"/>
  <c r="C448" i="3"/>
  <c r="A443" i="3"/>
  <c r="E437" i="3"/>
  <c r="C432" i="3"/>
  <c r="A427" i="3"/>
  <c r="E421" i="3"/>
  <c r="C416" i="3"/>
  <c r="A411" i="3"/>
  <c r="E405" i="3"/>
  <c r="C400" i="3"/>
  <c r="A395" i="3"/>
  <c r="E389" i="3"/>
  <c r="C384" i="3"/>
  <c r="C379" i="3"/>
  <c r="B376" i="3"/>
  <c r="C372" i="3"/>
  <c r="E368" i="3"/>
  <c r="D365" i="3"/>
  <c r="E361" i="3"/>
  <c r="A358" i="3"/>
  <c r="F354" i="3"/>
  <c r="A351" i="3"/>
  <c r="C347" i="3"/>
  <c r="B344" i="3"/>
  <c r="C340" i="3"/>
  <c r="E337" i="3"/>
  <c r="A335" i="3"/>
  <c r="C332" i="3"/>
  <c r="E329" i="3"/>
  <c r="A327" i="3"/>
  <c r="C324" i="3"/>
  <c r="E321" i="3"/>
  <c r="A319" i="3"/>
  <c r="C316" i="3"/>
  <c r="E313" i="3"/>
  <c r="A311" i="3"/>
  <c r="C308" i="3"/>
  <c r="E305" i="3"/>
  <c r="A303" i="3"/>
  <c r="C300" i="3"/>
  <c r="E297" i="3"/>
  <c r="A295" i="3"/>
  <c r="C292" i="3"/>
  <c r="E289" i="3"/>
  <c r="A287" i="3"/>
  <c r="C284" i="3"/>
  <c r="E281" i="3"/>
  <c r="A279" i="3"/>
  <c r="C276" i="3"/>
  <c r="E273" i="3"/>
  <c r="A271" i="3"/>
  <c r="C268" i="3"/>
  <c r="B266" i="3"/>
  <c r="C264" i="3"/>
  <c r="E262" i="3"/>
  <c r="F260" i="3"/>
  <c r="A259" i="3"/>
  <c r="E257" i="3"/>
  <c r="C256" i="3"/>
  <c r="A255" i="3"/>
  <c r="E253" i="3"/>
  <c r="C252" i="3"/>
  <c r="A251" i="3"/>
  <c r="E249" i="3"/>
  <c r="C248" i="3"/>
  <c r="A247" i="3"/>
  <c r="E245" i="3"/>
  <c r="C244" i="3"/>
  <c r="A243" i="3"/>
  <c r="E241" i="3"/>
  <c r="C240" i="3"/>
  <c r="A239" i="3"/>
  <c r="E237" i="3"/>
  <c r="C236" i="3"/>
  <c r="A235" i="3"/>
  <c r="E233" i="3"/>
  <c r="C232" i="3"/>
  <c r="A231" i="3"/>
  <c r="E229" i="3"/>
  <c r="C228" i="3"/>
  <c r="A227" i="3"/>
  <c r="E225" i="3"/>
  <c r="C224" i="3"/>
  <c r="A223" i="3"/>
  <c r="E221" i="3"/>
  <c r="C220" i="3"/>
  <c r="A219" i="3"/>
  <c r="E217" i="3"/>
  <c r="C216" i="3"/>
  <c r="A215" i="3"/>
  <c r="E213" i="3"/>
  <c r="C212" i="3"/>
  <c r="A211" i="3"/>
  <c r="E209" i="3"/>
  <c r="C208" i="3"/>
  <c r="A207" i="3"/>
  <c r="E205" i="3"/>
  <c r="C204" i="3"/>
  <c r="A203" i="3"/>
  <c r="E201" i="3"/>
  <c r="C200" i="3"/>
  <c r="A199" i="3"/>
  <c r="E197" i="3"/>
  <c r="C196" i="3"/>
  <c r="A195" i="3"/>
  <c r="E193" i="3"/>
  <c r="C192" i="3"/>
  <c r="A191" i="3"/>
  <c r="E189" i="3"/>
  <c r="C188" i="3"/>
  <c r="A187" i="3"/>
  <c r="E185" i="3"/>
  <c r="C184" i="3"/>
  <c r="A183" i="3"/>
  <c r="E181" i="3"/>
  <c r="C180" i="3"/>
  <c r="A179" i="3"/>
  <c r="E177" i="3"/>
  <c r="C176" i="3"/>
  <c r="A175" i="3"/>
  <c r="E173" i="3"/>
  <c r="C172" i="3"/>
  <c r="A171" i="3"/>
  <c r="E169" i="3"/>
  <c r="C168" i="3"/>
  <c r="A167" i="3"/>
  <c r="E165" i="3"/>
  <c r="C164" i="3"/>
  <c r="A163" i="3"/>
  <c r="E161" i="3"/>
  <c r="C160" i="3"/>
  <c r="A159" i="3"/>
  <c r="E157" i="3"/>
  <c r="C156" i="3"/>
  <c r="A155" i="3"/>
  <c r="E153" i="3"/>
  <c r="C152" i="3"/>
  <c r="A151" i="3"/>
  <c r="E149" i="3"/>
  <c r="C148" i="3"/>
  <c r="A147" i="3"/>
  <c r="E145" i="3"/>
  <c r="C144" i="3"/>
  <c r="A143" i="3"/>
  <c r="E141" i="3"/>
  <c r="C140" i="3"/>
  <c r="A139" i="3"/>
  <c r="E137" i="3"/>
  <c r="C136" i="3"/>
  <c r="A135" i="3"/>
  <c r="E133" i="3"/>
  <c r="C132" i="3"/>
  <c r="A131" i="3"/>
  <c r="E129" i="3"/>
  <c r="C128" i="3"/>
  <c r="A127" i="3"/>
  <c r="E125" i="3"/>
  <c r="C124" i="3"/>
  <c r="A123" i="3"/>
  <c r="E121" i="3"/>
  <c r="C120" i="3"/>
  <c r="A119" i="3"/>
  <c r="E117" i="3"/>
  <c r="C116" i="3"/>
  <c r="A115" i="3"/>
  <c r="E113" i="3"/>
  <c r="C112" i="3"/>
  <c r="A111" i="3"/>
  <c r="E109" i="3"/>
  <c r="C108" i="3"/>
  <c r="A107" i="3"/>
  <c r="E105" i="3"/>
  <c r="C104" i="3"/>
  <c r="A103" i="3"/>
  <c r="E101" i="3"/>
  <c r="C100" i="3"/>
  <c r="A99" i="3"/>
  <c r="E97" i="3"/>
  <c r="C96" i="3"/>
  <c r="A95" i="3"/>
  <c r="E93" i="3"/>
  <c r="C92" i="3"/>
  <c r="A91" i="3"/>
  <c r="E89" i="3"/>
  <c r="C88" i="3"/>
  <c r="A87" i="3"/>
  <c r="E85" i="3"/>
  <c r="C84" i="3"/>
  <c r="A83" i="3"/>
  <c r="E81" i="3"/>
  <c r="C80" i="3"/>
  <c r="A79" i="3"/>
  <c r="E77" i="3"/>
  <c r="C76" i="3"/>
  <c r="A75" i="3"/>
  <c r="E73" i="3"/>
  <c r="C72" i="3"/>
  <c r="A71" i="3"/>
  <c r="E69" i="3"/>
  <c r="C68" i="3"/>
  <c r="A67" i="3"/>
  <c r="E65" i="3"/>
  <c r="C64" i="3"/>
  <c r="A63" i="3"/>
  <c r="E61" i="3"/>
  <c r="C60" i="3"/>
  <c r="A59" i="3"/>
  <c r="E57" i="3"/>
  <c r="C56" i="3"/>
  <c r="A55" i="3"/>
  <c r="E53" i="3"/>
  <c r="C52" i="3"/>
  <c r="A51" i="3"/>
  <c r="B1065" i="3"/>
  <c r="E884" i="3"/>
  <c r="A842" i="3"/>
  <c r="B817" i="3"/>
  <c r="F795" i="3"/>
  <c r="D774" i="3"/>
  <c r="B753" i="3"/>
  <c r="F731" i="3"/>
  <c r="D710" i="3"/>
  <c r="B689" i="3"/>
  <c r="F667" i="3"/>
  <c r="D646" i="3"/>
  <c r="B625" i="3"/>
  <c r="C608" i="3"/>
  <c r="F602" i="3"/>
  <c r="D597" i="3"/>
  <c r="B592" i="3"/>
  <c r="F586" i="3"/>
  <c r="D581" i="3"/>
  <c r="B576" i="3"/>
  <c r="F570" i="3"/>
  <c r="D565" i="3"/>
  <c r="B560" i="3"/>
  <c r="F554" i="3"/>
  <c r="D549" i="3"/>
  <c r="B544" i="3"/>
  <c r="F538" i="3"/>
  <c r="D533" i="3"/>
  <c r="B528" i="3"/>
  <c r="F522" i="3"/>
  <c r="D517" i="3"/>
  <c r="B512" i="3"/>
  <c r="F506" i="3"/>
  <c r="D501" i="3"/>
  <c r="B496" i="3"/>
  <c r="F490" i="3"/>
  <c r="D485" i="3"/>
  <c r="B480" i="3"/>
  <c r="F474" i="3"/>
  <c r="D469" i="3"/>
  <c r="B464" i="3"/>
  <c r="F458" i="3"/>
  <c r="D453" i="3"/>
  <c r="B448" i="3"/>
  <c r="F442" i="3"/>
  <c r="D437" i="3"/>
  <c r="B432" i="3"/>
  <c r="F426" i="3"/>
  <c r="D421" i="3"/>
  <c r="B416" i="3"/>
  <c r="F410" i="3"/>
  <c r="D405" i="3"/>
  <c r="B400" i="3"/>
  <c r="F394" i="3"/>
  <c r="D389" i="3"/>
  <c r="B384" i="3"/>
  <c r="A379" i="3"/>
  <c r="C375" i="3"/>
  <c r="B372" i="3"/>
  <c r="C368" i="3"/>
  <c r="E364" i="3"/>
  <c r="D361" i="3"/>
  <c r="E357" i="3"/>
  <c r="A354" i="3"/>
  <c r="F350" i="3"/>
  <c r="A347" i="3"/>
  <c r="C343" i="3"/>
  <c r="B340" i="3"/>
  <c r="D337" i="3"/>
  <c r="F334" i="3"/>
  <c r="B332" i="3"/>
  <c r="D329" i="3"/>
  <c r="F326" i="3"/>
  <c r="B324" i="3"/>
  <c r="D321" i="3"/>
  <c r="F318" i="3"/>
  <c r="B316" i="3"/>
  <c r="D313" i="3"/>
  <c r="F310" i="3"/>
  <c r="B308" i="3"/>
  <c r="D305" i="3"/>
  <c r="F302" i="3"/>
  <c r="B300" i="3"/>
  <c r="D297" i="3"/>
  <c r="F294" i="3"/>
  <c r="B292" i="3"/>
  <c r="D289" i="3"/>
  <c r="F286" i="3"/>
  <c r="B284" i="3"/>
  <c r="D281" i="3"/>
  <c r="F278" i="3"/>
  <c r="B276" i="3"/>
  <c r="D273" i="3"/>
  <c r="F270" i="3"/>
  <c r="B268" i="3"/>
  <c r="A266" i="3"/>
  <c r="B264" i="3"/>
  <c r="D262" i="3"/>
  <c r="E260" i="3"/>
  <c r="F258" i="3"/>
  <c r="D257" i="3"/>
  <c r="B256" i="3"/>
  <c r="F254" i="3"/>
  <c r="D253" i="3"/>
  <c r="B252" i="3"/>
  <c r="F250" i="3"/>
  <c r="D249" i="3"/>
  <c r="B248" i="3"/>
  <c r="F246" i="3"/>
  <c r="D245" i="3"/>
  <c r="B244" i="3"/>
  <c r="F242" i="3"/>
  <c r="D241" i="3"/>
  <c r="B240" i="3"/>
  <c r="F238" i="3"/>
  <c r="D237" i="3"/>
  <c r="B236" i="3"/>
  <c r="F234" i="3"/>
  <c r="D233" i="3"/>
  <c r="B232" i="3"/>
  <c r="F230" i="3"/>
  <c r="D229" i="3"/>
  <c r="B228" i="3"/>
  <c r="F226" i="3"/>
  <c r="D225" i="3"/>
  <c r="B224" i="3"/>
  <c r="F222" i="3"/>
  <c r="D221" i="3"/>
  <c r="B220" i="3"/>
  <c r="F218" i="3"/>
  <c r="D217" i="3"/>
  <c r="B216" i="3"/>
  <c r="F214" i="3"/>
  <c r="D213" i="3"/>
  <c r="B212" i="3"/>
  <c r="F210" i="3"/>
  <c r="D209" i="3"/>
  <c r="B208" i="3"/>
  <c r="F206" i="3"/>
  <c r="D205" i="3"/>
  <c r="B204" i="3"/>
  <c r="F202" i="3"/>
  <c r="D201" i="3"/>
  <c r="B200" i="3"/>
  <c r="F198" i="3"/>
  <c r="D197" i="3"/>
  <c r="B196" i="3"/>
  <c r="F194" i="3"/>
  <c r="D193" i="3"/>
  <c r="B192" i="3"/>
  <c r="F190" i="3"/>
  <c r="D189" i="3"/>
  <c r="B188" i="3"/>
  <c r="F186" i="3"/>
  <c r="D185" i="3"/>
  <c r="B184" i="3"/>
  <c r="F182" i="3"/>
  <c r="D181" i="3"/>
  <c r="B180" i="3"/>
  <c r="F178" i="3"/>
  <c r="D177" i="3"/>
  <c r="B176" i="3"/>
  <c r="F174" i="3"/>
  <c r="D173" i="3"/>
  <c r="B172" i="3"/>
  <c r="F170" i="3"/>
  <c r="D169" i="3"/>
  <c r="B168" i="3"/>
  <c r="F166" i="3"/>
  <c r="D165" i="3"/>
  <c r="B164" i="3"/>
  <c r="F162" i="3"/>
  <c r="D161" i="3"/>
  <c r="B160" i="3"/>
  <c r="F158" i="3"/>
  <c r="D157" i="3"/>
  <c r="B156" i="3"/>
  <c r="F154" i="3"/>
  <c r="D153" i="3"/>
  <c r="B152" i="3"/>
  <c r="F150" i="3"/>
  <c r="D149" i="3"/>
  <c r="B148" i="3"/>
  <c r="F146" i="3"/>
  <c r="D145" i="3"/>
  <c r="B144" i="3"/>
  <c r="F142" i="3"/>
  <c r="D141" i="3"/>
  <c r="B140" i="3"/>
  <c r="F138" i="3"/>
  <c r="D137" i="3"/>
  <c r="B136" i="3"/>
  <c r="F134" i="3"/>
  <c r="D133" i="3"/>
  <c r="B132" i="3"/>
  <c r="F130" i="3"/>
  <c r="D129" i="3"/>
  <c r="B128" i="3"/>
  <c r="F126" i="3"/>
  <c r="D125" i="3"/>
  <c r="B124" i="3"/>
  <c r="F122" i="3"/>
  <c r="D121" i="3"/>
  <c r="B120" i="3"/>
  <c r="F118" i="3"/>
  <c r="D117" i="3"/>
  <c r="B116" i="3"/>
  <c r="F114" i="3"/>
  <c r="D113" i="3"/>
  <c r="B112" i="3"/>
  <c r="D990" i="3"/>
  <c r="C875" i="3"/>
  <c r="A834" i="3"/>
  <c r="E812" i="3"/>
  <c r="C791" i="3"/>
  <c r="A770" i="3"/>
  <c r="E748" i="3"/>
  <c r="C727" i="3"/>
  <c r="A706" i="3"/>
  <c r="E684" i="3"/>
  <c r="C663" i="3"/>
  <c r="A642" i="3"/>
  <c r="E620" i="3"/>
  <c r="A607" i="3"/>
  <c r="E601" i="3"/>
  <c r="C596" i="3"/>
  <c r="A591" i="3"/>
  <c r="E585" i="3"/>
  <c r="C580" i="3"/>
  <c r="A575" i="3"/>
  <c r="E569" i="3"/>
  <c r="C564" i="3"/>
  <c r="A559" i="3"/>
  <c r="E553" i="3"/>
  <c r="C548" i="3"/>
  <c r="A543" i="3"/>
  <c r="E537" i="3"/>
  <c r="C532" i="3"/>
  <c r="A527" i="3"/>
  <c r="E521" i="3"/>
  <c r="C516" i="3"/>
  <c r="A511" i="3"/>
  <c r="E505" i="3"/>
  <c r="C500" i="3"/>
  <c r="A495" i="3"/>
  <c r="E489" i="3"/>
  <c r="C484" i="3"/>
  <c r="A479" i="3"/>
  <c r="E473" i="3"/>
  <c r="C468" i="3"/>
  <c r="A463" i="3"/>
  <c r="E457" i="3"/>
  <c r="C452" i="3"/>
  <c r="A447" i="3"/>
  <c r="E441" i="3"/>
  <c r="C436" i="3"/>
  <c r="A431" i="3"/>
  <c r="E425" i="3"/>
  <c r="C420" i="3"/>
  <c r="A415" i="3"/>
  <c r="E409" i="3"/>
  <c r="C404" i="3"/>
  <c r="A399" i="3"/>
  <c r="E393" i="3"/>
  <c r="C388" i="3"/>
  <c r="A383" i="3"/>
  <c r="F378" i="3"/>
  <c r="A375" i="3"/>
  <c r="C371" i="3"/>
  <c r="B368" i="3"/>
  <c r="C364" i="3"/>
  <c r="E360" i="3"/>
  <c r="D357" i="3"/>
  <c r="E353" i="3"/>
  <c r="A350" i="3"/>
  <c r="F346" i="3"/>
  <c r="A343" i="3"/>
  <c r="D339" i="3"/>
  <c r="F336" i="3"/>
  <c r="B334" i="3"/>
  <c r="D331" i="3"/>
  <c r="F328" i="3"/>
  <c r="B326" i="3"/>
  <c r="D323" i="3"/>
  <c r="F320" i="3"/>
  <c r="B318" i="3"/>
  <c r="D315" i="3"/>
  <c r="F312" i="3"/>
  <c r="B310" i="3"/>
  <c r="D307" i="3"/>
  <c r="F304" i="3"/>
  <c r="B302" i="3"/>
  <c r="D299" i="3"/>
  <c r="F296" i="3"/>
  <c r="B294" i="3"/>
  <c r="D291" i="3"/>
  <c r="F288" i="3"/>
  <c r="B286" i="3"/>
  <c r="D283" i="3"/>
  <c r="F280" i="3"/>
  <c r="B278" i="3"/>
  <c r="D275" i="3"/>
  <c r="F272" i="3"/>
  <c r="B270" i="3"/>
  <c r="D267" i="3"/>
  <c r="E265" i="3"/>
  <c r="A264" i="3"/>
  <c r="B262" i="3"/>
  <c r="C260" i="3"/>
  <c r="E258" i="3"/>
  <c r="C257" i="3"/>
  <c r="A256" i="3"/>
  <c r="E254" i="3"/>
  <c r="C253" i="3"/>
  <c r="A252" i="3"/>
  <c r="E250" i="3"/>
  <c r="C249" i="3"/>
  <c r="A248" i="3"/>
  <c r="E246" i="3"/>
  <c r="C245" i="3"/>
  <c r="A244" i="3"/>
  <c r="E242" i="3"/>
  <c r="C241" i="3"/>
  <c r="A240" i="3"/>
  <c r="E238" i="3"/>
  <c r="C237" i="3"/>
  <c r="A236" i="3"/>
  <c r="E234" i="3"/>
  <c r="C233" i="3"/>
  <c r="A232" i="3"/>
  <c r="E230" i="3"/>
  <c r="C229" i="3"/>
  <c r="A228" i="3"/>
  <c r="E226" i="3"/>
  <c r="C225" i="3"/>
  <c r="A224" i="3"/>
  <c r="E222" i="3"/>
  <c r="C221" i="3"/>
  <c r="A220" i="3"/>
  <c r="E218" i="3"/>
  <c r="C217" i="3"/>
  <c r="A216" i="3"/>
  <c r="E214" i="3"/>
  <c r="C213" i="3"/>
  <c r="A212" i="3"/>
  <c r="E210" i="3"/>
  <c r="C209" i="3"/>
  <c r="A208" i="3"/>
  <c r="E206" i="3"/>
  <c r="C205" i="3"/>
  <c r="A204" i="3"/>
  <c r="E202" i="3"/>
  <c r="C201" i="3"/>
  <c r="A200" i="3"/>
  <c r="E198" i="3"/>
  <c r="C197" i="3"/>
  <c r="A196" i="3"/>
  <c r="E194" i="3"/>
  <c r="C193" i="3"/>
  <c r="A192" i="3"/>
  <c r="E190" i="3"/>
  <c r="C189" i="3"/>
  <c r="A188" i="3"/>
  <c r="E186" i="3"/>
  <c r="C185" i="3"/>
  <c r="A184" i="3"/>
  <c r="E182" i="3"/>
  <c r="C181" i="3"/>
  <c r="A180" i="3"/>
  <c r="E178" i="3"/>
  <c r="C177" i="3"/>
  <c r="A176" i="3"/>
  <c r="E174" i="3"/>
  <c r="C173" i="3"/>
  <c r="A172" i="3"/>
  <c r="E170" i="3"/>
  <c r="C169" i="3"/>
  <c r="A168" i="3"/>
  <c r="E166" i="3"/>
  <c r="C165" i="3"/>
  <c r="A164" i="3"/>
  <c r="E162" i="3"/>
  <c r="C161" i="3"/>
  <c r="A160" i="3"/>
  <c r="E158" i="3"/>
  <c r="C157" i="3"/>
  <c r="A156" i="3"/>
  <c r="E154" i="3"/>
  <c r="C153" i="3"/>
  <c r="A152" i="3"/>
  <c r="E150" i="3"/>
  <c r="C149" i="3"/>
  <c r="A148" i="3"/>
  <c r="E146" i="3"/>
  <c r="C145" i="3"/>
  <c r="A144" i="3"/>
  <c r="E142" i="3"/>
  <c r="C141" i="3"/>
  <c r="A140" i="3"/>
  <c r="E138" i="3"/>
  <c r="C137" i="3"/>
  <c r="A136" i="3"/>
  <c r="E134" i="3"/>
  <c r="C133" i="3"/>
  <c r="A132" i="3"/>
  <c r="E130" i="3"/>
  <c r="C129" i="3"/>
  <c r="A128" i="3"/>
  <c r="E126" i="3"/>
  <c r="C125" i="3"/>
  <c r="A124" i="3"/>
  <c r="E122" i="3"/>
  <c r="C121" i="3"/>
  <c r="A120" i="3"/>
  <c r="E118" i="3"/>
  <c r="C117" i="3"/>
  <c r="A116" i="3"/>
  <c r="E114" i="3"/>
  <c r="C113" i="3"/>
  <c r="A112" i="3"/>
  <c r="E110" i="3"/>
  <c r="C109" i="3"/>
  <c r="A108" i="3"/>
  <c r="E106" i="3"/>
  <c r="C105" i="3"/>
  <c r="A104" i="3"/>
  <c r="E102" i="3"/>
  <c r="C101" i="3"/>
  <c r="A100" i="3"/>
  <c r="E98" i="3"/>
  <c r="C97" i="3"/>
  <c r="A96" i="3"/>
  <c r="E94" i="3"/>
  <c r="C93" i="3"/>
  <c r="A92" i="3"/>
  <c r="E90" i="3"/>
  <c r="C89" i="3"/>
  <c r="A88" i="3"/>
  <c r="E86" i="3"/>
  <c r="C85" i="3"/>
  <c r="A84" i="3"/>
  <c r="E82" i="3"/>
  <c r="C81" i="3"/>
  <c r="A80" i="3"/>
  <c r="E78" i="3"/>
  <c r="C77" i="3"/>
  <c r="A76" i="3"/>
  <c r="E74" i="3"/>
  <c r="C73" i="3"/>
  <c r="A72" i="3"/>
  <c r="E70" i="3"/>
  <c r="C69" i="3"/>
  <c r="A68" i="3"/>
  <c r="E66" i="3"/>
  <c r="C65" i="3"/>
  <c r="A64" i="3"/>
  <c r="E62" i="3"/>
  <c r="C61" i="3"/>
  <c r="A60" i="3"/>
  <c r="E58" i="3"/>
  <c r="C57" i="3"/>
  <c r="A56" i="3"/>
  <c r="E54" i="3"/>
  <c r="C53" i="3"/>
  <c r="A52" i="3"/>
  <c r="F979" i="3"/>
  <c r="A874" i="3"/>
  <c r="B833" i="3"/>
  <c r="F811" i="3"/>
  <c r="D790" i="3"/>
  <c r="B769" i="3"/>
  <c r="F747" i="3"/>
  <c r="D726" i="3"/>
  <c r="B705" i="3"/>
  <c r="F683" i="3"/>
  <c r="D662" i="3"/>
  <c r="B641" i="3"/>
  <c r="F619" i="3"/>
  <c r="F606" i="3"/>
  <c r="D601" i="3"/>
  <c r="B596" i="3"/>
  <c r="F590" i="3"/>
  <c r="D585" i="3"/>
  <c r="B580" i="3"/>
  <c r="F574" i="3"/>
  <c r="D569" i="3"/>
  <c r="B564" i="3"/>
  <c r="F558" i="3"/>
  <c r="D553" i="3"/>
  <c r="B548" i="3"/>
  <c r="F542" i="3"/>
  <c r="D537" i="3"/>
  <c r="B532" i="3"/>
  <c r="F526" i="3"/>
  <c r="D521" i="3"/>
  <c r="B516" i="3"/>
  <c r="F510" i="3"/>
  <c r="D505" i="3"/>
  <c r="B500" i="3"/>
  <c r="F494" i="3"/>
  <c r="D489" i="3"/>
  <c r="B484" i="3"/>
  <c r="F478" i="3"/>
  <c r="D473" i="3"/>
  <c r="B468" i="3"/>
  <c r="F462" i="3"/>
  <c r="D457" i="3"/>
  <c r="B452" i="3"/>
  <c r="F446" i="3"/>
  <c r="D441" i="3"/>
  <c r="B436" i="3"/>
  <c r="F430" i="3"/>
  <c r="D425" i="3"/>
  <c r="B420" i="3"/>
  <c r="F414" i="3"/>
  <c r="D409" i="3"/>
  <c r="B404" i="3"/>
  <c r="F398" i="3"/>
  <c r="D393" i="3"/>
  <c r="B388" i="3"/>
  <c r="F382" i="3"/>
  <c r="A378" i="3"/>
  <c r="F374" i="3"/>
  <c r="A371" i="3"/>
  <c r="C367" i="3"/>
  <c r="B364" i="3"/>
  <c r="C360" i="3"/>
  <c r="E356" i="3"/>
  <c r="D353" i="3"/>
  <c r="E349" i="3"/>
  <c r="A346" i="3"/>
  <c r="F342" i="3"/>
  <c r="C339" i="3"/>
  <c r="E336" i="3"/>
  <c r="A334" i="3"/>
  <c r="C331" i="3"/>
  <c r="E328" i="3"/>
  <c r="A326" i="3"/>
  <c r="C323" i="3"/>
  <c r="E320" i="3"/>
  <c r="A318" i="3"/>
  <c r="C315" i="3"/>
  <c r="E312" i="3"/>
  <c r="A310" i="3"/>
  <c r="C307" i="3"/>
  <c r="E304" i="3"/>
  <c r="A302" i="3"/>
  <c r="C299" i="3"/>
  <c r="E296" i="3"/>
  <c r="A294" i="3"/>
  <c r="C291" i="3"/>
  <c r="E288" i="3"/>
  <c r="A286" i="3"/>
  <c r="C283" i="3"/>
  <c r="E280" i="3"/>
  <c r="A278" i="3"/>
  <c r="C275" i="3"/>
  <c r="E272" i="3"/>
  <c r="A270" i="3"/>
  <c r="C267" i="3"/>
  <c r="D265" i="3"/>
  <c r="F263" i="3"/>
  <c r="A262" i="3"/>
  <c r="B260" i="3"/>
  <c r="D258" i="3"/>
  <c r="B257" i="3"/>
  <c r="F255" i="3"/>
  <c r="D254" i="3"/>
  <c r="B253" i="3"/>
  <c r="F251" i="3"/>
  <c r="D250" i="3"/>
  <c r="B249" i="3"/>
  <c r="F247" i="3"/>
  <c r="D246" i="3"/>
  <c r="B245" i="3"/>
  <c r="F243" i="3"/>
  <c r="D242" i="3"/>
  <c r="B241" i="3"/>
  <c r="F239" i="3"/>
  <c r="D238" i="3"/>
  <c r="B237" i="3"/>
  <c r="F235" i="3"/>
  <c r="D234" i="3"/>
  <c r="B233" i="3"/>
  <c r="F231" i="3"/>
  <c r="D230" i="3"/>
  <c r="B229" i="3"/>
  <c r="F227" i="3"/>
  <c r="D226" i="3"/>
  <c r="B225" i="3"/>
  <c r="F223" i="3"/>
  <c r="D222" i="3"/>
  <c r="B221" i="3"/>
  <c r="F219" i="3"/>
  <c r="D218" i="3"/>
  <c r="B217" i="3"/>
  <c r="F215" i="3"/>
  <c r="D214" i="3"/>
  <c r="B213" i="3"/>
  <c r="F211" i="3"/>
  <c r="D210" i="3"/>
  <c r="B209" i="3"/>
  <c r="F207" i="3"/>
  <c r="D206" i="3"/>
  <c r="B205" i="3"/>
  <c r="F203" i="3"/>
  <c r="D202" i="3"/>
  <c r="B201" i="3"/>
  <c r="F199" i="3"/>
  <c r="D198" i="3"/>
  <c r="B197" i="3"/>
  <c r="F195" i="3"/>
  <c r="D194" i="3"/>
  <c r="B193" i="3"/>
  <c r="F191" i="3"/>
  <c r="D190" i="3"/>
  <c r="B189" i="3"/>
  <c r="F187" i="3"/>
  <c r="D186" i="3"/>
  <c r="B185" i="3"/>
  <c r="F183" i="3"/>
  <c r="D182" i="3"/>
  <c r="B181" i="3"/>
  <c r="F179" i="3"/>
  <c r="D178" i="3"/>
  <c r="B177" i="3"/>
  <c r="F175" i="3"/>
  <c r="D174" i="3"/>
  <c r="B173" i="3"/>
  <c r="F171" i="3"/>
  <c r="D170" i="3"/>
  <c r="B169" i="3"/>
  <c r="F167" i="3"/>
  <c r="D166" i="3"/>
  <c r="B165" i="3"/>
  <c r="F163" i="3"/>
  <c r="D162" i="3"/>
  <c r="B161" i="3"/>
  <c r="F159" i="3"/>
  <c r="D158" i="3"/>
  <c r="B157" i="3"/>
  <c r="F155" i="3"/>
  <c r="D154" i="3"/>
  <c r="B153" i="3"/>
  <c r="F151" i="3"/>
  <c r="D150" i="3"/>
  <c r="B149" i="3"/>
  <c r="F147" i="3"/>
  <c r="D146" i="3"/>
  <c r="B145" i="3"/>
  <c r="F143" i="3"/>
  <c r="D142" i="3"/>
  <c r="B141" i="3"/>
  <c r="F139" i="3"/>
  <c r="D138" i="3"/>
  <c r="B137" i="3"/>
  <c r="F135" i="3"/>
  <c r="D134" i="3"/>
  <c r="B133" i="3"/>
  <c r="F131" i="3"/>
  <c r="D130" i="3"/>
  <c r="B129" i="3"/>
  <c r="F127" i="3"/>
  <c r="D126" i="3"/>
  <c r="B125" i="3"/>
  <c r="F123" i="3"/>
  <c r="D122" i="3"/>
  <c r="B121" i="3"/>
  <c r="F119" i="3"/>
  <c r="D118" i="3"/>
  <c r="B117" i="3"/>
  <c r="F115" i="3"/>
  <c r="D114" i="3"/>
  <c r="B113" i="3"/>
  <c r="F111" i="3"/>
  <c r="D110" i="3"/>
  <c r="B109" i="3"/>
  <c r="F107" i="3"/>
  <c r="D106" i="3"/>
  <c r="B105" i="3"/>
  <c r="F103" i="3"/>
  <c r="D102" i="3"/>
  <c r="B101" i="3"/>
  <c r="F99" i="3"/>
  <c r="D98" i="3"/>
  <c r="B97" i="3"/>
  <c r="F95" i="3"/>
  <c r="D94" i="3"/>
  <c r="B93" i="3"/>
  <c r="F91" i="3"/>
  <c r="D90" i="3"/>
  <c r="B89" i="3"/>
  <c r="F87" i="3"/>
  <c r="D86" i="3"/>
  <c r="B85" i="3"/>
  <c r="F83" i="3"/>
  <c r="D82" i="3"/>
  <c r="B81" i="3"/>
  <c r="F79" i="3"/>
  <c r="D78" i="3"/>
  <c r="B77" i="3"/>
  <c r="F75" i="3"/>
  <c r="D74" i="3"/>
  <c r="B73" i="3"/>
  <c r="F71" i="3"/>
  <c r="D70" i="3"/>
  <c r="B69" i="3"/>
  <c r="F67" i="3"/>
  <c r="D66" i="3"/>
  <c r="B65" i="3"/>
  <c r="F63" i="3"/>
  <c r="D62" i="3"/>
  <c r="B61" i="3"/>
  <c r="F59" i="3"/>
  <c r="D58" i="3"/>
  <c r="B57" i="3"/>
  <c r="F55" i="3"/>
  <c r="D54" i="3"/>
  <c r="B53" i="3"/>
  <c r="F51" i="3"/>
  <c r="D920" i="3"/>
  <c r="A786" i="3"/>
  <c r="E700" i="3"/>
  <c r="C615" i="3"/>
  <c r="E589" i="3"/>
  <c r="C568" i="3"/>
  <c r="A547" i="3"/>
  <c r="E525" i="3"/>
  <c r="C504" i="3"/>
  <c r="A483" i="3"/>
  <c r="E461" i="3"/>
  <c r="C440" i="3"/>
  <c r="A419" i="3"/>
  <c r="E397" i="3"/>
  <c r="E377" i="3"/>
  <c r="C363" i="3"/>
  <c r="D349" i="3"/>
  <c r="C336" i="3"/>
  <c r="E325" i="3"/>
  <c r="A315" i="3"/>
  <c r="C304" i="3"/>
  <c r="E293" i="3"/>
  <c r="A283" i="3"/>
  <c r="C272" i="3"/>
  <c r="D263" i="3"/>
  <c r="A257" i="3"/>
  <c r="E251" i="3"/>
  <c r="C246" i="3"/>
  <c r="A241" i="3"/>
  <c r="E235" i="3"/>
  <c r="C230" i="3"/>
  <c r="A225" i="3"/>
  <c r="E219" i="3"/>
  <c r="C214" i="3"/>
  <c r="A209" i="3"/>
  <c r="E203" i="3"/>
  <c r="C198" i="3"/>
  <c r="A193" i="3"/>
  <c r="E187" i="3"/>
  <c r="C182" i="3"/>
  <c r="A177" i="3"/>
  <c r="E171" i="3"/>
  <c r="C166" i="3"/>
  <c r="A161" i="3"/>
  <c r="E155" i="3"/>
  <c r="C150" i="3"/>
  <c r="A145" i="3"/>
  <c r="E139" i="3"/>
  <c r="C134" i="3"/>
  <c r="A129" i="3"/>
  <c r="E123" i="3"/>
  <c r="C118" i="3"/>
  <c r="A113" i="3"/>
  <c r="A109" i="3"/>
  <c r="D105" i="3"/>
  <c r="B102" i="3"/>
  <c r="C98" i="3"/>
  <c r="F94" i="3"/>
  <c r="D91" i="3"/>
  <c r="E87" i="3"/>
  <c r="B84" i="3"/>
  <c r="F80" i="3"/>
  <c r="A77" i="3"/>
  <c r="B74" i="3"/>
  <c r="D71" i="3"/>
  <c r="F68" i="3"/>
  <c r="B66" i="3"/>
  <c r="D63" i="3"/>
  <c r="F60" i="3"/>
  <c r="B58" i="3"/>
  <c r="D55" i="3"/>
  <c r="F52" i="3"/>
  <c r="E50" i="3"/>
  <c r="C49" i="3"/>
  <c r="A48" i="3"/>
  <c r="E46" i="3"/>
  <c r="C45" i="3"/>
  <c r="A44" i="3"/>
  <c r="E42" i="3"/>
  <c r="C41" i="3"/>
  <c r="A40" i="3"/>
  <c r="E38" i="3"/>
  <c r="C37" i="3"/>
  <c r="A36" i="3"/>
  <c r="E34" i="3"/>
  <c r="C33" i="3"/>
  <c r="A32" i="3"/>
  <c r="E30" i="3"/>
  <c r="C29" i="3"/>
  <c r="A28" i="3"/>
  <c r="E26" i="3"/>
  <c r="C25" i="3"/>
  <c r="A24" i="3"/>
  <c r="E22" i="3"/>
  <c r="C21" i="3"/>
  <c r="A20" i="3"/>
  <c r="E18" i="3"/>
  <c r="C17" i="3"/>
  <c r="A16" i="3"/>
  <c r="E14" i="3"/>
  <c r="C13" i="3"/>
  <c r="A12" i="3"/>
  <c r="E10" i="3"/>
  <c r="C9" i="3"/>
  <c r="A8" i="3"/>
  <c r="E6" i="3"/>
  <c r="C5" i="3"/>
  <c r="A4" i="3"/>
  <c r="E2" i="3"/>
  <c r="C1" i="3"/>
  <c r="A1450" i="2"/>
  <c r="E1448" i="2"/>
  <c r="C1447" i="2"/>
  <c r="A1446" i="2"/>
  <c r="E1444" i="2"/>
  <c r="C1443" i="2"/>
  <c r="A1442" i="2"/>
  <c r="E1440" i="2"/>
  <c r="C1439" i="2"/>
  <c r="A1438" i="2"/>
  <c r="E1436" i="2"/>
  <c r="C1435" i="2"/>
  <c r="A1434" i="2"/>
  <c r="E1432" i="2"/>
  <c r="C1431" i="2"/>
  <c r="A1430" i="2"/>
  <c r="E1428" i="2"/>
  <c r="C1427" i="2"/>
  <c r="A1426" i="2"/>
  <c r="E1424" i="2"/>
  <c r="C1423" i="2"/>
  <c r="A1422" i="2"/>
  <c r="E1420" i="2"/>
  <c r="C1419" i="2"/>
  <c r="A1418" i="2"/>
  <c r="E1416" i="2"/>
  <c r="C1415" i="2"/>
  <c r="A1414" i="2"/>
  <c r="E1412" i="2"/>
  <c r="C1411" i="2"/>
  <c r="A1410" i="2"/>
  <c r="E1408" i="2"/>
  <c r="C1407" i="2"/>
  <c r="A1406" i="2"/>
  <c r="E1404" i="2"/>
  <c r="C1403" i="2"/>
  <c r="A1402" i="2"/>
  <c r="E1400" i="2"/>
  <c r="C1399" i="2"/>
  <c r="A1398" i="2"/>
  <c r="E1396" i="2"/>
  <c r="C1395" i="2"/>
  <c r="A1394" i="2"/>
  <c r="E1392" i="2"/>
  <c r="C1391" i="2"/>
  <c r="A1390" i="2"/>
  <c r="E1388" i="2"/>
  <c r="C1387" i="2"/>
  <c r="A1386" i="2"/>
  <c r="E1384" i="2"/>
  <c r="C1383" i="2"/>
  <c r="A1382" i="2"/>
  <c r="E1380" i="2"/>
  <c r="C1379" i="2"/>
  <c r="A1378" i="2"/>
  <c r="E1376" i="2"/>
  <c r="C1375" i="2"/>
  <c r="A1374" i="2"/>
  <c r="E1372" i="2"/>
  <c r="C1371" i="2"/>
  <c r="A1370" i="2"/>
  <c r="E1368" i="2"/>
  <c r="C1367" i="2"/>
  <c r="A1366" i="2"/>
  <c r="E1364" i="2"/>
  <c r="C1363" i="2"/>
  <c r="A1362" i="2"/>
  <c r="E1360" i="2"/>
  <c r="C1359" i="2"/>
  <c r="A1358" i="2"/>
  <c r="E1356" i="2"/>
  <c r="C1355" i="2"/>
  <c r="A1354" i="2"/>
  <c r="E1352" i="2"/>
  <c r="C1351" i="2"/>
  <c r="A1350" i="2"/>
  <c r="E1348" i="2"/>
  <c r="C1347" i="2"/>
  <c r="A1346" i="2"/>
  <c r="E1344" i="2"/>
  <c r="C1343" i="2"/>
  <c r="A1342" i="2"/>
  <c r="E1340" i="2"/>
  <c r="C1339" i="2"/>
  <c r="A1338" i="2"/>
  <c r="E1336" i="2"/>
  <c r="C1335" i="2"/>
  <c r="A1334" i="2"/>
  <c r="E1332" i="2"/>
  <c r="C1331" i="2"/>
  <c r="A1330" i="2"/>
  <c r="E1328" i="2"/>
  <c r="C1327" i="2"/>
  <c r="A1326" i="2"/>
  <c r="E1324" i="2"/>
  <c r="C1323" i="2"/>
  <c r="A1322" i="2"/>
  <c r="E1320" i="2"/>
  <c r="C1319" i="2"/>
  <c r="A1318" i="2"/>
  <c r="E1316" i="2"/>
  <c r="C1315" i="2"/>
  <c r="A1314" i="2"/>
  <c r="E1312" i="2"/>
  <c r="C1311" i="2"/>
  <c r="A1310" i="2"/>
  <c r="E1308" i="2"/>
  <c r="C1307" i="2"/>
  <c r="A1306" i="2"/>
  <c r="E1304" i="2"/>
  <c r="C1303" i="2"/>
  <c r="A1302" i="2"/>
  <c r="E1300" i="2"/>
  <c r="C1299" i="2"/>
  <c r="A1298" i="2"/>
  <c r="E1296" i="2"/>
  <c r="C1295" i="2"/>
  <c r="A1294" i="2"/>
  <c r="E1292" i="2"/>
  <c r="C1291" i="2"/>
  <c r="A1290" i="2"/>
  <c r="E1288" i="2"/>
  <c r="C1287" i="2"/>
  <c r="A1286" i="2"/>
  <c r="E1284" i="2"/>
  <c r="C1283" i="2"/>
  <c r="A1282" i="2"/>
  <c r="E1280" i="2"/>
  <c r="C1279" i="2"/>
  <c r="A1278" i="2"/>
  <c r="E1276" i="2"/>
  <c r="C1275" i="2"/>
  <c r="A1274" i="2"/>
  <c r="E1272" i="2"/>
  <c r="C1271" i="2"/>
  <c r="A1270" i="2"/>
  <c r="E1268" i="2"/>
  <c r="C1267" i="2"/>
  <c r="A1266" i="2"/>
  <c r="E1264" i="2"/>
  <c r="C1263" i="2"/>
  <c r="A1262" i="2"/>
  <c r="E1260" i="2"/>
  <c r="C1259" i="2"/>
  <c r="A1258" i="2"/>
  <c r="E1256" i="2"/>
  <c r="C1255" i="2"/>
  <c r="A1254" i="2"/>
  <c r="E1252" i="2"/>
  <c r="C1251" i="2"/>
  <c r="A1250" i="2"/>
  <c r="E1248" i="2"/>
  <c r="C1247" i="2"/>
  <c r="A1246" i="2"/>
  <c r="E1244" i="2"/>
  <c r="C1243" i="2"/>
  <c r="A1242" i="2"/>
  <c r="E1240" i="2"/>
  <c r="C1239" i="2"/>
  <c r="A1238" i="2"/>
  <c r="E1236" i="2"/>
  <c r="C1235" i="2"/>
  <c r="A1234" i="2"/>
  <c r="E1232" i="2"/>
  <c r="C1231" i="2"/>
  <c r="A1230" i="2"/>
  <c r="E1228" i="2"/>
  <c r="C1227" i="2"/>
  <c r="A1226" i="2"/>
  <c r="E1224" i="2"/>
  <c r="C1223" i="2"/>
  <c r="A1222" i="2"/>
  <c r="E1220" i="2"/>
  <c r="C1219" i="2"/>
  <c r="B915" i="3"/>
  <c r="B785" i="3"/>
  <c r="F699" i="3"/>
  <c r="D614" i="3"/>
  <c r="D589" i="3"/>
  <c r="B568" i="3"/>
  <c r="F546" i="3"/>
  <c r="D525" i="3"/>
  <c r="B504" i="3"/>
  <c r="F482" i="3"/>
  <c r="D461" i="3"/>
  <c r="B440" i="3"/>
  <c r="F418" i="3"/>
  <c r="D397" i="3"/>
  <c r="D377" i="3"/>
  <c r="A363" i="3"/>
  <c r="E348" i="3"/>
  <c r="B336" i="3"/>
  <c r="D325" i="3"/>
  <c r="F314" i="3"/>
  <c r="B304" i="3"/>
  <c r="D293" i="3"/>
  <c r="F282" i="3"/>
  <c r="B272" i="3"/>
  <c r="C263" i="3"/>
  <c r="F256" i="3"/>
  <c r="D251" i="3"/>
  <c r="B246" i="3"/>
  <c r="F240" i="3"/>
  <c r="D235" i="3"/>
  <c r="B230" i="3"/>
  <c r="F224" i="3"/>
  <c r="D219" i="3"/>
  <c r="B214" i="3"/>
  <c r="F208" i="3"/>
  <c r="D203" i="3"/>
  <c r="B198" i="3"/>
  <c r="F192" i="3"/>
  <c r="D187" i="3"/>
  <c r="B182" i="3"/>
  <c r="F176" i="3"/>
  <c r="D171" i="3"/>
  <c r="B166" i="3"/>
  <c r="F160" i="3"/>
  <c r="D155" i="3"/>
  <c r="B150" i="3"/>
  <c r="F144" i="3"/>
  <c r="D139" i="3"/>
  <c r="B134" i="3"/>
  <c r="F128" i="3"/>
  <c r="D123" i="3"/>
  <c r="B118" i="3"/>
  <c r="F112" i="3"/>
  <c r="F108" i="3"/>
  <c r="A105" i="3"/>
  <c r="D101" i="3"/>
  <c r="B98" i="3"/>
  <c r="C94" i="3"/>
  <c r="F90" i="3"/>
  <c r="D87" i="3"/>
  <c r="E83" i="3"/>
  <c r="B80" i="3"/>
  <c r="F76" i="3"/>
  <c r="A74" i="3"/>
  <c r="C71" i="3"/>
  <c r="E68" i="3"/>
  <c r="A66" i="3"/>
  <c r="C63" i="3"/>
  <c r="E60" i="3"/>
  <c r="A58" i="3"/>
  <c r="C55" i="3"/>
  <c r="E52" i="3"/>
  <c r="D50" i="3"/>
  <c r="B49" i="3"/>
  <c r="F47" i="3"/>
  <c r="D46" i="3"/>
  <c r="B45" i="3"/>
  <c r="F43" i="3"/>
  <c r="D42" i="3"/>
  <c r="B41" i="3"/>
  <c r="F39" i="3"/>
  <c r="D38" i="3"/>
  <c r="B37" i="3"/>
  <c r="F35" i="3"/>
  <c r="D34" i="3"/>
  <c r="B33" i="3"/>
  <c r="F31" i="3"/>
  <c r="D30" i="3"/>
  <c r="B29" i="3"/>
  <c r="F27" i="3"/>
  <c r="D26" i="3"/>
  <c r="B25" i="3"/>
  <c r="F23" i="3"/>
  <c r="D22" i="3"/>
  <c r="B21" i="3"/>
  <c r="F19" i="3"/>
  <c r="D18" i="3"/>
  <c r="B17" i="3"/>
  <c r="F15" i="3"/>
  <c r="D14" i="3"/>
  <c r="B13" i="3"/>
  <c r="F11" i="3"/>
  <c r="D10" i="3"/>
  <c r="B9" i="3"/>
  <c r="F7" i="3"/>
  <c r="D6" i="3"/>
  <c r="B5" i="3"/>
  <c r="F3" i="3"/>
  <c r="D2" i="3"/>
  <c r="B1" i="3"/>
  <c r="F1449" i="2"/>
  <c r="D1448" i="2"/>
  <c r="B1447" i="2"/>
  <c r="F1445" i="2"/>
  <c r="D1444" i="2"/>
  <c r="B1443" i="2"/>
  <c r="F1441" i="2"/>
  <c r="D1440" i="2"/>
  <c r="B1439" i="2"/>
  <c r="F1437" i="2"/>
  <c r="D1436" i="2"/>
  <c r="B1435" i="2"/>
  <c r="F1433" i="2"/>
  <c r="D1432" i="2"/>
  <c r="B1431" i="2"/>
  <c r="F1429" i="2"/>
  <c r="D1428" i="2"/>
  <c r="B1427" i="2"/>
  <c r="F1425" i="2"/>
  <c r="D1424" i="2"/>
  <c r="B1423" i="2"/>
  <c r="F1421" i="2"/>
  <c r="D1420" i="2"/>
  <c r="B1419" i="2"/>
  <c r="F1417" i="2"/>
  <c r="D1416" i="2"/>
  <c r="B1415" i="2"/>
  <c r="F1413" i="2"/>
  <c r="D1412" i="2"/>
  <c r="B1411" i="2"/>
  <c r="F1409" i="2"/>
  <c r="D1408" i="2"/>
  <c r="B1407" i="2"/>
  <c r="F1405" i="2"/>
  <c r="D1404" i="2"/>
  <c r="B1403" i="2"/>
  <c r="F1401" i="2"/>
  <c r="D1400" i="2"/>
  <c r="B1399" i="2"/>
  <c r="F1397" i="2"/>
  <c r="D1396" i="2"/>
  <c r="B1395" i="2"/>
  <c r="F1393" i="2"/>
  <c r="D1392" i="2"/>
  <c r="B1391" i="2"/>
  <c r="F1389" i="2"/>
  <c r="D1388" i="2"/>
  <c r="B1387" i="2"/>
  <c r="F1385" i="2"/>
  <c r="D1384" i="2"/>
  <c r="B1383" i="2"/>
  <c r="F1381" i="2"/>
  <c r="D1380" i="2"/>
  <c r="B1379" i="2"/>
  <c r="F1377" i="2"/>
  <c r="D1376" i="2"/>
  <c r="B1375" i="2"/>
  <c r="F1373" i="2"/>
  <c r="D1372" i="2"/>
  <c r="B1371" i="2"/>
  <c r="F1369" i="2"/>
  <c r="D1368" i="2"/>
  <c r="B1367" i="2"/>
  <c r="F1365" i="2"/>
  <c r="D1364" i="2"/>
  <c r="B1363" i="2"/>
  <c r="F1361" i="2"/>
  <c r="D1360" i="2"/>
  <c r="B1359" i="2"/>
  <c r="F1357" i="2"/>
  <c r="D1356" i="2"/>
  <c r="B1355" i="2"/>
  <c r="F1353" i="2"/>
  <c r="D1352" i="2"/>
  <c r="B1351" i="2"/>
  <c r="F1349" i="2"/>
  <c r="D1348" i="2"/>
  <c r="B1347" i="2"/>
  <c r="F1345" i="2"/>
  <c r="D1344" i="2"/>
  <c r="B1343" i="2"/>
  <c r="F1341" i="2"/>
  <c r="D1340" i="2"/>
  <c r="B1339" i="2"/>
  <c r="F1337" i="2"/>
  <c r="D1336" i="2"/>
  <c r="B1335" i="2"/>
  <c r="F1333" i="2"/>
  <c r="D1332" i="2"/>
  <c r="B1331" i="2"/>
  <c r="F1329" i="2"/>
  <c r="D1328" i="2"/>
  <c r="B1327" i="2"/>
  <c r="F1325" i="2"/>
  <c r="D1324" i="2"/>
  <c r="B1323" i="2"/>
  <c r="F1321" i="2"/>
  <c r="D1320" i="2"/>
  <c r="B1319" i="2"/>
  <c r="F1317" i="2"/>
  <c r="D1316" i="2"/>
  <c r="B1315" i="2"/>
  <c r="F1313" i="2"/>
  <c r="D1312" i="2"/>
  <c r="B1311" i="2"/>
  <c r="F1309" i="2"/>
  <c r="D1308" i="2"/>
  <c r="B1307" i="2"/>
  <c r="F1305" i="2"/>
  <c r="D1304" i="2"/>
  <c r="B1303" i="2"/>
  <c r="F1301" i="2"/>
  <c r="D1300" i="2"/>
  <c r="B1299" i="2"/>
  <c r="F1297" i="2"/>
  <c r="D1296" i="2"/>
  <c r="B1295" i="2"/>
  <c r="F1293" i="2"/>
  <c r="D1292" i="2"/>
  <c r="B1291" i="2"/>
  <c r="F1289" i="2"/>
  <c r="D1288" i="2"/>
  <c r="B1287" i="2"/>
  <c r="F1285" i="2"/>
  <c r="D1284" i="2"/>
  <c r="B1283" i="2"/>
  <c r="F1281" i="2"/>
  <c r="D1280" i="2"/>
  <c r="B1279" i="2"/>
  <c r="F1277" i="2"/>
  <c r="D1276" i="2"/>
  <c r="B1275" i="2"/>
  <c r="F1273" i="2"/>
  <c r="D1272" i="2"/>
  <c r="B1271" i="2"/>
  <c r="F1269" i="2"/>
  <c r="D1268" i="2"/>
  <c r="B1267" i="2"/>
  <c r="F1265" i="2"/>
  <c r="D1264" i="2"/>
  <c r="B1263" i="2"/>
  <c r="F1261" i="2"/>
  <c r="D1260" i="2"/>
  <c r="B1259" i="2"/>
  <c r="F1257" i="2"/>
  <c r="D1256" i="2"/>
  <c r="B1255" i="2"/>
  <c r="F1253" i="2"/>
  <c r="D1252" i="2"/>
  <c r="B1251" i="2"/>
  <c r="F1249" i="2"/>
  <c r="D1248" i="2"/>
  <c r="B1247" i="2"/>
  <c r="F1245" i="2"/>
  <c r="D1244" i="2"/>
  <c r="B1243" i="2"/>
  <c r="F1241" i="2"/>
  <c r="D1240" i="2"/>
  <c r="B1239" i="2"/>
  <c r="F1237" i="2"/>
  <c r="D1236" i="2"/>
  <c r="B1235" i="2"/>
  <c r="F1233" i="2"/>
  <c r="D1232" i="2"/>
  <c r="B1231" i="2"/>
  <c r="F1229" i="2"/>
  <c r="D1228" i="2"/>
  <c r="B1227" i="2"/>
  <c r="F1225" i="2"/>
  <c r="D1224" i="2"/>
  <c r="B1223" i="2"/>
  <c r="F1221" i="2"/>
  <c r="D1220" i="2"/>
  <c r="B1219" i="2"/>
  <c r="E864" i="3"/>
  <c r="E764" i="3"/>
  <c r="C679" i="3"/>
  <c r="E605" i="3"/>
  <c r="C584" i="3"/>
  <c r="A563" i="3"/>
  <c r="E541" i="3"/>
  <c r="C520" i="3"/>
  <c r="A499" i="3"/>
  <c r="E477" i="3"/>
  <c r="C456" i="3"/>
  <c r="A435" i="3"/>
  <c r="E413" i="3"/>
  <c r="C392" i="3"/>
  <c r="A374" i="3"/>
  <c r="B360" i="3"/>
  <c r="E345" i="3"/>
  <c r="E333" i="3"/>
  <c r="A323" i="3"/>
  <c r="C312" i="3"/>
  <c r="E301" i="3"/>
  <c r="A291" i="3"/>
  <c r="C280" i="3"/>
  <c r="E269" i="3"/>
  <c r="E261" i="3"/>
  <c r="E255" i="3"/>
  <c r="C250" i="3"/>
  <c r="A245" i="3"/>
  <c r="E239" i="3"/>
  <c r="C234" i="3"/>
  <c r="A229" i="3"/>
  <c r="E223" i="3"/>
  <c r="C218" i="3"/>
  <c r="A213" i="3"/>
  <c r="E207" i="3"/>
  <c r="C202" i="3"/>
  <c r="A197" i="3"/>
  <c r="E191" i="3"/>
  <c r="C186" i="3"/>
  <c r="A181" i="3"/>
  <c r="E175" i="3"/>
  <c r="C170" i="3"/>
  <c r="A165" i="3"/>
  <c r="E159" i="3"/>
  <c r="C154" i="3"/>
  <c r="A149" i="3"/>
  <c r="E143" i="3"/>
  <c r="C138" i="3"/>
  <c r="A133" i="3"/>
  <c r="E127" i="3"/>
  <c r="C122" i="3"/>
  <c r="A117" i="3"/>
  <c r="E111" i="3"/>
  <c r="B108" i="3"/>
  <c r="F104" i="3"/>
  <c r="A101" i="3"/>
  <c r="D97" i="3"/>
  <c r="B94" i="3"/>
  <c r="C90" i="3"/>
  <c r="F86" i="3"/>
  <c r="D83" i="3"/>
  <c r="E79" i="3"/>
  <c r="B76" i="3"/>
  <c r="D73" i="3"/>
  <c r="F70" i="3"/>
  <c r="B68" i="3"/>
  <c r="D65" i="3"/>
  <c r="F62" i="3"/>
  <c r="B60" i="3"/>
  <c r="D57" i="3"/>
  <c r="F54" i="3"/>
  <c r="B52" i="3"/>
  <c r="C50" i="3"/>
  <c r="A49" i="3"/>
  <c r="E47" i="3"/>
  <c r="C46" i="3"/>
  <c r="A45" i="3"/>
  <c r="E43" i="3"/>
  <c r="C42" i="3"/>
  <c r="A41" i="3"/>
  <c r="E39" i="3"/>
  <c r="C38" i="3"/>
  <c r="A37" i="3"/>
  <c r="E35" i="3"/>
  <c r="C34" i="3"/>
  <c r="A33" i="3"/>
  <c r="E31" i="3"/>
  <c r="C30" i="3"/>
  <c r="A29" i="3"/>
  <c r="E27" i="3"/>
  <c r="C26" i="3"/>
  <c r="A25" i="3"/>
  <c r="E23" i="3"/>
  <c r="C22" i="3"/>
  <c r="A21" i="3"/>
  <c r="E19" i="3"/>
  <c r="C18" i="3"/>
  <c r="A17" i="3"/>
  <c r="E15" i="3"/>
  <c r="C14" i="3"/>
  <c r="A13" i="3"/>
  <c r="E11" i="3"/>
  <c r="C10" i="3"/>
  <c r="A9" i="3"/>
  <c r="E7" i="3"/>
  <c r="C6" i="3"/>
  <c r="A5" i="3"/>
  <c r="E3" i="3"/>
  <c r="C2" i="3"/>
  <c r="A1" i="3"/>
  <c r="E1449" i="2"/>
  <c r="C1448" i="2"/>
  <c r="A1447" i="2"/>
  <c r="E1445" i="2"/>
  <c r="C1444" i="2"/>
  <c r="A1443" i="2"/>
  <c r="E1441" i="2"/>
  <c r="C1440" i="2"/>
  <c r="A1439" i="2"/>
  <c r="E1437" i="2"/>
  <c r="C1436" i="2"/>
  <c r="A1435" i="2"/>
  <c r="E1433" i="2"/>
  <c r="C1432" i="2"/>
  <c r="A1431" i="2"/>
  <c r="E1429" i="2"/>
  <c r="C1428" i="2"/>
  <c r="A1427" i="2"/>
  <c r="E1425" i="2"/>
  <c r="C1424" i="2"/>
  <c r="A1423" i="2"/>
  <c r="E1421" i="2"/>
  <c r="C1420" i="2"/>
  <c r="A1419" i="2"/>
  <c r="E1417" i="2"/>
  <c r="C1416" i="2"/>
  <c r="A1415" i="2"/>
  <c r="E1413" i="2"/>
  <c r="C1412" i="2"/>
  <c r="A1411" i="2"/>
  <c r="E1409" i="2"/>
  <c r="C1408" i="2"/>
  <c r="A1407" i="2"/>
  <c r="E1405" i="2"/>
  <c r="C1404" i="2"/>
  <c r="A1403" i="2"/>
  <c r="E1401" i="2"/>
  <c r="C1400" i="2"/>
  <c r="A1399" i="2"/>
  <c r="E1397" i="2"/>
  <c r="C1396" i="2"/>
  <c r="A1395" i="2"/>
  <c r="E1393" i="2"/>
  <c r="C1392" i="2"/>
  <c r="A1391" i="2"/>
  <c r="E1389" i="2"/>
  <c r="C1388" i="2"/>
  <c r="A1387" i="2"/>
  <c r="E1385" i="2"/>
  <c r="C1384" i="2"/>
  <c r="A1383" i="2"/>
  <c r="E1381" i="2"/>
  <c r="C1380" i="2"/>
  <c r="A1379" i="2"/>
  <c r="E1377" i="2"/>
  <c r="C1376" i="2"/>
  <c r="A1375" i="2"/>
  <c r="E1373" i="2"/>
  <c r="C1372" i="2"/>
  <c r="A1371" i="2"/>
  <c r="E1369" i="2"/>
  <c r="C1368" i="2"/>
  <c r="A1367" i="2"/>
  <c r="E1365" i="2"/>
  <c r="C1364" i="2"/>
  <c r="A1363" i="2"/>
  <c r="E1361" i="2"/>
  <c r="C1360" i="2"/>
  <c r="A1359" i="2"/>
  <c r="E1357" i="2"/>
  <c r="C1356" i="2"/>
  <c r="A1355" i="2"/>
  <c r="E1353" i="2"/>
  <c r="C1352" i="2"/>
  <c r="A1351" i="2"/>
  <c r="E1349" i="2"/>
  <c r="C1348" i="2"/>
  <c r="A1347" i="2"/>
  <c r="E1345" i="2"/>
  <c r="C1344" i="2"/>
  <c r="A1343" i="2"/>
  <c r="E1341" i="2"/>
  <c r="C1340" i="2"/>
  <c r="A1339" i="2"/>
  <c r="E1337" i="2"/>
  <c r="C1336" i="2"/>
  <c r="A1335" i="2"/>
  <c r="E1333" i="2"/>
  <c r="C1332" i="2"/>
  <c r="A1331" i="2"/>
  <c r="E1329" i="2"/>
  <c r="C1328" i="2"/>
  <c r="A1327" i="2"/>
  <c r="E1325" i="2"/>
  <c r="C1324" i="2"/>
  <c r="A1323" i="2"/>
  <c r="E1321" i="2"/>
  <c r="C1320" i="2"/>
  <c r="A1319" i="2"/>
  <c r="E1317" i="2"/>
  <c r="C1316" i="2"/>
  <c r="A1315" i="2"/>
  <c r="E1313" i="2"/>
  <c r="C1312" i="2"/>
  <c r="A1311" i="2"/>
  <c r="E1309" i="2"/>
  <c r="C1308" i="2"/>
  <c r="A1307" i="2"/>
  <c r="E1305" i="2"/>
  <c r="C1304" i="2"/>
  <c r="A1303" i="2"/>
  <c r="E1301" i="2"/>
  <c r="C1300" i="2"/>
  <c r="A1299" i="2"/>
  <c r="E1297" i="2"/>
  <c r="C1296" i="2"/>
  <c r="A1295" i="2"/>
  <c r="E1293" i="2"/>
  <c r="C1292" i="2"/>
  <c r="A1291" i="2"/>
  <c r="E1289" i="2"/>
  <c r="C1288" i="2"/>
  <c r="A1287" i="2"/>
  <c r="E1285" i="2"/>
  <c r="C1284" i="2"/>
  <c r="A1283" i="2"/>
  <c r="E1281" i="2"/>
  <c r="C1280" i="2"/>
  <c r="A1279" i="2"/>
  <c r="E1277" i="2"/>
  <c r="C1276" i="2"/>
  <c r="A1275" i="2"/>
  <c r="E1273" i="2"/>
  <c r="C1272" i="2"/>
  <c r="A1271" i="2"/>
  <c r="E1269" i="2"/>
  <c r="C1268" i="2"/>
  <c r="A1267" i="2"/>
  <c r="E1265" i="2"/>
  <c r="C1264" i="2"/>
  <c r="A1263" i="2"/>
  <c r="E1261" i="2"/>
  <c r="C1260" i="2"/>
  <c r="A1259" i="2"/>
  <c r="E1257" i="2"/>
  <c r="C1256" i="2"/>
  <c r="A1255" i="2"/>
  <c r="E1253" i="2"/>
  <c r="C1252" i="2"/>
  <c r="A1251" i="2"/>
  <c r="E1249" i="2"/>
  <c r="C1248" i="2"/>
  <c r="A1247" i="2"/>
  <c r="E1245" i="2"/>
  <c r="C1244" i="2"/>
  <c r="A1243" i="2"/>
  <c r="E1241" i="2"/>
  <c r="C863" i="3"/>
  <c r="F763" i="3"/>
  <c r="D678" i="3"/>
  <c r="D605" i="3"/>
  <c r="B584" i="3"/>
  <c r="F562" i="3"/>
  <c r="D541" i="3"/>
  <c r="B520" i="3"/>
  <c r="F498" i="3"/>
  <c r="D477" i="3"/>
  <c r="B456" i="3"/>
  <c r="F434" i="3"/>
  <c r="D413" i="3"/>
  <c r="B392" i="3"/>
  <c r="E373" i="3"/>
  <c r="C359" i="3"/>
  <c r="D345" i="3"/>
  <c r="D333" i="3"/>
  <c r="F322" i="3"/>
  <c r="B312" i="3"/>
  <c r="D301" i="3"/>
  <c r="F290" i="3"/>
  <c r="B280" i="3"/>
  <c r="D269" i="3"/>
  <c r="D261" i="3"/>
  <c r="D255" i="3"/>
  <c r="B250" i="3"/>
  <c r="F244" i="3"/>
  <c r="D239" i="3"/>
  <c r="B234" i="3"/>
  <c r="F228" i="3"/>
  <c r="D223" i="3"/>
  <c r="B218" i="3"/>
  <c r="F212" i="3"/>
  <c r="D207" i="3"/>
  <c r="B202" i="3"/>
  <c r="F196" i="3"/>
  <c r="D191" i="3"/>
  <c r="B186" i="3"/>
  <c r="F180" i="3"/>
  <c r="D175" i="3"/>
  <c r="B170" i="3"/>
  <c r="F164" i="3"/>
  <c r="D159" i="3"/>
  <c r="B154" i="3"/>
  <c r="F148" i="3"/>
  <c r="D143" i="3"/>
  <c r="B138" i="3"/>
  <c r="F132" i="3"/>
  <c r="D127" i="3"/>
  <c r="B122" i="3"/>
  <c r="F116" i="3"/>
  <c r="D111" i="3"/>
  <c r="E107" i="3"/>
  <c r="B104" i="3"/>
  <c r="F100" i="3"/>
  <c r="A97" i="3"/>
  <c r="D93" i="3"/>
  <c r="B90" i="3"/>
  <c r="C86" i="3"/>
  <c r="F82" i="3"/>
  <c r="D79" i="3"/>
  <c r="E75" i="3"/>
  <c r="A73" i="3"/>
  <c r="C70" i="3"/>
  <c r="E67" i="3"/>
  <c r="A65" i="3"/>
  <c r="C62" i="3"/>
  <c r="E59" i="3"/>
  <c r="A57" i="3"/>
  <c r="C54" i="3"/>
  <c r="E51" i="3"/>
  <c r="B50" i="3"/>
  <c r="F48" i="3"/>
  <c r="D47" i="3"/>
  <c r="B46" i="3"/>
  <c r="F44" i="3"/>
  <c r="D43" i="3"/>
  <c r="B42" i="3"/>
  <c r="F40" i="3"/>
  <c r="D39" i="3"/>
  <c r="B38" i="3"/>
  <c r="F36" i="3"/>
  <c r="D35" i="3"/>
  <c r="B34" i="3"/>
  <c r="F32" i="3"/>
  <c r="D31" i="3"/>
  <c r="B30" i="3"/>
  <c r="F28" i="3"/>
  <c r="D27" i="3"/>
  <c r="B26" i="3"/>
  <c r="F24" i="3"/>
  <c r="D23" i="3"/>
  <c r="B22" i="3"/>
  <c r="F20" i="3"/>
  <c r="D19" i="3"/>
  <c r="B18" i="3"/>
  <c r="F16" i="3"/>
  <c r="D15" i="3"/>
  <c r="B14" i="3"/>
  <c r="F12" i="3"/>
  <c r="D11" i="3"/>
  <c r="B10" i="3"/>
  <c r="F8" i="3"/>
  <c r="D7" i="3"/>
  <c r="B6" i="3"/>
  <c r="F4" i="3"/>
  <c r="D3" i="3"/>
  <c r="B2" i="3"/>
  <c r="F1450" i="2"/>
  <c r="D1449" i="2"/>
  <c r="B1448" i="2"/>
  <c r="F1446" i="2"/>
  <c r="D1445" i="2"/>
  <c r="B1444" i="2"/>
  <c r="F1442" i="2"/>
  <c r="D1441" i="2"/>
  <c r="B1440" i="2"/>
  <c r="F1438" i="2"/>
  <c r="D1437" i="2"/>
  <c r="B1436" i="2"/>
  <c r="F1434" i="2"/>
  <c r="D1433" i="2"/>
  <c r="B1432" i="2"/>
  <c r="F1430" i="2"/>
  <c r="D1429" i="2"/>
  <c r="B1428" i="2"/>
  <c r="F1426" i="2"/>
  <c r="D1425" i="2"/>
  <c r="B1424" i="2"/>
  <c r="F1422" i="2"/>
  <c r="D1421" i="2"/>
  <c r="B1420" i="2"/>
  <c r="F1418" i="2"/>
  <c r="D1417" i="2"/>
  <c r="B1416" i="2"/>
  <c r="F1414" i="2"/>
  <c r="D1413" i="2"/>
  <c r="B1412" i="2"/>
  <c r="F1410" i="2"/>
  <c r="D1409" i="2"/>
  <c r="B1408" i="2"/>
  <c r="F1406" i="2"/>
  <c r="D1405" i="2"/>
  <c r="B1404" i="2"/>
  <c r="F1402" i="2"/>
  <c r="D1401" i="2"/>
  <c r="B1400" i="2"/>
  <c r="F1398" i="2"/>
  <c r="D1397" i="2"/>
  <c r="B1396" i="2"/>
  <c r="F1394" i="2"/>
  <c r="D1393" i="2"/>
  <c r="B1392" i="2"/>
  <c r="F1390" i="2"/>
  <c r="D1389" i="2"/>
  <c r="B1388" i="2"/>
  <c r="F1386" i="2"/>
  <c r="D1385" i="2"/>
  <c r="B1384" i="2"/>
  <c r="F1382" i="2"/>
  <c r="D1381" i="2"/>
  <c r="B1380" i="2"/>
  <c r="F1378" i="2"/>
  <c r="D1377" i="2"/>
  <c r="B1376" i="2"/>
  <c r="F1374" i="2"/>
  <c r="D1373" i="2"/>
  <c r="B1372" i="2"/>
  <c r="F1370" i="2"/>
  <c r="D1369" i="2"/>
  <c r="B1368" i="2"/>
  <c r="F1366" i="2"/>
  <c r="D1365" i="2"/>
  <c r="B1364" i="2"/>
  <c r="F1362" i="2"/>
  <c r="D1361" i="2"/>
  <c r="B1360" i="2"/>
  <c r="F1358" i="2"/>
  <c r="D1357" i="2"/>
  <c r="B1356" i="2"/>
  <c r="F1354" i="2"/>
  <c r="D1353" i="2"/>
  <c r="B1352" i="2"/>
  <c r="F1350" i="2"/>
  <c r="D1349" i="2"/>
  <c r="B1348" i="2"/>
  <c r="F1346" i="2"/>
  <c r="D1345" i="2"/>
  <c r="B1344" i="2"/>
  <c r="F1342" i="2"/>
  <c r="D1341" i="2"/>
  <c r="B1340" i="2"/>
  <c r="F1338" i="2"/>
  <c r="D1337" i="2"/>
  <c r="B1336" i="2"/>
  <c r="F1334" i="2"/>
  <c r="D1333" i="2"/>
  <c r="B1332" i="2"/>
  <c r="F1330" i="2"/>
  <c r="D1329" i="2"/>
  <c r="B1328" i="2"/>
  <c r="F1326" i="2"/>
  <c r="D1325" i="2"/>
  <c r="B1324" i="2"/>
  <c r="F1322" i="2"/>
  <c r="D1321" i="2"/>
  <c r="B1320" i="2"/>
  <c r="F1318" i="2"/>
  <c r="D1317" i="2"/>
  <c r="B1316" i="2"/>
  <c r="F1314" i="2"/>
  <c r="D1313" i="2"/>
  <c r="B1312" i="2"/>
  <c r="F1310" i="2"/>
  <c r="D1309" i="2"/>
  <c r="B1308" i="2"/>
  <c r="F1306" i="2"/>
  <c r="D1305" i="2"/>
  <c r="E828" i="3"/>
  <c r="C743" i="3"/>
  <c r="A658" i="3"/>
  <c r="C600" i="3"/>
  <c r="A579" i="3"/>
  <c r="E557" i="3"/>
  <c r="C536" i="3"/>
  <c r="A515" i="3"/>
  <c r="E493" i="3"/>
  <c r="C472" i="3"/>
  <c r="A451" i="3"/>
  <c r="E429" i="3"/>
  <c r="C408" i="3"/>
  <c r="A387" i="3"/>
  <c r="F370" i="3"/>
  <c r="C356" i="3"/>
  <c r="A342" i="3"/>
  <c r="A331" i="3"/>
  <c r="C320" i="3"/>
  <c r="E309" i="3"/>
  <c r="A299" i="3"/>
  <c r="C288" i="3"/>
  <c r="E277" i="3"/>
  <c r="A267" i="3"/>
  <c r="A260" i="3"/>
  <c r="C254" i="3"/>
  <c r="A249" i="3"/>
  <c r="E243" i="3"/>
  <c r="C238" i="3"/>
  <c r="A233" i="3"/>
  <c r="E227" i="3"/>
  <c r="C222" i="3"/>
  <c r="A217" i="3"/>
  <c r="E211" i="3"/>
  <c r="C206" i="3"/>
  <c r="A201" i="3"/>
  <c r="E195" i="3"/>
  <c r="C190" i="3"/>
  <c r="A185" i="3"/>
  <c r="E179" i="3"/>
  <c r="C174" i="3"/>
  <c r="A169" i="3"/>
  <c r="E163" i="3"/>
  <c r="C158" i="3"/>
  <c r="A153" i="3"/>
  <c r="E147" i="3"/>
  <c r="C142" i="3"/>
  <c r="A137" i="3"/>
  <c r="E131" i="3"/>
  <c r="C126" i="3"/>
  <c r="A121" i="3"/>
  <c r="E115" i="3"/>
  <c r="F110" i="3"/>
  <c r="D107" i="3"/>
  <c r="E103" i="3"/>
  <c r="B100" i="3"/>
  <c r="F96" i="3"/>
  <c r="A93" i="3"/>
  <c r="D89" i="3"/>
  <c r="B86" i="3"/>
  <c r="C82" i="3"/>
  <c r="F78" i="3"/>
  <c r="D75" i="3"/>
  <c r="F72" i="3"/>
  <c r="B70" i="3"/>
  <c r="D67" i="3"/>
  <c r="F64" i="3"/>
  <c r="B62" i="3"/>
  <c r="D59" i="3"/>
  <c r="F56" i="3"/>
  <c r="B54" i="3"/>
  <c r="D51" i="3"/>
  <c r="A50" i="3"/>
  <c r="E48" i="3"/>
  <c r="C47" i="3"/>
  <c r="A46" i="3"/>
  <c r="E44" i="3"/>
  <c r="C43" i="3"/>
  <c r="A42" i="3"/>
  <c r="E40" i="3"/>
  <c r="C39" i="3"/>
  <c r="A38" i="3"/>
  <c r="E36" i="3"/>
  <c r="C35" i="3"/>
  <c r="A34" i="3"/>
  <c r="E32" i="3"/>
  <c r="C31" i="3"/>
  <c r="A30" i="3"/>
  <c r="E28" i="3"/>
  <c r="C27" i="3"/>
  <c r="A26" i="3"/>
  <c r="E24" i="3"/>
  <c r="C23" i="3"/>
  <c r="A22" i="3"/>
  <c r="E20" i="3"/>
  <c r="C19" i="3"/>
  <c r="A18" i="3"/>
  <c r="E16" i="3"/>
  <c r="C15" i="3"/>
  <c r="A14" i="3"/>
  <c r="E12" i="3"/>
  <c r="C11" i="3"/>
  <c r="A10" i="3"/>
  <c r="E8" i="3"/>
  <c r="C7" i="3"/>
  <c r="A6" i="3"/>
  <c r="E4" i="3"/>
  <c r="C3" i="3"/>
  <c r="A2" i="3"/>
  <c r="E1450" i="2"/>
  <c r="C1449" i="2"/>
  <c r="A1448" i="2"/>
  <c r="E1446" i="2"/>
  <c r="C1445" i="2"/>
  <c r="A1444" i="2"/>
  <c r="E1442" i="2"/>
  <c r="C1441" i="2"/>
  <c r="A1440" i="2"/>
  <c r="E1438" i="2"/>
  <c r="C1437" i="2"/>
  <c r="A1436" i="2"/>
  <c r="E1434" i="2"/>
  <c r="C1433" i="2"/>
  <c r="A1432" i="2"/>
  <c r="E1430" i="2"/>
  <c r="C1429" i="2"/>
  <c r="A1428" i="2"/>
  <c r="E1426" i="2"/>
  <c r="C1425" i="2"/>
  <c r="A1424" i="2"/>
  <c r="E1422" i="2"/>
  <c r="C1421" i="2"/>
  <c r="A1420" i="2"/>
  <c r="E1418" i="2"/>
  <c r="C1417" i="2"/>
  <c r="A1416" i="2"/>
  <c r="E1414" i="2"/>
  <c r="C1413" i="2"/>
  <c r="A1412" i="2"/>
  <c r="E1410" i="2"/>
  <c r="C1409" i="2"/>
  <c r="A1408" i="2"/>
  <c r="E1406" i="2"/>
  <c r="C1405" i="2"/>
  <c r="A1404" i="2"/>
  <c r="E1402" i="2"/>
  <c r="C1401" i="2"/>
  <c r="A1400" i="2"/>
  <c r="E1398" i="2"/>
  <c r="C1397" i="2"/>
  <c r="A1396" i="2"/>
  <c r="E1394" i="2"/>
  <c r="C1393" i="2"/>
  <c r="A1392" i="2"/>
  <c r="E1390" i="2"/>
  <c r="C1389" i="2"/>
  <c r="A1388" i="2"/>
  <c r="E1386" i="2"/>
  <c r="C1385" i="2"/>
  <c r="A1384" i="2"/>
  <c r="E1382" i="2"/>
  <c r="C1381" i="2"/>
  <c r="A1380" i="2"/>
  <c r="E1378" i="2"/>
  <c r="C1377" i="2"/>
  <c r="A1376" i="2"/>
  <c r="E1374" i="2"/>
  <c r="C1373" i="2"/>
  <c r="A1372" i="2"/>
  <c r="E1370" i="2"/>
  <c r="C1369" i="2"/>
  <c r="A1368" i="2"/>
  <c r="E1366" i="2"/>
  <c r="C1365" i="2"/>
  <c r="A1364" i="2"/>
  <c r="E1362" i="2"/>
  <c r="C1361" i="2"/>
  <c r="A1360" i="2"/>
  <c r="E1358" i="2"/>
  <c r="C1357" i="2"/>
  <c r="A1356" i="2"/>
  <c r="E1354" i="2"/>
  <c r="C1353" i="2"/>
  <c r="A1352" i="2"/>
  <c r="E1350" i="2"/>
  <c r="C1349" i="2"/>
  <c r="A1348" i="2"/>
  <c r="E1346" i="2"/>
  <c r="C1345" i="2"/>
  <c r="A1344" i="2"/>
  <c r="E1342" i="2"/>
  <c r="C1341" i="2"/>
  <c r="A1340" i="2"/>
  <c r="E1338" i="2"/>
  <c r="C1337" i="2"/>
  <c r="A1336" i="2"/>
  <c r="E1334" i="2"/>
  <c r="C1333" i="2"/>
  <c r="A1332" i="2"/>
  <c r="E1330" i="2"/>
  <c r="C1329" i="2"/>
  <c r="A1328" i="2"/>
  <c r="E1326" i="2"/>
  <c r="C1325" i="2"/>
  <c r="A1324" i="2"/>
  <c r="E1322" i="2"/>
  <c r="C1321" i="2"/>
  <c r="A1320" i="2"/>
  <c r="E1318" i="2"/>
  <c r="C1317" i="2"/>
  <c r="A1316" i="2"/>
  <c r="E1314" i="2"/>
  <c r="C1313" i="2"/>
  <c r="A1312" i="2"/>
  <c r="E1310" i="2"/>
  <c r="C1309" i="2"/>
  <c r="A1308" i="2"/>
  <c r="E1306" i="2"/>
  <c r="C1305" i="2"/>
  <c r="A1304" i="2"/>
  <c r="E1302" i="2"/>
  <c r="C1301" i="2"/>
  <c r="A1300" i="2"/>
  <c r="E1298" i="2"/>
  <c r="C1297" i="2"/>
  <c r="A1296" i="2"/>
  <c r="E1294" i="2"/>
  <c r="C1293" i="2"/>
  <c r="A1292" i="2"/>
  <c r="E1290" i="2"/>
  <c r="C1289" i="2"/>
  <c r="A1288" i="2"/>
  <c r="E1286" i="2"/>
  <c r="C1285" i="2"/>
  <c r="A1284" i="2"/>
  <c r="E1282" i="2"/>
  <c r="C1281" i="2"/>
  <c r="A1280" i="2"/>
  <c r="E1278" i="2"/>
  <c r="C1277" i="2"/>
  <c r="A1276" i="2"/>
  <c r="E1274" i="2"/>
  <c r="C1273" i="2"/>
  <c r="A1272" i="2"/>
  <c r="E1270" i="2"/>
  <c r="C1269" i="2"/>
  <c r="A1268" i="2"/>
  <c r="E1266" i="2"/>
  <c r="C1265" i="2"/>
  <c r="A1264" i="2"/>
  <c r="E1262" i="2"/>
  <c r="C1261" i="2"/>
  <c r="A1260" i="2"/>
  <c r="E1258" i="2"/>
  <c r="C1257" i="2"/>
  <c r="A1256" i="2"/>
  <c r="F827" i="3"/>
  <c r="D742" i="3"/>
  <c r="B657" i="3"/>
  <c r="B600" i="3"/>
  <c r="F578" i="3"/>
  <c r="D557" i="3"/>
  <c r="B536" i="3"/>
  <c r="F514" i="3"/>
  <c r="D493" i="3"/>
  <c r="B472" i="3"/>
  <c r="F450" i="3"/>
  <c r="D429" i="3"/>
  <c r="B408" i="3"/>
  <c r="F386" i="3"/>
  <c r="A370" i="3"/>
  <c r="B356" i="3"/>
  <c r="E341" i="3"/>
  <c r="F330" i="3"/>
  <c r="B320" i="3"/>
  <c r="D309" i="3"/>
  <c r="F298" i="3"/>
  <c r="B288" i="3"/>
  <c r="D277" i="3"/>
  <c r="F266" i="3"/>
  <c r="F259" i="3"/>
  <c r="B254" i="3"/>
  <c r="F248" i="3"/>
  <c r="D243" i="3"/>
  <c r="B238" i="3"/>
  <c r="F232" i="3"/>
  <c r="D227" i="3"/>
  <c r="B222" i="3"/>
  <c r="F216" i="3"/>
  <c r="D211" i="3"/>
  <c r="B206" i="3"/>
  <c r="F200" i="3"/>
  <c r="D195" i="3"/>
  <c r="B190" i="3"/>
  <c r="F184" i="3"/>
  <c r="D179" i="3"/>
  <c r="B174" i="3"/>
  <c r="F168" i="3"/>
  <c r="D163" i="3"/>
  <c r="B158" i="3"/>
  <c r="F152" i="3"/>
  <c r="D147" i="3"/>
  <c r="B142" i="3"/>
  <c r="F136" i="3"/>
  <c r="D131" i="3"/>
  <c r="B126" i="3"/>
  <c r="F120" i="3"/>
  <c r="D115" i="3"/>
  <c r="C110" i="3"/>
  <c r="F106" i="3"/>
  <c r="D103" i="3"/>
  <c r="E99" i="3"/>
  <c r="B96" i="3"/>
  <c r="F92" i="3"/>
  <c r="A89" i="3"/>
  <c r="D85" i="3"/>
  <c r="B82" i="3"/>
  <c r="C78" i="3"/>
  <c r="C75" i="3"/>
  <c r="E72" i="3"/>
  <c r="A70" i="3"/>
  <c r="C67" i="3"/>
  <c r="E64" i="3"/>
  <c r="A62" i="3"/>
  <c r="C59" i="3"/>
  <c r="E56" i="3"/>
  <c r="A54" i="3"/>
  <c r="C51" i="3"/>
  <c r="F49" i="3"/>
  <c r="D48" i="3"/>
  <c r="B47" i="3"/>
  <c r="F45" i="3"/>
  <c r="D44" i="3"/>
  <c r="B43" i="3"/>
  <c r="F41" i="3"/>
  <c r="D40" i="3"/>
  <c r="B39" i="3"/>
  <c r="F37" i="3"/>
  <c r="D36" i="3"/>
  <c r="B35" i="3"/>
  <c r="F33" i="3"/>
  <c r="D32" i="3"/>
  <c r="B31" i="3"/>
  <c r="F29" i="3"/>
  <c r="D28" i="3"/>
  <c r="B27" i="3"/>
  <c r="F25" i="3"/>
  <c r="D24" i="3"/>
  <c r="B23" i="3"/>
  <c r="F21" i="3"/>
  <c r="D20" i="3"/>
  <c r="B19" i="3"/>
  <c r="F17" i="3"/>
  <c r="D16" i="3"/>
  <c r="B15" i="3"/>
  <c r="F13" i="3"/>
  <c r="D12" i="3"/>
  <c r="B11" i="3"/>
  <c r="F9" i="3"/>
  <c r="D8" i="3"/>
  <c r="B7" i="3"/>
  <c r="F5" i="3"/>
  <c r="D4" i="3"/>
  <c r="B3" i="3"/>
  <c r="F1" i="3"/>
  <c r="D1450" i="2"/>
  <c r="B1449" i="2"/>
  <c r="F1447" i="2"/>
  <c r="D1446" i="2"/>
  <c r="B1445" i="2"/>
  <c r="F1443" i="2"/>
  <c r="D1442" i="2"/>
  <c r="B1441" i="2"/>
  <c r="F1439" i="2"/>
  <c r="D1438" i="2"/>
  <c r="B1437" i="2"/>
  <c r="F1435" i="2"/>
  <c r="D1434" i="2"/>
  <c r="B1433" i="2"/>
  <c r="F1431" i="2"/>
  <c r="D1430" i="2"/>
  <c r="B1429" i="2"/>
  <c r="F1427" i="2"/>
  <c r="D1426" i="2"/>
  <c r="B1425" i="2"/>
  <c r="F1423" i="2"/>
  <c r="D1422" i="2"/>
  <c r="B1421" i="2"/>
  <c r="F1419" i="2"/>
  <c r="D1418" i="2"/>
  <c r="B1417" i="2"/>
  <c r="F1415" i="2"/>
  <c r="D1414" i="2"/>
  <c r="B1413" i="2"/>
  <c r="F1411" i="2"/>
  <c r="D1410" i="2"/>
  <c r="B1409" i="2"/>
  <c r="F1407" i="2"/>
  <c r="D1406" i="2"/>
  <c r="B1405" i="2"/>
  <c r="F1403" i="2"/>
  <c r="D1402" i="2"/>
  <c r="B1401" i="2"/>
  <c r="F1399" i="2"/>
  <c r="D1398" i="2"/>
  <c r="B1397" i="2"/>
  <c r="F1395" i="2"/>
  <c r="D1394" i="2"/>
  <c r="B1393" i="2"/>
  <c r="F1391" i="2"/>
  <c r="D1390" i="2"/>
  <c r="B1389" i="2"/>
  <c r="F1387" i="2"/>
  <c r="D1386" i="2"/>
  <c r="B1385" i="2"/>
  <c r="F1383" i="2"/>
  <c r="D1382" i="2"/>
  <c r="B1381" i="2"/>
  <c r="F1379" i="2"/>
  <c r="D1378" i="2"/>
  <c r="B1377" i="2"/>
  <c r="F1375" i="2"/>
  <c r="D1374" i="2"/>
  <c r="B1373" i="2"/>
  <c r="F1371" i="2"/>
  <c r="D1370" i="2"/>
  <c r="B1369" i="2"/>
  <c r="F1367" i="2"/>
  <c r="D1366" i="2"/>
  <c r="B1365" i="2"/>
  <c r="F1363" i="2"/>
  <c r="D1362" i="2"/>
  <c r="B1361" i="2"/>
  <c r="F1359" i="2"/>
  <c r="D1358" i="2"/>
  <c r="B1357" i="2"/>
  <c r="F1355" i="2"/>
  <c r="D1354" i="2"/>
  <c r="B1353" i="2"/>
  <c r="F1351" i="2"/>
  <c r="D1350" i="2"/>
  <c r="B1349" i="2"/>
  <c r="F1347" i="2"/>
  <c r="D1346" i="2"/>
  <c r="B1345" i="2"/>
  <c r="F1343" i="2"/>
  <c r="D1342" i="2"/>
  <c r="B1341" i="2"/>
  <c r="F1339" i="2"/>
  <c r="D1338" i="2"/>
  <c r="B1337" i="2"/>
  <c r="F1335" i="2"/>
  <c r="D1334" i="2"/>
  <c r="B1333" i="2"/>
  <c r="F1331" i="2"/>
  <c r="D1330" i="2"/>
  <c r="B1329" i="2"/>
  <c r="F1327" i="2"/>
  <c r="D1326" i="2"/>
  <c r="B1325" i="2"/>
  <c r="F1323" i="2"/>
  <c r="D1322" i="2"/>
  <c r="B1321" i="2"/>
  <c r="F1319" i="2"/>
  <c r="D1318" i="2"/>
  <c r="B1317" i="2"/>
  <c r="F1315" i="2"/>
  <c r="D1314" i="2"/>
  <c r="B1313" i="2"/>
  <c r="F1311" i="2"/>
  <c r="D1310" i="2"/>
  <c r="B1309" i="2"/>
  <c r="F1307" i="2"/>
  <c r="D1306" i="2"/>
  <c r="B1305" i="2"/>
  <c r="F1303" i="2"/>
  <c r="D1302" i="2"/>
  <c r="B1301" i="2"/>
  <c r="F1299" i="2"/>
  <c r="D1298" i="2"/>
  <c r="B1297" i="2"/>
  <c r="F1295" i="2"/>
  <c r="D1294" i="2"/>
  <c r="B1293" i="2"/>
  <c r="F1291" i="2"/>
  <c r="D1290" i="2"/>
  <c r="B1289" i="2"/>
  <c r="F1287" i="2"/>
  <c r="D1286" i="2"/>
  <c r="B1285" i="2"/>
  <c r="F1283" i="2"/>
  <c r="D1282" i="2"/>
  <c r="B1281" i="2"/>
  <c r="F1279" i="2"/>
  <c r="D1278" i="2"/>
  <c r="B1277" i="2"/>
  <c r="F1275" i="2"/>
  <c r="D1274" i="2"/>
  <c r="B1273" i="2"/>
  <c r="F1271" i="2"/>
  <c r="D1270" i="2"/>
  <c r="B1269" i="2"/>
  <c r="F1267" i="2"/>
  <c r="D1266" i="2"/>
  <c r="B1265" i="2"/>
  <c r="F1263" i="2"/>
  <c r="D1262" i="2"/>
  <c r="B1261" i="2"/>
  <c r="F1259" i="2"/>
  <c r="D1258" i="2"/>
  <c r="B1257" i="2"/>
  <c r="F1255" i="2"/>
  <c r="D1254" i="2"/>
  <c r="B1253" i="2"/>
  <c r="F1251" i="2"/>
  <c r="D1250" i="2"/>
  <c r="B1249" i="2"/>
  <c r="F1247" i="2"/>
  <c r="D1246" i="2"/>
  <c r="B1245" i="2"/>
  <c r="F1243" i="2"/>
  <c r="D1242" i="2"/>
  <c r="B1241" i="2"/>
  <c r="D806" i="3"/>
  <c r="B721" i="3"/>
  <c r="F635" i="3"/>
  <c r="F594" i="3"/>
  <c r="D573" i="3"/>
  <c r="B552" i="3"/>
  <c r="F530" i="3"/>
  <c r="D509" i="3"/>
  <c r="B488" i="3"/>
  <c r="F466" i="3"/>
  <c r="D445" i="3"/>
  <c r="B424" i="3"/>
  <c r="F402" i="3"/>
  <c r="D381" i="3"/>
  <c r="F366" i="3"/>
  <c r="C352" i="3"/>
  <c r="F338" i="3"/>
  <c r="B328" i="3"/>
  <c r="D317" i="3"/>
  <c r="F306" i="3"/>
  <c r="B296" i="3"/>
  <c r="D285" i="3"/>
  <c r="F274" i="3"/>
  <c r="B265" i="3"/>
  <c r="B258" i="3"/>
  <c r="F252" i="3"/>
  <c r="D247" i="3"/>
  <c r="B242" i="3"/>
  <c r="F236" i="3"/>
  <c r="D231" i="3"/>
  <c r="B226" i="3"/>
  <c r="F220" i="3"/>
  <c r="D215" i="3"/>
  <c r="B210" i="3"/>
  <c r="F204" i="3"/>
  <c r="D199" i="3"/>
  <c r="B194" i="3"/>
  <c r="F188" i="3"/>
  <c r="D183" i="3"/>
  <c r="B178" i="3"/>
  <c r="F172" i="3"/>
  <c r="D167" i="3"/>
  <c r="B162" i="3"/>
  <c r="F156" i="3"/>
  <c r="D151" i="3"/>
  <c r="B146" i="3"/>
  <c r="F140" i="3"/>
  <c r="D135" i="3"/>
  <c r="B130" i="3"/>
  <c r="F124" i="3"/>
  <c r="D119" i="3"/>
  <c r="B114" i="3"/>
  <c r="D109" i="3"/>
  <c r="B106" i="3"/>
  <c r="C102" i="3"/>
  <c r="F98" i="3"/>
  <c r="D95" i="3"/>
  <c r="E91" i="3"/>
  <c r="B88" i="3"/>
  <c r="F84" i="3"/>
  <c r="A81" i="3"/>
  <c r="D77" i="3"/>
  <c r="C74" i="3"/>
  <c r="E71" i="3"/>
  <c r="A69" i="3"/>
  <c r="C66" i="3"/>
  <c r="E63" i="3"/>
  <c r="A61" i="3"/>
  <c r="C58" i="3"/>
  <c r="E55" i="3"/>
  <c r="A53" i="3"/>
  <c r="F50" i="3"/>
  <c r="D49" i="3"/>
  <c r="B48" i="3"/>
  <c r="F46" i="3"/>
  <c r="D45" i="3"/>
  <c r="B44" i="3"/>
  <c r="F42" i="3"/>
  <c r="D41" i="3"/>
  <c r="B40" i="3"/>
  <c r="F38" i="3"/>
  <c r="D37" i="3"/>
  <c r="B36" i="3"/>
  <c r="F34" i="3"/>
  <c r="D33" i="3"/>
  <c r="B32" i="3"/>
  <c r="F30" i="3"/>
  <c r="D29" i="3"/>
  <c r="B28" i="3"/>
  <c r="F26" i="3"/>
  <c r="D25" i="3"/>
  <c r="B24" i="3"/>
  <c r="F22" i="3"/>
  <c r="D21" i="3"/>
  <c r="B20" i="3"/>
  <c r="F18" i="3"/>
  <c r="D17" i="3"/>
  <c r="B16" i="3"/>
  <c r="F14" i="3"/>
  <c r="D13" i="3"/>
  <c r="B12" i="3"/>
  <c r="F10" i="3"/>
  <c r="D9" i="3"/>
  <c r="B8" i="3"/>
  <c r="F6" i="3"/>
  <c r="D5" i="3"/>
  <c r="B4" i="3"/>
  <c r="F2" i="3"/>
  <c r="D1" i="3"/>
  <c r="B1450" i="2"/>
  <c r="F1448" i="2"/>
  <c r="D1447" i="2"/>
  <c r="B1446" i="2"/>
  <c r="F1444" i="2"/>
  <c r="D1443" i="2"/>
  <c r="B1442" i="2"/>
  <c r="F1440" i="2"/>
  <c r="D1439" i="2"/>
  <c r="B1438" i="2"/>
  <c r="F1436" i="2"/>
  <c r="D1435" i="2"/>
  <c r="B1434" i="2"/>
  <c r="F1432" i="2"/>
  <c r="D1431" i="2"/>
  <c r="B1430" i="2"/>
  <c r="F1428" i="2"/>
  <c r="D1427" i="2"/>
  <c r="B1426" i="2"/>
  <c r="F1424" i="2"/>
  <c r="D1423" i="2"/>
  <c r="B1422" i="2"/>
  <c r="F1420" i="2"/>
  <c r="D1419" i="2"/>
  <c r="B1418" i="2"/>
  <c r="F1416" i="2"/>
  <c r="D1415" i="2"/>
  <c r="B1414" i="2"/>
  <c r="F1412" i="2"/>
  <c r="D1411" i="2"/>
  <c r="B1410" i="2"/>
  <c r="F1408" i="2"/>
  <c r="D1407" i="2"/>
  <c r="B1406" i="2"/>
  <c r="F1404" i="2"/>
  <c r="D1403" i="2"/>
  <c r="B1402" i="2"/>
  <c r="F1400" i="2"/>
  <c r="D1399" i="2"/>
  <c r="B1398" i="2"/>
  <c r="F1396" i="2"/>
  <c r="D1395" i="2"/>
  <c r="B1394" i="2"/>
  <c r="F1392" i="2"/>
  <c r="D1391" i="2"/>
  <c r="B1390" i="2"/>
  <c r="F1388" i="2"/>
  <c r="D1387" i="2"/>
  <c r="B1386" i="2"/>
  <c r="F1384" i="2"/>
  <c r="D1383" i="2"/>
  <c r="B1382" i="2"/>
  <c r="F1380" i="2"/>
  <c r="D1379" i="2"/>
  <c r="B1378" i="2"/>
  <c r="F1376" i="2"/>
  <c r="D1375" i="2"/>
  <c r="B1374" i="2"/>
  <c r="F1372" i="2"/>
  <c r="D1371" i="2"/>
  <c r="B1370" i="2"/>
  <c r="F1368" i="2"/>
  <c r="D1367" i="2"/>
  <c r="B1366" i="2"/>
  <c r="F1364" i="2"/>
  <c r="D1363" i="2"/>
  <c r="B1362" i="2"/>
  <c r="F1360" i="2"/>
  <c r="D1359" i="2"/>
  <c r="B1358" i="2"/>
  <c r="F1356" i="2"/>
  <c r="D1355" i="2"/>
  <c r="B1354" i="2"/>
  <c r="F1352" i="2"/>
  <c r="D1351" i="2"/>
  <c r="B1350" i="2"/>
  <c r="F1348" i="2"/>
  <c r="D1347" i="2"/>
  <c r="B1346" i="2"/>
  <c r="F1344" i="2"/>
  <c r="D1343" i="2"/>
  <c r="B1342" i="2"/>
  <c r="F1340" i="2"/>
  <c r="D1339" i="2"/>
  <c r="B1338" i="2"/>
  <c r="F1336" i="2"/>
  <c r="D1335" i="2"/>
  <c r="B1334" i="2"/>
  <c r="F1332" i="2"/>
  <c r="D1331" i="2"/>
  <c r="B1330" i="2"/>
  <c r="F1328" i="2"/>
  <c r="D1327" i="2"/>
  <c r="B1326" i="2"/>
  <c r="F1324" i="2"/>
  <c r="D1323" i="2"/>
  <c r="B1322" i="2"/>
  <c r="F1320" i="2"/>
  <c r="D1319" i="2"/>
  <c r="B1318" i="2"/>
  <c r="F1316" i="2"/>
  <c r="D1315" i="2"/>
  <c r="B1314" i="2"/>
  <c r="F1312" i="2"/>
  <c r="D1311" i="2"/>
  <c r="B1310" i="2"/>
  <c r="F1308" i="2"/>
  <c r="D1307" i="2"/>
  <c r="B1306" i="2"/>
  <c r="F1304" i="2"/>
  <c r="D1303" i="2"/>
  <c r="B1302" i="2"/>
  <c r="F1300" i="2"/>
  <c r="D1299" i="2"/>
  <c r="B1298" i="2"/>
  <c r="F1296" i="2"/>
  <c r="D1295" i="2"/>
  <c r="B1294" i="2"/>
  <c r="F1292" i="2"/>
  <c r="D1291" i="2"/>
  <c r="B1290" i="2"/>
  <c r="F1288" i="2"/>
  <c r="D1287" i="2"/>
  <c r="B1286" i="2"/>
  <c r="F1284" i="2"/>
  <c r="D1283" i="2"/>
  <c r="B1282" i="2"/>
  <c r="F1280" i="2"/>
  <c r="D1279" i="2"/>
  <c r="B1278" i="2"/>
  <c r="F1276" i="2"/>
  <c r="D1275" i="2"/>
  <c r="B1274" i="2"/>
  <c r="F1272" i="2"/>
  <c r="D1271" i="2"/>
  <c r="B1270" i="2"/>
  <c r="F1268" i="2"/>
  <c r="D1267" i="2"/>
  <c r="B1266" i="2"/>
  <c r="F1264" i="2"/>
  <c r="D1263" i="2"/>
  <c r="B1262" i="2"/>
  <c r="F1260" i="2"/>
  <c r="D1259" i="2"/>
  <c r="B1258" i="2"/>
  <c r="F1256" i="2"/>
  <c r="C807" i="3"/>
  <c r="C488" i="3"/>
  <c r="A339" i="3"/>
  <c r="C258" i="3"/>
  <c r="E215" i="3"/>
  <c r="A173" i="3"/>
  <c r="C130" i="3"/>
  <c r="E95" i="3"/>
  <c r="D69" i="3"/>
  <c r="E49" i="3"/>
  <c r="A39" i="3"/>
  <c r="C28" i="3"/>
  <c r="E17" i="3"/>
  <c r="A7" i="3"/>
  <c r="C1446" i="2"/>
  <c r="E1435" i="2"/>
  <c r="A1425" i="2"/>
  <c r="C1414" i="2"/>
  <c r="E1403" i="2"/>
  <c r="A1393" i="2"/>
  <c r="C1382" i="2"/>
  <c r="E1371" i="2"/>
  <c r="A1361" i="2"/>
  <c r="C1350" i="2"/>
  <c r="E1339" i="2"/>
  <c r="A1329" i="2"/>
  <c r="C1318" i="2"/>
  <c r="E1307" i="2"/>
  <c r="A1301" i="2"/>
  <c r="E1295" i="2"/>
  <c r="C1290" i="2"/>
  <c r="A1285" i="2"/>
  <c r="E1279" i="2"/>
  <c r="C1274" i="2"/>
  <c r="A1269" i="2"/>
  <c r="E1263" i="2"/>
  <c r="C1258" i="2"/>
  <c r="C1254" i="2"/>
  <c r="E1251" i="2"/>
  <c r="A1249" i="2"/>
  <c r="C1246" i="2"/>
  <c r="E1243" i="2"/>
  <c r="A1241" i="2"/>
  <c r="A1239" i="2"/>
  <c r="C1237" i="2"/>
  <c r="E1235" i="2"/>
  <c r="E1233" i="2"/>
  <c r="A1232" i="2"/>
  <c r="C1230" i="2"/>
  <c r="C1228" i="2"/>
  <c r="E1226" i="2"/>
  <c r="A1225" i="2"/>
  <c r="A1223" i="2"/>
  <c r="C1221" i="2"/>
  <c r="E1219" i="2"/>
  <c r="A1218" i="2"/>
  <c r="E1216" i="2"/>
  <c r="C1215" i="2"/>
  <c r="A1214" i="2"/>
  <c r="E1212" i="2"/>
  <c r="C1211" i="2"/>
  <c r="A1210" i="2"/>
  <c r="E1208" i="2"/>
  <c r="C1207" i="2"/>
  <c r="A1206" i="2"/>
  <c r="E1204" i="2"/>
  <c r="C1203" i="2"/>
  <c r="A1202" i="2"/>
  <c r="E1200" i="2"/>
  <c r="C1199" i="2"/>
  <c r="A1198" i="2"/>
  <c r="E1196" i="2"/>
  <c r="C1195" i="2"/>
  <c r="A1194" i="2"/>
  <c r="E1192" i="2"/>
  <c r="C1191" i="2"/>
  <c r="A1190" i="2"/>
  <c r="E1188" i="2"/>
  <c r="C1187" i="2"/>
  <c r="A1186" i="2"/>
  <c r="E1184" i="2"/>
  <c r="C1183" i="2"/>
  <c r="A1182" i="2"/>
  <c r="E1180" i="2"/>
  <c r="C1179" i="2"/>
  <c r="A1178" i="2"/>
  <c r="E1176" i="2"/>
  <c r="C1175" i="2"/>
  <c r="A1174" i="2"/>
  <c r="E1172" i="2"/>
  <c r="C1171" i="2"/>
  <c r="A1170" i="2"/>
  <c r="E1168" i="2"/>
  <c r="C1167" i="2"/>
  <c r="A1166" i="2"/>
  <c r="E1164" i="2"/>
  <c r="C1163" i="2"/>
  <c r="A1162" i="2"/>
  <c r="E1160" i="2"/>
  <c r="C1159" i="2"/>
  <c r="A1158" i="2"/>
  <c r="E1156" i="2"/>
  <c r="C1155" i="2"/>
  <c r="A1154" i="2"/>
  <c r="E1152" i="2"/>
  <c r="C1151" i="2"/>
  <c r="A1150" i="2"/>
  <c r="E1148" i="2"/>
  <c r="C1147" i="2"/>
  <c r="A1146" i="2"/>
  <c r="E1144" i="2"/>
  <c r="C1143" i="2"/>
  <c r="A1142" i="2"/>
  <c r="E1140" i="2"/>
  <c r="C1139" i="2"/>
  <c r="A1138" i="2"/>
  <c r="E1136" i="2"/>
  <c r="C1135" i="2"/>
  <c r="A1134" i="2"/>
  <c r="E1132" i="2"/>
  <c r="C1131" i="2"/>
  <c r="A1130" i="2"/>
  <c r="E1128" i="2"/>
  <c r="C1127" i="2"/>
  <c r="A1126" i="2"/>
  <c r="E1124" i="2"/>
  <c r="C1123" i="2"/>
  <c r="A1122" i="2"/>
  <c r="E1120" i="2"/>
  <c r="C1119" i="2"/>
  <c r="A1118" i="2"/>
  <c r="E1116" i="2"/>
  <c r="C1115" i="2"/>
  <c r="A1114" i="2"/>
  <c r="E1112" i="2"/>
  <c r="C1111" i="2"/>
  <c r="A1110" i="2"/>
  <c r="E1108" i="2"/>
  <c r="C1107" i="2"/>
  <c r="A1106" i="2"/>
  <c r="E1104" i="2"/>
  <c r="C1103" i="2"/>
  <c r="A1102" i="2"/>
  <c r="E1100" i="2"/>
  <c r="C1099" i="2"/>
  <c r="A1098" i="2"/>
  <c r="E1096" i="2"/>
  <c r="C1095" i="2"/>
  <c r="A1094" i="2"/>
  <c r="E1092" i="2"/>
  <c r="C1091" i="2"/>
  <c r="A1090" i="2"/>
  <c r="E1088" i="2"/>
  <c r="C1087" i="2"/>
  <c r="A1086" i="2"/>
  <c r="E1084" i="2"/>
  <c r="C1083" i="2"/>
  <c r="A1082" i="2"/>
  <c r="E1080" i="2"/>
  <c r="C1079" i="2"/>
  <c r="A1078" i="2"/>
  <c r="E1076" i="2"/>
  <c r="C1075" i="2"/>
  <c r="A1074" i="2"/>
  <c r="E1072" i="2"/>
  <c r="C1071" i="2"/>
  <c r="A1070" i="2"/>
  <c r="E1068" i="2"/>
  <c r="C1067" i="2"/>
  <c r="A1066" i="2"/>
  <c r="E1064" i="2"/>
  <c r="C1063" i="2"/>
  <c r="A1062" i="2"/>
  <c r="E1060" i="2"/>
  <c r="C1059" i="2"/>
  <c r="A1058" i="2"/>
  <c r="E1056" i="2"/>
  <c r="C1055" i="2"/>
  <c r="A1054" i="2"/>
  <c r="E1052" i="2"/>
  <c r="C1051" i="2"/>
  <c r="A1050" i="2"/>
  <c r="E1048" i="2"/>
  <c r="C1047" i="2"/>
  <c r="A1046" i="2"/>
  <c r="E1044" i="2"/>
  <c r="C1043" i="2"/>
  <c r="A1042" i="2"/>
  <c r="E1040" i="2"/>
  <c r="C1039" i="2"/>
  <c r="A1038" i="2"/>
  <c r="E1036" i="2"/>
  <c r="C1035" i="2"/>
  <c r="A1034" i="2"/>
  <c r="E1032" i="2"/>
  <c r="C1031" i="2"/>
  <c r="A1030" i="2"/>
  <c r="E1028" i="2"/>
  <c r="C1027" i="2"/>
  <c r="A1026" i="2"/>
  <c r="E1024" i="2"/>
  <c r="C1023" i="2"/>
  <c r="A1022" i="2"/>
  <c r="E1020" i="2"/>
  <c r="C1019" i="2"/>
  <c r="A1018" i="2"/>
  <c r="E1016" i="2"/>
  <c r="C1015" i="2"/>
  <c r="A1014" i="2"/>
  <c r="E1012" i="2"/>
  <c r="C1011" i="2"/>
  <c r="A1010" i="2"/>
  <c r="E1008" i="2"/>
  <c r="C1007" i="2"/>
  <c r="A1006" i="2"/>
  <c r="E1004" i="2"/>
  <c r="C1003" i="2"/>
  <c r="A1002" i="2"/>
  <c r="E1000" i="2"/>
  <c r="C999" i="2"/>
  <c r="A998" i="2"/>
  <c r="E996" i="2"/>
  <c r="C995" i="2"/>
  <c r="A994" i="2"/>
  <c r="E992" i="2"/>
  <c r="C991" i="2"/>
  <c r="A990" i="2"/>
  <c r="E988" i="2"/>
  <c r="C987" i="2"/>
  <c r="A986" i="2"/>
  <c r="E984" i="2"/>
  <c r="C983" i="2"/>
  <c r="A982" i="2"/>
  <c r="E980" i="2"/>
  <c r="C979" i="2"/>
  <c r="A978" i="2"/>
  <c r="E976" i="2"/>
  <c r="C975" i="2"/>
  <c r="A974" i="2"/>
  <c r="E972" i="2"/>
  <c r="C971" i="2"/>
  <c r="A970" i="2"/>
  <c r="E968" i="2"/>
  <c r="C967" i="2"/>
  <c r="A966" i="2"/>
  <c r="E964" i="2"/>
  <c r="C963" i="2"/>
  <c r="A962" i="2"/>
  <c r="E960" i="2"/>
  <c r="C959" i="2"/>
  <c r="A958" i="2"/>
  <c r="E956" i="2"/>
  <c r="C955" i="2"/>
  <c r="A954" i="2"/>
  <c r="E952" i="2"/>
  <c r="C951" i="2"/>
  <c r="A950" i="2"/>
  <c r="E948" i="2"/>
  <c r="C947" i="2"/>
  <c r="A946" i="2"/>
  <c r="E944" i="2"/>
  <c r="C943" i="2"/>
  <c r="A942" i="2"/>
  <c r="E940" i="2"/>
  <c r="C939" i="2"/>
  <c r="A938" i="2"/>
  <c r="E936" i="2"/>
  <c r="C935" i="2"/>
  <c r="A934" i="2"/>
  <c r="E932" i="2"/>
  <c r="C931" i="2"/>
  <c r="A930" i="2"/>
  <c r="E928" i="2"/>
  <c r="C927" i="2"/>
  <c r="A926" i="2"/>
  <c r="E924" i="2"/>
  <c r="C923" i="2"/>
  <c r="A922" i="2"/>
  <c r="E920" i="2"/>
  <c r="C919" i="2"/>
  <c r="A918" i="2"/>
  <c r="E916" i="2"/>
  <c r="C915" i="2"/>
  <c r="A914" i="2"/>
  <c r="E912" i="2"/>
  <c r="C911" i="2"/>
  <c r="A910" i="2"/>
  <c r="E908" i="2"/>
  <c r="C907" i="2"/>
  <c r="A906" i="2"/>
  <c r="E904" i="2"/>
  <c r="C903" i="2"/>
  <c r="A902" i="2"/>
  <c r="E900" i="2"/>
  <c r="C899" i="2"/>
  <c r="A898" i="2"/>
  <c r="E896" i="2"/>
  <c r="C895" i="2"/>
  <c r="A894" i="2"/>
  <c r="E892" i="2"/>
  <c r="C891" i="2"/>
  <c r="A890" i="2"/>
  <c r="E888" i="2"/>
  <c r="C887" i="2"/>
  <c r="A886" i="2"/>
  <c r="E884" i="2"/>
  <c r="C883" i="2"/>
  <c r="A882" i="2"/>
  <c r="E880" i="2"/>
  <c r="C879" i="2"/>
  <c r="A878" i="2"/>
  <c r="E876" i="2"/>
  <c r="C875" i="2"/>
  <c r="A874" i="2"/>
  <c r="E872" i="2"/>
  <c r="C871" i="2"/>
  <c r="A870" i="2"/>
  <c r="E868" i="2"/>
  <c r="C867" i="2"/>
  <c r="A866" i="2"/>
  <c r="E864" i="2"/>
  <c r="C863" i="2"/>
  <c r="A862" i="2"/>
  <c r="E860" i="2"/>
  <c r="C859" i="2"/>
  <c r="A858" i="2"/>
  <c r="E856" i="2"/>
  <c r="C855" i="2"/>
  <c r="A854" i="2"/>
  <c r="E852" i="2"/>
  <c r="C851" i="2"/>
  <c r="A850" i="2"/>
  <c r="E848" i="2"/>
  <c r="C847" i="2"/>
  <c r="A846" i="2"/>
  <c r="E844" i="2"/>
  <c r="C843" i="2"/>
  <c r="A842" i="2"/>
  <c r="E840" i="2"/>
  <c r="C839" i="2"/>
  <c r="A838" i="2"/>
  <c r="E836" i="2"/>
  <c r="C835" i="2"/>
  <c r="A834" i="2"/>
  <c r="E832" i="2"/>
  <c r="C831" i="2"/>
  <c r="A830" i="2"/>
  <c r="E828" i="2"/>
  <c r="C827" i="2"/>
  <c r="A826" i="2"/>
  <c r="E824" i="2"/>
  <c r="C823" i="2"/>
  <c r="A822" i="2"/>
  <c r="E820" i="2"/>
  <c r="C819" i="2"/>
  <c r="A818" i="2"/>
  <c r="E816" i="2"/>
  <c r="C815" i="2"/>
  <c r="A814" i="2"/>
  <c r="E812" i="2"/>
  <c r="C811" i="2"/>
  <c r="A810" i="2"/>
  <c r="E808" i="2"/>
  <c r="C807" i="2"/>
  <c r="A806" i="2"/>
  <c r="E804" i="2"/>
  <c r="C803" i="2"/>
  <c r="A802" i="2"/>
  <c r="E800" i="2"/>
  <c r="C799" i="2"/>
  <c r="A798" i="2"/>
  <c r="E796" i="2"/>
  <c r="C795" i="2"/>
  <c r="A794" i="2"/>
  <c r="E792" i="2"/>
  <c r="C791" i="2"/>
  <c r="A790" i="2"/>
  <c r="E788" i="2"/>
  <c r="C787" i="2"/>
  <c r="A786" i="2"/>
  <c r="E784" i="2"/>
  <c r="C783" i="2"/>
  <c r="A782" i="2"/>
  <c r="E780" i="2"/>
  <c r="C779" i="2"/>
  <c r="A778" i="2"/>
  <c r="E776" i="2"/>
  <c r="C775" i="2"/>
  <c r="A774" i="2"/>
  <c r="E772" i="2"/>
  <c r="C771" i="2"/>
  <c r="A770" i="2"/>
  <c r="E768" i="2"/>
  <c r="C767" i="2"/>
  <c r="A766" i="2"/>
  <c r="E764" i="2"/>
  <c r="C763" i="2"/>
  <c r="A762" i="2"/>
  <c r="E760" i="2"/>
  <c r="C759" i="2"/>
  <c r="A758" i="2"/>
  <c r="E756" i="2"/>
  <c r="C755" i="2"/>
  <c r="A754" i="2"/>
  <c r="E752" i="2"/>
  <c r="C751" i="2"/>
  <c r="A750" i="2"/>
  <c r="E748" i="2"/>
  <c r="C747" i="2"/>
  <c r="A746" i="2"/>
  <c r="E744" i="2"/>
  <c r="C743" i="2"/>
  <c r="A742" i="2"/>
  <c r="E740" i="2"/>
  <c r="C739" i="2"/>
  <c r="A738" i="2"/>
  <c r="E736" i="2"/>
  <c r="C735" i="2"/>
  <c r="A734" i="2"/>
  <c r="E732" i="2"/>
  <c r="C731" i="2"/>
  <c r="A730" i="2"/>
  <c r="E728" i="2"/>
  <c r="C727" i="2"/>
  <c r="A726" i="2"/>
  <c r="E724" i="2"/>
  <c r="C723" i="2"/>
  <c r="A722" i="2"/>
  <c r="E720" i="2"/>
  <c r="C719" i="2"/>
  <c r="A718" i="2"/>
  <c r="E716" i="2"/>
  <c r="C715" i="2"/>
  <c r="A714" i="2"/>
  <c r="E712" i="2"/>
  <c r="C711" i="2"/>
  <c r="A710" i="2"/>
  <c r="E708" i="2"/>
  <c r="C707" i="2"/>
  <c r="A706" i="2"/>
  <c r="E704" i="2"/>
  <c r="C703" i="2"/>
  <c r="A702" i="2"/>
  <c r="E700" i="2"/>
  <c r="C699" i="2"/>
  <c r="A698" i="2"/>
  <c r="E696" i="2"/>
  <c r="C695" i="2"/>
  <c r="A694" i="2"/>
  <c r="E692" i="2"/>
  <c r="C691" i="2"/>
  <c r="A690" i="2"/>
  <c r="E688" i="2"/>
  <c r="C687" i="2"/>
  <c r="A686" i="2"/>
  <c r="E684" i="2"/>
  <c r="C683" i="2"/>
  <c r="A682" i="2"/>
  <c r="E680" i="2"/>
  <c r="C679" i="2"/>
  <c r="A678" i="2"/>
  <c r="E676" i="2"/>
  <c r="C675" i="2"/>
  <c r="A674" i="2"/>
  <c r="E672" i="2"/>
  <c r="C671" i="2"/>
  <c r="A670" i="2"/>
  <c r="E668" i="2"/>
  <c r="C667" i="2"/>
  <c r="A666" i="2"/>
  <c r="E664" i="2"/>
  <c r="C663" i="2"/>
  <c r="A662" i="2"/>
  <c r="E660" i="2"/>
  <c r="C659" i="2"/>
  <c r="A658" i="2"/>
  <c r="E656" i="2"/>
  <c r="C655" i="2"/>
  <c r="A654" i="2"/>
  <c r="E652" i="2"/>
  <c r="C651" i="2"/>
  <c r="A650" i="2"/>
  <c r="E648" i="2"/>
  <c r="C647" i="2"/>
  <c r="A646" i="2"/>
  <c r="E644" i="2"/>
  <c r="C643" i="2"/>
  <c r="A642" i="2"/>
  <c r="E640" i="2"/>
  <c r="C639" i="2"/>
  <c r="A638" i="2"/>
  <c r="E636" i="2"/>
  <c r="C635" i="2"/>
  <c r="A634" i="2"/>
  <c r="E632" i="2"/>
  <c r="C631" i="2"/>
  <c r="A630" i="2"/>
  <c r="E628" i="2"/>
  <c r="C627" i="2"/>
  <c r="A626" i="2"/>
  <c r="E624" i="2"/>
  <c r="C623" i="2"/>
  <c r="A622" i="2"/>
  <c r="E620" i="2"/>
  <c r="C619" i="2"/>
  <c r="A618" i="2"/>
  <c r="E616" i="2"/>
  <c r="C615" i="2"/>
  <c r="A614" i="2"/>
  <c r="E612" i="2"/>
  <c r="C611" i="2"/>
  <c r="A722" i="3"/>
  <c r="A467" i="3"/>
  <c r="C328" i="3"/>
  <c r="A253" i="3"/>
  <c r="C210" i="3"/>
  <c r="E167" i="3"/>
  <c r="A125" i="3"/>
  <c r="B92" i="3"/>
  <c r="F66" i="3"/>
  <c r="C48" i="3"/>
  <c r="E37" i="3"/>
  <c r="A27" i="3"/>
  <c r="C16" i="3"/>
  <c r="E5" i="3"/>
  <c r="A1445" i="2"/>
  <c r="C1434" i="2"/>
  <c r="E1423" i="2"/>
  <c r="A1413" i="2"/>
  <c r="C1402" i="2"/>
  <c r="E1391" i="2"/>
  <c r="A1381" i="2"/>
  <c r="C1370" i="2"/>
  <c r="E1359" i="2"/>
  <c r="A1349" i="2"/>
  <c r="C1338" i="2"/>
  <c r="E1327" i="2"/>
  <c r="A1317" i="2"/>
  <c r="C1306" i="2"/>
  <c r="B1300" i="2"/>
  <c r="F1294" i="2"/>
  <c r="D1289" i="2"/>
  <c r="B1284" i="2"/>
  <c r="F1278" i="2"/>
  <c r="D1273" i="2"/>
  <c r="B1268" i="2"/>
  <c r="F1262" i="2"/>
  <c r="D1257" i="2"/>
  <c r="B1254" i="2"/>
  <c r="D1251" i="2"/>
  <c r="F1248" i="2"/>
  <c r="B1246" i="2"/>
  <c r="D1243" i="2"/>
  <c r="F1240" i="2"/>
  <c r="F1238" i="2"/>
  <c r="B1237" i="2"/>
  <c r="D1235" i="2"/>
  <c r="D1233" i="2"/>
  <c r="F1231" i="2"/>
  <c r="B1230" i="2"/>
  <c r="B1228" i="2"/>
  <c r="D1226" i="2"/>
  <c r="F1224" i="2"/>
  <c r="F1222" i="2"/>
  <c r="B1221" i="2"/>
  <c r="D1219" i="2"/>
  <c r="F1217" i="2"/>
  <c r="D1216" i="2"/>
  <c r="B1215" i="2"/>
  <c r="F1213" i="2"/>
  <c r="D1212" i="2"/>
  <c r="B1211" i="2"/>
  <c r="F1209" i="2"/>
  <c r="D1208" i="2"/>
  <c r="B1207" i="2"/>
  <c r="F1205" i="2"/>
  <c r="D1204" i="2"/>
  <c r="B1203" i="2"/>
  <c r="F1201" i="2"/>
  <c r="D1200" i="2"/>
  <c r="B1199" i="2"/>
  <c r="F1197" i="2"/>
  <c r="D1196" i="2"/>
  <c r="B1195" i="2"/>
  <c r="F1193" i="2"/>
  <c r="D1192" i="2"/>
  <c r="B1191" i="2"/>
  <c r="F1189" i="2"/>
  <c r="D1188" i="2"/>
  <c r="B1187" i="2"/>
  <c r="F1185" i="2"/>
  <c r="D1184" i="2"/>
  <c r="B1183" i="2"/>
  <c r="F1181" i="2"/>
  <c r="D1180" i="2"/>
  <c r="B1179" i="2"/>
  <c r="F1177" i="2"/>
  <c r="D1176" i="2"/>
  <c r="B1175" i="2"/>
  <c r="F1173" i="2"/>
  <c r="D1172" i="2"/>
  <c r="B1171" i="2"/>
  <c r="F1169" i="2"/>
  <c r="D1168" i="2"/>
  <c r="B1167" i="2"/>
  <c r="F1165" i="2"/>
  <c r="D1164" i="2"/>
  <c r="B1163" i="2"/>
  <c r="F1161" i="2"/>
  <c r="D1160" i="2"/>
  <c r="B1159" i="2"/>
  <c r="F1157" i="2"/>
  <c r="D1156" i="2"/>
  <c r="B1155" i="2"/>
  <c r="F1153" i="2"/>
  <c r="D1152" i="2"/>
  <c r="B1151" i="2"/>
  <c r="F1149" i="2"/>
  <c r="D1148" i="2"/>
  <c r="B1147" i="2"/>
  <c r="F1145" i="2"/>
  <c r="D1144" i="2"/>
  <c r="B1143" i="2"/>
  <c r="F1141" i="2"/>
  <c r="D1140" i="2"/>
  <c r="B1139" i="2"/>
  <c r="F1137" i="2"/>
  <c r="D1136" i="2"/>
  <c r="B1135" i="2"/>
  <c r="F1133" i="2"/>
  <c r="D1132" i="2"/>
  <c r="B1131" i="2"/>
  <c r="F1129" i="2"/>
  <c r="D1128" i="2"/>
  <c r="B1127" i="2"/>
  <c r="F1125" i="2"/>
  <c r="D1124" i="2"/>
  <c r="B1123" i="2"/>
  <c r="F1121" i="2"/>
  <c r="D1120" i="2"/>
  <c r="B1119" i="2"/>
  <c r="F1117" i="2"/>
  <c r="D1116" i="2"/>
  <c r="B1115" i="2"/>
  <c r="F1113" i="2"/>
  <c r="D1112" i="2"/>
  <c r="B1111" i="2"/>
  <c r="F1109" i="2"/>
  <c r="D1108" i="2"/>
  <c r="B1107" i="2"/>
  <c r="F1105" i="2"/>
  <c r="D1104" i="2"/>
  <c r="B1103" i="2"/>
  <c r="F1101" i="2"/>
  <c r="D1100" i="2"/>
  <c r="B1099" i="2"/>
  <c r="F1097" i="2"/>
  <c r="D1096" i="2"/>
  <c r="B1095" i="2"/>
  <c r="F1093" i="2"/>
  <c r="D1092" i="2"/>
  <c r="B1091" i="2"/>
  <c r="F1089" i="2"/>
  <c r="D1088" i="2"/>
  <c r="B1087" i="2"/>
  <c r="F1085" i="2"/>
  <c r="D1084" i="2"/>
  <c r="B1083" i="2"/>
  <c r="F1081" i="2"/>
  <c r="D1080" i="2"/>
  <c r="B1079" i="2"/>
  <c r="F1077" i="2"/>
  <c r="D1076" i="2"/>
  <c r="B1075" i="2"/>
  <c r="F1073" i="2"/>
  <c r="D1072" i="2"/>
  <c r="B1071" i="2"/>
  <c r="F1069" i="2"/>
  <c r="D1068" i="2"/>
  <c r="B1067" i="2"/>
  <c r="F1065" i="2"/>
  <c r="D1064" i="2"/>
  <c r="B1063" i="2"/>
  <c r="F1061" i="2"/>
  <c r="D1060" i="2"/>
  <c r="B1059" i="2"/>
  <c r="F1057" i="2"/>
  <c r="D1056" i="2"/>
  <c r="B1055" i="2"/>
  <c r="F1053" i="2"/>
  <c r="D1052" i="2"/>
  <c r="B1051" i="2"/>
  <c r="F1049" i="2"/>
  <c r="D1048" i="2"/>
  <c r="B1047" i="2"/>
  <c r="F1045" i="2"/>
  <c r="D1044" i="2"/>
  <c r="B1043" i="2"/>
  <c r="F1041" i="2"/>
  <c r="D1040" i="2"/>
  <c r="B1039" i="2"/>
  <c r="F1037" i="2"/>
  <c r="D1036" i="2"/>
  <c r="B1035" i="2"/>
  <c r="F1033" i="2"/>
  <c r="D1032" i="2"/>
  <c r="B1031" i="2"/>
  <c r="F1029" i="2"/>
  <c r="D1028" i="2"/>
  <c r="B1027" i="2"/>
  <c r="F1025" i="2"/>
  <c r="D1024" i="2"/>
  <c r="B1023" i="2"/>
  <c r="F1021" i="2"/>
  <c r="D1020" i="2"/>
  <c r="B1019" i="2"/>
  <c r="F1017" i="2"/>
  <c r="D1016" i="2"/>
  <c r="B1015" i="2"/>
  <c r="F1013" i="2"/>
  <c r="D1012" i="2"/>
  <c r="B1011" i="2"/>
  <c r="F1009" i="2"/>
  <c r="D1008" i="2"/>
  <c r="B1007" i="2"/>
  <c r="F1005" i="2"/>
  <c r="D1004" i="2"/>
  <c r="B1003" i="2"/>
  <c r="F1001" i="2"/>
  <c r="D1000" i="2"/>
  <c r="B999" i="2"/>
  <c r="F997" i="2"/>
  <c r="D996" i="2"/>
  <c r="B995" i="2"/>
  <c r="F993" i="2"/>
  <c r="D992" i="2"/>
  <c r="B991" i="2"/>
  <c r="F989" i="2"/>
  <c r="D988" i="2"/>
  <c r="B987" i="2"/>
  <c r="F985" i="2"/>
  <c r="D984" i="2"/>
  <c r="B983" i="2"/>
  <c r="F981" i="2"/>
  <c r="D980" i="2"/>
  <c r="B979" i="2"/>
  <c r="F977" i="2"/>
  <c r="D976" i="2"/>
  <c r="B975" i="2"/>
  <c r="F973" i="2"/>
  <c r="D972" i="2"/>
  <c r="B971" i="2"/>
  <c r="F969" i="2"/>
  <c r="D968" i="2"/>
  <c r="B967" i="2"/>
  <c r="F965" i="2"/>
  <c r="D964" i="2"/>
  <c r="B963" i="2"/>
  <c r="F961" i="2"/>
  <c r="D960" i="2"/>
  <c r="B959" i="2"/>
  <c r="F957" i="2"/>
  <c r="D956" i="2"/>
  <c r="B955" i="2"/>
  <c r="F953" i="2"/>
  <c r="D952" i="2"/>
  <c r="B951" i="2"/>
  <c r="F949" i="2"/>
  <c r="D948" i="2"/>
  <c r="B947" i="2"/>
  <c r="F945" i="2"/>
  <c r="D944" i="2"/>
  <c r="B943" i="2"/>
  <c r="F941" i="2"/>
  <c r="D940" i="2"/>
  <c r="B939" i="2"/>
  <c r="F937" i="2"/>
  <c r="D936" i="2"/>
  <c r="B935" i="2"/>
  <c r="F933" i="2"/>
  <c r="D932" i="2"/>
  <c r="B931" i="2"/>
  <c r="F929" i="2"/>
  <c r="D928" i="2"/>
  <c r="B927" i="2"/>
  <c r="F925" i="2"/>
  <c r="D924" i="2"/>
  <c r="B923" i="2"/>
  <c r="F921" i="2"/>
  <c r="D920" i="2"/>
  <c r="B919" i="2"/>
  <c r="F917" i="2"/>
  <c r="D916" i="2"/>
  <c r="B915" i="2"/>
  <c r="F913" i="2"/>
  <c r="D912" i="2"/>
  <c r="B911" i="2"/>
  <c r="F909" i="2"/>
  <c r="D908" i="2"/>
  <c r="B907" i="2"/>
  <c r="F905" i="2"/>
  <c r="D904" i="2"/>
  <c r="B903" i="2"/>
  <c r="F901" i="2"/>
  <c r="D900" i="2"/>
  <c r="B899" i="2"/>
  <c r="F897" i="2"/>
  <c r="D896" i="2"/>
  <c r="B895" i="2"/>
  <c r="F893" i="2"/>
  <c r="D892" i="2"/>
  <c r="B891" i="2"/>
  <c r="F889" i="2"/>
  <c r="D888" i="2"/>
  <c r="B887" i="2"/>
  <c r="F885" i="2"/>
  <c r="D884" i="2"/>
  <c r="B883" i="2"/>
  <c r="F881" i="2"/>
  <c r="D880" i="2"/>
  <c r="B879" i="2"/>
  <c r="F877" i="2"/>
  <c r="D876" i="2"/>
  <c r="B875" i="2"/>
  <c r="F873" i="2"/>
  <c r="D872" i="2"/>
  <c r="B871" i="2"/>
  <c r="F869" i="2"/>
  <c r="D868" i="2"/>
  <c r="B867" i="2"/>
  <c r="F865" i="2"/>
  <c r="D864" i="2"/>
  <c r="B863" i="2"/>
  <c r="F861" i="2"/>
  <c r="D860" i="2"/>
  <c r="B859" i="2"/>
  <c r="F857" i="2"/>
  <c r="D856" i="2"/>
  <c r="B855" i="2"/>
  <c r="F853" i="2"/>
  <c r="D852" i="2"/>
  <c r="B851" i="2"/>
  <c r="F849" i="2"/>
  <c r="D848" i="2"/>
  <c r="B847" i="2"/>
  <c r="F845" i="2"/>
  <c r="D844" i="2"/>
  <c r="B843" i="2"/>
  <c r="F841" i="2"/>
  <c r="D840" i="2"/>
  <c r="B839" i="2"/>
  <c r="F837" i="2"/>
  <c r="D836" i="2"/>
  <c r="B835" i="2"/>
  <c r="F833" i="2"/>
  <c r="D832" i="2"/>
  <c r="B831" i="2"/>
  <c r="F829" i="2"/>
  <c r="D828" i="2"/>
  <c r="B827" i="2"/>
  <c r="F825" i="2"/>
  <c r="D824" i="2"/>
  <c r="B823" i="2"/>
  <c r="F821" i="2"/>
  <c r="D820" i="2"/>
  <c r="B819" i="2"/>
  <c r="F817" i="2"/>
  <c r="D816" i="2"/>
  <c r="B815" i="2"/>
  <c r="F813" i="2"/>
  <c r="D812" i="2"/>
  <c r="B811" i="2"/>
  <c r="F809" i="2"/>
  <c r="D808" i="2"/>
  <c r="B807" i="2"/>
  <c r="F805" i="2"/>
  <c r="D804" i="2"/>
  <c r="B803" i="2"/>
  <c r="F801" i="2"/>
  <c r="D800" i="2"/>
  <c r="B799" i="2"/>
  <c r="F797" i="2"/>
  <c r="D796" i="2"/>
  <c r="B795" i="2"/>
  <c r="F793" i="2"/>
  <c r="D792" i="2"/>
  <c r="B791" i="2"/>
  <c r="F789" i="2"/>
  <c r="D788" i="2"/>
  <c r="B787" i="2"/>
  <c r="F785" i="2"/>
  <c r="D784" i="2"/>
  <c r="B783" i="2"/>
  <c r="F781" i="2"/>
  <c r="D780" i="2"/>
  <c r="B779" i="2"/>
  <c r="F777" i="2"/>
  <c r="D776" i="2"/>
  <c r="B775" i="2"/>
  <c r="F773" i="2"/>
  <c r="D772" i="2"/>
  <c r="B771" i="2"/>
  <c r="F769" i="2"/>
  <c r="D768" i="2"/>
  <c r="B767" i="2"/>
  <c r="F765" i="2"/>
  <c r="D764" i="2"/>
  <c r="B763" i="2"/>
  <c r="F761" i="2"/>
  <c r="D760" i="2"/>
  <c r="B759" i="2"/>
  <c r="F757" i="2"/>
  <c r="D756" i="2"/>
  <c r="B755" i="2"/>
  <c r="F753" i="2"/>
  <c r="D752" i="2"/>
  <c r="B751" i="2"/>
  <c r="F749" i="2"/>
  <c r="D748" i="2"/>
  <c r="B747" i="2"/>
  <c r="F745" i="2"/>
  <c r="D744" i="2"/>
  <c r="B743" i="2"/>
  <c r="F741" i="2"/>
  <c r="D740" i="2"/>
  <c r="B739" i="2"/>
  <c r="F737" i="2"/>
  <c r="D736" i="2"/>
  <c r="B735" i="2"/>
  <c r="F733" i="2"/>
  <c r="D732" i="2"/>
  <c r="B731" i="2"/>
  <c r="F729" i="2"/>
  <c r="D728" i="2"/>
  <c r="B727" i="2"/>
  <c r="F725" i="2"/>
  <c r="D724" i="2"/>
  <c r="B723" i="2"/>
  <c r="F721" i="2"/>
  <c r="D720" i="2"/>
  <c r="B719" i="2"/>
  <c r="F717" i="2"/>
  <c r="D716" i="2"/>
  <c r="B715" i="2"/>
  <c r="F713" i="2"/>
  <c r="D712" i="2"/>
  <c r="B711" i="2"/>
  <c r="F709" i="2"/>
  <c r="D708" i="2"/>
  <c r="B707" i="2"/>
  <c r="F705" i="2"/>
  <c r="D704" i="2"/>
  <c r="B703" i="2"/>
  <c r="F701" i="2"/>
  <c r="D700" i="2"/>
  <c r="B699" i="2"/>
  <c r="F697" i="2"/>
  <c r="D696" i="2"/>
  <c r="B695" i="2"/>
  <c r="F693" i="2"/>
  <c r="D692" i="2"/>
  <c r="B691" i="2"/>
  <c r="F689" i="2"/>
  <c r="D688" i="2"/>
  <c r="B687" i="2"/>
  <c r="F685" i="2"/>
  <c r="D684" i="2"/>
  <c r="B683" i="2"/>
  <c r="F681" i="2"/>
  <c r="D680" i="2"/>
  <c r="B679" i="2"/>
  <c r="F677" i="2"/>
  <c r="D676" i="2"/>
  <c r="B675" i="2"/>
  <c r="F673" i="2"/>
  <c r="D672" i="2"/>
  <c r="B671" i="2"/>
  <c r="F669" i="2"/>
  <c r="D668" i="2"/>
  <c r="B667" i="2"/>
  <c r="F665" i="2"/>
  <c r="D664" i="2"/>
  <c r="B663" i="2"/>
  <c r="F661" i="2"/>
  <c r="D660" i="2"/>
  <c r="B659" i="2"/>
  <c r="F657" i="2"/>
  <c r="D656" i="2"/>
  <c r="B655" i="2"/>
  <c r="F653" i="2"/>
  <c r="D652" i="2"/>
  <c r="B651" i="2"/>
  <c r="F649" i="2"/>
  <c r="D648" i="2"/>
  <c r="B647" i="2"/>
  <c r="F645" i="2"/>
  <c r="D644" i="2"/>
  <c r="B643" i="2"/>
  <c r="F641" i="2"/>
  <c r="D640" i="2"/>
  <c r="B639" i="2"/>
  <c r="F637" i="2"/>
  <c r="D636" i="2"/>
  <c r="B635" i="2"/>
  <c r="F633" i="2"/>
  <c r="D632" i="2"/>
  <c r="B631" i="2"/>
  <c r="F629" i="2"/>
  <c r="D628" i="2"/>
  <c r="B627" i="2"/>
  <c r="F625" i="2"/>
  <c r="D624" i="2"/>
  <c r="B623" i="2"/>
  <c r="F621" i="2"/>
  <c r="D620" i="2"/>
  <c r="B619" i="2"/>
  <c r="F617" i="2"/>
  <c r="D616" i="2"/>
  <c r="B615" i="2"/>
  <c r="F613" i="2"/>
  <c r="D612" i="2"/>
  <c r="B611" i="2"/>
  <c r="E636" i="3"/>
  <c r="E445" i="3"/>
  <c r="E317" i="3"/>
  <c r="E247" i="3"/>
  <c r="A205" i="3"/>
  <c r="C162" i="3"/>
  <c r="E119" i="3"/>
  <c r="F88" i="3"/>
  <c r="B64" i="3"/>
  <c r="A47" i="3"/>
  <c r="C36" i="3"/>
  <c r="E25" i="3"/>
  <c r="A15" i="3"/>
  <c r="C4" i="3"/>
  <c r="E1443" i="2"/>
  <c r="A1433" i="2"/>
  <c r="C1422" i="2"/>
  <c r="E1411" i="2"/>
  <c r="A1401" i="2"/>
  <c r="C1390" i="2"/>
  <c r="E1379" i="2"/>
  <c r="A1369" i="2"/>
  <c r="C1358" i="2"/>
  <c r="E1347" i="2"/>
  <c r="A1337" i="2"/>
  <c r="C1326" i="2"/>
  <c r="E1315" i="2"/>
  <c r="A1305" i="2"/>
  <c r="E1299" i="2"/>
  <c r="C1294" i="2"/>
  <c r="A1289" i="2"/>
  <c r="E1283" i="2"/>
  <c r="C1278" i="2"/>
  <c r="A1273" i="2"/>
  <c r="E1267" i="2"/>
  <c r="C1262" i="2"/>
  <c r="A1257" i="2"/>
  <c r="D1253" i="2"/>
  <c r="F1250" i="2"/>
  <c r="B1248" i="2"/>
  <c r="D1245" i="2"/>
  <c r="F1242" i="2"/>
  <c r="C1240" i="2"/>
  <c r="E1238" i="2"/>
  <c r="A1237" i="2"/>
  <c r="A1235" i="2"/>
  <c r="C1233" i="2"/>
  <c r="E1231" i="2"/>
  <c r="E1229" i="2"/>
  <c r="A1228" i="2"/>
  <c r="C1226" i="2"/>
  <c r="C1224" i="2"/>
  <c r="E1222" i="2"/>
  <c r="A1221" i="2"/>
  <c r="A1219" i="2"/>
  <c r="E1217" i="2"/>
  <c r="C1216" i="2"/>
  <c r="A1215" i="2"/>
  <c r="E1213" i="2"/>
  <c r="C1212" i="2"/>
  <c r="A1211" i="2"/>
  <c r="E1209" i="2"/>
  <c r="C1208" i="2"/>
  <c r="A1207" i="2"/>
  <c r="E1205" i="2"/>
  <c r="C1204" i="2"/>
  <c r="A1203" i="2"/>
  <c r="E1201" i="2"/>
  <c r="C1200" i="2"/>
  <c r="A1199" i="2"/>
  <c r="E1197" i="2"/>
  <c r="C1196" i="2"/>
  <c r="A1195" i="2"/>
  <c r="E1193" i="2"/>
  <c r="C1192" i="2"/>
  <c r="A1191" i="2"/>
  <c r="E1189" i="2"/>
  <c r="C1188" i="2"/>
  <c r="A1187" i="2"/>
  <c r="E1185" i="2"/>
  <c r="C1184" i="2"/>
  <c r="A1183" i="2"/>
  <c r="E1181" i="2"/>
  <c r="C1180" i="2"/>
  <c r="A1179" i="2"/>
  <c r="E1177" i="2"/>
  <c r="C1176" i="2"/>
  <c r="A1175" i="2"/>
  <c r="E1173" i="2"/>
  <c r="C1172" i="2"/>
  <c r="A1171" i="2"/>
  <c r="E1169" i="2"/>
  <c r="C1168" i="2"/>
  <c r="A1167" i="2"/>
  <c r="E1165" i="2"/>
  <c r="C1164" i="2"/>
  <c r="A1163" i="2"/>
  <c r="E1161" i="2"/>
  <c r="C1160" i="2"/>
  <c r="A1159" i="2"/>
  <c r="E1157" i="2"/>
  <c r="C1156" i="2"/>
  <c r="A1155" i="2"/>
  <c r="E1153" i="2"/>
  <c r="C1152" i="2"/>
  <c r="A1151" i="2"/>
  <c r="E1149" i="2"/>
  <c r="C1148" i="2"/>
  <c r="A1147" i="2"/>
  <c r="E1145" i="2"/>
  <c r="C1144" i="2"/>
  <c r="A1143" i="2"/>
  <c r="E1141" i="2"/>
  <c r="C1140" i="2"/>
  <c r="A1139" i="2"/>
  <c r="E1137" i="2"/>
  <c r="C1136" i="2"/>
  <c r="A1135" i="2"/>
  <c r="E1133" i="2"/>
  <c r="C1132" i="2"/>
  <c r="A1131" i="2"/>
  <c r="E1129" i="2"/>
  <c r="C1128" i="2"/>
  <c r="A1127" i="2"/>
  <c r="E1125" i="2"/>
  <c r="C1124" i="2"/>
  <c r="A1123" i="2"/>
  <c r="E1121" i="2"/>
  <c r="C1120" i="2"/>
  <c r="A1119" i="2"/>
  <c r="E1117" i="2"/>
  <c r="C1116" i="2"/>
  <c r="A1115" i="2"/>
  <c r="E1113" i="2"/>
  <c r="C1112" i="2"/>
  <c r="A1111" i="2"/>
  <c r="E1109" i="2"/>
  <c r="C1108" i="2"/>
  <c r="A1107" i="2"/>
  <c r="E1105" i="2"/>
  <c r="C1104" i="2"/>
  <c r="A1103" i="2"/>
  <c r="E1101" i="2"/>
  <c r="C1100" i="2"/>
  <c r="A1099" i="2"/>
  <c r="E1097" i="2"/>
  <c r="C1096" i="2"/>
  <c r="A1095" i="2"/>
  <c r="E1093" i="2"/>
  <c r="C1092" i="2"/>
  <c r="A1091" i="2"/>
  <c r="E1089" i="2"/>
  <c r="C1088" i="2"/>
  <c r="A1087" i="2"/>
  <c r="E1085" i="2"/>
  <c r="C1084" i="2"/>
  <c r="A1083" i="2"/>
  <c r="E1081" i="2"/>
  <c r="C1080" i="2"/>
  <c r="A1079" i="2"/>
  <c r="E1077" i="2"/>
  <c r="C1076" i="2"/>
  <c r="A1075" i="2"/>
  <c r="E1073" i="2"/>
  <c r="C1072" i="2"/>
  <c r="A1071" i="2"/>
  <c r="E1069" i="2"/>
  <c r="C1068" i="2"/>
  <c r="A1067" i="2"/>
  <c r="E1065" i="2"/>
  <c r="C1064" i="2"/>
  <c r="A1063" i="2"/>
  <c r="E1061" i="2"/>
  <c r="C1060" i="2"/>
  <c r="A1059" i="2"/>
  <c r="E1057" i="2"/>
  <c r="C1056" i="2"/>
  <c r="A1055" i="2"/>
  <c r="E1053" i="2"/>
  <c r="C1052" i="2"/>
  <c r="A1051" i="2"/>
  <c r="E1049" i="2"/>
  <c r="C1048" i="2"/>
  <c r="A1047" i="2"/>
  <c r="E1045" i="2"/>
  <c r="C1044" i="2"/>
  <c r="A1043" i="2"/>
  <c r="E1041" i="2"/>
  <c r="C1040" i="2"/>
  <c r="A1039" i="2"/>
  <c r="E1037" i="2"/>
  <c r="C1036" i="2"/>
  <c r="A1035" i="2"/>
  <c r="E1033" i="2"/>
  <c r="C1032" i="2"/>
  <c r="A1031" i="2"/>
  <c r="E1029" i="2"/>
  <c r="C1028" i="2"/>
  <c r="A1027" i="2"/>
  <c r="E1025" i="2"/>
  <c r="C1024" i="2"/>
  <c r="A1023" i="2"/>
  <c r="E1021" i="2"/>
  <c r="C1020" i="2"/>
  <c r="A1019" i="2"/>
  <c r="E1017" i="2"/>
  <c r="C1016" i="2"/>
  <c r="A1015" i="2"/>
  <c r="E1013" i="2"/>
  <c r="C1012" i="2"/>
  <c r="A1011" i="2"/>
  <c r="E1009" i="2"/>
  <c r="C1008" i="2"/>
  <c r="A1007" i="2"/>
  <c r="E1005" i="2"/>
  <c r="C1004" i="2"/>
  <c r="A1003" i="2"/>
  <c r="E1001" i="2"/>
  <c r="C1000" i="2"/>
  <c r="A999" i="2"/>
  <c r="E997" i="2"/>
  <c r="C996" i="2"/>
  <c r="A995" i="2"/>
  <c r="E993" i="2"/>
  <c r="C992" i="2"/>
  <c r="A991" i="2"/>
  <c r="E989" i="2"/>
  <c r="C988" i="2"/>
  <c r="A987" i="2"/>
  <c r="E985" i="2"/>
  <c r="C984" i="2"/>
  <c r="A983" i="2"/>
  <c r="E981" i="2"/>
  <c r="C980" i="2"/>
  <c r="A979" i="2"/>
  <c r="E977" i="2"/>
  <c r="C976" i="2"/>
  <c r="A975" i="2"/>
  <c r="E973" i="2"/>
  <c r="C972" i="2"/>
  <c r="A971" i="2"/>
  <c r="E969" i="2"/>
  <c r="C968" i="2"/>
  <c r="A967" i="2"/>
  <c r="E965" i="2"/>
  <c r="C964" i="2"/>
  <c r="A963" i="2"/>
  <c r="E961" i="2"/>
  <c r="C960" i="2"/>
  <c r="A959" i="2"/>
  <c r="E957" i="2"/>
  <c r="C956" i="2"/>
  <c r="A955" i="2"/>
  <c r="E953" i="2"/>
  <c r="C952" i="2"/>
  <c r="A951" i="2"/>
  <c r="E949" i="2"/>
  <c r="C948" i="2"/>
  <c r="A947" i="2"/>
  <c r="E945" i="2"/>
  <c r="C944" i="2"/>
  <c r="A943" i="2"/>
  <c r="E941" i="2"/>
  <c r="C940" i="2"/>
  <c r="A939" i="2"/>
  <c r="E937" i="2"/>
  <c r="C936" i="2"/>
  <c r="A935" i="2"/>
  <c r="E933" i="2"/>
  <c r="C932" i="2"/>
  <c r="A931" i="2"/>
  <c r="E929" i="2"/>
  <c r="C928" i="2"/>
  <c r="A927" i="2"/>
  <c r="E925" i="2"/>
  <c r="C924" i="2"/>
  <c r="A923" i="2"/>
  <c r="E921" i="2"/>
  <c r="C920" i="2"/>
  <c r="A919" i="2"/>
  <c r="E917" i="2"/>
  <c r="C916" i="2"/>
  <c r="A915" i="2"/>
  <c r="E913" i="2"/>
  <c r="C912" i="2"/>
  <c r="A911" i="2"/>
  <c r="E909" i="2"/>
  <c r="C908" i="2"/>
  <c r="A907" i="2"/>
  <c r="E905" i="2"/>
  <c r="C904" i="2"/>
  <c r="A903" i="2"/>
  <c r="E901" i="2"/>
  <c r="C900" i="2"/>
  <c r="A899" i="2"/>
  <c r="E897" i="2"/>
  <c r="C896" i="2"/>
  <c r="A895" i="2"/>
  <c r="E893" i="2"/>
  <c r="C892" i="2"/>
  <c r="A891" i="2"/>
  <c r="E889" i="2"/>
  <c r="C888" i="2"/>
  <c r="A887" i="2"/>
  <c r="E885" i="2"/>
  <c r="C884" i="2"/>
  <c r="A883" i="2"/>
  <c r="E881" i="2"/>
  <c r="C880" i="2"/>
  <c r="A879" i="2"/>
  <c r="E877" i="2"/>
  <c r="C876" i="2"/>
  <c r="A875" i="2"/>
  <c r="E873" i="2"/>
  <c r="C872" i="2"/>
  <c r="A871" i="2"/>
  <c r="E869" i="2"/>
  <c r="C868" i="2"/>
  <c r="A867" i="2"/>
  <c r="E865" i="2"/>
  <c r="C864" i="2"/>
  <c r="A863" i="2"/>
  <c r="E861" i="2"/>
  <c r="C860" i="2"/>
  <c r="A859" i="2"/>
  <c r="E857" i="2"/>
  <c r="C856" i="2"/>
  <c r="A855" i="2"/>
  <c r="E853" i="2"/>
  <c r="C852" i="2"/>
  <c r="A851" i="2"/>
  <c r="E849" i="2"/>
  <c r="C848" i="2"/>
  <c r="A847" i="2"/>
  <c r="E845" i="2"/>
  <c r="C844" i="2"/>
  <c r="A843" i="2"/>
  <c r="E841" i="2"/>
  <c r="C840" i="2"/>
  <c r="A839" i="2"/>
  <c r="E837" i="2"/>
  <c r="C836" i="2"/>
  <c r="A835" i="2"/>
  <c r="E833" i="2"/>
  <c r="C832" i="2"/>
  <c r="A831" i="2"/>
  <c r="E829" i="2"/>
  <c r="C828" i="2"/>
  <c r="A827" i="2"/>
  <c r="E825" i="2"/>
  <c r="C824" i="2"/>
  <c r="A823" i="2"/>
  <c r="E821" i="2"/>
  <c r="C820" i="2"/>
  <c r="A819" i="2"/>
  <c r="E817" i="2"/>
  <c r="C816" i="2"/>
  <c r="A815" i="2"/>
  <c r="E813" i="2"/>
  <c r="C812" i="2"/>
  <c r="A811" i="2"/>
  <c r="E809" i="2"/>
  <c r="C808" i="2"/>
  <c r="A807" i="2"/>
  <c r="E805" i="2"/>
  <c r="C804" i="2"/>
  <c r="A803" i="2"/>
  <c r="E801" i="2"/>
  <c r="C800" i="2"/>
  <c r="A799" i="2"/>
  <c r="E797" i="2"/>
  <c r="C796" i="2"/>
  <c r="A795" i="2"/>
  <c r="E793" i="2"/>
  <c r="C792" i="2"/>
  <c r="A791" i="2"/>
  <c r="E789" i="2"/>
  <c r="C788" i="2"/>
  <c r="A787" i="2"/>
  <c r="E785" i="2"/>
  <c r="C784" i="2"/>
  <c r="A783" i="2"/>
  <c r="E781" i="2"/>
  <c r="C780" i="2"/>
  <c r="A779" i="2"/>
  <c r="E777" i="2"/>
  <c r="C776" i="2"/>
  <c r="A775" i="2"/>
  <c r="E773" i="2"/>
  <c r="C772" i="2"/>
  <c r="A771" i="2"/>
  <c r="E769" i="2"/>
  <c r="C768" i="2"/>
  <c r="A767" i="2"/>
  <c r="E765" i="2"/>
  <c r="C764" i="2"/>
  <c r="A763" i="2"/>
  <c r="E761" i="2"/>
  <c r="C760" i="2"/>
  <c r="A759" i="2"/>
  <c r="E757" i="2"/>
  <c r="C756" i="2"/>
  <c r="A755" i="2"/>
  <c r="E753" i="2"/>
  <c r="C752" i="2"/>
  <c r="A751" i="2"/>
  <c r="E749" i="2"/>
  <c r="C748" i="2"/>
  <c r="A747" i="2"/>
  <c r="E745" i="2"/>
  <c r="C744" i="2"/>
  <c r="A743" i="2"/>
  <c r="E741" i="2"/>
  <c r="C740" i="2"/>
  <c r="A739" i="2"/>
  <c r="E737" i="2"/>
  <c r="C736" i="2"/>
  <c r="A735" i="2"/>
  <c r="E733" i="2"/>
  <c r="C732" i="2"/>
  <c r="A731" i="2"/>
  <c r="E729" i="2"/>
  <c r="C728" i="2"/>
  <c r="A727" i="2"/>
  <c r="E725" i="2"/>
  <c r="C724" i="2"/>
  <c r="A723" i="2"/>
  <c r="E721" i="2"/>
  <c r="C720" i="2"/>
  <c r="A719" i="2"/>
  <c r="E717" i="2"/>
  <c r="C716" i="2"/>
  <c r="A715" i="2"/>
  <c r="E713" i="2"/>
  <c r="C712" i="2"/>
  <c r="A711" i="2"/>
  <c r="E709" i="2"/>
  <c r="C708" i="2"/>
  <c r="A707" i="2"/>
  <c r="E705" i="2"/>
  <c r="C704" i="2"/>
  <c r="A703" i="2"/>
  <c r="E701" i="2"/>
  <c r="C700" i="2"/>
  <c r="A699" i="2"/>
  <c r="E697" i="2"/>
  <c r="C696" i="2"/>
  <c r="A695" i="2"/>
  <c r="E693" i="2"/>
  <c r="C692" i="2"/>
  <c r="A691" i="2"/>
  <c r="E689" i="2"/>
  <c r="C688" i="2"/>
  <c r="A687" i="2"/>
  <c r="E685" i="2"/>
  <c r="C684" i="2"/>
  <c r="A683" i="2"/>
  <c r="E681" i="2"/>
  <c r="C680" i="2"/>
  <c r="A679" i="2"/>
  <c r="E677" i="2"/>
  <c r="C676" i="2"/>
  <c r="A675" i="2"/>
  <c r="E673" i="2"/>
  <c r="C672" i="2"/>
  <c r="A671" i="2"/>
  <c r="E669" i="2"/>
  <c r="C668" i="2"/>
  <c r="A667" i="2"/>
  <c r="E665" i="2"/>
  <c r="C664" i="2"/>
  <c r="A663" i="2"/>
  <c r="E661" i="2"/>
  <c r="C660" i="2"/>
  <c r="A659" i="2"/>
  <c r="E657" i="2"/>
  <c r="C656" i="2"/>
  <c r="A655" i="2"/>
  <c r="E653" i="2"/>
  <c r="C652" i="2"/>
  <c r="A651" i="2"/>
  <c r="E649" i="2"/>
  <c r="C648" i="2"/>
  <c r="A647" i="2"/>
  <c r="E645" i="2"/>
  <c r="C644" i="2"/>
  <c r="A643" i="2"/>
  <c r="E641" i="2"/>
  <c r="C640" i="2"/>
  <c r="A639" i="2"/>
  <c r="E637" i="2"/>
  <c r="C636" i="2"/>
  <c r="A635" i="2"/>
  <c r="E633" i="2"/>
  <c r="C632" i="2"/>
  <c r="A631" i="2"/>
  <c r="E629" i="2"/>
  <c r="C628" i="2"/>
  <c r="A627" i="2"/>
  <c r="E625" i="2"/>
  <c r="C624" i="2"/>
  <c r="A623" i="2"/>
  <c r="E621" i="2"/>
  <c r="C620" i="2"/>
  <c r="A619" i="2"/>
  <c r="E617" i="2"/>
  <c r="C616" i="2"/>
  <c r="A615" i="2"/>
  <c r="E613" i="2"/>
  <c r="C612" i="2"/>
  <c r="A595" i="3"/>
  <c r="C424" i="3"/>
  <c r="A307" i="3"/>
  <c r="C242" i="3"/>
  <c r="E199" i="3"/>
  <c r="A157" i="3"/>
  <c r="C114" i="3"/>
  <c r="A85" i="3"/>
  <c r="D61" i="3"/>
  <c r="E45" i="3"/>
  <c r="A35" i="3"/>
  <c r="C24" i="3"/>
  <c r="E13" i="3"/>
  <c r="A3" i="3"/>
  <c r="C1442" i="2"/>
  <c r="E1431" i="2"/>
  <c r="A1421" i="2"/>
  <c r="C1410" i="2"/>
  <c r="E1399" i="2"/>
  <c r="A1389" i="2"/>
  <c r="C1378" i="2"/>
  <c r="E1367" i="2"/>
  <c r="A1357" i="2"/>
  <c r="C1346" i="2"/>
  <c r="E1335" i="2"/>
  <c r="A1325" i="2"/>
  <c r="C1314" i="2"/>
  <c r="B1304" i="2"/>
  <c r="F1298" i="2"/>
  <c r="D1293" i="2"/>
  <c r="B1288" i="2"/>
  <c r="F1282" i="2"/>
  <c r="D1277" i="2"/>
  <c r="B1272" i="2"/>
  <c r="F1266" i="2"/>
  <c r="D1261" i="2"/>
  <c r="B1256" i="2"/>
  <c r="C1253" i="2"/>
  <c r="E1250" i="2"/>
  <c r="A1248" i="2"/>
  <c r="C1245" i="2"/>
  <c r="E1242" i="2"/>
  <c r="B1240" i="2"/>
  <c r="D1238" i="2"/>
  <c r="F1236" i="2"/>
  <c r="F1234" i="2"/>
  <c r="B1233" i="2"/>
  <c r="D1231" i="2"/>
  <c r="D1229" i="2"/>
  <c r="F1227" i="2"/>
  <c r="B1226" i="2"/>
  <c r="B1224" i="2"/>
  <c r="D1222" i="2"/>
  <c r="F1220" i="2"/>
  <c r="F1218" i="2"/>
  <c r="D1217" i="2"/>
  <c r="B1216" i="2"/>
  <c r="F1214" i="2"/>
  <c r="D1213" i="2"/>
  <c r="B1212" i="2"/>
  <c r="F1210" i="2"/>
  <c r="D1209" i="2"/>
  <c r="B1208" i="2"/>
  <c r="F1206" i="2"/>
  <c r="D1205" i="2"/>
  <c r="B1204" i="2"/>
  <c r="F1202" i="2"/>
  <c r="D1201" i="2"/>
  <c r="B1200" i="2"/>
  <c r="F1198" i="2"/>
  <c r="D1197" i="2"/>
  <c r="B1196" i="2"/>
  <c r="F1194" i="2"/>
  <c r="D1193" i="2"/>
  <c r="B1192" i="2"/>
  <c r="F1190" i="2"/>
  <c r="D1189" i="2"/>
  <c r="B1188" i="2"/>
  <c r="F1186" i="2"/>
  <c r="D1185" i="2"/>
  <c r="B1184" i="2"/>
  <c r="F1182" i="2"/>
  <c r="D1181" i="2"/>
  <c r="B1180" i="2"/>
  <c r="F1178" i="2"/>
  <c r="D1177" i="2"/>
  <c r="B1176" i="2"/>
  <c r="F1174" i="2"/>
  <c r="D1173" i="2"/>
  <c r="B1172" i="2"/>
  <c r="F1170" i="2"/>
  <c r="D1169" i="2"/>
  <c r="B1168" i="2"/>
  <c r="F1166" i="2"/>
  <c r="D1165" i="2"/>
  <c r="B1164" i="2"/>
  <c r="F1162" i="2"/>
  <c r="D1161" i="2"/>
  <c r="B1160" i="2"/>
  <c r="F1158" i="2"/>
  <c r="D1157" i="2"/>
  <c r="B1156" i="2"/>
  <c r="F1154" i="2"/>
  <c r="D1153" i="2"/>
  <c r="B1152" i="2"/>
  <c r="F1150" i="2"/>
  <c r="D1149" i="2"/>
  <c r="B1148" i="2"/>
  <c r="F1146" i="2"/>
  <c r="D1145" i="2"/>
  <c r="B1144" i="2"/>
  <c r="F1142" i="2"/>
  <c r="D1141" i="2"/>
  <c r="B1140" i="2"/>
  <c r="F1138" i="2"/>
  <c r="D1137" i="2"/>
  <c r="B1136" i="2"/>
  <c r="F1134" i="2"/>
  <c r="D1133" i="2"/>
  <c r="B1132" i="2"/>
  <c r="F1130" i="2"/>
  <c r="D1129" i="2"/>
  <c r="B1128" i="2"/>
  <c r="F1126" i="2"/>
  <c r="D1125" i="2"/>
  <c r="B1124" i="2"/>
  <c r="F1122" i="2"/>
  <c r="D1121" i="2"/>
  <c r="B1120" i="2"/>
  <c r="F1118" i="2"/>
  <c r="D1117" i="2"/>
  <c r="B1116" i="2"/>
  <c r="F1114" i="2"/>
  <c r="D1113" i="2"/>
  <c r="B1112" i="2"/>
  <c r="F1110" i="2"/>
  <c r="D1109" i="2"/>
  <c r="B1108" i="2"/>
  <c r="F1106" i="2"/>
  <c r="D1105" i="2"/>
  <c r="B1104" i="2"/>
  <c r="F1102" i="2"/>
  <c r="D1101" i="2"/>
  <c r="B1100" i="2"/>
  <c r="F1098" i="2"/>
  <c r="D1097" i="2"/>
  <c r="B1096" i="2"/>
  <c r="F1094" i="2"/>
  <c r="D1093" i="2"/>
  <c r="B1092" i="2"/>
  <c r="F1090" i="2"/>
  <c r="D1089" i="2"/>
  <c r="B1088" i="2"/>
  <c r="F1086" i="2"/>
  <c r="D1085" i="2"/>
  <c r="B1084" i="2"/>
  <c r="F1082" i="2"/>
  <c r="D1081" i="2"/>
  <c r="B1080" i="2"/>
  <c r="F1078" i="2"/>
  <c r="D1077" i="2"/>
  <c r="B1076" i="2"/>
  <c r="F1074" i="2"/>
  <c r="D1073" i="2"/>
  <c r="B1072" i="2"/>
  <c r="F1070" i="2"/>
  <c r="D1069" i="2"/>
  <c r="B1068" i="2"/>
  <c r="F1066" i="2"/>
  <c r="D1065" i="2"/>
  <c r="B1064" i="2"/>
  <c r="F1062" i="2"/>
  <c r="D1061" i="2"/>
  <c r="B1060" i="2"/>
  <c r="F1058" i="2"/>
  <c r="D1057" i="2"/>
  <c r="B1056" i="2"/>
  <c r="F1054" i="2"/>
  <c r="D1053" i="2"/>
  <c r="B1052" i="2"/>
  <c r="F1050" i="2"/>
  <c r="D1049" i="2"/>
  <c r="B1048" i="2"/>
  <c r="F1046" i="2"/>
  <c r="D1045" i="2"/>
  <c r="B1044" i="2"/>
  <c r="F1042" i="2"/>
  <c r="D1041" i="2"/>
  <c r="B1040" i="2"/>
  <c r="F1038" i="2"/>
  <c r="D1037" i="2"/>
  <c r="B1036" i="2"/>
  <c r="F1034" i="2"/>
  <c r="D1033" i="2"/>
  <c r="B1032" i="2"/>
  <c r="F1030" i="2"/>
  <c r="D1029" i="2"/>
  <c r="B1028" i="2"/>
  <c r="F1026" i="2"/>
  <c r="D1025" i="2"/>
  <c r="B1024" i="2"/>
  <c r="F1022" i="2"/>
  <c r="D1021" i="2"/>
  <c r="B1020" i="2"/>
  <c r="F1018" i="2"/>
  <c r="D1017" i="2"/>
  <c r="B1016" i="2"/>
  <c r="F1014" i="2"/>
  <c r="D1013" i="2"/>
  <c r="B1012" i="2"/>
  <c r="F1010" i="2"/>
  <c r="D1009" i="2"/>
  <c r="B1008" i="2"/>
  <c r="F1006" i="2"/>
  <c r="D1005" i="2"/>
  <c r="B1004" i="2"/>
  <c r="F1002" i="2"/>
  <c r="D1001" i="2"/>
  <c r="B1000" i="2"/>
  <c r="F998" i="2"/>
  <c r="D997" i="2"/>
  <c r="B996" i="2"/>
  <c r="F994" i="2"/>
  <c r="D993" i="2"/>
  <c r="B992" i="2"/>
  <c r="F990" i="2"/>
  <c r="D989" i="2"/>
  <c r="B988" i="2"/>
  <c r="F986" i="2"/>
  <c r="D985" i="2"/>
  <c r="B984" i="2"/>
  <c r="F982" i="2"/>
  <c r="D981" i="2"/>
  <c r="B980" i="2"/>
  <c r="F978" i="2"/>
  <c r="D977" i="2"/>
  <c r="B976" i="2"/>
  <c r="F974" i="2"/>
  <c r="D973" i="2"/>
  <c r="B972" i="2"/>
  <c r="F970" i="2"/>
  <c r="D969" i="2"/>
  <c r="B968" i="2"/>
  <c r="F966" i="2"/>
  <c r="D965" i="2"/>
  <c r="B964" i="2"/>
  <c r="F962" i="2"/>
  <c r="D961" i="2"/>
  <c r="B960" i="2"/>
  <c r="F958" i="2"/>
  <c r="D957" i="2"/>
  <c r="B956" i="2"/>
  <c r="F954" i="2"/>
  <c r="D953" i="2"/>
  <c r="B952" i="2"/>
  <c r="F950" i="2"/>
  <c r="D949" i="2"/>
  <c r="B948" i="2"/>
  <c r="F946" i="2"/>
  <c r="D945" i="2"/>
  <c r="B944" i="2"/>
  <c r="F942" i="2"/>
  <c r="D941" i="2"/>
  <c r="B940" i="2"/>
  <c r="F938" i="2"/>
  <c r="D937" i="2"/>
  <c r="B936" i="2"/>
  <c r="F934" i="2"/>
  <c r="D933" i="2"/>
  <c r="B932" i="2"/>
  <c r="F930" i="2"/>
  <c r="D929" i="2"/>
  <c r="B928" i="2"/>
  <c r="F926" i="2"/>
  <c r="D925" i="2"/>
  <c r="B924" i="2"/>
  <c r="F922" i="2"/>
  <c r="D921" i="2"/>
  <c r="B920" i="2"/>
  <c r="F918" i="2"/>
  <c r="D917" i="2"/>
  <c r="B916" i="2"/>
  <c r="F914" i="2"/>
  <c r="D913" i="2"/>
  <c r="B912" i="2"/>
  <c r="F910" i="2"/>
  <c r="D909" i="2"/>
  <c r="B908" i="2"/>
  <c r="F906" i="2"/>
  <c r="D905" i="2"/>
  <c r="B904" i="2"/>
  <c r="F902" i="2"/>
  <c r="D901" i="2"/>
  <c r="B900" i="2"/>
  <c r="F898" i="2"/>
  <c r="D897" i="2"/>
  <c r="B896" i="2"/>
  <c r="F894" i="2"/>
  <c r="D893" i="2"/>
  <c r="B892" i="2"/>
  <c r="F890" i="2"/>
  <c r="D889" i="2"/>
  <c r="B888" i="2"/>
  <c r="F886" i="2"/>
  <c r="D885" i="2"/>
  <c r="B884" i="2"/>
  <c r="F882" i="2"/>
  <c r="D881" i="2"/>
  <c r="B880" i="2"/>
  <c r="F878" i="2"/>
  <c r="D877" i="2"/>
  <c r="B876" i="2"/>
  <c r="F874" i="2"/>
  <c r="D873" i="2"/>
  <c r="B872" i="2"/>
  <c r="F870" i="2"/>
  <c r="D869" i="2"/>
  <c r="B868" i="2"/>
  <c r="F866" i="2"/>
  <c r="D865" i="2"/>
  <c r="B864" i="2"/>
  <c r="F862" i="2"/>
  <c r="D861" i="2"/>
  <c r="B860" i="2"/>
  <c r="F858" i="2"/>
  <c r="D857" i="2"/>
  <c r="B856" i="2"/>
  <c r="F854" i="2"/>
  <c r="D853" i="2"/>
  <c r="B852" i="2"/>
  <c r="F850" i="2"/>
  <c r="D849" i="2"/>
  <c r="B848" i="2"/>
  <c r="F846" i="2"/>
  <c r="D845" i="2"/>
  <c r="B844" i="2"/>
  <c r="F842" i="2"/>
  <c r="D841" i="2"/>
  <c r="B840" i="2"/>
  <c r="F838" i="2"/>
  <c r="D837" i="2"/>
  <c r="B836" i="2"/>
  <c r="F834" i="2"/>
  <c r="D833" i="2"/>
  <c r="B832" i="2"/>
  <c r="F830" i="2"/>
  <c r="D829" i="2"/>
  <c r="B828" i="2"/>
  <c r="F826" i="2"/>
  <c r="D825" i="2"/>
  <c r="B824" i="2"/>
  <c r="F822" i="2"/>
  <c r="D821" i="2"/>
  <c r="B820" i="2"/>
  <c r="F818" i="2"/>
  <c r="D817" i="2"/>
  <c r="B816" i="2"/>
  <c r="F814" i="2"/>
  <c r="D813" i="2"/>
  <c r="B812" i="2"/>
  <c r="F810" i="2"/>
  <c r="D809" i="2"/>
  <c r="B808" i="2"/>
  <c r="F806" i="2"/>
  <c r="D805" i="2"/>
  <c r="B804" i="2"/>
  <c r="F802" i="2"/>
  <c r="D801" i="2"/>
  <c r="B800" i="2"/>
  <c r="F798" i="2"/>
  <c r="D797" i="2"/>
  <c r="B796" i="2"/>
  <c r="F794" i="2"/>
  <c r="D793" i="2"/>
  <c r="B792" i="2"/>
  <c r="F790" i="2"/>
  <c r="D789" i="2"/>
  <c r="B788" i="2"/>
  <c r="F786" i="2"/>
  <c r="D785" i="2"/>
  <c r="B784" i="2"/>
  <c r="F782" i="2"/>
  <c r="D781" i="2"/>
  <c r="B780" i="2"/>
  <c r="F778" i="2"/>
  <c r="D777" i="2"/>
  <c r="B776" i="2"/>
  <c r="F774" i="2"/>
  <c r="D773" i="2"/>
  <c r="B772" i="2"/>
  <c r="F770" i="2"/>
  <c r="D769" i="2"/>
  <c r="B768" i="2"/>
  <c r="F766" i="2"/>
  <c r="D765" i="2"/>
  <c r="B764" i="2"/>
  <c r="F762" i="2"/>
  <c r="D761" i="2"/>
  <c r="B760" i="2"/>
  <c r="F758" i="2"/>
  <c r="D757" i="2"/>
  <c r="B756" i="2"/>
  <c r="F754" i="2"/>
  <c r="D753" i="2"/>
  <c r="B752" i="2"/>
  <c r="F750" i="2"/>
  <c r="D749" i="2"/>
  <c r="B748" i="2"/>
  <c r="F746" i="2"/>
  <c r="D745" i="2"/>
  <c r="B744" i="2"/>
  <c r="F742" i="2"/>
  <c r="D741" i="2"/>
  <c r="B740" i="2"/>
  <c r="F738" i="2"/>
  <c r="D737" i="2"/>
  <c r="B736" i="2"/>
  <c r="F734" i="2"/>
  <c r="D733" i="2"/>
  <c r="B732" i="2"/>
  <c r="F730" i="2"/>
  <c r="D729" i="2"/>
  <c r="B728" i="2"/>
  <c r="F726" i="2"/>
  <c r="D725" i="2"/>
  <c r="B724" i="2"/>
  <c r="F722" i="2"/>
  <c r="D721" i="2"/>
  <c r="B720" i="2"/>
  <c r="F718" i="2"/>
  <c r="D717" i="2"/>
  <c r="B716" i="2"/>
  <c r="F714" i="2"/>
  <c r="D713" i="2"/>
  <c r="B712" i="2"/>
  <c r="F710" i="2"/>
  <c r="D709" i="2"/>
  <c r="B708" i="2"/>
  <c r="F706" i="2"/>
  <c r="D705" i="2"/>
  <c r="B704" i="2"/>
  <c r="F702" i="2"/>
  <c r="D701" i="2"/>
  <c r="B700" i="2"/>
  <c r="F698" i="2"/>
  <c r="D697" i="2"/>
  <c r="B696" i="2"/>
  <c r="F694" i="2"/>
  <c r="D693" i="2"/>
  <c r="B692" i="2"/>
  <c r="F690" i="2"/>
  <c r="D689" i="2"/>
  <c r="B688" i="2"/>
  <c r="F686" i="2"/>
  <c r="D685" i="2"/>
  <c r="B684" i="2"/>
  <c r="F682" i="2"/>
  <c r="D681" i="2"/>
  <c r="B680" i="2"/>
  <c r="F678" i="2"/>
  <c r="D677" i="2"/>
  <c r="B676" i="2"/>
  <c r="F674" i="2"/>
  <c r="D673" i="2"/>
  <c r="B672" i="2"/>
  <c r="F670" i="2"/>
  <c r="D669" i="2"/>
  <c r="B668" i="2"/>
  <c r="F666" i="2"/>
  <c r="D665" i="2"/>
  <c r="B664" i="2"/>
  <c r="F662" i="2"/>
  <c r="D661" i="2"/>
  <c r="B660" i="2"/>
  <c r="F658" i="2"/>
  <c r="D657" i="2"/>
  <c r="B656" i="2"/>
  <c r="F654" i="2"/>
  <c r="D653" i="2"/>
  <c r="B652" i="2"/>
  <c r="F650" i="2"/>
  <c r="D649" i="2"/>
  <c r="B648" i="2"/>
  <c r="F646" i="2"/>
  <c r="D645" i="2"/>
  <c r="B644" i="2"/>
  <c r="F642" i="2"/>
  <c r="D641" i="2"/>
  <c r="B640" i="2"/>
  <c r="F638" i="2"/>
  <c r="D637" i="2"/>
  <c r="B636" i="2"/>
  <c r="F634" i="2"/>
  <c r="D633" i="2"/>
  <c r="B632" i="2"/>
  <c r="F630" i="2"/>
  <c r="D629" i="2"/>
  <c r="B628" i="2"/>
  <c r="F626" i="2"/>
  <c r="D625" i="2"/>
  <c r="B624" i="2"/>
  <c r="F622" i="2"/>
  <c r="D621" i="2"/>
  <c r="B620" i="2"/>
  <c r="F618" i="2"/>
  <c r="D617" i="2"/>
  <c r="B616" i="2"/>
  <c r="F614" i="2"/>
  <c r="D613" i="2"/>
  <c r="B612" i="2"/>
  <c r="F610" i="2"/>
  <c r="E573" i="3"/>
  <c r="A403" i="3"/>
  <c r="C296" i="3"/>
  <c r="A237" i="3"/>
  <c r="C194" i="3"/>
  <c r="E151" i="3"/>
  <c r="B110" i="3"/>
  <c r="D81" i="3"/>
  <c r="F58" i="3"/>
  <c r="C44" i="3"/>
  <c r="E33" i="3"/>
  <c r="A23" i="3"/>
  <c r="C12" i="3"/>
  <c r="E1" i="3"/>
  <c r="A1441" i="2"/>
  <c r="C1430" i="2"/>
  <c r="E1419" i="2"/>
  <c r="A1409" i="2"/>
  <c r="C1398" i="2"/>
  <c r="E1387" i="2"/>
  <c r="A1377" i="2"/>
  <c r="C1366" i="2"/>
  <c r="E1355" i="2"/>
  <c r="A1345" i="2"/>
  <c r="C1334" i="2"/>
  <c r="E1323" i="2"/>
  <c r="A1313" i="2"/>
  <c r="E1303" i="2"/>
  <c r="C1298" i="2"/>
  <c r="A1293" i="2"/>
  <c r="E1287" i="2"/>
  <c r="C1282" i="2"/>
  <c r="A1277" i="2"/>
  <c r="E1271" i="2"/>
  <c r="C1266" i="2"/>
  <c r="A1261" i="2"/>
  <c r="E1255" i="2"/>
  <c r="A1253" i="2"/>
  <c r="C1250" i="2"/>
  <c r="E1247" i="2"/>
  <c r="A1245" i="2"/>
  <c r="C1242" i="2"/>
  <c r="A1240" i="2"/>
  <c r="C1238" i="2"/>
  <c r="C1236" i="2"/>
  <c r="E1234" i="2"/>
  <c r="A1233" i="2"/>
  <c r="A1231" i="2"/>
  <c r="C1229" i="2"/>
  <c r="E1227" i="2"/>
  <c r="E1225" i="2"/>
  <c r="A1224" i="2"/>
  <c r="C1222" i="2"/>
  <c r="C1220" i="2"/>
  <c r="E1218" i="2"/>
  <c r="C1217" i="2"/>
  <c r="A1216" i="2"/>
  <c r="E1214" i="2"/>
  <c r="C1213" i="2"/>
  <c r="A1212" i="2"/>
  <c r="E1210" i="2"/>
  <c r="C1209" i="2"/>
  <c r="A1208" i="2"/>
  <c r="E1206" i="2"/>
  <c r="C1205" i="2"/>
  <c r="A1204" i="2"/>
  <c r="E1202" i="2"/>
  <c r="C1201" i="2"/>
  <c r="A1200" i="2"/>
  <c r="E1198" i="2"/>
  <c r="C1197" i="2"/>
  <c r="A1196" i="2"/>
  <c r="E1194" i="2"/>
  <c r="C1193" i="2"/>
  <c r="A1192" i="2"/>
  <c r="E1190" i="2"/>
  <c r="C1189" i="2"/>
  <c r="A1188" i="2"/>
  <c r="E1186" i="2"/>
  <c r="C1185" i="2"/>
  <c r="A1184" i="2"/>
  <c r="E1182" i="2"/>
  <c r="C1181" i="2"/>
  <c r="A1180" i="2"/>
  <c r="E1178" i="2"/>
  <c r="C1177" i="2"/>
  <c r="A1176" i="2"/>
  <c r="E1174" i="2"/>
  <c r="C1173" i="2"/>
  <c r="A1172" i="2"/>
  <c r="E1170" i="2"/>
  <c r="C1169" i="2"/>
  <c r="A1168" i="2"/>
  <c r="E1166" i="2"/>
  <c r="C1165" i="2"/>
  <c r="A1164" i="2"/>
  <c r="E1162" i="2"/>
  <c r="C1161" i="2"/>
  <c r="A1160" i="2"/>
  <c r="E1158" i="2"/>
  <c r="C1157" i="2"/>
  <c r="A1156" i="2"/>
  <c r="E1154" i="2"/>
  <c r="C1153" i="2"/>
  <c r="A1152" i="2"/>
  <c r="E1150" i="2"/>
  <c r="C1149" i="2"/>
  <c r="A1148" i="2"/>
  <c r="E1146" i="2"/>
  <c r="C1145" i="2"/>
  <c r="A1144" i="2"/>
  <c r="E1142" i="2"/>
  <c r="C1141" i="2"/>
  <c r="A1140" i="2"/>
  <c r="E1138" i="2"/>
  <c r="C1137" i="2"/>
  <c r="A1136" i="2"/>
  <c r="E1134" i="2"/>
  <c r="C1133" i="2"/>
  <c r="A1132" i="2"/>
  <c r="E1130" i="2"/>
  <c r="C1129" i="2"/>
  <c r="A1128" i="2"/>
  <c r="E1126" i="2"/>
  <c r="C1125" i="2"/>
  <c r="A1124" i="2"/>
  <c r="E1122" i="2"/>
  <c r="C1121" i="2"/>
  <c r="A1120" i="2"/>
  <c r="E1118" i="2"/>
  <c r="C1117" i="2"/>
  <c r="A1116" i="2"/>
  <c r="E1114" i="2"/>
  <c r="C1113" i="2"/>
  <c r="A1112" i="2"/>
  <c r="E1110" i="2"/>
  <c r="C1109" i="2"/>
  <c r="A1108" i="2"/>
  <c r="E1106" i="2"/>
  <c r="C1105" i="2"/>
  <c r="A1104" i="2"/>
  <c r="E1102" i="2"/>
  <c r="C1101" i="2"/>
  <c r="A1100" i="2"/>
  <c r="E1098" i="2"/>
  <c r="C1097" i="2"/>
  <c r="A1096" i="2"/>
  <c r="E1094" i="2"/>
  <c r="C1093" i="2"/>
  <c r="A1092" i="2"/>
  <c r="E1090" i="2"/>
  <c r="C1089" i="2"/>
  <c r="A1088" i="2"/>
  <c r="E1086" i="2"/>
  <c r="C1085" i="2"/>
  <c r="A1084" i="2"/>
  <c r="E1082" i="2"/>
  <c r="C1081" i="2"/>
  <c r="A1080" i="2"/>
  <c r="E1078" i="2"/>
  <c r="C1077" i="2"/>
  <c r="A1076" i="2"/>
  <c r="E1074" i="2"/>
  <c r="C1073" i="2"/>
  <c r="A1072" i="2"/>
  <c r="E1070" i="2"/>
  <c r="C1069" i="2"/>
  <c r="A1068" i="2"/>
  <c r="E1066" i="2"/>
  <c r="C1065" i="2"/>
  <c r="A1064" i="2"/>
  <c r="E1062" i="2"/>
  <c r="C1061" i="2"/>
  <c r="A1060" i="2"/>
  <c r="E1058" i="2"/>
  <c r="C1057" i="2"/>
  <c r="A1056" i="2"/>
  <c r="E1054" i="2"/>
  <c r="C1053" i="2"/>
  <c r="A1052" i="2"/>
  <c r="E1050" i="2"/>
  <c r="C1049" i="2"/>
  <c r="A1048" i="2"/>
  <c r="E1046" i="2"/>
  <c r="C1045" i="2"/>
  <c r="A1044" i="2"/>
  <c r="E1042" i="2"/>
  <c r="C1041" i="2"/>
  <c r="A1040" i="2"/>
  <c r="E1038" i="2"/>
  <c r="C1037" i="2"/>
  <c r="A1036" i="2"/>
  <c r="E1034" i="2"/>
  <c r="C1033" i="2"/>
  <c r="A1032" i="2"/>
  <c r="E1030" i="2"/>
  <c r="C1029" i="2"/>
  <c r="A1028" i="2"/>
  <c r="E1026" i="2"/>
  <c r="C1025" i="2"/>
  <c r="A1024" i="2"/>
  <c r="E1022" i="2"/>
  <c r="C1021" i="2"/>
  <c r="A1020" i="2"/>
  <c r="E1018" i="2"/>
  <c r="C1017" i="2"/>
  <c r="A1016" i="2"/>
  <c r="E1014" i="2"/>
  <c r="C1013" i="2"/>
  <c r="A1012" i="2"/>
  <c r="E1010" i="2"/>
  <c r="C1009" i="2"/>
  <c r="A1008" i="2"/>
  <c r="E1006" i="2"/>
  <c r="C1005" i="2"/>
  <c r="A1004" i="2"/>
  <c r="E1002" i="2"/>
  <c r="C1001" i="2"/>
  <c r="A1000" i="2"/>
  <c r="E998" i="2"/>
  <c r="C997" i="2"/>
  <c r="A996" i="2"/>
  <c r="E994" i="2"/>
  <c r="C993" i="2"/>
  <c r="A992" i="2"/>
  <c r="E990" i="2"/>
  <c r="C989" i="2"/>
  <c r="A988" i="2"/>
  <c r="E986" i="2"/>
  <c r="C985" i="2"/>
  <c r="A984" i="2"/>
  <c r="E982" i="2"/>
  <c r="C981" i="2"/>
  <c r="A980" i="2"/>
  <c r="E978" i="2"/>
  <c r="C977" i="2"/>
  <c r="A976" i="2"/>
  <c r="E974" i="2"/>
  <c r="C973" i="2"/>
  <c r="A972" i="2"/>
  <c r="E970" i="2"/>
  <c r="C969" i="2"/>
  <c r="A968" i="2"/>
  <c r="E966" i="2"/>
  <c r="C965" i="2"/>
  <c r="A964" i="2"/>
  <c r="E962" i="2"/>
  <c r="C961" i="2"/>
  <c r="A960" i="2"/>
  <c r="E958" i="2"/>
  <c r="C957" i="2"/>
  <c r="A956" i="2"/>
  <c r="E954" i="2"/>
  <c r="C953" i="2"/>
  <c r="A952" i="2"/>
  <c r="E950" i="2"/>
  <c r="C949" i="2"/>
  <c r="A948" i="2"/>
  <c r="E946" i="2"/>
  <c r="C945" i="2"/>
  <c r="A944" i="2"/>
  <c r="E942" i="2"/>
  <c r="C941" i="2"/>
  <c r="A940" i="2"/>
  <c r="E938" i="2"/>
  <c r="C937" i="2"/>
  <c r="A936" i="2"/>
  <c r="E934" i="2"/>
  <c r="C933" i="2"/>
  <c r="A932" i="2"/>
  <c r="E930" i="2"/>
  <c r="C929" i="2"/>
  <c r="A928" i="2"/>
  <c r="E926" i="2"/>
  <c r="C925" i="2"/>
  <c r="A924" i="2"/>
  <c r="E922" i="2"/>
  <c r="C921" i="2"/>
  <c r="A920" i="2"/>
  <c r="E918" i="2"/>
  <c r="C917" i="2"/>
  <c r="A916" i="2"/>
  <c r="E914" i="2"/>
  <c r="C913" i="2"/>
  <c r="A912" i="2"/>
  <c r="E910" i="2"/>
  <c r="C909" i="2"/>
  <c r="A908" i="2"/>
  <c r="E906" i="2"/>
  <c r="C905" i="2"/>
  <c r="A904" i="2"/>
  <c r="E902" i="2"/>
  <c r="C901" i="2"/>
  <c r="A900" i="2"/>
  <c r="E898" i="2"/>
  <c r="C897" i="2"/>
  <c r="A896" i="2"/>
  <c r="E894" i="2"/>
  <c r="C893" i="2"/>
  <c r="A892" i="2"/>
  <c r="E890" i="2"/>
  <c r="C889" i="2"/>
  <c r="A888" i="2"/>
  <c r="E886" i="2"/>
  <c r="C885" i="2"/>
  <c r="A884" i="2"/>
  <c r="E882" i="2"/>
  <c r="C881" i="2"/>
  <c r="A880" i="2"/>
  <c r="E878" i="2"/>
  <c r="C877" i="2"/>
  <c r="A876" i="2"/>
  <c r="E874" i="2"/>
  <c r="C873" i="2"/>
  <c r="A872" i="2"/>
  <c r="E870" i="2"/>
  <c r="C869" i="2"/>
  <c r="A868" i="2"/>
  <c r="E866" i="2"/>
  <c r="C865" i="2"/>
  <c r="A864" i="2"/>
  <c r="E862" i="2"/>
  <c r="C861" i="2"/>
  <c r="A860" i="2"/>
  <c r="E858" i="2"/>
  <c r="C857" i="2"/>
  <c r="A856" i="2"/>
  <c r="E854" i="2"/>
  <c r="C853" i="2"/>
  <c r="A852" i="2"/>
  <c r="E850" i="2"/>
  <c r="C849" i="2"/>
  <c r="A848" i="2"/>
  <c r="E846" i="2"/>
  <c r="C845" i="2"/>
  <c r="A844" i="2"/>
  <c r="E842" i="2"/>
  <c r="C841" i="2"/>
  <c r="A840" i="2"/>
  <c r="E838" i="2"/>
  <c r="C837" i="2"/>
  <c r="A836" i="2"/>
  <c r="E834" i="2"/>
  <c r="C833" i="2"/>
  <c r="A832" i="2"/>
  <c r="E830" i="2"/>
  <c r="C829" i="2"/>
  <c r="A828" i="2"/>
  <c r="E826" i="2"/>
  <c r="C825" i="2"/>
  <c r="A824" i="2"/>
  <c r="E822" i="2"/>
  <c r="C821" i="2"/>
  <c r="A820" i="2"/>
  <c r="E818" i="2"/>
  <c r="C817" i="2"/>
  <c r="A816" i="2"/>
  <c r="E814" i="2"/>
  <c r="C813" i="2"/>
  <c r="A812" i="2"/>
  <c r="E810" i="2"/>
  <c r="C809" i="2"/>
  <c r="A808" i="2"/>
  <c r="E806" i="2"/>
  <c r="C805" i="2"/>
  <c r="A804" i="2"/>
  <c r="E802" i="2"/>
  <c r="C801" i="2"/>
  <c r="A800" i="2"/>
  <c r="E798" i="2"/>
  <c r="C797" i="2"/>
  <c r="A796" i="2"/>
  <c r="E794" i="2"/>
  <c r="C793" i="2"/>
  <c r="A792" i="2"/>
  <c r="E790" i="2"/>
  <c r="C789" i="2"/>
  <c r="A788" i="2"/>
  <c r="E786" i="2"/>
  <c r="C785" i="2"/>
  <c r="A784" i="2"/>
  <c r="E782" i="2"/>
  <c r="C781" i="2"/>
  <c r="A780" i="2"/>
  <c r="E778" i="2"/>
  <c r="C777" i="2"/>
  <c r="A776" i="2"/>
  <c r="E774" i="2"/>
  <c r="C773" i="2"/>
  <c r="A772" i="2"/>
  <c r="E770" i="2"/>
  <c r="C769" i="2"/>
  <c r="A768" i="2"/>
  <c r="E766" i="2"/>
  <c r="C765" i="2"/>
  <c r="A764" i="2"/>
  <c r="E762" i="2"/>
  <c r="C761" i="2"/>
  <c r="A760" i="2"/>
  <c r="E758" i="2"/>
  <c r="C757" i="2"/>
  <c r="A756" i="2"/>
  <c r="E754" i="2"/>
  <c r="C753" i="2"/>
  <c r="A752" i="2"/>
  <c r="E750" i="2"/>
  <c r="C749" i="2"/>
  <c r="A748" i="2"/>
  <c r="E746" i="2"/>
  <c r="C745" i="2"/>
  <c r="A744" i="2"/>
  <c r="E742" i="2"/>
  <c r="C741" i="2"/>
  <c r="A740" i="2"/>
  <c r="E738" i="2"/>
  <c r="C737" i="2"/>
  <c r="A736" i="2"/>
  <c r="E734" i="2"/>
  <c r="C733" i="2"/>
  <c r="A732" i="2"/>
  <c r="E730" i="2"/>
  <c r="C729" i="2"/>
  <c r="A728" i="2"/>
  <c r="E726" i="2"/>
  <c r="C725" i="2"/>
  <c r="A724" i="2"/>
  <c r="E722" i="2"/>
  <c r="C721" i="2"/>
  <c r="A720" i="2"/>
  <c r="E718" i="2"/>
  <c r="C717" i="2"/>
  <c r="A716" i="2"/>
  <c r="E714" i="2"/>
  <c r="C713" i="2"/>
  <c r="A712" i="2"/>
  <c r="E710" i="2"/>
  <c r="C709" i="2"/>
  <c r="A708" i="2"/>
  <c r="E706" i="2"/>
  <c r="C705" i="2"/>
  <c r="A704" i="2"/>
  <c r="E702" i="2"/>
  <c r="C701" i="2"/>
  <c r="A700" i="2"/>
  <c r="E698" i="2"/>
  <c r="C697" i="2"/>
  <c r="A696" i="2"/>
  <c r="E694" i="2"/>
  <c r="C693" i="2"/>
  <c r="A692" i="2"/>
  <c r="E690" i="2"/>
  <c r="C689" i="2"/>
  <c r="A688" i="2"/>
  <c r="E686" i="2"/>
  <c r="C685" i="2"/>
  <c r="A684" i="2"/>
  <c r="E682" i="2"/>
  <c r="C681" i="2"/>
  <c r="A680" i="2"/>
  <c r="E678" i="2"/>
  <c r="C677" i="2"/>
  <c r="A676" i="2"/>
  <c r="E674" i="2"/>
  <c r="C673" i="2"/>
  <c r="A672" i="2"/>
  <c r="E670" i="2"/>
  <c r="C669" i="2"/>
  <c r="A668" i="2"/>
  <c r="E666" i="2"/>
  <c r="C665" i="2"/>
  <c r="A664" i="2"/>
  <c r="E662" i="2"/>
  <c r="C661" i="2"/>
  <c r="A660" i="2"/>
  <c r="E658" i="2"/>
  <c r="C657" i="2"/>
  <c r="A656" i="2"/>
  <c r="E654" i="2"/>
  <c r="C653" i="2"/>
  <c r="A652" i="2"/>
  <c r="E650" i="2"/>
  <c r="C649" i="2"/>
  <c r="A648" i="2"/>
  <c r="E646" i="2"/>
  <c r="C552" i="3"/>
  <c r="E381" i="3"/>
  <c r="E285" i="3"/>
  <c r="E231" i="3"/>
  <c r="A189" i="3"/>
  <c r="C146" i="3"/>
  <c r="C106" i="3"/>
  <c r="B78" i="3"/>
  <c r="B56" i="3"/>
  <c r="A43" i="3"/>
  <c r="C32" i="3"/>
  <c r="E21" i="3"/>
  <c r="A11" i="3"/>
  <c r="C1450" i="2"/>
  <c r="E1439" i="2"/>
  <c r="A1429" i="2"/>
  <c r="C1418" i="2"/>
  <c r="E1407" i="2"/>
  <c r="A1397" i="2"/>
  <c r="C1386" i="2"/>
  <c r="E1375" i="2"/>
  <c r="A1365" i="2"/>
  <c r="C1354" i="2"/>
  <c r="E1343" i="2"/>
  <c r="A1333" i="2"/>
  <c r="C1322" i="2"/>
  <c r="E1311" i="2"/>
  <c r="F1302" i="2"/>
  <c r="D1297" i="2"/>
  <c r="B1292" i="2"/>
  <c r="F1286" i="2"/>
  <c r="D1281" i="2"/>
  <c r="B1276" i="2"/>
  <c r="F1270" i="2"/>
  <c r="D1265" i="2"/>
  <c r="B1260" i="2"/>
  <c r="D1255" i="2"/>
  <c r="F1252" i="2"/>
  <c r="B1250" i="2"/>
  <c r="D1247" i="2"/>
  <c r="F1244" i="2"/>
  <c r="B1242" i="2"/>
  <c r="F1239" i="2"/>
  <c r="B1238" i="2"/>
  <c r="B1236" i="2"/>
  <c r="D1234" i="2"/>
  <c r="F1232" i="2"/>
  <c r="F1230" i="2"/>
  <c r="B1229" i="2"/>
  <c r="D1227" i="2"/>
  <c r="D1225" i="2"/>
  <c r="F1223" i="2"/>
  <c r="B1222" i="2"/>
  <c r="B1220" i="2"/>
  <c r="D1218" i="2"/>
  <c r="B1217" i="2"/>
  <c r="F1215" i="2"/>
  <c r="D1214" i="2"/>
  <c r="B1213" i="2"/>
  <c r="F1211" i="2"/>
  <c r="D1210" i="2"/>
  <c r="B1209" i="2"/>
  <c r="F1207" i="2"/>
  <c r="D1206" i="2"/>
  <c r="B1205" i="2"/>
  <c r="F1203" i="2"/>
  <c r="D1202" i="2"/>
  <c r="B1201" i="2"/>
  <c r="F1199" i="2"/>
  <c r="D1198" i="2"/>
  <c r="B1197" i="2"/>
  <c r="F1195" i="2"/>
  <c r="D1194" i="2"/>
  <c r="B1193" i="2"/>
  <c r="F1191" i="2"/>
  <c r="D1190" i="2"/>
  <c r="B1189" i="2"/>
  <c r="F1187" i="2"/>
  <c r="D1186" i="2"/>
  <c r="B1185" i="2"/>
  <c r="F1183" i="2"/>
  <c r="D1182" i="2"/>
  <c r="B1181" i="2"/>
  <c r="F1179" i="2"/>
  <c r="D1178" i="2"/>
  <c r="B1177" i="2"/>
  <c r="F1175" i="2"/>
  <c r="D1174" i="2"/>
  <c r="B1173" i="2"/>
  <c r="F1171" i="2"/>
  <c r="D1170" i="2"/>
  <c r="B1169" i="2"/>
  <c r="F1167" i="2"/>
  <c r="D1166" i="2"/>
  <c r="B1165" i="2"/>
  <c r="F1163" i="2"/>
  <c r="D1162" i="2"/>
  <c r="B1161" i="2"/>
  <c r="F1159" i="2"/>
  <c r="D1158" i="2"/>
  <c r="B1157" i="2"/>
  <c r="F1155" i="2"/>
  <c r="D1154" i="2"/>
  <c r="B1153" i="2"/>
  <c r="F1151" i="2"/>
  <c r="D1150" i="2"/>
  <c r="B1149" i="2"/>
  <c r="F1147" i="2"/>
  <c r="D1146" i="2"/>
  <c r="B1145" i="2"/>
  <c r="F1143" i="2"/>
  <c r="D1142" i="2"/>
  <c r="B1141" i="2"/>
  <c r="F1139" i="2"/>
  <c r="D1138" i="2"/>
  <c r="B1137" i="2"/>
  <c r="F1135" i="2"/>
  <c r="D1134" i="2"/>
  <c r="B1133" i="2"/>
  <c r="F1131" i="2"/>
  <c r="D1130" i="2"/>
  <c r="B1129" i="2"/>
  <c r="F1127" i="2"/>
  <c r="D1126" i="2"/>
  <c r="B1125" i="2"/>
  <c r="F1123" i="2"/>
  <c r="D1122" i="2"/>
  <c r="B1121" i="2"/>
  <c r="F1119" i="2"/>
  <c r="D1118" i="2"/>
  <c r="B1117" i="2"/>
  <c r="F1115" i="2"/>
  <c r="D1114" i="2"/>
  <c r="B1113" i="2"/>
  <c r="F1111" i="2"/>
  <c r="D1110" i="2"/>
  <c r="B1109" i="2"/>
  <c r="F1107" i="2"/>
  <c r="D1106" i="2"/>
  <c r="B1105" i="2"/>
  <c r="F1103" i="2"/>
  <c r="D1102" i="2"/>
  <c r="B1101" i="2"/>
  <c r="F1099" i="2"/>
  <c r="D1098" i="2"/>
  <c r="B1097" i="2"/>
  <c r="F1095" i="2"/>
  <c r="D1094" i="2"/>
  <c r="B1093" i="2"/>
  <c r="F1091" i="2"/>
  <c r="D1090" i="2"/>
  <c r="B1089" i="2"/>
  <c r="F1087" i="2"/>
  <c r="D1086" i="2"/>
  <c r="B1085" i="2"/>
  <c r="F1083" i="2"/>
  <c r="D1082" i="2"/>
  <c r="B1081" i="2"/>
  <c r="F1079" i="2"/>
  <c r="D1078" i="2"/>
  <c r="B1077" i="2"/>
  <c r="F1075" i="2"/>
  <c r="D1074" i="2"/>
  <c r="B1073" i="2"/>
  <c r="F1071" i="2"/>
  <c r="D1070" i="2"/>
  <c r="B1069" i="2"/>
  <c r="F1067" i="2"/>
  <c r="D1066" i="2"/>
  <c r="B1065" i="2"/>
  <c r="F1063" i="2"/>
  <c r="D1062" i="2"/>
  <c r="B1061" i="2"/>
  <c r="F1059" i="2"/>
  <c r="D1058" i="2"/>
  <c r="B1057" i="2"/>
  <c r="F1055" i="2"/>
  <c r="D1054" i="2"/>
  <c r="B1053" i="2"/>
  <c r="F1051" i="2"/>
  <c r="D1050" i="2"/>
  <c r="B1049" i="2"/>
  <c r="F1047" i="2"/>
  <c r="D1046" i="2"/>
  <c r="B1045" i="2"/>
  <c r="F1043" i="2"/>
  <c r="D1042" i="2"/>
  <c r="B1041" i="2"/>
  <c r="F1039" i="2"/>
  <c r="D1038" i="2"/>
  <c r="B1037" i="2"/>
  <c r="F1035" i="2"/>
  <c r="D1034" i="2"/>
  <c r="B1033" i="2"/>
  <c r="F1031" i="2"/>
  <c r="D1030" i="2"/>
  <c r="B1029" i="2"/>
  <c r="F1027" i="2"/>
  <c r="D1026" i="2"/>
  <c r="B1025" i="2"/>
  <c r="F1023" i="2"/>
  <c r="D1022" i="2"/>
  <c r="B1021" i="2"/>
  <c r="F1019" i="2"/>
  <c r="D1018" i="2"/>
  <c r="B1017" i="2"/>
  <c r="F1015" i="2"/>
  <c r="D1014" i="2"/>
  <c r="B1013" i="2"/>
  <c r="F1011" i="2"/>
  <c r="D1010" i="2"/>
  <c r="B1009" i="2"/>
  <c r="F1007" i="2"/>
  <c r="D1006" i="2"/>
  <c r="B1005" i="2"/>
  <c r="F1003" i="2"/>
  <c r="D1002" i="2"/>
  <c r="B1001" i="2"/>
  <c r="F999" i="2"/>
  <c r="D998" i="2"/>
  <c r="B997" i="2"/>
  <c r="F995" i="2"/>
  <c r="D994" i="2"/>
  <c r="B993" i="2"/>
  <c r="F991" i="2"/>
  <c r="D990" i="2"/>
  <c r="B989" i="2"/>
  <c r="F987" i="2"/>
  <c r="D986" i="2"/>
  <c r="B985" i="2"/>
  <c r="F983" i="2"/>
  <c r="D982" i="2"/>
  <c r="B981" i="2"/>
  <c r="F979" i="2"/>
  <c r="D978" i="2"/>
  <c r="B977" i="2"/>
  <c r="F975" i="2"/>
  <c r="D974" i="2"/>
  <c r="B973" i="2"/>
  <c r="F971" i="2"/>
  <c r="D970" i="2"/>
  <c r="B969" i="2"/>
  <c r="F967" i="2"/>
  <c r="D966" i="2"/>
  <c r="B965" i="2"/>
  <c r="F963" i="2"/>
  <c r="D962" i="2"/>
  <c r="B961" i="2"/>
  <c r="F959" i="2"/>
  <c r="D958" i="2"/>
  <c r="B957" i="2"/>
  <c r="F955" i="2"/>
  <c r="D954" i="2"/>
  <c r="B953" i="2"/>
  <c r="F951" i="2"/>
  <c r="D950" i="2"/>
  <c r="B949" i="2"/>
  <c r="F947" i="2"/>
  <c r="D946" i="2"/>
  <c r="B945" i="2"/>
  <c r="F943" i="2"/>
  <c r="D942" i="2"/>
  <c r="B941" i="2"/>
  <c r="F939" i="2"/>
  <c r="D938" i="2"/>
  <c r="B937" i="2"/>
  <c r="F935" i="2"/>
  <c r="D934" i="2"/>
  <c r="B933" i="2"/>
  <c r="F931" i="2"/>
  <c r="D930" i="2"/>
  <c r="B929" i="2"/>
  <c r="F927" i="2"/>
  <c r="D926" i="2"/>
  <c r="B925" i="2"/>
  <c r="F923" i="2"/>
  <c r="D922" i="2"/>
  <c r="B921" i="2"/>
  <c r="F919" i="2"/>
  <c r="D918" i="2"/>
  <c r="B917" i="2"/>
  <c r="F915" i="2"/>
  <c r="D914" i="2"/>
  <c r="B913" i="2"/>
  <c r="F911" i="2"/>
  <c r="D910" i="2"/>
  <c r="B909" i="2"/>
  <c r="F907" i="2"/>
  <c r="D906" i="2"/>
  <c r="B905" i="2"/>
  <c r="F903" i="2"/>
  <c r="D902" i="2"/>
  <c r="B901" i="2"/>
  <c r="F899" i="2"/>
  <c r="D898" i="2"/>
  <c r="B897" i="2"/>
  <c r="F895" i="2"/>
  <c r="D894" i="2"/>
  <c r="B893" i="2"/>
  <c r="F891" i="2"/>
  <c r="D890" i="2"/>
  <c r="B889" i="2"/>
  <c r="F887" i="2"/>
  <c r="D886" i="2"/>
  <c r="B885" i="2"/>
  <c r="F883" i="2"/>
  <c r="D882" i="2"/>
  <c r="B881" i="2"/>
  <c r="F879" i="2"/>
  <c r="D878" i="2"/>
  <c r="B877" i="2"/>
  <c r="F875" i="2"/>
  <c r="D874" i="2"/>
  <c r="B873" i="2"/>
  <c r="F871" i="2"/>
  <c r="D870" i="2"/>
  <c r="B869" i="2"/>
  <c r="F867" i="2"/>
  <c r="D866" i="2"/>
  <c r="B865" i="2"/>
  <c r="F863" i="2"/>
  <c r="D862" i="2"/>
  <c r="B861" i="2"/>
  <c r="E509" i="3"/>
  <c r="E352" i="3"/>
  <c r="C265" i="3"/>
  <c r="A221" i="3"/>
  <c r="C178" i="3"/>
  <c r="E135" i="3"/>
  <c r="D99" i="3"/>
  <c r="B72" i="3"/>
  <c r="B51" i="3"/>
  <c r="C40" i="3"/>
  <c r="E29" i="3"/>
  <c r="A19" i="3"/>
  <c r="C8" i="3"/>
  <c r="E1447" i="2"/>
  <c r="A1437" i="2"/>
  <c r="C1426" i="2"/>
  <c r="E1415" i="2"/>
  <c r="A1405" i="2"/>
  <c r="C1394" i="2"/>
  <c r="E1383" i="2"/>
  <c r="A1373" i="2"/>
  <c r="C1362" i="2"/>
  <c r="E1351" i="2"/>
  <c r="A1341" i="2"/>
  <c r="C1330" i="2"/>
  <c r="E1319" i="2"/>
  <c r="A1309" i="2"/>
  <c r="D1301" i="2"/>
  <c r="B1296" i="2"/>
  <c r="F1290" i="2"/>
  <c r="D1285" i="2"/>
  <c r="B1280" i="2"/>
  <c r="F1274" i="2"/>
  <c r="D1269" i="2"/>
  <c r="B1264" i="2"/>
  <c r="F1258" i="2"/>
  <c r="E1254" i="2"/>
  <c r="A1252" i="2"/>
  <c r="C1249" i="2"/>
  <c r="E1246" i="2"/>
  <c r="A1244" i="2"/>
  <c r="C1241" i="2"/>
  <c r="D1239" i="2"/>
  <c r="D1237" i="2"/>
  <c r="F1235" i="2"/>
  <c r="B1234" i="2"/>
  <c r="B1232" i="2"/>
  <c r="D1230" i="2"/>
  <c r="F1228" i="2"/>
  <c r="F1226" i="2"/>
  <c r="B1225" i="2"/>
  <c r="D1223" i="2"/>
  <c r="D1221" i="2"/>
  <c r="F1219" i="2"/>
  <c r="B1218" i="2"/>
  <c r="F1216" i="2"/>
  <c r="D1215" i="2"/>
  <c r="B1214" i="2"/>
  <c r="F1212" i="2"/>
  <c r="D1211" i="2"/>
  <c r="B1210" i="2"/>
  <c r="F1208" i="2"/>
  <c r="D1207" i="2"/>
  <c r="B1206" i="2"/>
  <c r="F1204" i="2"/>
  <c r="D1203" i="2"/>
  <c r="B1202" i="2"/>
  <c r="F1200" i="2"/>
  <c r="D1199" i="2"/>
  <c r="B1198" i="2"/>
  <c r="F1196" i="2"/>
  <c r="D1195" i="2"/>
  <c r="B1194" i="2"/>
  <c r="F1192" i="2"/>
  <c r="D1191" i="2"/>
  <c r="B1190" i="2"/>
  <c r="F1188" i="2"/>
  <c r="D1187" i="2"/>
  <c r="B1186" i="2"/>
  <c r="F1184" i="2"/>
  <c r="D1183" i="2"/>
  <c r="B1182" i="2"/>
  <c r="F1180" i="2"/>
  <c r="D1179" i="2"/>
  <c r="B1178" i="2"/>
  <c r="F1176" i="2"/>
  <c r="D1175" i="2"/>
  <c r="B1174" i="2"/>
  <c r="F1172" i="2"/>
  <c r="D1171" i="2"/>
  <c r="B1170" i="2"/>
  <c r="F1168" i="2"/>
  <c r="D1167" i="2"/>
  <c r="B1166" i="2"/>
  <c r="F1164" i="2"/>
  <c r="D1163" i="2"/>
  <c r="B1162" i="2"/>
  <c r="F1160" i="2"/>
  <c r="D1159" i="2"/>
  <c r="B1158" i="2"/>
  <c r="F1156" i="2"/>
  <c r="D1155" i="2"/>
  <c r="B1154" i="2"/>
  <c r="F1152" i="2"/>
  <c r="D1151" i="2"/>
  <c r="B1150" i="2"/>
  <c r="F1148" i="2"/>
  <c r="D1147" i="2"/>
  <c r="B1146" i="2"/>
  <c r="F1144" i="2"/>
  <c r="D1143" i="2"/>
  <c r="B1142" i="2"/>
  <c r="F1140" i="2"/>
  <c r="D1139" i="2"/>
  <c r="B1138" i="2"/>
  <c r="F1136" i="2"/>
  <c r="D1135" i="2"/>
  <c r="B1134" i="2"/>
  <c r="F1132" i="2"/>
  <c r="D1131" i="2"/>
  <c r="B1130" i="2"/>
  <c r="F1128" i="2"/>
  <c r="D1127" i="2"/>
  <c r="B1126" i="2"/>
  <c r="F1124" i="2"/>
  <c r="D1123" i="2"/>
  <c r="B1122" i="2"/>
  <c r="F1120" i="2"/>
  <c r="D1119" i="2"/>
  <c r="B1118" i="2"/>
  <c r="F1116" i="2"/>
  <c r="D1115" i="2"/>
  <c r="B1114" i="2"/>
  <c r="F1112" i="2"/>
  <c r="D1111" i="2"/>
  <c r="B1110" i="2"/>
  <c r="F1108" i="2"/>
  <c r="D1107" i="2"/>
  <c r="B1106" i="2"/>
  <c r="F1104" i="2"/>
  <c r="D1103" i="2"/>
  <c r="B1102" i="2"/>
  <c r="F1100" i="2"/>
  <c r="D1099" i="2"/>
  <c r="B1098" i="2"/>
  <c r="F1096" i="2"/>
  <c r="D1095" i="2"/>
  <c r="B1094" i="2"/>
  <c r="F1092" i="2"/>
  <c r="D1091" i="2"/>
  <c r="B1090" i="2"/>
  <c r="F1088" i="2"/>
  <c r="D1087" i="2"/>
  <c r="B1086" i="2"/>
  <c r="F1084" i="2"/>
  <c r="D1083" i="2"/>
  <c r="B1082" i="2"/>
  <c r="F1080" i="2"/>
  <c r="D1079" i="2"/>
  <c r="B1078" i="2"/>
  <c r="F1076" i="2"/>
  <c r="D1075" i="2"/>
  <c r="B1074" i="2"/>
  <c r="F1072" i="2"/>
  <c r="D1071" i="2"/>
  <c r="B1070" i="2"/>
  <c r="F1068" i="2"/>
  <c r="D1067" i="2"/>
  <c r="B1066" i="2"/>
  <c r="F1064" i="2"/>
  <c r="D1063" i="2"/>
  <c r="B1062" i="2"/>
  <c r="F1060" i="2"/>
  <c r="D1059" i="2"/>
  <c r="B1058" i="2"/>
  <c r="F1056" i="2"/>
  <c r="D1055" i="2"/>
  <c r="B1054" i="2"/>
  <c r="F1052" i="2"/>
  <c r="D1051" i="2"/>
  <c r="B1050" i="2"/>
  <c r="F1048" i="2"/>
  <c r="D1047" i="2"/>
  <c r="B1046" i="2"/>
  <c r="F1044" i="2"/>
  <c r="D1043" i="2"/>
  <c r="B1042" i="2"/>
  <c r="F1040" i="2"/>
  <c r="D1039" i="2"/>
  <c r="B1038" i="2"/>
  <c r="F1036" i="2"/>
  <c r="D1035" i="2"/>
  <c r="B1034" i="2"/>
  <c r="F1032" i="2"/>
  <c r="D1031" i="2"/>
  <c r="B1030" i="2"/>
  <c r="F1028" i="2"/>
  <c r="D1027" i="2"/>
  <c r="B1026" i="2"/>
  <c r="F1024" i="2"/>
  <c r="D1023" i="2"/>
  <c r="B1022" i="2"/>
  <c r="F1020" i="2"/>
  <c r="D1019" i="2"/>
  <c r="B1018" i="2"/>
  <c r="F1016" i="2"/>
  <c r="D1015" i="2"/>
  <c r="B1014" i="2"/>
  <c r="F1012" i="2"/>
  <c r="D1011" i="2"/>
  <c r="B1010" i="2"/>
  <c r="F1008" i="2"/>
  <c r="D1007" i="2"/>
  <c r="B1006" i="2"/>
  <c r="F1004" i="2"/>
  <c r="D1003" i="2"/>
  <c r="B1002" i="2"/>
  <c r="F1000" i="2"/>
  <c r="D999" i="2"/>
  <c r="B998" i="2"/>
  <c r="F996" i="2"/>
  <c r="D995" i="2"/>
  <c r="B994" i="2"/>
  <c r="F992" i="2"/>
  <c r="D991" i="2"/>
  <c r="B990" i="2"/>
  <c r="F988" i="2"/>
  <c r="D987" i="2"/>
  <c r="B986" i="2"/>
  <c r="F984" i="2"/>
  <c r="D983" i="2"/>
  <c r="B982" i="2"/>
  <c r="F980" i="2"/>
  <c r="D979" i="2"/>
  <c r="B978" i="2"/>
  <c r="F976" i="2"/>
  <c r="D975" i="2"/>
  <c r="B974" i="2"/>
  <c r="F972" i="2"/>
  <c r="D971" i="2"/>
  <c r="B970" i="2"/>
  <c r="F968" i="2"/>
  <c r="D967" i="2"/>
  <c r="B966" i="2"/>
  <c r="F964" i="2"/>
  <c r="D963" i="2"/>
  <c r="B962" i="2"/>
  <c r="F960" i="2"/>
  <c r="D959" i="2"/>
  <c r="B958" i="2"/>
  <c r="F956" i="2"/>
  <c r="D955" i="2"/>
  <c r="B954" i="2"/>
  <c r="F952" i="2"/>
  <c r="D951" i="2"/>
  <c r="B950" i="2"/>
  <c r="F948" i="2"/>
  <c r="D947" i="2"/>
  <c r="B946" i="2"/>
  <c r="F944" i="2"/>
  <c r="D943" i="2"/>
  <c r="B942" i="2"/>
  <c r="F940" i="2"/>
  <c r="D939" i="2"/>
  <c r="B938" i="2"/>
  <c r="F936" i="2"/>
  <c r="D935" i="2"/>
  <c r="B934" i="2"/>
  <c r="F932" i="2"/>
  <c r="D931" i="2"/>
  <c r="B930" i="2"/>
  <c r="F928" i="2"/>
  <c r="D927" i="2"/>
  <c r="B926" i="2"/>
  <c r="F924" i="2"/>
  <c r="D923" i="2"/>
  <c r="B922" i="2"/>
  <c r="F920" i="2"/>
  <c r="D919" i="2"/>
  <c r="B918" i="2"/>
  <c r="F916" i="2"/>
  <c r="D915" i="2"/>
  <c r="B914" i="2"/>
  <c r="F912" i="2"/>
  <c r="D911" i="2"/>
  <c r="B910" i="2"/>
  <c r="F908" i="2"/>
  <c r="D907" i="2"/>
  <c r="B906" i="2"/>
  <c r="F904" i="2"/>
  <c r="D903" i="2"/>
  <c r="B902" i="2"/>
  <c r="F900" i="2"/>
  <c r="D899" i="2"/>
  <c r="B898" i="2"/>
  <c r="F896" i="2"/>
  <c r="D895" i="2"/>
  <c r="B894" i="2"/>
  <c r="F892" i="2"/>
  <c r="D891" i="2"/>
  <c r="B890" i="2"/>
  <c r="F888" i="2"/>
  <c r="D887" i="2"/>
  <c r="B886" i="2"/>
  <c r="F884" i="2"/>
  <c r="D883" i="2"/>
  <c r="B882" i="2"/>
  <c r="F880" i="2"/>
  <c r="D879" i="2"/>
  <c r="B878" i="2"/>
  <c r="F876" i="2"/>
  <c r="D875" i="2"/>
  <c r="B874" i="2"/>
  <c r="F872" i="2"/>
  <c r="D871" i="2"/>
  <c r="B870" i="2"/>
  <c r="F868" i="2"/>
  <c r="D867" i="2"/>
  <c r="B866" i="2"/>
  <c r="F864" i="2"/>
  <c r="D863" i="2"/>
  <c r="B862" i="2"/>
  <c r="F860" i="2"/>
  <c r="D859" i="2"/>
  <c r="B858" i="2"/>
  <c r="F856" i="2"/>
  <c r="D855" i="2"/>
  <c r="B854" i="2"/>
  <c r="F852" i="2"/>
  <c r="D851" i="2"/>
  <c r="B850" i="2"/>
  <c r="F848" i="2"/>
  <c r="D847" i="2"/>
  <c r="B846" i="2"/>
  <c r="F844" i="2"/>
  <c r="D843" i="2"/>
  <c r="B842" i="2"/>
  <c r="F840" i="2"/>
  <c r="D839" i="2"/>
  <c r="B838" i="2"/>
  <c r="F836" i="2"/>
  <c r="D835" i="2"/>
  <c r="B834" i="2"/>
  <c r="F832" i="2"/>
  <c r="D831" i="2"/>
  <c r="B830" i="2"/>
  <c r="F828" i="2"/>
  <c r="D827" i="2"/>
  <c r="B826" i="2"/>
  <c r="F824" i="2"/>
  <c r="D823" i="2"/>
  <c r="B822" i="2"/>
  <c r="F820" i="2"/>
  <c r="D819" i="2"/>
  <c r="B818" i="2"/>
  <c r="F816" i="2"/>
  <c r="D815" i="2"/>
  <c r="B814" i="2"/>
  <c r="F812" i="2"/>
  <c r="D811" i="2"/>
  <c r="B810" i="2"/>
  <c r="F808" i="2"/>
  <c r="D807" i="2"/>
  <c r="B806" i="2"/>
  <c r="F804" i="2"/>
  <c r="D803" i="2"/>
  <c r="B802" i="2"/>
  <c r="F800" i="2"/>
  <c r="D799" i="2"/>
  <c r="B798" i="2"/>
  <c r="F796" i="2"/>
  <c r="D795" i="2"/>
  <c r="B794" i="2"/>
  <c r="F792" i="2"/>
  <c r="D791" i="2"/>
  <c r="B790" i="2"/>
  <c r="F788" i="2"/>
  <c r="D787" i="2"/>
  <c r="B786" i="2"/>
  <c r="F784" i="2"/>
  <c r="D783" i="2"/>
  <c r="B782" i="2"/>
  <c r="F780" i="2"/>
  <c r="D779" i="2"/>
  <c r="B778" i="2"/>
  <c r="F776" i="2"/>
  <c r="D775" i="2"/>
  <c r="B774" i="2"/>
  <c r="F772" i="2"/>
  <c r="D771" i="2"/>
  <c r="B770" i="2"/>
  <c r="F768" i="2"/>
  <c r="D767" i="2"/>
  <c r="B766" i="2"/>
  <c r="F764" i="2"/>
  <c r="D763" i="2"/>
  <c r="B762" i="2"/>
  <c r="F760" i="2"/>
  <c r="D759" i="2"/>
  <c r="B758" i="2"/>
  <c r="F756" i="2"/>
  <c r="D755" i="2"/>
  <c r="B754" i="2"/>
  <c r="F752" i="2"/>
  <c r="D751" i="2"/>
  <c r="B750" i="2"/>
  <c r="F748" i="2"/>
  <c r="D747" i="2"/>
  <c r="B746" i="2"/>
  <c r="F744" i="2"/>
  <c r="D743" i="2"/>
  <c r="B742" i="2"/>
  <c r="F740" i="2"/>
  <c r="D739" i="2"/>
  <c r="B738" i="2"/>
  <c r="F736" i="2"/>
  <c r="D735" i="2"/>
  <c r="B734" i="2"/>
  <c r="F732" i="2"/>
  <c r="D731" i="2"/>
  <c r="B730" i="2"/>
  <c r="F728" i="2"/>
  <c r="D727" i="2"/>
  <c r="B726" i="2"/>
  <c r="F724" i="2"/>
  <c r="A531" i="3"/>
  <c r="D53" i="3"/>
  <c r="A1417" i="2"/>
  <c r="E1331" i="2"/>
  <c r="E1275" i="2"/>
  <c r="B1244" i="2"/>
  <c r="A1229" i="2"/>
  <c r="E1215" i="2"/>
  <c r="A1205" i="2"/>
  <c r="C1194" i="2"/>
  <c r="E1183" i="2"/>
  <c r="A1173" i="2"/>
  <c r="C1162" i="2"/>
  <c r="E1151" i="2"/>
  <c r="A1141" i="2"/>
  <c r="C1130" i="2"/>
  <c r="E1119" i="2"/>
  <c r="A1109" i="2"/>
  <c r="C1098" i="2"/>
  <c r="E1087" i="2"/>
  <c r="A1077" i="2"/>
  <c r="C1066" i="2"/>
  <c r="E1055" i="2"/>
  <c r="A1045" i="2"/>
  <c r="C1034" i="2"/>
  <c r="E1023" i="2"/>
  <c r="A1013" i="2"/>
  <c r="C1002" i="2"/>
  <c r="E991" i="2"/>
  <c r="A981" i="2"/>
  <c r="C970" i="2"/>
  <c r="E959" i="2"/>
  <c r="A949" i="2"/>
  <c r="C938" i="2"/>
  <c r="E927" i="2"/>
  <c r="A917" i="2"/>
  <c r="C906" i="2"/>
  <c r="E895" i="2"/>
  <c r="A885" i="2"/>
  <c r="C874" i="2"/>
  <c r="E863" i="2"/>
  <c r="A857" i="2"/>
  <c r="E851" i="2"/>
  <c r="C846" i="2"/>
  <c r="A841" i="2"/>
  <c r="E835" i="2"/>
  <c r="C830" i="2"/>
  <c r="A825" i="2"/>
  <c r="E819" i="2"/>
  <c r="C814" i="2"/>
  <c r="A809" i="2"/>
  <c r="E803" i="2"/>
  <c r="C798" i="2"/>
  <c r="A793" i="2"/>
  <c r="E787" i="2"/>
  <c r="C782" i="2"/>
  <c r="A777" i="2"/>
  <c r="E771" i="2"/>
  <c r="C766" i="2"/>
  <c r="A761" i="2"/>
  <c r="E755" i="2"/>
  <c r="C750" i="2"/>
  <c r="A745" i="2"/>
  <c r="E739" i="2"/>
  <c r="C734" i="2"/>
  <c r="A729" i="2"/>
  <c r="E723" i="2"/>
  <c r="F719" i="2"/>
  <c r="F716" i="2"/>
  <c r="A713" i="2"/>
  <c r="B709" i="2"/>
  <c r="B706" i="2"/>
  <c r="C702" i="2"/>
  <c r="D698" i="2"/>
  <c r="D695" i="2"/>
  <c r="E691" i="2"/>
  <c r="F687" i="2"/>
  <c r="F684" i="2"/>
  <c r="A681" i="2"/>
  <c r="B677" i="2"/>
  <c r="B674" i="2"/>
  <c r="C670" i="2"/>
  <c r="D666" i="2"/>
  <c r="D663" i="2"/>
  <c r="E659" i="2"/>
  <c r="F655" i="2"/>
  <c r="F652" i="2"/>
  <c r="A649" i="2"/>
  <c r="C645" i="2"/>
  <c r="E642" i="2"/>
  <c r="A640" i="2"/>
  <c r="C637" i="2"/>
  <c r="E634" i="2"/>
  <c r="A632" i="2"/>
  <c r="C629" i="2"/>
  <c r="E626" i="2"/>
  <c r="A624" i="2"/>
  <c r="C621" i="2"/>
  <c r="E618" i="2"/>
  <c r="A616" i="2"/>
  <c r="C613" i="2"/>
  <c r="A611" i="2"/>
  <c r="D609" i="2"/>
  <c r="B608" i="2"/>
  <c r="F606" i="2"/>
  <c r="D605" i="2"/>
  <c r="B604" i="2"/>
  <c r="F602" i="2"/>
  <c r="D601" i="2"/>
  <c r="B600" i="2"/>
  <c r="F598" i="2"/>
  <c r="D597" i="2"/>
  <c r="B596" i="2"/>
  <c r="F594" i="2"/>
  <c r="D593" i="2"/>
  <c r="B592" i="2"/>
  <c r="F590" i="2"/>
  <c r="D589" i="2"/>
  <c r="B588" i="2"/>
  <c r="F586" i="2"/>
  <c r="D585" i="2"/>
  <c r="B584" i="2"/>
  <c r="F582" i="2"/>
  <c r="D581" i="2"/>
  <c r="B580" i="2"/>
  <c r="F578" i="2"/>
  <c r="D577" i="2"/>
  <c r="B576" i="2"/>
  <c r="F574" i="2"/>
  <c r="D573" i="2"/>
  <c r="B572" i="2"/>
  <c r="F570" i="2"/>
  <c r="D569" i="2"/>
  <c r="B568" i="2"/>
  <c r="F566" i="2"/>
  <c r="D565" i="2"/>
  <c r="B564" i="2"/>
  <c r="F562" i="2"/>
  <c r="D561" i="2"/>
  <c r="B560" i="2"/>
  <c r="F558" i="2"/>
  <c r="D557" i="2"/>
  <c r="B556" i="2"/>
  <c r="F554" i="2"/>
  <c r="D553" i="2"/>
  <c r="B552" i="2"/>
  <c r="F550" i="2"/>
  <c r="D549" i="2"/>
  <c r="B548" i="2"/>
  <c r="F546" i="2"/>
  <c r="D545" i="2"/>
  <c r="B544" i="2"/>
  <c r="F542" i="2"/>
  <c r="D541" i="2"/>
  <c r="B540" i="2"/>
  <c r="F538" i="2"/>
  <c r="D537" i="2"/>
  <c r="B536" i="2"/>
  <c r="F534" i="2"/>
  <c r="D533" i="2"/>
  <c r="B532" i="2"/>
  <c r="F530" i="2"/>
  <c r="D529" i="2"/>
  <c r="B528" i="2"/>
  <c r="F526" i="2"/>
  <c r="D525" i="2"/>
  <c r="B524" i="2"/>
  <c r="F522" i="2"/>
  <c r="D521" i="2"/>
  <c r="B520" i="2"/>
  <c r="F518" i="2"/>
  <c r="D517" i="2"/>
  <c r="B516" i="2"/>
  <c r="F514" i="2"/>
  <c r="D513" i="2"/>
  <c r="B512" i="2"/>
  <c r="F510" i="2"/>
  <c r="D509" i="2"/>
  <c r="B508" i="2"/>
  <c r="F506" i="2"/>
  <c r="D505" i="2"/>
  <c r="B504" i="2"/>
  <c r="F502" i="2"/>
  <c r="D501" i="2"/>
  <c r="B500" i="2"/>
  <c r="F498" i="2"/>
  <c r="D497" i="2"/>
  <c r="B496" i="2"/>
  <c r="F494" i="2"/>
  <c r="D493" i="2"/>
  <c r="B492" i="2"/>
  <c r="F490" i="2"/>
  <c r="D489" i="2"/>
  <c r="B488" i="2"/>
  <c r="F486" i="2"/>
  <c r="D485" i="2"/>
  <c r="B484" i="2"/>
  <c r="F482" i="2"/>
  <c r="D481" i="2"/>
  <c r="B480" i="2"/>
  <c r="F478" i="2"/>
  <c r="D477" i="2"/>
  <c r="B476" i="2"/>
  <c r="F474" i="2"/>
  <c r="D473" i="2"/>
  <c r="B472" i="2"/>
  <c r="F470" i="2"/>
  <c r="D469" i="2"/>
  <c r="B468" i="2"/>
  <c r="F466" i="2"/>
  <c r="D465" i="2"/>
  <c r="B464" i="2"/>
  <c r="F462" i="2"/>
  <c r="D461" i="2"/>
  <c r="B460" i="2"/>
  <c r="F458" i="2"/>
  <c r="D457" i="2"/>
  <c r="B456" i="2"/>
  <c r="F454" i="2"/>
  <c r="D453" i="2"/>
  <c r="B452" i="2"/>
  <c r="F450" i="2"/>
  <c r="D449" i="2"/>
  <c r="B448" i="2"/>
  <c r="F446" i="2"/>
  <c r="D445" i="2"/>
  <c r="B444" i="2"/>
  <c r="F442" i="2"/>
  <c r="D441" i="2"/>
  <c r="B440" i="2"/>
  <c r="F438" i="2"/>
  <c r="D437" i="2"/>
  <c r="B436" i="2"/>
  <c r="F434" i="2"/>
  <c r="D433" i="2"/>
  <c r="B432" i="2"/>
  <c r="F430" i="2"/>
  <c r="D429" i="2"/>
  <c r="B428" i="2"/>
  <c r="F426" i="2"/>
  <c r="D425" i="2"/>
  <c r="B424" i="2"/>
  <c r="F422" i="2"/>
  <c r="D421" i="2"/>
  <c r="B420" i="2"/>
  <c r="F418" i="2"/>
  <c r="D417" i="2"/>
  <c r="B416" i="2"/>
  <c r="F414" i="2"/>
  <c r="D413" i="2"/>
  <c r="B412" i="2"/>
  <c r="F410" i="2"/>
  <c r="D409" i="2"/>
  <c r="B408" i="2"/>
  <c r="F406" i="2"/>
  <c r="D405" i="2"/>
  <c r="B404" i="2"/>
  <c r="F402" i="2"/>
  <c r="D401" i="2"/>
  <c r="B400" i="2"/>
  <c r="F398" i="2"/>
  <c r="D397" i="2"/>
  <c r="B396" i="2"/>
  <c r="F394" i="2"/>
  <c r="D393" i="2"/>
  <c r="B392" i="2"/>
  <c r="F390" i="2"/>
  <c r="D389" i="2"/>
  <c r="B388" i="2"/>
  <c r="F386" i="2"/>
  <c r="D385" i="2"/>
  <c r="B384" i="2"/>
  <c r="F382" i="2"/>
  <c r="D381" i="2"/>
  <c r="B380" i="2"/>
  <c r="F378" i="2"/>
  <c r="D377" i="2"/>
  <c r="B376" i="2"/>
  <c r="F374" i="2"/>
  <c r="D373" i="2"/>
  <c r="B372" i="2"/>
  <c r="F370" i="2"/>
  <c r="D369" i="2"/>
  <c r="B368" i="2"/>
  <c r="F366" i="2"/>
  <c r="D365" i="2"/>
  <c r="B364" i="2"/>
  <c r="F362" i="2"/>
  <c r="D361" i="2"/>
  <c r="B360" i="2"/>
  <c r="F358" i="2"/>
  <c r="D357" i="2"/>
  <c r="B356" i="2"/>
  <c r="F354" i="2"/>
  <c r="D353" i="2"/>
  <c r="B352" i="2"/>
  <c r="F350" i="2"/>
  <c r="D349" i="2"/>
  <c r="B348" i="2"/>
  <c r="F346" i="2"/>
  <c r="D345" i="2"/>
  <c r="B344" i="2"/>
  <c r="F342" i="2"/>
  <c r="D341" i="2"/>
  <c r="B340" i="2"/>
  <c r="F338" i="2"/>
  <c r="D337" i="2"/>
  <c r="B336" i="2"/>
  <c r="F334" i="2"/>
  <c r="D333" i="2"/>
  <c r="B332" i="2"/>
  <c r="F330" i="2"/>
  <c r="D329" i="2"/>
  <c r="B328" i="2"/>
  <c r="F326" i="2"/>
  <c r="D325" i="2"/>
  <c r="B324" i="2"/>
  <c r="F322" i="2"/>
  <c r="D321" i="2"/>
  <c r="B320" i="2"/>
  <c r="F318" i="2"/>
  <c r="D317" i="2"/>
  <c r="B316" i="2"/>
  <c r="F314" i="2"/>
  <c r="D313" i="2"/>
  <c r="B312" i="2"/>
  <c r="F310" i="2"/>
  <c r="D309" i="2"/>
  <c r="B308" i="2"/>
  <c r="F306" i="2"/>
  <c r="D305" i="2"/>
  <c r="B304" i="2"/>
  <c r="F302" i="2"/>
  <c r="D301" i="2"/>
  <c r="B300" i="2"/>
  <c r="F298" i="2"/>
  <c r="D297" i="2"/>
  <c r="B296" i="2"/>
  <c r="F294" i="2"/>
  <c r="D293" i="2"/>
  <c r="B292" i="2"/>
  <c r="F290" i="2"/>
  <c r="D289" i="2"/>
  <c r="B288" i="2"/>
  <c r="F286" i="2"/>
  <c r="D285" i="2"/>
  <c r="B284" i="2"/>
  <c r="F282" i="2"/>
  <c r="D281" i="2"/>
  <c r="B280" i="2"/>
  <c r="F278" i="2"/>
  <c r="D277" i="2"/>
  <c r="B276" i="2"/>
  <c r="F274" i="2"/>
  <c r="D273" i="2"/>
  <c r="B272" i="2"/>
  <c r="F270" i="2"/>
  <c r="D269" i="2"/>
  <c r="B268" i="2"/>
  <c r="F266" i="2"/>
  <c r="D265" i="2"/>
  <c r="B264" i="2"/>
  <c r="F262" i="2"/>
  <c r="D261" i="2"/>
  <c r="B260" i="2"/>
  <c r="F258" i="2"/>
  <c r="D257" i="2"/>
  <c r="B256" i="2"/>
  <c r="F254" i="2"/>
  <c r="D253" i="2"/>
  <c r="B252" i="2"/>
  <c r="F250" i="2"/>
  <c r="D249" i="2"/>
  <c r="B248" i="2"/>
  <c r="F246" i="2"/>
  <c r="D245" i="2"/>
  <c r="B244" i="2"/>
  <c r="F242" i="2"/>
  <c r="D241" i="2"/>
  <c r="B240" i="2"/>
  <c r="F238" i="2"/>
  <c r="D237" i="2"/>
  <c r="B236" i="2"/>
  <c r="F234" i="2"/>
  <c r="D233" i="2"/>
  <c r="B232" i="2"/>
  <c r="F230" i="2"/>
  <c r="D229" i="2"/>
  <c r="B228" i="2"/>
  <c r="F226" i="2"/>
  <c r="D225" i="2"/>
  <c r="B224" i="2"/>
  <c r="F222" i="2"/>
  <c r="D221" i="2"/>
  <c r="B220" i="2"/>
  <c r="F218" i="2"/>
  <c r="D217" i="2"/>
  <c r="B216" i="2"/>
  <c r="F214" i="2"/>
  <c r="D213" i="2"/>
  <c r="B212" i="2"/>
  <c r="F210" i="2"/>
  <c r="D209" i="2"/>
  <c r="B208" i="2"/>
  <c r="F206" i="2"/>
  <c r="D205" i="2"/>
  <c r="B204" i="2"/>
  <c r="F202" i="2"/>
  <c r="D201" i="2"/>
  <c r="B200" i="2"/>
  <c r="F198" i="2"/>
  <c r="D197" i="2"/>
  <c r="B196" i="2"/>
  <c r="F194" i="2"/>
  <c r="D193" i="2"/>
  <c r="B192" i="2"/>
  <c r="F190" i="2"/>
  <c r="D189" i="2"/>
  <c r="B188" i="2"/>
  <c r="F186" i="2"/>
  <c r="D185" i="2"/>
  <c r="B184" i="2"/>
  <c r="F182" i="2"/>
  <c r="D181" i="2"/>
  <c r="B180" i="2"/>
  <c r="F178" i="2"/>
  <c r="D177" i="2"/>
  <c r="B176" i="2"/>
  <c r="F174" i="2"/>
  <c r="D173" i="2"/>
  <c r="B172" i="2"/>
  <c r="F170" i="2"/>
  <c r="D169" i="2"/>
  <c r="B168" i="2"/>
  <c r="F166" i="2"/>
  <c r="D165" i="2"/>
  <c r="B164" i="2"/>
  <c r="F162" i="2"/>
  <c r="D161" i="2"/>
  <c r="B160" i="2"/>
  <c r="F158" i="2"/>
  <c r="D157" i="2"/>
  <c r="B156" i="2"/>
  <c r="F154" i="2"/>
  <c r="D153" i="2"/>
  <c r="B152" i="2"/>
  <c r="F150" i="2"/>
  <c r="D149" i="2"/>
  <c r="B148" i="2"/>
  <c r="F146" i="2"/>
  <c r="D145" i="2"/>
  <c r="B144" i="2"/>
  <c r="F142" i="2"/>
  <c r="D141" i="2"/>
  <c r="B140" i="2"/>
  <c r="F138" i="2"/>
  <c r="D137" i="2"/>
  <c r="B136" i="2"/>
  <c r="F134" i="2"/>
  <c r="D133" i="2"/>
  <c r="B132" i="2"/>
  <c r="F130" i="2"/>
  <c r="D129" i="2"/>
  <c r="B128" i="2"/>
  <c r="F126" i="2"/>
  <c r="D125" i="2"/>
  <c r="B124" i="2"/>
  <c r="F122" i="2"/>
  <c r="D121" i="2"/>
  <c r="B120" i="2"/>
  <c r="F118" i="2"/>
  <c r="D117" i="2"/>
  <c r="B116" i="2"/>
  <c r="F114" i="2"/>
  <c r="D113" i="2"/>
  <c r="B112" i="2"/>
  <c r="F110" i="2"/>
  <c r="D109" i="2"/>
  <c r="B108" i="2"/>
  <c r="F106" i="2"/>
  <c r="D105" i="2"/>
  <c r="B104" i="2"/>
  <c r="F102" i="2"/>
  <c r="D101" i="2"/>
  <c r="B100" i="2"/>
  <c r="F98" i="2"/>
  <c r="D97" i="2"/>
  <c r="B96" i="2"/>
  <c r="F94" i="2"/>
  <c r="D93" i="2"/>
  <c r="B92" i="2"/>
  <c r="F90" i="2"/>
  <c r="D89" i="2"/>
  <c r="B88" i="2"/>
  <c r="F86" i="2"/>
  <c r="D85" i="2"/>
  <c r="B84" i="2"/>
  <c r="F82" i="2"/>
  <c r="D81" i="2"/>
  <c r="B80" i="2"/>
  <c r="F78" i="2"/>
  <c r="D77" i="2"/>
  <c r="B76" i="2"/>
  <c r="F74" i="2"/>
  <c r="D73" i="2"/>
  <c r="B72" i="2"/>
  <c r="F70" i="2"/>
  <c r="D69" i="2"/>
  <c r="B68" i="2"/>
  <c r="F66" i="2"/>
  <c r="D65" i="2"/>
  <c r="A367" i="3"/>
  <c r="E41" i="3"/>
  <c r="C1406" i="2"/>
  <c r="A1321" i="2"/>
  <c r="C1270" i="2"/>
  <c r="D1241" i="2"/>
  <c r="A1227" i="2"/>
  <c r="C1214" i="2"/>
  <c r="E1203" i="2"/>
  <c r="A1193" i="2"/>
  <c r="C1182" i="2"/>
  <c r="E1171" i="2"/>
  <c r="A1161" i="2"/>
  <c r="C1150" i="2"/>
  <c r="E1139" i="2"/>
  <c r="A1129" i="2"/>
  <c r="C1118" i="2"/>
  <c r="E1107" i="2"/>
  <c r="A1097" i="2"/>
  <c r="C1086" i="2"/>
  <c r="E1075" i="2"/>
  <c r="A1065" i="2"/>
  <c r="C1054" i="2"/>
  <c r="E1043" i="2"/>
  <c r="A1033" i="2"/>
  <c r="C1022" i="2"/>
  <c r="E1011" i="2"/>
  <c r="A1001" i="2"/>
  <c r="C990" i="2"/>
  <c r="E979" i="2"/>
  <c r="A969" i="2"/>
  <c r="C958" i="2"/>
  <c r="E947" i="2"/>
  <c r="A937" i="2"/>
  <c r="C926" i="2"/>
  <c r="E915" i="2"/>
  <c r="A905" i="2"/>
  <c r="C894" i="2"/>
  <c r="E883" i="2"/>
  <c r="A873" i="2"/>
  <c r="C862" i="2"/>
  <c r="F855" i="2"/>
  <c r="D850" i="2"/>
  <c r="B845" i="2"/>
  <c r="F839" i="2"/>
  <c r="D834" i="2"/>
  <c r="B829" i="2"/>
  <c r="F823" i="2"/>
  <c r="D818" i="2"/>
  <c r="B813" i="2"/>
  <c r="F807" i="2"/>
  <c r="D802" i="2"/>
  <c r="B797" i="2"/>
  <c r="F791" i="2"/>
  <c r="D786" i="2"/>
  <c r="B781" i="2"/>
  <c r="F775" i="2"/>
  <c r="D770" i="2"/>
  <c r="B765" i="2"/>
  <c r="F759" i="2"/>
  <c r="D754" i="2"/>
  <c r="B749" i="2"/>
  <c r="F743" i="2"/>
  <c r="D738" i="2"/>
  <c r="B733" i="2"/>
  <c r="F727" i="2"/>
  <c r="D723" i="2"/>
  <c r="E719" i="2"/>
  <c r="F715" i="2"/>
  <c r="F712" i="2"/>
  <c r="A709" i="2"/>
  <c r="B705" i="2"/>
  <c r="B702" i="2"/>
  <c r="C698" i="2"/>
  <c r="D694" i="2"/>
  <c r="D691" i="2"/>
  <c r="E687" i="2"/>
  <c r="F683" i="2"/>
  <c r="F680" i="2"/>
  <c r="A677" i="2"/>
  <c r="B673" i="2"/>
  <c r="B670" i="2"/>
  <c r="C666" i="2"/>
  <c r="D662" i="2"/>
  <c r="D659" i="2"/>
  <c r="E655" i="2"/>
  <c r="F651" i="2"/>
  <c r="F648" i="2"/>
  <c r="B645" i="2"/>
  <c r="D642" i="2"/>
  <c r="F639" i="2"/>
  <c r="B637" i="2"/>
  <c r="D634" i="2"/>
  <c r="F631" i="2"/>
  <c r="B629" i="2"/>
  <c r="D626" i="2"/>
  <c r="F623" i="2"/>
  <c r="B621" i="2"/>
  <c r="D618" i="2"/>
  <c r="F615" i="2"/>
  <c r="B613" i="2"/>
  <c r="E610" i="2"/>
  <c r="C609" i="2"/>
  <c r="A608" i="2"/>
  <c r="E606" i="2"/>
  <c r="C605" i="2"/>
  <c r="A604" i="2"/>
  <c r="E602" i="2"/>
  <c r="C601" i="2"/>
  <c r="A600" i="2"/>
  <c r="E598" i="2"/>
  <c r="C597" i="2"/>
  <c r="A596" i="2"/>
  <c r="E594" i="2"/>
  <c r="C593" i="2"/>
  <c r="A592" i="2"/>
  <c r="E590" i="2"/>
  <c r="C589" i="2"/>
  <c r="A588" i="2"/>
  <c r="E586" i="2"/>
  <c r="C585" i="2"/>
  <c r="A584" i="2"/>
  <c r="E582" i="2"/>
  <c r="C581" i="2"/>
  <c r="A580" i="2"/>
  <c r="E578" i="2"/>
  <c r="C577" i="2"/>
  <c r="A576" i="2"/>
  <c r="E574" i="2"/>
  <c r="C573" i="2"/>
  <c r="A572" i="2"/>
  <c r="E570" i="2"/>
  <c r="C569" i="2"/>
  <c r="A568" i="2"/>
  <c r="E566" i="2"/>
  <c r="C565" i="2"/>
  <c r="A564" i="2"/>
  <c r="E562" i="2"/>
  <c r="C561" i="2"/>
  <c r="A560" i="2"/>
  <c r="E558" i="2"/>
  <c r="C557" i="2"/>
  <c r="A556" i="2"/>
  <c r="E554" i="2"/>
  <c r="C553" i="2"/>
  <c r="A552" i="2"/>
  <c r="E550" i="2"/>
  <c r="C549" i="2"/>
  <c r="A548" i="2"/>
  <c r="E546" i="2"/>
  <c r="C545" i="2"/>
  <c r="A544" i="2"/>
  <c r="E542" i="2"/>
  <c r="C541" i="2"/>
  <c r="A540" i="2"/>
  <c r="E538" i="2"/>
  <c r="C537" i="2"/>
  <c r="A536" i="2"/>
  <c r="E534" i="2"/>
  <c r="C533" i="2"/>
  <c r="A532" i="2"/>
  <c r="E530" i="2"/>
  <c r="C529" i="2"/>
  <c r="A528" i="2"/>
  <c r="E526" i="2"/>
  <c r="C525" i="2"/>
  <c r="A524" i="2"/>
  <c r="E522" i="2"/>
  <c r="C521" i="2"/>
  <c r="A520" i="2"/>
  <c r="E518" i="2"/>
  <c r="C517" i="2"/>
  <c r="A516" i="2"/>
  <c r="E514" i="2"/>
  <c r="C513" i="2"/>
  <c r="A512" i="2"/>
  <c r="E510" i="2"/>
  <c r="C509" i="2"/>
  <c r="A508" i="2"/>
  <c r="E506" i="2"/>
  <c r="C505" i="2"/>
  <c r="A504" i="2"/>
  <c r="E502" i="2"/>
  <c r="C501" i="2"/>
  <c r="A500" i="2"/>
  <c r="E498" i="2"/>
  <c r="C497" i="2"/>
  <c r="A496" i="2"/>
  <c r="E494" i="2"/>
  <c r="C493" i="2"/>
  <c r="A492" i="2"/>
  <c r="E490" i="2"/>
  <c r="C489" i="2"/>
  <c r="A488" i="2"/>
  <c r="E486" i="2"/>
  <c r="C485" i="2"/>
  <c r="A484" i="2"/>
  <c r="E482" i="2"/>
  <c r="C481" i="2"/>
  <c r="A480" i="2"/>
  <c r="E478" i="2"/>
  <c r="C477" i="2"/>
  <c r="A476" i="2"/>
  <c r="E474" i="2"/>
  <c r="C473" i="2"/>
  <c r="A472" i="2"/>
  <c r="E470" i="2"/>
  <c r="C469" i="2"/>
  <c r="A468" i="2"/>
  <c r="E466" i="2"/>
  <c r="C465" i="2"/>
  <c r="A464" i="2"/>
  <c r="E462" i="2"/>
  <c r="C461" i="2"/>
  <c r="A460" i="2"/>
  <c r="E458" i="2"/>
  <c r="C457" i="2"/>
  <c r="A456" i="2"/>
  <c r="E454" i="2"/>
  <c r="C453" i="2"/>
  <c r="A452" i="2"/>
  <c r="E450" i="2"/>
  <c r="C449" i="2"/>
  <c r="A448" i="2"/>
  <c r="E446" i="2"/>
  <c r="C445" i="2"/>
  <c r="A444" i="2"/>
  <c r="E442" i="2"/>
  <c r="C441" i="2"/>
  <c r="A440" i="2"/>
  <c r="E438" i="2"/>
  <c r="C437" i="2"/>
  <c r="A436" i="2"/>
  <c r="E434" i="2"/>
  <c r="C433" i="2"/>
  <c r="A432" i="2"/>
  <c r="E430" i="2"/>
  <c r="C429" i="2"/>
  <c r="A428" i="2"/>
  <c r="E426" i="2"/>
  <c r="C425" i="2"/>
  <c r="A424" i="2"/>
  <c r="E422" i="2"/>
  <c r="C421" i="2"/>
  <c r="A420" i="2"/>
  <c r="E418" i="2"/>
  <c r="C417" i="2"/>
  <c r="A416" i="2"/>
  <c r="E414" i="2"/>
  <c r="C413" i="2"/>
  <c r="A412" i="2"/>
  <c r="E410" i="2"/>
  <c r="C409" i="2"/>
  <c r="A408" i="2"/>
  <c r="E406" i="2"/>
  <c r="C405" i="2"/>
  <c r="A404" i="2"/>
  <c r="E402" i="2"/>
  <c r="C401" i="2"/>
  <c r="A400" i="2"/>
  <c r="E398" i="2"/>
  <c r="C397" i="2"/>
  <c r="A396" i="2"/>
  <c r="E394" i="2"/>
  <c r="C393" i="2"/>
  <c r="A392" i="2"/>
  <c r="E390" i="2"/>
  <c r="C389" i="2"/>
  <c r="A388" i="2"/>
  <c r="E386" i="2"/>
  <c r="C385" i="2"/>
  <c r="A384" i="2"/>
  <c r="E382" i="2"/>
  <c r="C381" i="2"/>
  <c r="A380" i="2"/>
  <c r="E378" i="2"/>
  <c r="C377" i="2"/>
  <c r="A376" i="2"/>
  <c r="E374" i="2"/>
  <c r="C373" i="2"/>
  <c r="A372" i="2"/>
  <c r="E370" i="2"/>
  <c r="C369" i="2"/>
  <c r="A368" i="2"/>
  <c r="E366" i="2"/>
  <c r="C365" i="2"/>
  <c r="A364" i="2"/>
  <c r="E362" i="2"/>
  <c r="C361" i="2"/>
  <c r="A360" i="2"/>
  <c r="E358" i="2"/>
  <c r="C357" i="2"/>
  <c r="A356" i="2"/>
  <c r="E354" i="2"/>
  <c r="C353" i="2"/>
  <c r="A352" i="2"/>
  <c r="E350" i="2"/>
  <c r="C349" i="2"/>
  <c r="A348" i="2"/>
  <c r="E346" i="2"/>
  <c r="C345" i="2"/>
  <c r="A344" i="2"/>
  <c r="E342" i="2"/>
  <c r="C341" i="2"/>
  <c r="A340" i="2"/>
  <c r="E338" i="2"/>
  <c r="C337" i="2"/>
  <c r="A336" i="2"/>
  <c r="E334" i="2"/>
  <c r="C333" i="2"/>
  <c r="A332" i="2"/>
  <c r="E330" i="2"/>
  <c r="C329" i="2"/>
  <c r="A328" i="2"/>
  <c r="E326" i="2"/>
  <c r="C325" i="2"/>
  <c r="A324" i="2"/>
  <c r="E322" i="2"/>
  <c r="C321" i="2"/>
  <c r="A320" i="2"/>
  <c r="E318" i="2"/>
  <c r="C317" i="2"/>
  <c r="A316" i="2"/>
  <c r="E314" i="2"/>
  <c r="C313" i="2"/>
  <c r="A312" i="2"/>
  <c r="E310" i="2"/>
  <c r="C309" i="2"/>
  <c r="A308" i="2"/>
  <c r="E306" i="2"/>
  <c r="C305" i="2"/>
  <c r="A304" i="2"/>
  <c r="E302" i="2"/>
  <c r="C301" i="2"/>
  <c r="A300" i="2"/>
  <c r="E298" i="2"/>
  <c r="C297" i="2"/>
  <c r="A296" i="2"/>
  <c r="E294" i="2"/>
  <c r="C293" i="2"/>
  <c r="A292" i="2"/>
  <c r="E290" i="2"/>
  <c r="C289" i="2"/>
  <c r="A288" i="2"/>
  <c r="E286" i="2"/>
  <c r="C285" i="2"/>
  <c r="A284" i="2"/>
  <c r="E282" i="2"/>
  <c r="C281" i="2"/>
  <c r="A280" i="2"/>
  <c r="E278" i="2"/>
  <c r="C277" i="2"/>
  <c r="A276" i="2"/>
  <c r="E274" i="2"/>
  <c r="C273" i="2"/>
  <c r="A272" i="2"/>
  <c r="E270" i="2"/>
  <c r="C269" i="2"/>
  <c r="A268" i="2"/>
  <c r="E266" i="2"/>
  <c r="C265" i="2"/>
  <c r="A264" i="2"/>
  <c r="E262" i="2"/>
  <c r="C261" i="2"/>
  <c r="A260" i="2"/>
  <c r="E258" i="2"/>
  <c r="C257" i="2"/>
  <c r="A256" i="2"/>
  <c r="E254" i="2"/>
  <c r="C253" i="2"/>
  <c r="A252" i="2"/>
  <c r="E250" i="2"/>
  <c r="C249" i="2"/>
  <c r="A248" i="2"/>
  <c r="E246" i="2"/>
  <c r="C245" i="2"/>
  <c r="A244" i="2"/>
  <c r="E242" i="2"/>
  <c r="C241" i="2"/>
  <c r="A240" i="2"/>
  <c r="E238" i="2"/>
  <c r="C237" i="2"/>
  <c r="A236" i="2"/>
  <c r="E234" i="2"/>
  <c r="C233" i="2"/>
  <c r="A232" i="2"/>
  <c r="E230" i="2"/>
  <c r="C229" i="2"/>
  <c r="A228" i="2"/>
  <c r="E226" i="2"/>
  <c r="C225" i="2"/>
  <c r="A224" i="2"/>
  <c r="E222" i="2"/>
  <c r="C221" i="2"/>
  <c r="A220" i="2"/>
  <c r="E218" i="2"/>
  <c r="C217" i="2"/>
  <c r="A216" i="2"/>
  <c r="E214" i="2"/>
  <c r="C213" i="2"/>
  <c r="A212" i="2"/>
  <c r="E210" i="2"/>
  <c r="C209" i="2"/>
  <c r="A208" i="2"/>
  <c r="E206" i="2"/>
  <c r="C205" i="2"/>
  <c r="A204" i="2"/>
  <c r="E202" i="2"/>
  <c r="C201" i="2"/>
  <c r="A200" i="2"/>
  <c r="E198" i="2"/>
  <c r="C197" i="2"/>
  <c r="A196" i="2"/>
  <c r="E194" i="2"/>
  <c r="C193" i="2"/>
  <c r="A192" i="2"/>
  <c r="E190" i="2"/>
  <c r="C189" i="2"/>
  <c r="A188" i="2"/>
  <c r="E186" i="2"/>
  <c r="C185" i="2"/>
  <c r="A184" i="2"/>
  <c r="E182" i="2"/>
  <c r="C181" i="2"/>
  <c r="A180" i="2"/>
  <c r="E178" i="2"/>
  <c r="C177" i="2"/>
  <c r="A176" i="2"/>
  <c r="E174" i="2"/>
  <c r="C173" i="2"/>
  <c r="A172" i="2"/>
  <c r="E170" i="2"/>
  <c r="C169" i="2"/>
  <c r="A168" i="2"/>
  <c r="E166" i="2"/>
  <c r="C165" i="2"/>
  <c r="A164" i="2"/>
  <c r="E162" i="2"/>
  <c r="C161" i="2"/>
  <c r="A160" i="2"/>
  <c r="E158" i="2"/>
  <c r="C157" i="2"/>
  <c r="A156" i="2"/>
  <c r="E154" i="2"/>
  <c r="C153" i="2"/>
  <c r="A152" i="2"/>
  <c r="E150" i="2"/>
  <c r="C149" i="2"/>
  <c r="A148" i="2"/>
  <c r="E146" i="2"/>
  <c r="C145" i="2"/>
  <c r="A144" i="2"/>
  <c r="E142" i="2"/>
  <c r="C141" i="2"/>
  <c r="A140" i="2"/>
  <c r="E138" i="2"/>
  <c r="C137" i="2"/>
  <c r="A136" i="2"/>
  <c r="E134" i="2"/>
  <c r="C133" i="2"/>
  <c r="A132" i="2"/>
  <c r="E130" i="2"/>
  <c r="C129" i="2"/>
  <c r="A128" i="2"/>
  <c r="E126" i="2"/>
  <c r="C125" i="2"/>
  <c r="A124" i="2"/>
  <c r="E122" i="2"/>
  <c r="C121" i="2"/>
  <c r="A120" i="2"/>
  <c r="E118" i="2"/>
  <c r="C117" i="2"/>
  <c r="A116" i="2"/>
  <c r="E114" i="2"/>
  <c r="C113" i="2"/>
  <c r="A112" i="2"/>
  <c r="E110" i="2"/>
  <c r="C109" i="2"/>
  <c r="A108" i="2"/>
  <c r="E106" i="2"/>
  <c r="C105" i="2"/>
  <c r="A104" i="2"/>
  <c r="E102" i="2"/>
  <c r="C101" i="2"/>
  <c r="A100" i="2"/>
  <c r="E98" i="2"/>
  <c r="C97" i="2"/>
  <c r="A96" i="2"/>
  <c r="E94" i="2"/>
  <c r="C93" i="2"/>
  <c r="A92" i="2"/>
  <c r="E90" i="2"/>
  <c r="C89" i="2"/>
  <c r="A88" i="2"/>
  <c r="E86" i="2"/>
  <c r="C85" i="2"/>
  <c r="A84" i="2"/>
  <c r="E82" i="2"/>
  <c r="C81" i="2"/>
  <c r="A80" i="2"/>
  <c r="E78" i="2"/>
  <c r="C77" i="2"/>
  <c r="A76" i="2"/>
  <c r="E74" i="2"/>
  <c r="C73" i="2"/>
  <c r="A72" i="2"/>
  <c r="E70" i="2"/>
  <c r="C69" i="2"/>
  <c r="A68" i="2"/>
  <c r="E66" i="2"/>
  <c r="C65" i="2"/>
  <c r="A275" i="3"/>
  <c r="A31" i="3"/>
  <c r="E1395" i="2"/>
  <c r="C1310" i="2"/>
  <c r="A1265" i="2"/>
  <c r="E1239" i="2"/>
  <c r="C1225" i="2"/>
  <c r="A1213" i="2"/>
  <c r="C1202" i="2"/>
  <c r="E1191" i="2"/>
  <c r="A1181" i="2"/>
  <c r="C1170" i="2"/>
  <c r="E1159" i="2"/>
  <c r="A1149" i="2"/>
  <c r="C1138" i="2"/>
  <c r="E1127" i="2"/>
  <c r="A1117" i="2"/>
  <c r="C1106" i="2"/>
  <c r="E1095" i="2"/>
  <c r="A1085" i="2"/>
  <c r="C1074" i="2"/>
  <c r="E1063" i="2"/>
  <c r="A1053" i="2"/>
  <c r="C1042" i="2"/>
  <c r="E1031" i="2"/>
  <c r="A1021" i="2"/>
  <c r="C1010" i="2"/>
  <c r="E999" i="2"/>
  <c r="A989" i="2"/>
  <c r="C978" i="2"/>
  <c r="E967" i="2"/>
  <c r="A957" i="2"/>
  <c r="C946" i="2"/>
  <c r="E935" i="2"/>
  <c r="A925" i="2"/>
  <c r="C914" i="2"/>
  <c r="E903" i="2"/>
  <c r="A893" i="2"/>
  <c r="C882" i="2"/>
  <c r="E871" i="2"/>
  <c r="A861" i="2"/>
  <c r="E855" i="2"/>
  <c r="C850" i="2"/>
  <c r="A845" i="2"/>
  <c r="E839" i="2"/>
  <c r="C834" i="2"/>
  <c r="A829" i="2"/>
  <c r="E823" i="2"/>
  <c r="C818" i="2"/>
  <c r="A813" i="2"/>
  <c r="E807" i="2"/>
  <c r="C802" i="2"/>
  <c r="A797" i="2"/>
  <c r="E791" i="2"/>
  <c r="C786" i="2"/>
  <c r="A781" i="2"/>
  <c r="E775" i="2"/>
  <c r="C770" i="2"/>
  <c r="A765" i="2"/>
  <c r="E759" i="2"/>
  <c r="C754" i="2"/>
  <c r="A749" i="2"/>
  <c r="E743" i="2"/>
  <c r="C738" i="2"/>
  <c r="A733" i="2"/>
  <c r="E727" i="2"/>
  <c r="D722" i="2"/>
  <c r="D719" i="2"/>
  <c r="E715" i="2"/>
  <c r="F711" i="2"/>
  <c r="F708" i="2"/>
  <c r="A705" i="2"/>
  <c r="B701" i="2"/>
  <c r="B698" i="2"/>
  <c r="C694" i="2"/>
  <c r="D690" i="2"/>
  <c r="D687" i="2"/>
  <c r="E683" i="2"/>
  <c r="F679" i="2"/>
  <c r="F676" i="2"/>
  <c r="A673" i="2"/>
  <c r="B669" i="2"/>
  <c r="B666" i="2"/>
  <c r="C662" i="2"/>
  <c r="D658" i="2"/>
  <c r="D655" i="2"/>
  <c r="E651" i="2"/>
  <c r="F647" i="2"/>
  <c r="A645" i="2"/>
  <c r="C642" i="2"/>
  <c r="E639" i="2"/>
  <c r="A637" i="2"/>
  <c r="C634" i="2"/>
  <c r="E631" i="2"/>
  <c r="A629" i="2"/>
  <c r="C626" i="2"/>
  <c r="E623" i="2"/>
  <c r="A621" i="2"/>
  <c r="C618" i="2"/>
  <c r="E615" i="2"/>
  <c r="A613" i="2"/>
  <c r="D610" i="2"/>
  <c r="B609" i="2"/>
  <c r="F607" i="2"/>
  <c r="D606" i="2"/>
  <c r="B605" i="2"/>
  <c r="F603" i="2"/>
  <c r="D602" i="2"/>
  <c r="B601" i="2"/>
  <c r="F599" i="2"/>
  <c r="D598" i="2"/>
  <c r="B597" i="2"/>
  <c r="F595" i="2"/>
  <c r="D594" i="2"/>
  <c r="B593" i="2"/>
  <c r="F591" i="2"/>
  <c r="D590" i="2"/>
  <c r="B589" i="2"/>
  <c r="F587" i="2"/>
  <c r="D586" i="2"/>
  <c r="B585" i="2"/>
  <c r="F583" i="2"/>
  <c r="D582" i="2"/>
  <c r="B581" i="2"/>
  <c r="F579" i="2"/>
  <c r="D578" i="2"/>
  <c r="B577" i="2"/>
  <c r="F575" i="2"/>
  <c r="D574" i="2"/>
  <c r="B573" i="2"/>
  <c r="F571" i="2"/>
  <c r="D570" i="2"/>
  <c r="B569" i="2"/>
  <c r="F567" i="2"/>
  <c r="D566" i="2"/>
  <c r="B565" i="2"/>
  <c r="F563" i="2"/>
  <c r="D562" i="2"/>
  <c r="B561" i="2"/>
  <c r="F559" i="2"/>
  <c r="D558" i="2"/>
  <c r="B557" i="2"/>
  <c r="F555" i="2"/>
  <c r="D554" i="2"/>
  <c r="B553" i="2"/>
  <c r="F551" i="2"/>
  <c r="D550" i="2"/>
  <c r="B549" i="2"/>
  <c r="F547" i="2"/>
  <c r="D546" i="2"/>
  <c r="B545" i="2"/>
  <c r="F543" i="2"/>
  <c r="D542" i="2"/>
  <c r="B541" i="2"/>
  <c r="F539" i="2"/>
  <c r="D538" i="2"/>
  <c r="B537" i="2"/>
  <c r="F535" i="2"/>
  <c r="D534" i="2"/>
  <c r="B533" i="2"/>
  <c r="F531" i="2"/>
  <c r="D530" i="2"/>
  <c r="B529" i="2"/>
  <c r="F527" i="2"/>
  <c r="D526" i="2"/>
  <c r="B525" i="2"/>
  <c r="F523" i="2"/>
  <c r="D522" i="2"/>
  <c r="B521" i="2"/>
  <c r="F519" i="2"/>
  <c r="D518" i="2"/>
  <c r="B517" i="2"/>
  <c r="F515" i="2"/>
  <c r="D514" i="2"/>
  <c r="B513" i="2"/>
  <c r="F511" i="2"/>
  <c r="D510" i="2"/>
  <c r="B509" i="2"/>
  <c r="F507" i="2"/>
  <c r="D506" i="2"/>
  <c r="B505" i="2"/>
  <c r="F503" i="2"/>
  <c r="D502" i="2"/>
  <c r="B501" i="2"/>
  <c r="F499" i="2"/>
  <c r="D498" i="2"/>
  <c r="B497" i="2"/>
  <c r="F495" i="2"/>
  <c r="D494" i="2"/>
  <c r="B493" i="2"/>
  <c r="F491" i="2"/>
  <c r="D490" i="2"/>
  <c r="B489" i="2"/>
  <c r="F487" i="2"/>
  <c r="D486" i="2"/>
  <c r="B485" i="2"/>
  <c r="F483" i="2"/>
  <c r="D482" i="2"/>
  <c r="B481" i="2"/>
  <c r="F479" i="2"/>
  <c r="D478" i="2"/>
  <c r="B477" i="2"/>
  <c r="F475" i="2"/>
  <c r="D474" i="2"/>
  <c r="B473" i="2"/>
  <c r="F471" i="2"/>
  <c r="D470" i="2"/>
  <c r="B469" i="2"/>
  <c r="F467" i="2"/>
  <c r="D466" i="2"/>
  <c r="B465" i="2"/>
  <c r="F463" i="2"/>
  <c r="D462" i="2"/>
  <c r="B461" i="2"/>
  <c r="F459" i="2"/>
  <c r="D458" i="2"/>
  <c r="B457" i="2"/>
  <c r="F455" i="2"/>
  <c r="D454" i="2"/>
  <c r="B453" i="2"/>
  <c r="F451" i="2"/>
  <c r="D450" i="2"/>
  <c r="B449" i="2"/>
  <c r="F447" i="2"/>
  <c r="D446" i="2"/>
  <c r="B445" i="2"/>
  <c r="F443" i="2"/>
  <c r="D442" i="2"/>
  <c r="B441" i="2"/>
  <c r="F439" i="2"/>
  <c r="D438" i="2"/>
  <c r="B437" i="2"/>
  <c r="F435" i="2"/>
  <c r="D434" i="2"/>
  <c r="B433" i="2"/>
  <c r="F431" i="2"/>
  <c r="D430" i="2"/>
  <c r="B429" i="2"/>
  <c r="F427" i="2"/>
  <c r="D426" i="2"/>
  <c r="B425" i="2"/>
  <c r="F423" i="2"/>
  <c r="D422" i="2"/>
  <c r="B421" i="2"/>
  <c r="F419" i="2"/>
  <c r="D418" i="2"/>
  <c r="B417" i="2"/>
  <c r="F415" i="2"/>
  <c r="D414" i="2"/>
  <c r="B413" i="2"/>
  <c r="F411" i="2"/>
  <c r="D410" i="2"/>
  <c r="B409" i="2"/>
  <c r="F407" i="2"/>
  <c r="D406" i="2"/>
  <c r="B405" i="2"/>
  <c r="F403" i="2"/>
  <c r="D402" i="2"/>
  <c r="B401" i="2"/>
  <c r="F399" i="2"/>
  <c r="D398" i="2"/>
  <c r="B397" i="2"/>
  <c r="F395" i="2"/>
  <c r="D394" i="2"/>
  <c r="B393" i="2"/>
  <c r="F391" i="2"/>
  <c r="D390" i="2"/>
  <c r="B389" i="2"/>
  <c r="F387" i="2"/>
  <c r="D386" i="2"/>
  <c r="B385" i="2"/>
  <c r="F383" i="2"/>
  <c r="D382" i="2"/>
  <c r="B381" i="2"/>
  <c r="F379" i="2"/>
  <c r="D378" i="2"/>
  <c r="B377" i="2"/>
  <c r="F375" i="2"/>
  <c r="D374" i="2"/>
  <c r="B373" i="2"/>
  <c r="F371" i="2"/>
  <c r="D370" i="2"/>
  <c r="B369" i="2"/>
  <c r="F367" i="2"/>
  <c r="D366" i="2"/>
  <c r="B365" i="2"/>
  <c r="F363" i="2"/>
  <c r="D362" i="2"/>
  <c r="B361" i="2"/>
  <c r="F359" i="2"/>
  <c r="D358" i="2"/>
  <c r="B357" i="2"/>
  <c r="F355" i="2"/>
  <c r="D354" i="2"/>
  <c r="B353" i="2"/>
  <c r="F351" i="2"/>
  <c r="D350" i="2"/>
  <c r="B349" i="2"/>
  <c r="F347" i="2"/>
  <c r="D346" i="2"/>
  <c r="B345" i="2"/>
  <c r="F343" i="2"/>
  <c r="D342" i="2"/>
  <c r="B341" i="2"/>
  <c r="F339" i="2"/>
  <c r="D338" i="2"/>
  <c r="B337" i="2"/>
  <c r="F335" i="2"/>
  <c r="D334" i="2"/>
  <c r="B333" i="2"/>
  <c r="F331" i="2"/>
  <c r="D330" i="2"/>
  <c r="B329" i="2"/>
  <c r="F327" i="2"/>
  <c r="D326" i="2"/>
  <c r="B325" i="2"/>
  <c r="F323" i="2"/>
  <c r="D322" i="2"/>
  <c r="B321" i="2"/>
  <c r="F319" i="2"/>
  <c r="D318" i="2"/>
  <c r="B317" i="2"/>
  <c r="F315" i="2"/>
  <c r="D314" i="2"/>
  <c r="B313" i="2"/>
  <c r="F311" i="2"/>
  <c r="D310" i="2"/>
  <c r="B309" i="2"/>
  <c r="F307" i="2"/>
  <c r="D306" i="2"/>
  <c r="B305" i="2"/>
  <c r="F303" i="2"/>
  <c r="D302" i="2"/>
  <c r="B301" i="2"/>
  <c r="F299" i="2"/>
  <c r="D298" i="2"/>
  <c r="B297" i="2"/>
  <c r="F295" i="2"/>
  <c r="D294" i="2"/>
  <c r="B293" i="2"/>
  <c r="F291" i="2"/>
  <c r="D290" i="2"/>
  <c r="B289" i="2"/>
  <c r="F287" i="2"/>
  <c r="D286" i="2"/>
  <c r="B285" i="2"/>
  <c r="F283" i="2"/>
  <c r="D282" i="2"/>
  <c r="B281" i="2"/>
  <c r="F279" i="2"/>
  <c r="D278" i="2"/>
  <c r="B277" i="2"/>
  <c r="F275" i="2"/>
  <c r="D274" i="2"/>
  <c r="B273" i="2"/>
  <c r="F271" i="2"/>
  <c r="D270" i="2"/>
  <c r="B269" i="2"/>
  <c r="F267" i="2"/>
  <c r="D266" i="2"/>
  <c r="B265" i="2"/>
  <c r="F263" i="2"/>
  <c r="D262" i="2"/>
  <c r="B261" i="2"/>
  <c r="F259" i="2"/>
  <c r="D258" i="2"/>
  <c r="B257" i="2"/>
  <c r="F255" i="2"/>
  <c r="D254" i="2"/>
  <c r="B253" i="2"/>
  <c r="F251" i="2"/>
  <c r="D250" i="2"/>
  <c r="B249" i="2"/>
  <c r="F247" i="2"/>
  <c r="D246" i="2"/>
  <c r="B245" i="2"/>
  <c r="F243" i="2"/>
  <c r="D242" i="2"/>
  <c r="B241" i="2"/>
  <c r="F239" i="2"/>
  <c r="D238" i="2"/>
  <c r="B237" i="2"/>
  <c r="F235" i="2"/>
  <c r="D234" i="2"/>
  <c r="B233" i="2"/>
  <c r="F231" i="2"/>
  <c r="D230" i="2"/>
  <c r="B229" i="2"/>
  <c r="F227" i="2"/>
  <c r="D226" i="2"/>
  <c r="B225" i="2"/>
  <c r="F223" i="2"/>
  <c r="D222" i="2"/>
  <c r="B221" i="2"/>
  <c r="F219" i="2"/>
  <c r="D218" i="2"/>
  <c r="B217" i="2"/>
  <c r="F215" i="2"/>
  <c r="D214" i="2"/>
  <c r="B213" i="2"/>
  <c r="F211" i="2"/>
  <c r="D210" i="2"/>
  <c r="B209" i="2"/>
  <c r="F207" i="2"/>
  <c r="D206" i="2"/>
  <c r="B205" i="2"/>
  <c r="F203" i="2"/>
  <c r="D202" i="2"/>
  <c r="B201" i="2"/>
  <c r="F199" i="2"/>
  <c r="D198" i="2"/>
  <c r="B197" i="2"/>
  <c r="F195" i="2"/>
  <c r="D194" i="2"/>
  <c r="B193" i="2"/>
  <c r="F191" i="2"/>
  <c r="D190" i="2"/>
  <c r="B189" i="2"/>
  <c r="F187" i="2"/>
  <c r="D186" i="2"/>
  <c r="B185" i="2"/>
  <c r="F183" i="2"/>
  <c r="D182" i="2"/>
  <c r="B181" i="2"/>
  <c r="F179" i="2"/>
  <c r="D178" i="2"/>
  <c r="B177" i="2"/>
  <c r="F175" i="2"/>
  <c r="D174" i="2"/>
  <c r="B173" i="2"/>
  <c r="F171" i="2"/>
  <c r="D170" i="2"/>
  <c r="B169" i="2"/>
  <c r="F167" i="2"/>
  <c r="D166" i="2"/>
  <c r="B165" i="2"/>
  <c r="F163" i="2"/>
  <c r="D162" i="2"/>
  <c r="B161" i="2"/>
  <c r="F159" i="2"/>
  <c r="D158" i="2"/>
  <c r="C226" i="3"/>
  <c r="C20" i="3"/>
  <c r="A1385" i="2"/>
  <c r="C1302" i="2"/>
  <c r="E1259" i="2"/>
  <c r="E1237" i="2"/>
  <c r="E1223" i="2"/>
  <c r="E1211" i="2"/>
  <c r="A1201" i="2"/>
  <c r="C1190" i="2"/>
  <c r="E1179" i="2"/>
  <c r="A1169" i="2"/>
  <c r="C1158" i="2"/>
  <c r="E1147" i="2"/>
  <c r="A1137" i="2"/>
  <c r="C1126" i="2"/>
  <c r="E1115" i="2"/>
  <c r="A1105" i="2"/>
  <c r="C1094" i="2"/>
  <c r="E1083" i="2"/>
  <c r="A1073" i="2"/>
  <c r="C1062" i="2"/>
  <c r="E1051" i="2"/>
  <c r="A1041" i="2"/>
  <c r="C1030" i="2"/>
  <c r="E1019" i="2"/>
  <c r="A1009" i="2"/>
  <c r="C998" i="2"/>
  <c r="E987" i="2"/>
  <c r="A977" i="2"/>
  <c r="C966" i="2"/>
  <c r="E955" i="2"/>
  <c r="A945" i="2"/>
  <c r="C934" i="2"/>
  <c r="E923" i="2"/>
  <c r="A913" i="2"/>
  <c r="C902" i="2"/>
  <c r="E891" i="2"/>
  <c r="A881" i="2"/>
  <c r="C870" i="2"/>
  <c r="F859" i="2"/>
  <c r="D854" i="2"/>
  <c r="B849" i="2"/>
  <c r="F843" i="2"/>
  <c r="D838" i="2"/>
  <c r="B833" i="2"/>
  <c r="F827" i="2"/>
  <c r="D822" i="2"/>
  <c r="B817" i="2"/>
  <c r="F811" i="2"/>
  <c r="D806" i="2"/>
  <c r="B801" i="2"/>
  <c r="F795" i="2"/>
  <c r="D790" i="2"/>
  <c r="B785" i="2"/>
  <c r="F779" i="2"/>
  <c r="D774" i="2"/>
  <c r="B769" i="2"/>
  <c r="F763" i="2"/>
  <c r="D758" i="2"/>
  <c r="B753" i="2"/>
  <c r="F747" i="2"/>
  <c r="D742" i="2"/>
  <c r="B737" i="2"/>
  <c r="F731" i="2"/>
  <c r="D726" i="2"/>
  <c r="C722" i="2"/>
  <c r="D718" i="2"/>
  <c r="D715" i="2"/>
  <c r="E711" i="2"/>
  <c r="F707" i="2"/>
  <c r="F704" i="2"/>
  <c r="A701" i="2"/>
  <c r="B697" i="2"/>
  <c r="B694" i="2"/>
  <c r="C690" i="2"/>
  <c r="D686" i="2"/>
  <c r="D683" i="2"/>
  <c r="E679" i="2"/>
  <c r="F675" i="2"/>
  <c r="F672" i="2"/>
  <c r="A669" i="2"/>
  <c r="B665" i="2"/>
  <c r="B662" i="2"/>
  <c r="C658" i="2"/>
  <c r="D654" i="2"/>
  <c r="D651" i="2"/>
  <c r="E647" i="2"/>
  <c r="F644" i="2"/>
  <c r="B642" i="2"/>
  <c r="D639" i="2"/>
  <c r="F636" i="2"/>
  <c r="B634" i="2"/>
  <c r="D631" i="2"/>
  <c r="F628" i="2"/>
  <c r="B626" i="2"/>
  <c r="D623" i="2"/>
  <c r="F620" i="2"/>
  <c r="B618" i="2"/>
  <c r="D615" i="2"/>
  <c r="F612" i="2"/>
  <c r="C610" i="2"/>
  <c r="A609" i="2"/>
  <c r="E607" i="2"/>
  <c r="C606" i="2"/>
  <c r="A605" i="2"/>
  <c r="E603" i="2"/>
  <c r="C602" i="2"/>
  <c r="A601" i="2"/>
  <c r="E599" i="2"/>
  <c r="C598" i="2"/>
  <c r="A597" i="2"/>
  <c r="E595" i="2"/>
  <c r="C594" i="2"/>
  <c r="A593" i="2"/>
  <c r="E591" i="2"/>
  <c r="C590" i="2"/>
  <c r="A589" i="2"/>
  <c r="E587" i="2"/>
  <c r="C586" i="2"/>
  <c r="A585" i="2"/>
  <c r="E583" i="2"/>
  <c r="C582" i="2"/>
  <c r="A581" i="2"/>
  <c r="E579" i="2"/>
  <c r="C578" i="2"/>
  <c r="A577" i="2"/>
  <c r="E575" i="2"/>
  <c r="C574" i="2"/>
  <c r="A573" i="2"/>
  <c r="E571" i="2"/>
  <c r="C570" i="2"/>
  <c r="A569" i="2"/>
  <c r="E567" i="2"/>
  <c r="C566" i="2"/>
  <c r="A565" i="2"/>
  <c r="E563" i="2"/>
  <c r="C562" i="2"/>
  <c r="A561" i="2"/>
  <c r="E559" i="2"/>
  <c r="C558" i="2"/>
  <c r="A557" i="2"/>
  <c r="E555" i="2"/>
  <c r="C554" i="2"/>
  <c r="A553" i="2"/>
  <c r="E551" i="2"/>
  <c r="C550" i="2"/>
  <c r="A549" i="2"/>
  <c r="E547" i="2"/>
  <c r="C546" i="2"/>
  <c r="A545" i="2"/>
  <c r="E543" i="2"/>
  <c r="C542" i="2"/>
  <c r="A541" i="2"/>
  <c r="E539" i="2"/>
  <c r="C538" i="2"/>
  <c r="A537" i="2"/>
  <c r="E535" i="2"/>
  <c r="C534" i="2"/>
  <c r="A533" i="2"/>
  <c r="E531" i="2"/>
  <c r="C530" i="2"/>
  <c r="A529" i="2"/>
  <c r="E527" i="2"/>
  <c r="C526" i="2"/>
  <c r="A525" i="2"/>
  <c r="E523" i="2"/>
  <c r="C522" i="2"/>
  <c r="A521" i="2"/>
  <c r="E519" i="2"/>
  <c r="C518" i="2"/>
  <c r="A517" i="2"/>
  <c r="E515" i="2"/>
  <c r="C514" i="2"/>
  <c r="A513" i="2"/>
  <c r="E511" i="2"/>
  <c r="C510" i="2"/>
  <c r="A509" i="2"/>
  <c r="E507" i="2"/>
  <c r="C506" i="2"/>
  <c r="A505" i="2"/>
  <c r="E503" i="2"/>
  <c r="C502" i="2"/>
  <c r="A501" i="2"/>
  <c r="E499" i="2"/>
  <c r="C498" i="2"/>
  <c r="A497" i="2"/>
  <c r="E495" i="2"/>
  <c r="C494" i="2"/>
  <c r="A493" i="2"/>
  <c r="E491" i="2"/>
  <c r="C490" i="2"/>
  <c r="A489" i="2"/>
  <c r="E487" i="2"/>
  <c r="C486" i="2"/>
  <c r="A485" i="2"/>
  <c r="E483" i="2"/>
  <c r="C482" i="2"/>
  <c r="A481" i="2"/>
  <c r="E479" i="2"/>
  <c r="C478" i="2"/>
  <c r="A477" i="2"/>
  <c r="E475" i="2"/>
  <c r="C474" i="2"/>
  <c r="A473" i="2"/>
  <c r="E471" i="2"/>
  <c r="C470" i="2"/>
  <c r="A469" i="2"/>
  <c r="E467" i="2"/>
  <c r="C466" i="2"/>
  <c r="A465" i="2"/>
  <c r="E463" i="2"/>
  <c r="C462" i="2"/>
  <c r="A461" i="2"/>
  <c r="E459" i="2"/>
  <c r="C458" i="2"/>
  <c r="A457" i="2"/>
  <c r="E455" i="2"/>
  <c r="C454" i="2"/>
  <c r="A453" i="2"/>
  <c r="E451" i="2"/>
  <c r="C450" i="2"/>
  <c r="A449" i="2"/>
  <c r="E447" i="2"/>
  <c r="C446" i="2"/>
  <c r="A445" i="2"/>
  <c r="E443" i="2"/>
  <c r="C442" i="2"/>
  <c r="A441" i="2"/>
  <c r="E439" i="2"/>
  <c r="C438" i="2"/>
  <c r="A437" i="2"/>
  <c r="E435" i="2"/>
  <c r="C434" i="2"/>
  <c r="A433" i="2"/>
  <c r="E431" i="2"/>
  <c r="C430" i="2"/>
  <c r="A429" i="2"/>
  <c r="E427" i="2"/>
  <c r="C426" i="2"/>
  <c r="A425" i="2"/>
  <c r="E423" i="2"/>
  <c r="C422" i="2"/>
  <c r="A421" i="2"/>
  <c r="E419" i="2"/>
  <c r="C418" i="2"/>
  <c r="A417" i="2"/>
  <c r="E415" i="2"/>
  <c r="C414" i="2"/>
  <c r="A413" i="2"/>
  <c r="E411" i="2"/>
  <c r="C410" i="2"/>
  <c r="A409" i="2"/>
  <c r="E407" i="2"/>
  <c r="C406" i="2"/>
  <c r="A405" i="2"/>
  <c r="E403" i="2"/>
  <c r="C402" i="2"/>
  <c r="A401" i="2"/>
  <c r="E399" i="2"/>
  <c r="C398" i="2"/>
  <c r="A397" i="2"/>
  <c r="E395" i="2"/>
  <c r="C394" i="2"/>
  <c r="A393" i="2"/>
  <c r="E391" i="2"/>
  <c r="C390" i="2"/>
  <c r="A389" i="2"/>
  <c r="E387" i="2"/>
  <c r="C386" i="2"/>
  <c r="A385" i="2"/>
  <c r="E383" i="2"/>
  <c r="C382" i="2"/>
  <c r="A381" i="2"/>
  <c r="E379" i="2"/>
  <c r="C378" i="2"/>
  <c r="A377" i="2"/>
  <c r="E375" i="2"/>
  <c r="C374" i="2"/>
  <c r="A373" i="2"/>
  <c r="E371" i="2"/>
  <c r="C370" i="2"/>
  <c r="A369" i="2"/>
  <c r="E367" i="2"/>
  <c r="C366" i="2"/>
  <c r="A365" i="2"/>
  <c r="E363" i="2"/>
  <c r="C362" i="2"/>
  <c r="A361" i="2"/>
  <c r="E359" i="2"/>
  <c r="C358" i="2"/>
  <c r="A357" i="2"/>
  <c r="E355" i="2"/>
  <c r="C354" i="2"/>
  <c r="A353" i="2"/>
  <c r="E351" i="2"/>
  <c r="C350" i="2"/>
  <c r="A349" i="2"/>
  <c r="E347" i="2"/>
  <c r="C346" i="2"/>
  <c r="A345" i="2"/>
  <c r="E343" i="2"/>
  <c r="C342" i="2"/>
  <c r="A341" i="2"/>
  <c r="E339" i="2"/>
  <c r="C338" i="2"/>
  <c r="A337" i="2"/>
  <c r="E335" i="2"/>
  <c r="C334" i="2"/>
  <c r="A333" i="2"/>
  <c r="E331" i="2"/>
  <c r="C330" i="2"/>
  <c r="A329" i="2"/>
  <c r="E327" i="2"/>
  <c r="C326" i="2"/>
  <c r="A325" i="2"/>
  <c r="E323" i="2"/>
  <c r="C322" i="2"/>
  <c r="A321" i="2"/>
  <c r="E319" i="2"/>
  <c r="C318" i="2"/>
  <c r="A317" i="2"/>
  <c r="E315" i="2"/>
  <c r="C314" i="2"/>
  <c r="A313" i="2"/>
  <c r="E311" i="2"/>
  <c r="C310" i="2"/>
  <c r="A309" i="2"/>
  <c r="E307" i="2"/>
  <c r="C306" i="2"/>
  <c r="A305" i="2"/>
  <c r="E303" i="2"/>
  <c r="C302" i="2"/>
  <c r="A301" i="2"/>
  <c r="E299" i="2"/>
  <c r="C298" i="2"/>
  <c r="A297" i="2"/>
  <c r="E295" i="2"/>
  <c r="C294" i="2"/>
  <c r="A293" i="2"/>
  <c r="E291" i="2"/>
  <c r="C290" i="2"/>
  <c r="A289" i="2"/>
  <c r="E287" i="2"/>
  <c r="C286" i="2"/>
  <c r="A285" i="2"/>
  <c r="E283" i="2"/>
  <c r="C282" i="2"/>
  <c r="A281" i="2"/>
  <c r="E279" i="2"/>
  <c r="C278" i="2"/>
  <c r="A277" i="2"/>
  <c r="E275" i="2"/>
  <c r="C274" i="2"/>
  <c r="A273" i="2"/>
  <c r="E271" i="2"/>
  <c r="C270" i="2"/>
  <c r="A269" i="2"/>
  <c r="E267" i="2"/>
  <c r="C266" i="2"/>
  <c r="A265" i="2"/>
  <c r="E263" i="2"/>
  <c r="C262" i="2"/>
  <c r="A261" i="2"/>
  <c r="E259" i="2"/>
  <c r="C258" i="2"/>
  <c r="A257" i="2"/>
  <c r="E255" i="2"/>
  <c r="C254" i="2"/>
  <c r="A253" i="2"/>
  <c r="E251" i="2"/>
  <c r="C250" i="2"/>
  <c r="A249" i="2"/>
  <c r="E247" i="2"/>
  <c r="C246" i="2"/>
  <c r="A245" i="2"/>
  <c r="E243" i="2"/>
  <c r="C242" i="2"/>
  <c r="A241" i="2"/>
  <c r="E239" i="2"/>
  <c r="C238" i="2"/>
  <c r="A237" i="2"/>
  <c r="E235" i="2"/>
  <c r="C234" i="2"/>
  <c r="A233" i="2"/>
  <c r="E231" i="2"/>
  <c r="C230" i="2"/>
  <c r="A229" i="2"/>
  <c r="E227" i="2"/>
  <c r="C226" i="2"/>
  <c r="A225" i="2"/>
  <c r="E223" i="2"/>
  <c r="C222" i="2"/>
  <c r="A221" i="2"/>
  <c r="E219" i="2"/>
  <c r="C218" i="2"/>
  <c r="A217" i="2"/>
  <c r="E215" i="2"/>
  <c r="C214" i="2"/>
  <c r="A213" i="2"/>
  <c r="E211" i="2"/>
  <c r="C210" i="2"/>
  <c r="A209" i="2"/>
  <c r="E207" i="2"/>
  <c r="C206" i="2"/>
  <c r="A205" i="2"/>
  <c r="E203" i="2"/>
  <c r="C202" i="2"/>
  <c r="A201" i="2"/>
  <c r="E199" i="2"/>
  <c r="C198" i="2"/>
  <c r="A197" i="2"/>
  <c r="E195" i="2"/>
  <c r="C194" i="2"/>
  <c r="A193" i="2"/>
  <c r="E191" i="2"/>
  <c r="C190" i="2"/>
  <c r="A189" i="2"/>
  <c r="E187" i="2"/>
  <c r="C186" i="2"/>
  <c r="A185" i="2"/>
  <c r="E183" i="2"/>
  <c r="C182" i="2"/>
  <c r="A181" i="2"/>
  <c r="E179" i="2"/>
  <c r="C178" i="2"/>
  <c r="A177" i="2"/>
  <c r="E175" i="2"/>
  <c r="C174" i="2"/>
  <c r="A173" i="2"/>
  <c r="E171" i="2"/>
  <c r="C170" i="2"/>
  <c r="A169" i="2"/>
  <c r="E167" i="2"/>
  <c r="C166" i="2"/>
  <c r="A165" i="2"/>
  <c r="E163" i="2"/>
  <c r="C162" i="2"/>
  <c r="A161" i="2"/>
  <c r="E159" i="2"/>
  <c r="C158" i="2"/>
  <c r="A157" i="2"/>
  <c r="E155" i="2"/>
  <c r="C154" i="2"/>
  <c r="A153" i="2"/>
  <c r="E151" i="2"/>
  <c r="C150" i="2"/>
  <c r="A149" i="2"/>
  <c r="E147" i="2"/>
  <c r="C146" i="2"/>
  <c r="A145" i="2"/>
  <c r="E143" i="2"/>
  <c r="C142" i="2"/>
  <c r="A141" i="2"/>
  <c r="E139" i="2"/>
  <c r="C138" i="2"/>
  <c r="A137" i="2"/>
  <c r="E135" i="2"/>
  <c r="C134" i="2"/>
  <c r="A133" i="2"/>
  <c r="E131" i="2"/>
  <c r="C130" i="2"/>
  <c r="A129" i="2"/>
  <c r="E127" i="2"/>
  <c r="C126" i="2"/>
  <c r="A125" i="2"/>
  <c r="E123" i="2"/>
  <c r="C122" i="2"/>
  <c r="A121" i="2"/>
  <c r="E119" i="2"/>
  <c r="C118" i="2"/>
  <c r="A117" i="2"/>
  <c r="E115" i="2"/>
  <c r="E183" i="3"/>
  <c r="E9" i="3"/>
  <c r="C1374" i="2"/>
  <c r="A1297" i="2"/>
  <c r="F1254" i="2"/>
  <c r="A1236" i="2"/>
  <c r="E1221" i="2"/>
  <c r="C1210" i="2"/>
  <c r="E1199" i="2"/>
  <c r="A1189" i="2"/>
  <c r="C1178" i="2"/>
  <c r="E1167" i="2"/>
  <c r="A1157" i="2"/>
  <c r="C1146" i="2"/>
  <c r="E1135" i="2"/>
  <c r="A1125" i="2"/>
  <c r="C1114" i="2"/>
  <c r="E1103" i="2"/>
  <c r="A1093" i="2"/>
  <c r="C1082" i="2"/>
  <c r="E1071" i="2"/>
  <c r="A1061" i="2"/>
  <c r="C1050" i="2"/>
  <c r="E1039" i="2"/>
  <c r="A1029" i="2"/>
  <c r="C1018" i="2"/>
  <c r="E1007" i="2"/>
  <c r="A997" i="2"/>
  <c r="C986" i="2"/>
  <c r="E975" i="2"/>
  <c r="A965" i="2"/>
  <c r="C954" i="2"/>
  <c r="E943" i="2"/>
  <c r="A933" i="2"/>
  <c r="C922" i="2"/>
  <c r="E911" i="2"/>
  <c r="A901" i="2"/>
  <c r="C890" i="2"/>
  <c r="E879" i="2"/>
  <c r="A869" i="2"/>
  <c r="E859" i="2"/>
  <c r="C854" i="2"/>
  <c r="A849" i="2"/>
  <c r="E843" i="2"/>
  <c r="C838" i="2"/>
  <c r="A833" i="2"/>
  <c r="E827" i="2"/>
  <c r="C822" i="2"/>
  <c r="A817" i="2"/>
  <c r="E811" i="2"/>
  <c r="C806" i="2"/>
  <c r="A801" i="2"/>
  <c r="E795" i="2"/>
  <c r="C790" i="2"/>
  <c r="A785" i="2"/>
  <c r="E779" i="2"/>
  <c r="C774" i="2"/>
  <c r="A769" i="2"/>
  <c r="E763" i="2"/>
  <c r="C758" i="2"/>
  <c r="A753" i="2"/>
  <c r="E747" i="2"/>
  <c r="C742" i="2"/>
  <c r="A737" i="2"/>
  <c r="E731" i="2"/>
  <c r="C726" i="2"/>
  <c r="B722" i="2"/>
  <c r="C718" i="2"/>
  <c r="D714" i="2"/>
  <c r="D711" i="2"/>
  <c r="E707" i="2"/>
  <c r="F703" i="2"/>
  <c r="F700" i="2"/>
  <c r="A697" i="2"/>
  <c r="B693" i="2"/>
  <c r="B690" i="2"/>
  <c r="C686" i="2"/>
  <c r="D682" i="2"/>
  <c r="D679" i="2"/>
  <c r="E675" i="2"/>
  <c r="F671" i="2"/>
  <c r="F668" i="2"/>
  <c r="A665" i="2"/>
  <c r="B661" i="2"/>
  <c r="B658" i="2"/>
  <c r="C654" i="2"/>
  <c r="D650" i="2"/>
  <c r="D647" i="2"/>
  <c r="A644" i="2"/>
  <c r="C641" i="2"/>
  <c r="E638" i="2"/>
  <c r="A636" i="2"/>
  <c r="C633" i="2"/>
  <c r="E630" i="2"/>
  <c r="A628" i="2"/>
  <c r="C625" i="2"/>
  <c r="E622" i="2"/>
  <c r="A620" i="2"/>
  <c r="C617" i="2"/>
  <c r="E614" i="2"/>
  <c r="A612" i="2"/>
  <c r="B610" i="2"/>
  <c r="F608" i="2"/>
  <c r="D607" i="2"/>
  <c r="B606" i="2"/>
  <c r="F604" i="2"/>
  <c r="D603" i="2"/>
  <c r="B602" i="2"/>
  <c r="F600" i="2"/>
  <c r="D599" i="2"/>
  <c r="B598" i="2"/>
  <c r="F596" i="2"/>
  <c r="D595" i="2"/>
  <c r="B594" i="2"/>
  <c r="F592" i="2"/>
  <c r="D591" i="2"/>
  <c r="B590" i="2"/>
  <c r="F588" i="2"/>
  <c r="D587" i="2"/>
  <c r="B586" i="2"/>
  <c r="F584" i="2"/>
  <c r="D583" i="2"/>
  <c r="B582" i="2"/>
  <c r="F580" i="2"/>
  <c r="D579" i="2"/>
  <c r="B578" i="2"/>
  <c r="F576" i="2"/>
  <c r="D575" i="2"/>
  <c r="B574" i="2"/>
  <c r="F572" i="2"/>
  <c r="D571" i="2"/>
  <c r="B570" i="2"/>
  <c r="F568" i="2"/>
  <c r="D567" i="2"/>
  <c r="B566" i="2"/>
  <c r="F564" i="2"/>
  <c r="D563" i="2"/>
  <c r="B562" i="2"/>
  <c r="F560" i="2"/>
  <c r="D559" i="2"/>
  <c r="B558" i="2"/>
  <c r="F556" i="2"/>
  <c r="D555" i="2"/>
  <c r="B554" i="2"/>
  <c r="F552" i="2"/>
  <c r="D551" i="2"/>
  <c r="B550" i="2"/>
  <c r="F548" i="2"/>
  <c r="D547" i="2"/>
  <c r="B546" i="2"/>
  <c r="F544" i="2"/>
  <c r="D543" i="2"/>
  <c r="B542" i="2"/>
  <c r="F540" i="2"/>
  <c r="D539" i="2"/>
  <c r="B538" i="2"/>
  <c r="F536" i="2"/>
  <c r="D535" i="2"/>
  <c r="B534" i="2"/>
  <c r="F532" i="2"/>
  <c r="D531" i="2"/>
  <c r="B530" i="2"/>
  <c r="F528" i="2"/>
  <c r="D527" i="2"/>
  <c r="B526" i="2"/>
  <c r="F524" i="2"/>
  <c r="D523" i="2"/>
  <c r="B522" i="2"/>
  <c r="F520" i="2"/>
  <c r="D519" i="2"/>
  <c r="B518" i="2"/>
  <c r="F516" i="2"/>
  <c r="D515" i="2"/>
  <c r="B514" i="2"/>
  <c r="F512" i="2"/>
  <c r="D511" i="2"/>
  <c r="B510" i="2"/>
  <c r="F508" i="2"/>
  <c r="D507" i="2"/>
  <c r="B506" i="2"/>
  <c r="F504" i="2"/>
  <c r="D503" i="2"/>
  <c r="B502" i="2"/>
  <c r="F500" i="2"/>
  <c r="D499" i="2"/>
  <c r="B498" i="2"/>
  <c r="F496" i="2"/>
  <c r="D495" i="2"/>
  <c r="B494" i="2"/>
  <c r="F492" i="2"/>
  <c r="D491" i="2"/>
  <c r="B490" i="2"/>
  <c r="F488" i="2"/>
  <c r="D487" i="2"/>
  <c r="B486" i="2"/>
  <c r="F484" i="2"/>
  <c r="D483" i="2"/>
  <c r="B482" i="2"/>
  <c r="F480" i="2"/>
  <c r="D479" i="2"/>
  <c r="B478" i="2"/>
  <c r="F476" i="2"/>
  <c r="D475" i="2"/>
  <c r="B474" i="2"/>
  <c r="F472" i="2"/>
  <c r="D471" i="2"/>
  <c r="B470" i="2"/>
  <c r="F468" i="2"/>
  <c r="D467" i="2"/>
  <c r="B466" i="2"/>
  <c r="F464" i="2"/>
  <c r="D463" i="2"/>
  <c r="B462" i="2"/>
  <c r="F460" i="2"/>
  <c r="D459" i="2"/>
  <c r="B458" i="2"/>
  <c r="F456" i="2"/>
  <c r="D455" i="2"/>
  <c r="B454" i="2"/>
  <c r="F452" i="2"/>
  <c r="D451" i="2"/>
  <c r="B450" i="2"/>
  <c r="F448" i="2"/>
  <c r="D447" i="2"/>
  <c r="B446" i="2"/>
  <c r="F444" i="2"/>
  <c r="D443" i="2"/>
  <c r="B442" i="2"/>
  <c r="F440" i="2"/>
  <c r="D439" i="2"/>
  <c r="B438" i="2"/>
  <c r="F436" i="2"/>
  <c r="D435" i="2"/>
  <c r="B434" i="2"/>
  <c r="F432" i="2"/>
  <c r="D431" i="2"/>
  <c r="B430" i="2"/>
  <c r="F428" i="2"/>
  <c r="D427" i="2"/>
  <c r="B426" i="2"/>
  <c r="F424" i="2"/>
  <c r="D423" i="2"/>
  <c r="B422" i="2"/>
  <c r="F420" i="2"/>
  <c r="D419" i="2"/>
  <c r="B418" i="2"/>
  <c r="F416" i="2"/>
  <c r="D415" i="2"/>
  <c r="B414" i="2"/>
  <c r="F412" i="2"/>
  <c r="D411" i="2"/>
  <c r="B410" i="2"/>
  <c r="F408" i="2"/>
  <c r="D407" i="2"/>
  <c r="B406" i="2"/>
  <c r="F404" i="2"/>
  <c r="D403" i="2"/>
  <c r="B402" i="2"/>
  <c r="F400" i="2"/>
  <c r="D399" i="2"/>
  <c r="B398" i="2"/>
  <c r="F396" i="2"/>
  <c r="D395" i="2"/>
  <c r="B394" i="2"/>
  <c r="F392" i="2"/>
  <c r="D391" i="2"/>
  <c r="B390" i="2"/>
  <c r="F388" i="2"/>
  <c r="D387" i="2"/>
  <c r="B386" i="2"/>
  <c r="F384" i="2"/>
  <c r="D383" i="2"/>
  <c r="B382" i="2"/>
  <c r="F380" i="2"/>
  <c r="D379" i="2"/>
  <c r="B378" i="2"/>
  <c r="F376" i="2"/>
  <c r="D375" i="2"/>
  <c r="B374" i="2"/>
  <c r="F372" i="2"/>
  <c r="D371" i="2"/>
  <c r="B370" i="2"/>
  <c r="F368" i="2"/>
  <c r="D367" i="2"/>
  <c r="B366" i="2"/>
  <c r="F364" i="2"/>
  <c r="D363" i="2"/>
  <c r="B362" i="2"/>
  <c r="F360" i="2"/>
  <c r="D359" i="2"/>
  <c r="B358" i="2"/>
  <c r="F356" i="2"/>
  <c r="D355" i="2"/>
  <c r="B354" i="2"/>
  <c r="F352" i="2"/>
  <c r="D351" i="2"/>
  <c r="B350" i="2"/>
  <c r="F348" i="2"/>
  <c r="D347" i="2"/>
  <c r="B346" i="2"/>
  <c r="F344" i="2"/>
  <c r="D343" i="2"/>
  <c r="B342" i="2"/>
  <c r="F340" i="2"/>
  <c r="D339" i="2"/>
  <c r="B338" i="2"/>
  <c r="F336" i="2"/>
  <c r="D335" i="2"/>
  <c r="B334" i="2"/>
  <c r="F332" i="2"/>
  <c r="D331" i="2"/>
  <c r="B330" i="2"/>
  <c r="F328" i="2"/>
  <c r="D327" i="2"/>
  <c r="B326" i="2"/>
  <c r="F324" i="2"/>
  <c r="D323" i="2"/>
  <c r="B322" i="2"/>
  <c r="F320" i="2"/>
  <c r="D319" i="2"/>
  <c r="B318" i="2"/>
  <c r="F316" i="2"/>
  <c r="D315" i="2"/>
  <c r="B314" i="2"/>
  <c r="F312" i="2"/>
  <c r="D311" i="2"/>
  <c r="B310" i="2"/>
  <c r="F308" i="2"/>
  <c r="D307" i="2"/>
  <c r="B306" i="2"/>
  <c r="F304" i="2"/>
  <c r="D303" i="2"/>
  <c r="B302" i="2"/>
  <c r="F300" i="2"/>
  <c r="D299" i="2"/>
  <c r="B298" i="2"/>
  <c r="F296" i="2"/>
  <c r="D295" i="2"/>
  <c r="B294" i="2"/>
  <c r="F292" i="2"/>
  <c r="D291" i="2"/>
  <c r="B290" i="2"/>
  <c r="F288" i="2"/>
  <c r="D287" i="2"/>
  <c r="B286" i="2"/>
  <c r="F284" i="2"/>
  <c r="D283" i="2"/>
  <c r="B282" i="2"/>
  <c r="F280" i="2"/>
  <c r="D279" i="2"/>
  <c r="B278" i="2"/>
  <c r="F276" i="2"/>
  <c r="D275" i="2"/>
  <c r="B274" i="2"/>
  <c r="F272" i="2"/>
  <c r="D271" i="2"/>
  <c r="B270" i="2"/>
  <c r="F268" i="2"/>
  <c r="D267" i="2"/>
  <c r="B266" i="2"/>
  <c r="F264" i="2"/>
  <c r="D263" i="2"/>
  <c r="B262" i="2"/>
  <c r="F260" i="2"/>
  <c r="D259" i="2"/>
  <c r="B258" i="2"/>
  <c r="F256" i="2"/>
  <c r="D255" i="2"/>
  <c r="B254" i="2"/>
  <c r="F252" i="2"/>
  <c r="D251" i="2"/>
  <c r="B250" i="2"/>
  <c r="F248" i="2"/>
  <c r="D247" i="2"/>
  <c r="B246" i="2"/>
  <c r="F244" i="2"/>
  <c r="D243" i="2"/>
  <c r="B242" i="2"/>
  <c r="F240" i="2"/>
  <c r="D239" i="2"/>
  <c r="B238" i="2"/>
  <c r="F236" i="2"/>
  <c r="D235" i="2"/>
  <c r="B234" i="2"/>
  <c r="F232" i="2"/>
  <c r="D231" i="2"/>
  <c r="B230" i="2"/>
  <c r="F228" i="2"/>
  <c r="D227" i="2"/>
  <c r="B226" i="2"/>
  <c r="F224" i="2"/>
  <c r="D223" i="2"/>
  <c r="B222" i="2"/>
  <c r="F220" i="2"/>
  <c r="D219" i="2"/>
  <c r="B218" i="2"/>
  <c r="F216" i="2"/>
  <c r="D215" i="2"/>
  <c r="B214" i="2"/>
  <c r="F212" i="2"/>
  <c r="D211" i="2"/>
  <c r="B210" i="2"/>
  <c r="F208" i="2"/>
  <c r="D207" i="2"/>
  <c r="B206" i="2"/>
  <c r="F204" i="2"/>
  <c r="D203" i="2"/>
  <c r="B202" i="2"/>
  <c r="F200" i="2"/>
  <c r="D199" i="2"/>
  <c r="B198" i="2"/>
  <c r="F196" i="2"/>
  <c r="D195" i="2"/>
  <c r="B194" i="2"/>
  <c r="F192" i="2"/>
  <c r="D191" i="2"/>
  <c r="B190" i="2"/>
  <c r="F188" i="2"/>
  <c r="D187" i="2"/>
  <c r="B186" i="2"/>
  <c r="F184" i="2"/>
  <c r="D183" i="2"/>
  <c r="B182" i="2"/>
  <c r="F180" i="2"/>
  <c r="D179" i="2"/>
  <c r="B178" i="2"/>
  <c r="F176" i="2"/>
  <c r="D175" i="2"/>
  <c r="B174" i="2"/>
  <c r="F172" i="2"/>
  <c r="D171" i="2"/>
  <c r="B170" i="2"/>
  <c r="F168" i="2"/>
  <c r="D167" i="2"/>
  <c r="B166" i="2"/>
  <c r="F164" i="2"/>
  <c r="D163" i="2"/>
  <c r="B162" i="2"/>
  <c r="F160" i="2"/>
  <c r="D159" i="2"/>
  <c r="B158" i="2"/>
  <c r="F156" i="2"/>
  <c r="D155" i="2"/>
  <c r="B154" i="2"/>
  <c r="F152" i="2"/>
  <c r="D151" i="2"/>
  <c r="B150" i="2"/>
  <c r="F148" i="2"/>
  <c r="D147" i="2"/>
  <c r="B146" i="2"/>
  <c r="F144" i="2"/>
  <c r="D143" i="2"/>
  <c r="B142" i="2"/>
  <c r="F140" i="2"/>
  <c r="D139" i="2"/>
  <c r="B138" i="2"/>
  <c r="F136" i="2"/>
  <c r="D135" i="2"/>
  <c r="B134" i="2"/>
  <c r="F132" i="2"/>
  <c r="D131" i="2"/>
  <c r="B130" i="2"/>
  <c r="F128" i="2"/>
  <c r="D127" i="2"/>
  <c r="B126" i="2"/>
  <c r="F124" i="2"/>
  <c r="D123" i="2"/>
  <c r="B122" i="2"/>
  <c r="F120" i="2"/>
  <c r="D119" i="2"/>
  <c r="B118" i="2"/>
  <c r="F116" i="2"/>
  <c r="D115" i="2"/>
  <c r="B114" i="2"/>
  <c r="F112" i="2"/>
  <c r="D111" i="2"/>
  <c r="B110" i="2"/>
  <c r="F108" i="2"/>
  <c r="D107" i="2"/>
  <c r="B106" i="2"/>
  <c r="F104" i="2"/>
  <c r="D103" i="2"/>
  <c r="B102" i="2"/>
  <c r="F100" i="2"/>
  <c r="D99" i="2"/>
  <c r="B98" i="2"/>
  <c r="F96" i="2"/>
  <c r="D95" i="2"/>
  <c r="B94" i="2"/>
  <c r="F92" i="2"/>
  <c r="D91" i="2"/>
  <c r="B90" i="2"/>
  <c r="F88" i="2"/>
  <c r="D87" i="2"/>
  <c r="B86" i="2"/>
  <c r="F84" i="2"/>
  <c r="D83" i="2"/>
  <c r="B82" i="2"/>
  <c r="F80" i="2"/>
  <c r="D79" i="2"/>
  <c r="B78" i="2"/>
  <c r="F76" i="2"/>
  <c r="D75" i="2"/>
  <c r="B74" i="2"/>
  <c r="F72" i="2"/>
  <c r="D71" i="2"/>
  <c r="B70" i="2"/>
  <c r="F68" i="2"/>
  <c r="D67" i="2"/>
  <c r="B66" i="2"/>
  <c r="F64" i="2"/>
  <c r="F74" i="3"/>
  <c r="E1427" i="2"/>
  <c r="C1342" i="2"/>
  <c r="A1281" i="2"/>
  <c r="F1246" i="2"/>
  <c r="E1230" i="2"/>
  <c r="A1217" i="2"/>
  <c r="C1206" i="2"/>
  <c r="E1195" i="2"/>
  <c r="A1185" i="2"/>
  <c r="C1174" i="2"/>
  <c r="E1163" i="2"/>
  <c r="A1153" i="2"/>
  <c r="C1142" i="2"/>
  <c r="E1131" i="2"/>
  <c r="A1121" i="2"/>
  <c r="C1110" i="2"/>
  <c r="E1099" i="2"/>
  <c r="A1089" i="2"/>
  <c r="C1078" i="2"/>
  <c r="E1067" i="2"/>
  <c r="A1057" i="2"/>
  <c r="C1046" i="2"/>
  <c r="E1035" i="2"/>
  <c r="A1025" i="2"/>
  <c r="C1014" i="2"/>
  <c r="E1003" i="2"/>
  <c r="A993" i="2"/>
  <c r="C982" i="2"/>
  <c r="E971" i="2"/>
  <c r="A961" i="2"/>
  <c r="C950" i="2"/>
  <c r="E939" i="2"/>
  <c r="A929" i="2"/>
  <c r="C918" i="2"/>
  <c r="E907" i="2"/>
  <c r="A897" i="2"/>
  <c r="C886" i="2"/>
  <c r="E875" i="2"/>
  <c r="A865" i="2"/>
  <c r="B857" i="2"/>
  <c r="F851" i="2"/>
  <c r="D846" i="2"/>
  <c r="B841" i="2"/>
  <c r="F835" i="2"/>
  <c r="D830" i="2"/>
  <c r="B825" i="2"/>
  <c r="F819" i="2"/>
  <c r="D814" i="2"/>
  <c r="B809" i="2"/>
  <c r="F803" i="2"/>
  <c r="D798" i="2"/>
  <c r="B793" i="2"/>
  <c r="F787" i="2"/>
  <c r="D782" i="2"/>
  <c r="B777" i="2"/>
  <c r="F771" i="2"/>
  <c r="D766" i="2"/>
  <c r="B761" i="2"/>
  <c r="F755" i="2"/>
  <c r="D750" i="2"/>
  <c r="B745" i="2"/>
  <c r="F739" i="2"/>
  <c r="D734" i="2"/>
  <c r="B729" i="2"/>
  <c r="F723" i="2"/>
  <c r="F720" i="2"/>
  <c r="A717" i="2"/>
  <c r="B713" i="2"/>
  <c r="B710" i="2"/>
  <c r="C706" i="2"/>
  <c r="D702" i="2"/>
  <c r="D699" i="2"/>
  <c r="E695" i="2"/>
  <c r="F691" i="2"/>
  <c r="F688" i="2"/>
  <c r="A685" i="2"/>
  <c r="B681" i="2"/>
  <c r="B678" i="2"/>
  <c r="C674" i="2"/>
  <c r="D670" i="2"/>
  <c r="D667" i="2"/>
  <c r="E663" i="2"/>
  <c r="F659" i="2"/>
  <c r="F656" i="2"/>
  <c r="A653" i="2"/>
  <c r="B649" i="2"/>
  <c r="B646" i="2"/>
  <c r="D643" i="2"/>
  <c r="F640" i="2"/>
  <c r="B638" i="2"/>
  <c r="D635" i="2"/>
  <c r="F632" i="2"/>
  <c r="B630" i="2"/>
  <c r="D627" i="2"/>
  <c r="F624" i="2"/>
  <c r="B622" i="2"/>
  <c r="D619" i="2"/>
  <c r="F616" i="2"/>
  <c r="B614" i="2"/>
  <c r="D611" i="2"/>
  <c r="E609" i="2"/>
  <c r="C608" i="2"/>
  <c r="A607" i="2"/>
  <c r="E605" i="2"/>
  <c r="C604" i="2"/>
  <c r="A603" i="2"/>
  <c r="E601" i="2"/>
  <c r="C600" i="2"/>
  <c r="A599" i="2"/>
  <c r="E597" i="2"/>
  <c r="C596" i="2"/>
  <c r="A595" i="2"/>
  <c r="E593" i="2"/>
  <c r="C592" i="2"/>
  <c r="A591" i="2"/>
  <c r="E589" i="2"/>
  <c r="C588" i="2"/>
  <c r="A587" i="2"/>
  <c r="E585" i="2"/>
  <c r="C584" i="2"/>
  <c r="A583" i="2"/>
  <c r="E581" i="2"/>
  <c r="C580" i="2"/>
  <c r="A579" i="2"/>
  <c r="E577" i="2"/>
  <c r="C576" i="2"/>
  <c r="A575" i="2"/>
  <c r="E573" i="2"/>
  <c r="C572" i="2"/>
  <c r="A571" i="2"/>
  <c r="E569" i="2"/>
  <c r="C568" i="2"/>
  <c r="A567" i="2"/>
  <c r="E565" i="2"/>
  <c r="C564" i="2"/>
  <c r="A563" i="2"/>
  <c r="E561" i="2"/>
  <c r="C560" i="2"/>
  <c r="A559" i="2"/>
  <c r="E557" i="2"/>
  <c r="C556" i="2"/>
  <c r="A555" i="2"/>
  <c r="E553" i="2"/>
  <c r="C552" i="2"/>
  <c r="A551" i="2"/>
  <c r="E549" i="2"/>
  <c r="C548" i="2"/>
  <c r="A547" i="2"/>
  <c r="E545" i="2"/>
  <c r="C544" i="2"/>
  <c r="A543" i="2"/>
  <c r="E541" i="2"/>
  <c r="C540" i="2"/>
  <c r="A539" i="2"/>
  <c r="E537" i="2"/>
  <c r="C536" i="2"/>
  <c r="A535" i="2"/>
  <c r="E533" i="2"/>
  <c r="C532" i="2"/>
  <c r="A531" i="2"/>
  <c r="E529" i="2"/>
  <c r="C528" i="2"/>
  <c r="A527" i="2"/>
  <c r="E525" i="2"/>
  <c r="C524" i="2"/>
  <c r="A523" i="2"/>
  <c r="E521" i="2"/>
  <c r="C520" i="2"/>
  <c r="A519" i="2"/>
  <c r="E517" i="2"/>
  <c r="C516" i="2"/>
  <c r="A515" i="2"/>
  <c r="E513" i="2"/>
  <c r="C512" i="2"/>
  <c r="A511" i="2"/>
  <c r="E509" i="2"/>
  <c r="C508" i="2"/>
  <c r="A507" i="2"/>
  <c r="E505" i="2"/>
  <c r="C504" i="2"/>
  <c r="A503" i="2"/>
  <c r="E501" i="2"/>
  <c r="C500" i="2"/>
  <c r="A499" i="2"/>
  <c r="E497" i="2"/>
  <c r="C496" i="2"/>
  <c r="A495" i="2"/>
  <c r="E493" i="2"/>
  <c r="C492" i="2"/>
  <c r="A491" i="2"/>
  <c r="E489" i="2"/>
  <c r="C488" i="2"/>
  <c r="A487" i="2"/>
  <c r="E485" i="2"/>
  <c r="C484" i="2"/>
  <c r="A483" i="2"/>
  <c r="E481" i="2"/>
  <c r="C480" i="2"/>
  <c r="A479" i="2"/>
  <c r="E477" i="2"/>
  <c r="C476" i="2"/>
  <c r="A475" i="2"/>
  <c r="E473" i="2"/>
  <c r="C472" i="2"/>
  <c r="A471" i="2"/>
  <c r="E469" i="2"/>
  <c r="C468" i="2"/>
  <c r="A467" i="2"/>
  <c r="E465" i="2"/>
  <c r="C464" i="2"/>
  <c r="A463" i="2"/>
  <c r="E461" i="2"/>
  <c r="C460" i="2"/>
  <c r="A459" i="2"/>
  <c r="E457" i="2"/>
  <c r="C456" i="2"/>
  <c r="A455" i="2"/>
  <c r="E453" i="2"/>
  <c r="C452" i="2"/>
  <c r="A451" i="2"/>
  <c r="E449" i="2"/>
  <c r="C448" i="2"/>
  <c r="A447" i="2"/>
  <c r="E445" i="2"/>
  <c r="C444" i="2"/>
  <c r="A443" i="2"/>
  <c r="E441" i="2"/>
  <c r="C440" i="2"/>
  <c r="A439" i="2"/>
  <c r="E437" i="2"/>
  <c r="C436" i="2"/>
  <c r="A435" i="2"/>
  <c r="E433" i="2"/>
  <c r="C432" i="2"/>
  <c r="A431" i="2"/>
  <c r="E429" i="2"/>
  <c r="C428" i="2"/>
  <c r="A427" i="2"/>
  <c r="E425" i="2"/>
  <c r="C424" i="2"/>
  <c r="A423" i="2"/>
  <c r="E421" i="2"/>
  <c r="C420" i="2"/>
  <c r="A419" i="2"/>
  <c r="E417" i="2"/>
  <c r="C416" i="2"/>
  <c r="A415" i="2"/>
  <c r="E413" i="2"/>
  <c r="C412" i="2"/>
  <c r="A411" i="2"/>
  <c r="E409" i="2"/>
  <c r="C408" i="2"/>
  <c r="A407" i="2"/>
  <c r="E405" i="2"/>
  <c r="C404" i="2"/>
  <c r="A403" i="2"/>
  <c r="E401" i="2"/>
  <c r="C400" i="2"/>
  <c r="A399" i="2"/>
  <c r="E397" i="2"/>
  <c r="C396" i="2"/>
  <c r="A395" i="2"/>
  <c r="E393" i="2"/>
  <c r="C392" i="2"/>
  <c r="A391" i="2"/>
  <c r="E389" i="2"/>
  <c r="C388" i="2"/>
  <c r="A387" i="2"/>
  <c r="E385" i="2"/>
  <c r="C384" i="2"/>
  <c r="A383" i="2"/>
  <c r="E381" i="2"/>
  <c r="C380" i="2"/>
  <c r="A379" i="2"/>
  <c r="E377" i="2"/>
  <c r="C376" i="2"/>
  <c r="A375" i="2"/>
  <c r="E373" i="2"/>
  <c r="C372" i="2"/>
  <c r="A371" i="2"/>
  <c r="E369" i="2"/>
  <c r="C368" i="2"/>
  <c r="A367" i="2"/>
  <c r="E365" i="2"/>
  <c r="C364" i="2"/>
  <c r="A363" i="2"/>
  <c r="E361" i="2"/>
  <c r="C360" i="2"/>
  <c r="A359" i="2"/>
  <c r="E357" i="2"/>
  <c r="C356" i="2"/>
  <c r="A355" i="2"/>
  <c r="E353" i="2"/>
  <c r="C352" i="2"/>
  <c r="A351" i="2"/>
  <c r="E349" i="2"/>
  <c r="C348" i="2"/>
  <c r="A347" i="2"/>
  <c r="E345" i="2"/>
  <c r="C344" i="2"/>
  <c r="A343" i="2"/>
  <c r="E341" i="2"/>
  <c r="C340" i="2"/>
  <c r="A339" i="2"/>
  <c r="E337" i="2"/>
  <c r="C336" i="2"/>
  <c r="A335" i="2"/>
  <c r="E333" i="2"/>
  <c r="C332" i="2"/>
  <c r="A331" i="2"/>
  <c r="E329" i="2"/>
  <c r="C328" i="2"/>
  <c r="A327" i="2"/>
  <c r="E325" i="2"/>
  <c r="C324" i="2"/>
  <c r="A323" i="2"/>
  <c r="E321" i="2"/>
  <c r="C320" i="2"/>
  <c r="A319" i="2"/>
  <c r="E317" i="2"/>
  <c r="C316" i="2"/>
  <c r="A315" i="2"/>
  <c r="E313" i="2"/>
  <c r="C312" i="2"/>
  <c r="A311" i="2"/>
  <c r="E309" i="2"/>
  <c r="C308" i="2"/>
  <c r="A307" i="2"/>
  <c r="E305" i="2"/>
  <c r="C304" i="2"/>
  <c r="A303" i="2"/>
  <c r="E301" i="2"/>
  <c r="C300" i="2"/>
  <c r="A299" i="2"/>
  <c r="E297" i="2"/>
  <c r="C296" i="2"/>
  <c r="A295" i="2"/>
  <c r="E293" i="2"/>
  <c r="C292" i="2"/>
  <c r="A291" i="2"/>
  <c r="E289" i="2"/>
  <c r="C288" i="2"/>
  <c r="A287" i="2"/>
  <c r="E285" i="2"/>
  <c r="C284" i="2"/>
  <c r="A283" i="2"/>
  <c r="E281" i="2"/>
  <c r="C280" i="2"/>
  <c r="A279" i="2"/>
  <c r="E277" i="2"/>
  <c r="C276" i="2"/>
  <c r="A275" i="2"/>
  <c r="E273" i="2"/>
  <c r="C272" i="2"/>
  <c r="A271" i="2"/>
  <c r="E269" i="2"/>
  <c r="C268" i="2"/>
  <c r="A267" i="2"/>
  <c r="E265" i="2"/>
  <c r="C264" i="2"/>
  <c r="A263" i="2"/>
  <c r="E261" i="2"/>
  <c r="C260" i="2"/>
  <c r="A259" i="2"/>
  <c r="E257" i="2"/>
  <c r="C256" i="2"/>
  <c r="A255" i="2"/>
  <c r="E253" i="2"/>
  <c r="C252" i="2"/>
  <c r="A251" i="2"/>
  <c r="E249" i="2"/>
  <c r="C248" i="2"/>
  <c r="A247" i="2"/>
  <c r="E245" i="2"/>
  <c r="C244" i="2"/>
  <c r="A243" i="2"/>
  <c r="E241" i="2"/>
  <c r="C240" i="2"/>
  <c r="A239" i="2"/>
  <c r="E237" i="2"/>
  <c r="C236" i="2"/>
  <c r="A235" i="2"/>
  <c r="E233" i="2"/>
  <c r="C232" i="2"/>
  <c r="A231" i="2"/>
  <c r="E229" i="2"/>
  <c r="C228" i="2"/>
  <c r="A227" i="2"/>
  <c r="E225" i="2"/>
  <c r="C224" i="2"/>
  <c r="A223" i="2"/>
  <c r="E221" i="2"/>
  <c r="C220" i="2"/>
  <c r="A219" i="2"/>
  <c r="E217" i="2"/>
  <c r="C216" i="2"/>
  <c r="A215" i="2"/>
  <c r="E213" i="2"/>
  <c r="C212" i="2"/>
  <c r="A211" i="2"/>
  <c r="E209" i="2"/>
  <c r="C208" i="2"/>
  <c r="A207" i="2"/>
  <c r="E205" i="2"/>
  <c r="C204" i="2"/>
  <c r="A203" i="2"/>
  <c r="E201" i="2"/>
  <c r="C200" i="2"/>
  <c r="A199" i="2"/>
  <c r="E197" i="2"/>
  <c r="C196" i="2"/>
  <c r="A195" i="2"/>
  <c r="E193" i="2"/>
  <c r="C192" i="2"/>
  <c r="A191" i="2"/>
  <c r="E189" i="2"/>
  <c r="C188" i="2"/>
  <c r="A187" i="2"/>
  <c r="E185" i="2"/>
  <c r="C184" i="2"/>
  <c r="A183" i="2"/>
  <c r="E181" i="2"/>
  <c r="C180" i="2"/>
  <c r="A179" i="2"/>
  <c r="E177" i="2"/>
  <c r="C176" i="2"/>
  <c r="A175" i="2"/>
  <c r="E173" i="2"/>
  <c r="C172" i="2"/>
  <c r="A171" i="2"/>
  <c r="E169" i="2"/>
  <c r="C168" i="2"/>
  <c r="A167" i="2"/>
  <c r="E165" i="2"/>
  <c r="C164" i="2"/>
  <c r="A163" i="2"/>
  <c r="E161" i="2"/>
  <c r="C160" i="2"/>
  <c r="A159" i="2"/>
  <c r="E157" i="2"/>
  <c r="C156" i="2"/>
  <c r="A155" i="2"/>
  <c r="E153" i="2"/>
  <c r="C152" i="2"/>
  <c r="A151" i="2"/>
  <c r="E149" i="2"/>
  <c r="C148" i="2"/>
  <c r="A147" i="2"/>
  <c r="E145" i="2"/>
  <c r="C144" i="2"/>
  <c r="A143" i="2"/>
  <c r="E141" i="2"/>
  <c r="C140" i="2"/>
  <c r="A139" i="2"/>
  <c r="E137" i="2"/>
  <c r="C136" i="2"/>
  <c r="A135" i="2"/>
  <c r="E133" i="2"/>
  <c r="C132" i="2"/>
  <c r="A131" i="2"/>
  <c r="E129" i="2"/>
  <c r="C128" i="2"/>
  <c r="A127" i="2"/>
  <c r="E125" i="2"/>
  <c r="C124" i="2"/>
  <c r="A123" i="2"/>
  <c r="E121" i="2"/>
  <c r="C120" i="2"/>
  <c r="A119" i="2"/>
  <c r="E117" i="2"/>
  <c r="C116" i="2"/>
  <c r="A115" i="2"/>
  <c r="E113" i="2"/>
  <c r="C112" i="2"/>
  <c r="A111" i="2"/>
  <c r="E109" i="2"/>
  <c r="C108" i="2"/>
  <c r="A107" i="2"/>
  <c r="E105" i="2"/>
  <c r="C104" i="2"/>
  <c r="A103" i="2"/>
  <c r="E101" i="2"/>
  <c r="C100" i="2"/>
  <c r="A99" i="2"/>
  <c r="E97" i="2"/>
  <c r="C96" i="2"/>
  <c r="A95" i="2"/>
  <c r="E93" i="2"/>
  <c r="C92" i="2"/>
  <c r="A91" i="2"/>
  <c r="E89" i="2"/>
  <c r="C88" i="2"/>
  <c r="A87" i="2"/>
  <c r="E85" i="2"/>
  <c r="C84" i="2"/>
  <c r="A83" i="2"/>
  <c r="E81" i="2"/>
  <c r="C80" i="2"/>
  <c r="A79" i="2"/>
  <c r="E77" i="2"/>
  <c r="C76" i="2"/>
  <c r="A75" i="2"/>
  <c r="E73" i="2"/>
  <c r="C72" i="2"/>
  <c r="A71" i="2"/>
  <c r="E69" i="2"/>
  <c r="C68" i="2"/>
  <c r="A67" i="2"/>
  <c r="E65" i="2"/>
  <c r="C64" i="2"/>
  <c r="A141" i="3"/>
  <c r="B1252" i="2"/>
  <c r="C1198" i="2"/>
  <c r="E1155" i="2"/>
  <c r="A1113" i="2"/>
  <c r="C1070" i="2"/>
  <c r="E1027" i="2"/>
  <c r="A985" i="2"/>
  <c r="C942" i="2"/>
  <c r="E899" i="2"/>
  <c r="D858" i="2"/>
  <c r="B837" i="2"/>
  <c r="F815" i="2"/>
  <c r="D794" i="2"/>
  <c r="B773" i="2"/>
  <c r="F751" i="2"/>
  <c r="D730" i="2"/>
  <c r="C714" i="2"/>
  <c r="F699" i="2"/>
  <c r="B686" i="2"/>
  <c r="E671" i="2"/>
  <c r="B657" i="2"/>
  <c r="F643" i="2"/>
  <c r="B633" i="2"/>
  <c r="D622" i="2"/>
  <c r="F611" i="2"/>
  <c r="A606" i="2"/>
  <c r="E600" i="2"/>
  <c r="C595" i="2"/>
  <c r="A590" i="2"/>
  <c r="E584" i="2"/>
  <c r="C579" i="2"/>
  <c r="A574" i="2"/>
  <c r="E568" i="2"/>
  <c r="C563" i="2"/>
  <c r="A558" i="2"/>
  <c r="E552" i="2"/>
  <c r="C547" i="2"/>
  <c r="A542" i="2"/>
  <c r="E536" i="2"/>
  <c r="C531" i="2"/>
  <c r="A526" i="2"/>
  <c r="E520" i="2"/>
  <c r="C515" i="2"/>
  <c r="A510" i="2"/>
  <c r="E504" i="2"/>
  <c r="C499" i="2"/>
  <c r="A494" i="2"/>
  <c r="E488" i="2"/>
  <c r="C483" i="2"/>
  <c r="A478" i="2"/>
  <c r="E472" i="2"/>
  <c r="C467" i="2"/>
  <c r="A462" i="2"/>
  <c r="E456" i="2"/>
  <c r="C451" i="2"/>
  <c r="A446" i="2"/>
  <c r="E440" i="2"/>
  <c r="C435" i="2"/>
  <c r="A430" i="2"/>
  <c r="E424" i="2"/>
  <c r="C419" i="2"/>
  <c r="A414" i="2"/>
  <c r="E408" i="2"/>
  <c r="C403" i="2"/>
  <c r="A398" i="2"/>
  <c r="E392" i="2"/>
  <c r="C387" i="2"/>
  <c r="A382" i="2"/>
  <c r="E376" i="2"/>
  <c r="C371" i="2"/>
  <c r="A366" i="2"/>
  <c r="E360" i="2"/>
  <c r="C355" i="2"/>
  <c r="A350" i="2"/>
  <c r="E344" i="2"/>
  <c r="C339" i="2"/>
  <c r="A334" i="2"/>
  <c r="E328" i="2"/>
  <c r="C323" i="2"/>
  <c r="A318" i="2"/>
  <c r="E312" i="2"/>
  <c r="C307" i="2"/>
  <c r="A302" i="2"/>
  <c r="E296" i="2"/>
  <c r="C291" i="2"/>
  <c r="A286" i="2"/>
  <c r="E280" i="2"/>
  <c r="C275" i="2"/>
  <c r="A270" i="2"/>
  <c r="E264" i="2"/>
  <c r="C259" i="2"/>
  <c r="A254" i="2"/>
  <c r="E248" i="2"/>
  <c r="C243" i="2"/>
  <c r="A238" i="2"/>
  <c r="E232" i="2"/>
  <c r="C227" i="2"/>
  <c r="A222" i="2"/>
  <c r="E216" i="2"/>
  <c r="C211" i="2"/>
  <c r="A206" i="2"/>
  <c r="E200" i="2"/>
  <c r="C195" i="2"/>
  <c r="A190" i="2"/>
  <c r="E184" i="2"/>
  <c r="C179" i="2"/>
  <c r="A174" i="2"/>
  <c r="E168" i="2"/>
  <c r="C163" i="2"/>
  <c r="A158" i="2"/>
  <c r="D154" i="2"/>
  <c r="B151" i="2"/>
  <c r="C147" i="2"/>
  <c r="F143" i="2"/>
  <c r="D140" i="2"/>
  <c r="E136" i="2"/>
  <c r="B133" i="2"/>
  <c r="F129" i="2"/>
  <c r="A126" i="2"/>
  <c r="D122" i="2"/>
  <c r="B119" i="2"/>
  <c r="C115" i="2"/>
  <c r="E112" i="2"/>
  <c r="A110" i="2"/>
  <c r="C107" i="2"/>
  <c r="E104" i="2"/>
  <c r="A102" i="2"/>
  <c r="C99" i="2"/>
  <c r="E96" i="2"/>
  <c r="A94" i="2"/>
  <c r="C91" i="2"/>
  <c r="E88" i="2"/>
  <c r="A86" i="2"/>
  <c r="C83" i="2"/>
  <c r="E80" i="2"/>
  <c r="A78" i="2"/>
  <c r="C75" i="2"/>
  <c r="E72" i="2"/>
  <c r="A70" i="2"/>
  <c r="C67" i="2"/>
  <c r="E64" i="2"/>
  <c r="B63" i="2"/>
  <c r="F61" i="2"/>
  <c r="D60" i="2"/>
  <c r="B59" i="2"/>
  <c r="F57" i="2"/>
  <c r="D56" i="2"/>
  <c r="B55" i="2"/>
  <c r="F53" i="2"/>
  <c r="D52" i="2"/>
  <c r="B51" i="2"/>
  <c r="F49" i="2"/>
  <c r="D48" i="2"/>
  <c r="B47" i="2"/>
  <c r="F45" i="2"/>
  <c r="D44" i="2"/>
  <c r="B43" i="2"/>
  <c r="F41" i="2"/>
  <c r="D40" i="2"/>
  <c r="B39" i="2"/>
  <c r="F37" i="2"/>
  <c r="D36" i="2"/>
  <c r="B35" i="2"/>
  <c r="F33" i="2"/>
  <c r="D32" i="2"/>
  <c r="B31" i="2"/>
  <c r="F29" i="2"/>
  <c r="D28" i="2"/>
  <c r="B27" i="2"/>
  <c r="F25" i="2"/>
  <c r="D24" i="2"/>
  <c r="B23" i="2"/>
  <c r="F21" i="2"/>
  <c r="D20" i="2"/>
  <c r="B19" i="2"/>
  <c r="F17" i="2"/>
  <c r="D16" i="2"/>
  <c r="B15" i="2"/>
  <c r="F13" i="2"/>
  <c r="D12" i="2"/>
  <c r="B11" i="2"/>
  <c r="F9" i="2"/>
  <c r="D8" i="2"/>
  <c r="B7" i="2"/>
  <c r="F5" i="2"/>
  <c r="D4" i="2"/>
  <c r="B3" i="2"/>
  <c r="F1" i="2"/>
  <c r="D1450" i="1"/>
  <c r="B1449" i="1"/>
  <c r="F1447" i="1"/>
  <c r="D1446" i="1"/>
  <c r="B1445" i="1"/>
  <c r="F1443" i="1"/>
  <c r="D1442" i="1"/>
  <c r="B1441" i="1"/>
  <c r="F1439" i="1"/>
  <c r="D1438" i="1"/>
  <c r="B1437" i="1"/>
  <c r="F1435" i="1"/>
  <c r="D1434" i="1"/>
  <c r="B1433" i="1"/>
  <c r="F1431" i="1"/>
  <c r="D1430" i="1"/>
  <c r="B1429" i="1"/>
  <c r="F1427" i="1"/>
  <c r="D1426" i="1"/>
  <c r="B1425" i="1"/>
  <c r="F1423" i="1"/>
  <c r="D1422" i="1"/>
  <c r="B1421" i="1"/>
  <c r="F1419" i="1"/>
  <c r="D1418" i="1"/>
  <c r="B1417" i="1"/>
  <c r="F1415" i="1"/>
  <c r="D1414" i="1"/>
  <c r="B1413" i="1"/>
  <c r="F1411" i="1"/>
  <c r="D1410" i="1"/>
  <c r="B1409" i="1"/>
  <c r="F1407" i="1"/>
  <c r="D1406" i="1"/>
  <c r="B1405" i="1"/>
  <c r="F1403" i="1"/>
  <c r="D1402" i="1"/>
  <c r="B1401" i="1"/>
  <c r="F1399" i="1"/>
  <c r="D1398" i="1"/>
  <c r="B1397" i="1"/>
  <c r="F1395" i="1"/>
  <c r="D1394" i="1"/>
  <c r="B1393" i="1"/>
  <c r="F1391" i="1"/>
  <c r="D1390" i="1"/>
  <c r="B1389" i="1"/>
  <c r="F1387" i="1"/>
  <c r="D1386" i="1"/>
  <c r="B1385" i="1"/>
  <c r="F1383" i="1"/>
  <c r="D1382" i="1"/>
  <c r="B1381" i="1"/>
  <c r="F1379" i="1"/>
  <c r="D1378" i="1"/>
  <c r="B1377" i="1"/>
  <c r="F1375" i="1"/>
  <c r="D1374" i="1"/>
  <c r="B1373" i="1"/>
  <c r="F1371" i="1"/>
  <c r="D1370" i="1"/>
  <c r="B1369" i="1"/>
  <c r="F1367" i="1"/>
  <c r="D1366" i="1"/>
  <c r="B1365" i="1"/>
  <c r="F1363" i="1"/>
  <c r="D1362" i="1"/>
  <c r="B1361" i="1"/>
  <c r="F1359" i="1"/>
  <c r="D1358" i="1"/>
  <c r="B1357" i="1"/>
  <c r="F1355" i="1"/>
  <c r="D1354" i="1"/>
  <c r="B1353" i="1"/>
  <c r="F1351" i="1"/>
  <c r="D1350" i="1"/>
  <c r="B1349" i="1"/>
  <c r="F1347" i="1"/>
  <c r="D1346" i="1"/>
  <c r="B1345" i="1"/>
  <c r="F1343" i="1"/>
  <c r="D1342" i="1"/>
  <c r="B1341" i="1"/>
  <c r="F1339" i="1"/>
  <c r="D1338" i="1"/>
  <c r="B1337" i="1"/>
  <c r="F1335" i="1"/>
  <c r="D1334" i="1"/>
  <c r="B1333" i="1"/>
  <c r="F1331" i="1"/>
  <c r="D1330" i="1"/>
  <c r="B1329" i="1"/>
  <c r="F1327" i="1"/>
  <c r="D1326" i="1"/>
  <c r="B1325" i="1"/>
  <c r="F1323" i="1"/>
  <c r="D1322" i="1"/>
  <c r="B1321" i="1"/>
  <c r="F1319" i="1"/>
  <c r="D1318" i="1"/>
  <c r="B1317" i="1"/>
  <c r="F1315" i="1"/>
  <c r="D1314" i="1"/>
  <c r="B1313" i="1"/>
  <c r="F1311" i="1"/>
  <c r="D1310" i="1"/>
  <c r="B1309" i="1"/>
  <c r="F1307" i="1"/>
  <c r="D1306" i="1"/>
  <c r="B1305" i="1"/>
  <c r="F1303" i="1"/>
  <c r="D1302" i="1"/>
  <c r="B1301" i="1"/>
  <c r="F1299" i="1"/>
  <c r="D1298" i="1"/>
  <c r="B1297" i="1"/>
  <c r="F1295" i="1"/>
  <c r="D1294" i="1"/>
  <c r="B1293" i="1"/>
  <c r="F1291" i="1"/>
  <c r="D1290" i="1"/>
  <c r="B1289" i="1"/>
  <c r="F1287" i="1"/>
  <c r="D1286" i="1"/>
  <c r="B1285" i="1"/>
  <c r="F1283" i="1"/>
  <c r="D1282" i="1"/>
  <c r="B1281" i="1"/>
  <c r="F1279" i="1"/>
  <c r="D1278" i="1"/>
  <c r="B1277" i="1"/>
  <c r="F1275" i="1"/>
  <c r="D1274" i="1"/>
  <c r="B1273" i="1"/>
  <c r="F1271" i="1"/>
  <c r="D1270" i="1"/>
  <c r="B1269" i="1"/>
  <c r="F1267" i="1"/>
  <c r="D1266" i="1"/>
  <c r="B1265" i="1"/>
  <c r="F1263" i="1"/>
  <c r="D1262" i="1"/>
  <c r="B1261" i="1"/>
  <c r="F1259" i="1"/>
  <c r="D1258" i="1"/>
  <c r="B1257" i="1"/>
  <c r="F1255" i="1"/>
  <c r="D1254" i="1"/>
  <c r="B1253" i="1"/>
  <c r="F1251" i="1"/>
  <c r="D1250" i="1"/>
  <c r="B1249" i="1"/>
  <c r="F1247" i="1"/>
  <c r="D1246" i="1"/>
  <c r="B1245" i="1"/>
  <c r="F1243" i="1"/>
  <c r="D1242" i="1"/>
  <c r="B1241" i="1"/>
  <c r="F1239" i="1"/>
  <c r="D1238" i="1"/>
  <c r="B1237" i="1"/>
  <c r="F1235" i="1"/>
  <c r="D1234" i="1"/>
  <c r="B1233" i="1"/>
  <c r="F1231" i="1"/>
  <c r="D1230" i="1"/>
  <c r="B1229" i="1"/>
  <c r="F1227" i="1"/>
  <c r="D1226" i="1"/>
  <c r="B1225" i="1"/>
  <c r="F1223" i="1"/>
  <c r="D1222" i="1"/>
  <c r="B1221" i="1"/>
  <c r="F1219" i="1"/>
  <c r="D1218" i="1"/>
  <c r="B1217" i="1"/>
  <c r="F1215" i="1"/>
  <c r="D1214" i="1"/>
  <c r="B1213" i="1"/>
  <c r="F1211" i="1"/>
  <c r="D1210" i="1"/>
  <c r="B1209" i="1"/>
  <c r="F1207" i="1"/>
  <c r="D1206" i="1"/>
  <c r="B1205" i="1"/>
  <c r="F1203" i="1"/>
  <c r="D1202" i="1"/>
  <c r="B1201" i="1"/>
  <c r="F1199" i="1"/>
  <c r="D1198" i="1"/>
  <c r="B1197" i="1"/>
  <c r="F1195" i="1"/>
  <c r="D1194" i="1"/>
  <c r="B1193" i="1"/>
  <c r="F1191" i="1"/>
  <c r="D1190" i="1"/>
  <c r="B1189" i="1"/>
  <c r="F1187" i="1"/>
  <c r="D1186" i="1"/>
  <c r="B1185" i="1"/>
  <c r="F1183" i="1"/>
  <c r="D1182" i="1"/>
  <c r="B1181" i="1"/>
  <c r="F1179" i="1"/>
  <c r="D1178" i="1"/>
  <c r="B1177" i="1"/>
  <c r="F1175" i="1"/>
  <c r="D1174" i="1"/>
  <c r="B1173" i="1"/>
  <c r="F1171" i="1"/>
  <c r="D1170" i="1"/>
  <c r="B1169" i="1"/>
  <c r="F1167" i="1"/>
  <c r="D1166" i="1"/>
  <c r="B1165" i="1"/>
  <c r="F1163" i="1"/>
  <c r="D1162" i="1"/>
  <c r="B1161" i="1"/>
  <c r="F1159" i="1"/>
  <c r="D1158" i="1"/>
  <c r="B1157" i="1"/>
  <c r="F1155" i="1"/>
  <c r="D1154" i="1"/>
  <c r="B1153" i="1"/>
  <c r="F1151" i="1"/>
  <c r="D1150" i="1"/>
  <c r="B1149" i="1"/>
  <c r="F1147" i="1"/>
  <c r="D1146" i="1"/>
  <c r="B1145" i="1"/>
  <c r="F1143" i="1"/>
  <c r="D1142" i="1"/>
  <c r="B1141" i="1"/>
  <c r="F1139" i="1"/>
  <c r="D1138" i="1"/>
  <c r="B1137" i="1"/>
  <c r="F1135" i="1"/>
  <c r="D1134" i="1"/>
  <c r="B1133" i="1"/>
  <c r="F1131" i="1"/>
  <c r="D1130" i="1"/>
  <c r="B1129" i="1"/>
  <c r="F1127" i="1"/>
  <c r="D1126" i="1"/>
  <c r="B1125" i="1"/>
  <c r="F1123" i="1"/>
  <c r="D1122" i="1"/>
  <c r="B1121" i="1"/>
  <c r="F1119" i="1"/>
  <c r="D1118" i="1"/>
  <c r="B1117" i="1"/>
  <c r="F1115" i="1"/>
  <c r="D1114" i="1"/>
  <c r="B1113" i="1"/>
  <c r="F1111" i="1"/>
  <c r="D1110" i="1"/>
  <c r="B1109" i="1"/>
  <c r="F1107" i="1"/>
  <c r="D1106" i="1"/>
  <c r="B1105" i="1"/>
  <c r="F1103" i="1"/>
  <c r="D1102" i="1"/>
  <c r="B1101" i="1"/>
  <c r="F1099" i="1"/>
  <c r="D1098" i="1"/>
  <c r="B1097" i="1"/>
  <c r="F1095" i="1"/>
  <c r="D1094" i="1"/>
  <c r="B1093" i="1"/>
  <c r="F1091" i="1"/>
  <c r="D1090" i="1"/>
  <c r="B1089" i="1"/>
  <c r="F1087" i="1"/>
  <c r="D1086" i="1"/>
  <c r="B1085" i="1"/>
  <c r="F1083" i="1"/>
  <c r="D1082" i="1"/>
  <c r="B1081" i="1"/>
  <c r="F1079" i="1"/>
  <c r="D1078" i="1"/>
  <c r="B1077" i="1"/>
  <c r="F1075" i="1"/>
  <c r="D1074" i="1"/>
  <c r="B1073" i="1"/>
  <c r="F1071" i="1"/>
  <c r="D1070" i="1"/>
  <c r="B1069" i="1"/>
  <c r="F1067" i="1"/>
  <c r="D1066" i="1"/>
  <c r="B1065" i="1"/>
  <c r="F1063" i="1"/>
  <c r="D1062" i="1"/>
  <c r="B1061" i="1"/>
  <c r="F1059" i="1"/>
  <c r="D1058" i="1"/>
  <c r="B1057" i="1"/>
  <c r="F1055" i="1"/>
  <c r="D1054" i="1"/>
  <c r="B1053" i="1"/>
  <c r="F1051" i="1"/>
  <c r="D1050" i="1"/>
  <c r="B1049" i="1"/>
  <c r="F1047" i="1"/>
  <c r="D1046" i="1"/>
  <c r="B1045" i="1"/>
  <c r="F1043" i="1"/>
  <c r="D1042" i="1"/>
  <c r="B1041" i="1"/>
  <c r="F1039" i="1"/>
  <c r="D1038" i="1"/>
  <c r="B1037" i="1"/>
  <c r="F1035" i="1"/>
  <c r="D1034" i="1"/>
  <c r="B1033" i="1"/>
  <c r="F1031" i="1"/>
  <c r="D1030" i="1"/>
  <c r="B1029" i="1"/>
  <c r="F1027" i="1"/>
  <c r="D1026" i="1"/>
  <c r="B1025" i="1"/>
  <c r="F1023" i="1"/>
  <c r="D1022" i="1"/>
  <c r="B1021" i="1"/>
  <c r="F102" i="3"/>
  <c r="D1249" i="2"/>
  <c r="A1197" i="2"/>
  <c r="C1154" i="2"/>
  <c r="E1111" i="2"/>
  <c r="A1069" i="2"/>
  <c r="C1026" i="2"/>
  <c r="E983" i="2"/>
  <c r="A941" i="2"/>
  <c r="C898" i="2"/>
  <c r="C858" i="2"/>
  <c r="A837" i="2"/>
  <c r="E815" i="2"/>
  <c r="C794" i="2"/>
  <c r="A773" i="2"/>
  <c r="E751" i="2"/>
  <c r="C730" i="2"/>
  <c r="B714" i="2"/>
  <c r="E699" i="2"/>
  <c r="B685" i="2"/>
  <c r="D671" i="2"/>
  <c r="A657" i="2"/>
  <c r="E643" i="2"/>
  <c r="A633" i="2"/>
  <c r="C622" i="2"/>
  <c r="E611" i="2"/>
  <c r="F605" i="2"/>
  <c r="D600" i="2"/>
  <c r="B595" i="2"/>
  <c r="F589" i="2"/>
  <c r="D584" i="2"/>
  <c r="B579" i="2"/>
  <c r="F573" i="2"/>
  <c r="D568" i="2"/>
  <c r="B563" i="2"/>
  <c r="F557" i="2"/>
  <c r="D552" i="2"/>
  <c r="B547" i="2"/>
  <c r="F541" i="2"/>
  <c r="D536" i="2"/>
  <c r="B531" i="2"/>
  <c r="F525" i="2"/>
  <c r="D520" i="2"/>
  <c r="B515" i="2"/>
  <c r="F509" i="2"/>
  <c r="D504" i="2"/>
  <c r="B499" i="2"/>
  <c r="F493" i="2"/>
  <c r="D488" i="2"/>
  <c r="B483" i="2"/>
  <c r="F477" i="2"/>
  <c r="D472" i="2"/>
  <c r="B467" i="2"/>
  <c r="F461" i="2"/>
  <c r="D456" i="2"/>
  <c r="B451" i="2"/>
  <c r="F445" i="2"/>
  <c r="D440" i="2"/>
  <c r="B435" i="2"/>
  <c r="F429" i="2"/>
  <c r="D424" i="2"/>
  <c r="B419" i="2"/>
  <c r="F413" i="2"/>
  <c r="D408" i="2"/>
  <c r="B403" i="2"/>
  <c r="F397" i="2"/>
  <c r="D392" i="2"/>
  <c r="B387" i="2"/>
  <c r="F381" i="2"/>
  <c r="D376" i="2"/>
  <c r="B371" i="2"/>
  <c r="F365" i="2"/>
  <c r="D360" i="2"/>
  <c r="B355" i="2"/>
  <c r="F349" i="2"/>
  <c r="D344" i="2"/>
  <c r="B339" i="2"/>
  <c r="F333" i="2"/>
  <c r="D328" i="2"/>
  <c r="B323" i="2"/>
  <c r="F317" i="2"/>
  <c r="D312" i="2"/>
  <c r="B307" i="2"/>
  <c r="F301" i="2"/>
  <c r="D296" i="2"/>
  <c r="B291" i="2"/>
  <c r="F285" i="2"/>
  <c r="D280" i="2"/>
  <c r="B275" i="2"/>
  <c r="F269" i="2"/>
  <c r="D264" i="2"/>
  <c r="B259" i="2"/>
  <c r="F253" i="2"/>
  <c r="D248" i="2"/>
  <c r="B243" i="2"/>
  <c r="F237" i="2"/>
  <c r="D232" i="2"/>
  <c r="B227" i="2"/>
  <c r="F221" i="2"/>
  <c r="D216" i="2"/>
  <c r="B211" i="2"/>
  <c r="F205" i="2"/>
  <c r="D200" i="2"/>
  <c r="B195" i="2"/>
  <c r="F189" i="2"/>
  <c r="D184" i="2"/>
  <c r="B179" i="2"/>
  <c r="F173" i="2"/>
  <c r="D168" i="2"/>
  <c r="B163" i="2"/>
  <c r="F157" i="2"/>
  <c r="A154" i="2"/>
  <c r="D150" i="2"/>
  <c r="B147" i="2"/>
  <c r="C143" i="2"/>
  <c r="F139" i="2"/>
  <c r="D136" i="2"/>
  <c r="E132" i="2"/>
  <c r="B129" i="2"/>
  <c r="F125" i="2"/>
  <c r="A122" i="2"/>
  <c r="D118" i="2"/>
  <c r="B115" i="2"/>
  <c r="D112" i="2"/>
  <c r="F109" i="2"/>
  <c r="B107" i="2"/>
  <c r="D104" i="2"/>
  <c r="F101" i="2"/>
  <c r="B99" i="2"/>
  <c r="D96" i="2"/>
  <c r="F93" i="2"/>
  <c r="B91" i="2"/>
  <c r="D88" i="2"/>
  <c r="F85" i="2"/>
  <c r="B83" i="2"/>
  <c r="D80" i="2"/>
  <c r="F77" i="2"/>
  <c r="B75" i="2"/>
  <c r="D72" i="2"/>
  <c r="F69" i="2"/>
  <c r="B67" i="2"/>
  <c r="D64" i="2"/>
  <c r="A63" i="2"/>
  <c r="E61" i="2"/>
  <c r="C60" i="2"/>
  <c r="A59" i="2"/>
  <c r="E57" i="2"/>
  <c r="C56" i="2"/>
  <c r="A55" i="2"/>
  <c r="E53" i="2"/>
  <c r="C52" i="2"/>
  <c r="A51" i="2"/>
  <c r="E49" i="2"/>
  <c r="C48" i="2"/>
  <c r="A47" i="2"/>
  <c r="E45" i="2"/>
  <c r="C44" i="2"/>
  <c r="A43" i="2"/>
  <c r="E41" i="2"/>
  <c r="C40" i="2"/>
  <c r="A39" i="2"/>
  <c r="E37" i="2"/>
  <c r="C36" i="2"/>
  <c r="A35" i="2"/>
  <c r="E33" i="2"/>
  <c r="C32" i="2"/>
  <c r="A31" i="2"/>
  <c r="E29" i="2"/>
  <c r="C28" i="2"/>
  <c r="A27" i="2"/>
  <c r="E25" i="2"/>
  <c r="C24" i="2"/>
  <c r="A23" i="2"/>
  <c r="E21" i="2"/>
  <c r="C20" i="2"/>
  <c r="A19" i="2"/>
  <c r="E17" i="2"/>
  <c r="C16" i="2"/>
  <c r="A15" i="2"/>
  <c r="E13" i="2"/>
  <c r="C12" i="2"/>
  <c r="A11" i="2"/>
  <c r="E9" i="2"/>
  <c r="C8" i="2"/>
  <c r="A7" i="2"/>
  <c r="E5" i="2"/>
  <c r="C4" i="2"/>
  <c r="A3" i="2"/>
  <c r="E1" i="2"/>
  <c r="C1450" i="1"/>
  <c r="A1449" i="1"/>
  <c r="E1447" i="1"/>
  <c r="C1446" i="1"/>
  <c r="A1445" i="1"/>
  <c r="E1443" i="1"/>
  <c r="C1442" i="1"/>
  <c r="A1441" i="1"/>
  <c r="E1439" i="1"/>
  <c r="C1438" i="1"/>
  <c r="A1437" i="1"/>
  <c r="E1435" i="1"/>
  <c r="C1434" i="1"/>
  <c r="A1433" i="1"/>
  <c r="E1431" i="1"/>
  <c r="C1430" i="1"/>
  <c r="A1429" i="1"/>
  <c r="E1427" i="1"/>
  <c r="C1426" i="1"/>
  <c r="A1425" i="1"/>
  <c r="E1423" i="1"/>
  <c r="C1422" i="1"/>
  <c r="A1421" i="1"/>
  <c r="E1419" i="1"/>
  <c r="C1418" i="1"/>
  <c r="A1417" i="1"/>
  <c r="E1415" i="1"/>
  <c r="C1414" i="1"/>
  <c r="A1413" i="1"/>
  <c r="E1411" i="1"/>
  <c r="C1410" i="1"/>
  <c r="A1409" i="1"/>
  <c r="E1407" i="1"/>
  <c r="C1406" i="1"/>
  <c r="A1405" i="1"/>
  <c r="E1403" i="1"/>
  <c r="C1402" i="1"/>
  <c r="A1401" i="1"/>
  <c r="E1399" i="1"/>
  <c r="C1398" i="1"/>
  <c r="A1397" i="1"/>
  <c r="E1395" i="1"/>
  <c r="C1394" i="1"/>
  <c r="A1393" i="1"/>
  <c r="E1391" i="1"/>
  <c r="C1390" i="1"/>
  <c r="A1389" i="1"/>
  <c r="E1387" i="1"/>
  <c r="C1386" i="1"/>
  <c r="A1385" i="1"/>
  <c r="E1383" i="1"/>
  <c r="C1382" i="1"/>
  <c r="A1381" i="1"/>
  <c r="E1379" i="1"/>
  <c r="C1378" i="1"/>
  <c r="A1377" i="1"/>
  <c r="E1375" i="1"/>
  <c r="C1374" i="1"/>
  <c r="A1373" i="1"/>
  <c r="E1371" i="1"/>
  <c r="C1370" i="1"/>
  <c r="A1369" i="1"/>
  <c r="E1367" i="1"/>
  <c r="C1366" i="1"/>
  <c r="A1365" i="1"/>
  <c r="E1363" i="1"/>
  <c r="C1362" i="1"/>
  <c r="A1361" i="1"/>
  <c r="E1359" i="1"/>
  <c r="C1358" i="1"/>
  <c r="A1357" i="1"/>
  <c r="E1355" i="1"/>
  <c r="C1354" i="1"/>
  <c r="A1353" i="1"/>
  <c r="E1351" i="1"/>
  <c r="C1350" i="1"/>
  <c r="A1349" i="1"/>
  <c r="E1347" i="1"/>
  <c r="C1346" i="1"/>
  <c r="A1345" i="1"/>
  <c r="E1343" i="1"/>
  <c r="C1342" i="1"/>
  <c r="A1341" i="1"/>
  <c r="E1339" i="1"/>
  <c r="C1338" i="1"/>
  <c r="A1337" i="1"/>
  <c r="E1335" i="1"/>
  <c r="C1334" i="1"/>
  <c r="A1333" i="1"/>
  <c r="E1331" i="1"/>
  <c r="C1330" i="1"/>
  <c r="A1329" i="1"/>
  <c r="E1327" i="1"/>
  <c r="C1326" i="1"/>
  <c r="A1325" i="1"/>
  <c r="E1323" i="1"/>
  <c r="C1322" i="1"/>
  <c r="A1321" i="1"/>
  <c r="E1319" i="1"/>
  <c r="C1318" i="1"/>
  <c r="A1317" i="1"/>
  <c r="E1315" i="1"/>
  <c r="C1314" i="1"/>
  <c r="A1313" i="1"/>
  <c r="E1311" i="1"/>
  <c r="C1310" i="1"/>
  <c r="A1309" i="1"/>
  <c r="E1307" i="1"/>
  <c r="C1306" i="1"/>
  <c r="A1305" i="1"/>
  <c r="E1303" i="1"/>
  <c r="C1302" i="1"/>
  <c r="A1301" i="1"/>
  <c r="E1299" i="1"/>
  <c r="C1298" i="1"/>
  <c r="A1297" i="1"/>
  <c r="E1295" i="1"/>
  <c r="C1294" i="1"/>
  <c r="A1293" i="1"/>
  <c r="E1291" i="1"/>
  <c r="C1290" i="1"/>
  <c r="A1289" i="1"/>
  <c r="E1287" i="1"/>
  <c r="C1286" i="1"/>
  <c r="A1285" i="1"/>
  <c r="E1283" i="1"/>
  <c r="C1282" i="1"/>
  <c r="A1281" i="1"/>
  <c r="E1279" i="1"/>
  <c r="C1278" i="1"/>
  <c r="A1277" i="1"/>
  <c r="E1275" i="1"/>
  <c r="C1274" i="1"/>
  <c r="A1273" i="1"/>
  <c r="E1271" i="1"/>
  <c r="C1270" i="1"/>
  <c r="A1269" i="1"/>
  <c r="E1267" i="1"/>
  <c r="C1266" i="1"/>
  <c r="A1265" i="1"/>
  <c r="E1263" i="1"/>
  <c r="C1262" i="1"/>
  <c r="A1261" i="1"/>
  <c r="E1259" i="1"/>
  <c r="C1258" i="1"/>
  <c r="A1257" i="1"/>
  <c r="E1255" i="1"/>
  <c r="C1254" i="1"/>
  <c r="A1253" i="1"/>
  <c r="E1251" i="1"/>
  <c r="C1250" i="1"/>
  <c r="A1249" i="1"/>
  <c r="E1247" i="1"/>
  <c r="C1246" i="1"/>
  <c r="A1245" i="1"/>
  <c r="E1243" i="1"/>
  <c r="C1242" i="1"/>
  <c r="A1241" i="1"/>
  <c r="E1239" i="1"/>
  <c r="C1238" i="1"/>
  <c r="A1237" i="1"/>
  <c r="E1235" i="1"/>
  <c r="C1234" i="1"/>
  <c r="A1233" i="1"/>
  <c r="E1231" i="1"/>
  <c r="C1230" i="1"/>
  <c r="A1229" i="1"/>
  <c r="E1227" i="1"/>
  <c r="C1226" i="1"/>
  <c r="A1225" i="1"/>
  <c r="E1223" i="1"/>
  <c r="C1222" i="1"/>
  <c r="A1221" i="1"/>
  <c r="E1219" i="1"/>
  <c r="C1218" i="1"/>
  <c r="A1217" i="1"/>
  <c r="E1215" i="1"/>
  <c r="C1214" i="1"/>
  <c r="A1213" i="1"/>
  <c r="E1211" i="1"/>
  <c r="C1210" i="1"/>
  <c r="A1209" i="1"/>
  <c r="E1207" i="1"/>
  <c r="C1206" i="1"/>
  <c r="A1205" i="1"/>
  <c r="E1203" i="1"/>
  <c r="C1202" i="1"/>
  <c r="A1201" i="1"/>
  <c r="E1199" i="1"/>
  <c r="C1198" i="1"/>
  <c r="A1197" i="1"/>
  <c r="E1195" i="1"/>
  <c r="C1194" i="1"/>
  <c r="A1193" i="1"/>
  <c r="E1191" i="1"/>
  <c r="C1190" i="1"/>
  <c r="A1189" i="1"/>
  <c r="E1187" i="1"/>
  <c r="C1186" i="1"/>
  <c r="A1185" i="1"/>
  <c r="E1183" i="1"/>
  <c r="C1182" i="1"/>
  <c r="A1181" i="1"/>
  <c r="E1179" i="1"/>
  <c r="C1178" i="1"/>
  <c r="A1177" i="1"/>
  <c r="E1175" i="1"/>
  <c r="C1174" i="1"/>
  <c r="A1173" i="1"/>
  <c r="E1171" i="1"/>
  <c r="C1170" i="1"/>
  <c r="A1169" i="1"/>
  <c r="E1167" i="1"/>
  <c r="C1166" i="1"/>
  <c r="A1165" i="1"/>
  <c r="E1163" i="1"/>
  <c r="C1162" i="1"/>
  <c r="A1161" i="1"/>
  <c r="E1159" i="1"/>
  <c r="C1158" i="1"/>
  <c r="A1157" i="1"/>
  <c r="E1155" i="1"/>
  <c r="C1154" i="1"/>
  <c r="A1153" i="1"/>
  <c r="E1151" i="1"/>
  <c r="C1150" i="1"/>
  <c r="A1149" i="1"/>
  <c r="E1147" i="1"/>
  <c r="C1146" i="1"/>
  <c r="A1145" i="1"/>
  <c r="E1143" i="1"/>
  <c r="C1142" i="1"/>
  <c r="A1141" i="1"/>
  <c r="E1139" i="1"/>
  <c r="C1138" i="1"/>
  <c r="A1137" i="1"/>
  <c r="E1135" i="1"/>
  <c r="C1134" i="1"/>
  <c r="A1133" i="1"/>
  <c r="E1131" i="1"/>
  <c r="C1130" i="1"/>
  <c r="A1129" i="1"/>
  <c r="E1127" i="1"/>
  <c r="C1126" i="1"/>
  <c r="A1125" i="1"/>
  <c r="E1123" i="1"/>
  <c r="C1122" i="1"/>
  <c r="A1121" i="1"/>
  <c r="E1119" i="1"/>
  <c r="C1118" i="1"/>
  <c r="A1117" i="1"/>
  <c r="E1115" i="1"/>
  <c r="C1114" i="1"/>
  <c r="A1113" i="1"/>
  <c r="E1111" i="1"/>
  <c r="C1110" i="1"/>
  <c r="A1109" i="1"/>
  <c r="E1107" i="1"/>
  <c r="C1106" i="1"/>
  <c r="A1105" i="1"/>
  <c r="E1103" i="1"/>
  <c r="C1102" i="1"/>
  <c r="A1101" i="1"/>
  <c r="E1099" i="1"/>
  <c r="C1098" i="1"/>
  <c r="A1097" i="1"/>
  <c r="E1095" i="1"/>
  <c r="C1094" i="1"/>
  <c r="A1093" i="1"/>
  <c r="E1091" i="1"/>
  <c r="C1090" i="1"/>
  <c r="A1089" i="1"/>
  <c r="E1087" i="1"/>
  <c r="C1086" i="1"/>
  <c r="A1085" i="1"/>
  <c r="E1083" i="1"/>
  <c r="C1082" i="1"/>
  <c r="A1081" i="1"/>
  <c r="E1079" i="1"/>
  <c r="C1078" i="1"/>
  <c r="A1077" i="1"/>
  <c r="E1075" i="1"/>
  <c r="C1074" i="1"/>
  <c r="A1073" i="1"/>
  <c r="E1071" i="1"/>
  <c r="C1070" i="1"/>
  <c r="A1069" i="1"/>
  <c r="E1067" i="1"/>
  <c r="C1066" i="1"/>
  <c r="A1065" i="1"/>
  <c r="E1063" i="1"/>
  <c r="C1062" i="1"/>
  <c r="A1061" i="1"/>
  <c r="E1059" i="1"/>
  <c r="C1058" i="1"/>
  <c r="A1057" i="1"/>
  <c r="E1055" i="1"/>
  <c r="C1054" i="1"/>
  <c r="A1053" i="1"/>
  <c r="E1051" i="1"/>
  <c r="C1050" i="1"/>
  <c r="A1049" i="1"/>
  <c r="E1047" i="1"/>
  <c r="C1046" i="1"/>
  <c r="A1045" i="1"/>
  <c r="E1043" i="1"/>
  <c r="C1042" i="1"/>
  <c r="A1041" i="1"/>
  <c r="E1039" i="1"/>
  <c r="C1038" i="1"/>
  <c r="A1037" i="1"/>
  <c r="E1035" i="1"/>
  <c r="C1034" i="1"/>
  <c r="A1033" i="1"/>
  <c r="E1031" i="1"/>
  <c r="C1030" i="1"/>
  <c r="A1029" i="1"/>
  <c r="E1027" i="1"/>
  <c r="C1026" i="1"/>
  <c r="A1025" i="1"/>
  <c r="E1023" i="1"/>
  <c r="C1022" i="1"/>
  <c r="A1449" i="2"/>
  <c r="C1234" i="2"/>
  <c r="E1187" i="2"/>
  <c r="A1145" i="2"/>
  <c r="C1102" i="2"/>
  <c r="E1059" i="2"/>
  <c r="A1017" i="2"/>
  <c r="C974" i="2"/>
  <c r="E931" i="2"/>
  <c r="A889" i="2"/>
  <c r="B853" i="2"/>
  <c r="F831" i="2"/>
  <c r="D810" i="2"/>
  <c r="B789" i="2"/>
  <c r="F767" i="2"/>
  <c r="D746" i="2"/>
  <c r="B725" i="2"/>
  <c r="D710" i="2"/>
  <c r="F696" i="2"/>
  <c r="C682" i="2"/>
  <c r="F667" i="2"/>
  <c r="B654" i="2"/>
  <c r="B641" i="2"/>
  <c r="D630" i="2"/>
  <c r="F619" i="2"/>
  <c r="A610" i="2"/>
  <c r="E604" i="2"/>
  <c r="C599" i="2"/>
  <c r="A594" i="2"/>
  <c r="E588" i="2"/>
  <c r="C583" i="2"/>
  <c r="A578" i="2"/>
  <c r="E572" i="2"/>
  <c r="C567" i="2"/>
  <c r="A562" i="2"/>
  <c r="E556" i="2"/>
  <c r="C551" i="2"/>
  <c r="A546" i="2"/>
  <c r="E540" i="2"/>
  <c r="C535" i="2"/>
  <c r="A530" i="2"/>
  <c r="E524" i="2"/>
  <c r="C519" i="2"/>
  <c r="A514" i="2"/>
  <c r="E508" i="2"/>
  <c r="C503" i="2"/>
  <c r="A498" i="2"/>
  <c r="E492" i="2"/>
  <c r="C487" i="2"/>
  <c r="A482" i="2"/>
  <c r="E476" i="2"/>
  <c r="C471" i="2"/>
  <c r="A466" i="2"/>
  <c r="E460" i="2"/>
  <c r="C455" i="2"/>
  <c r="A450" i="2"/>
  <c r="E444" i="2"/>
  <c r="C439" i="2"/>
  <c r="A434" i="2"/>
  <c r="E428" i="2"/>
  <c r="C423" i="2"/>
  <c r="A418" i="2"/>
  <c r="E412" i="2"/>
  <c r="C407" i="2"/>
  <c r="A402" i="2"/>
  <c r="E396" i="2"/>
  <c r="C391" i="2"/>
  <c r="A386" i="2"/>
  <c r="E380" i="2"/>
  <c r="C375" i="2"/>
  <c r="A370" i="2"/>
  <c r="E364" i="2"/>
  <c r="C359" i="2"/>
  <c r="A354" i="2"/>
  <c r="E348" i="2"/>
  <c r="C343" i="2"/>
  <c r="A338" i="2"/>
  <c r="E332" i="2"/>
  <c r="C327" i="2"/>
  <c r="A322" i="2"/>
  <c r="E316" i="2"/>
  <c r="C311" i="2"/>
  <c r="A306" i="2"/>
  <c r="E300" i="2"/>
  <c r="C295" i="2"/>
  <c r="A290" i="2"/>
  <c r="E284" i="2"/>
  <c r="C279" i="2"/>
  <c r="A274" i="2"/>
  <c r="E268" i="2"/>
  <c r="C263" i="2"/>
  <c r="A258" i="2"/>
  <c r="E252" i="2"/>
  <c r="C247" i="2"/>
  <c r="A242" i="2"/>
  <c r="E236" i="2"/>
  <c r="C231" i="2"/>
  <c r="A226" i="2"/>
  <c r="E220" i="2"/>
  <c r="C215" i="2"/>
  <c r="A210" i="2"/>
  <c r="E204" i="2"/>
  <c r="C199" i="2"/>
  <c r="A194" i="2"/>
  <c r="E188" i="2"/>
  <c r="C183" i="2"/>
  <c r="A178" i="2"/>
  <c r="E172" i="2"/>
  <c r="C167" i="2"/>
  <c r="A162" i="2"/>
  <c r="B157" i="2"/>
  <c r="F153" i="2"/>
  <c r="A150" i="2"/>
  <c r="D146" i="2"/>
  <c r="B143" i="2"/>
  <c r="C139" i="2"/>
  <c r="F135" i="2"/>
  <c r="D132" i="2"/>
  <c r="E128" i="2"/>
  <c r="B125" i="2"/>
  <c r="F121" i="2"/>
  <c r="A118" i="2"/>
  <c r="D114" i="2"/>
  <c r="F111" i="2"/>
  <c r="B109" i="2"/>
  <c r="D106" i="2"/>
  <c r="F103" i="2"/>
  <c r="B101" i="2"/>
  <c r="D98" i="2"/>
  <c r="F95" i="2"/>
  <c r="B93" i="2"/>
  <c r="D90" i="2"/>
  <c r="F87" i="2"/>
  <c r="B85" i="2"/>
  <c r="D82" i="2"/>
  <c r="F79" i="2"/>
  <c r="B77" i="2"/>
  <c r="D74" i="2"/>
  <c r="F71" i="2"/>
  <c r="B69" i="2"/>
  <c r="D66" i="2"/>
  <c r="B64" i="2"/>
  <c r="F62" i="2"/>
  <c r="D61" i="2"/>
  <c r="B60" i="2"/>
  <c r="F58" i="2"/>
  <c r="D57" i="2"/>
  <c r="B56" i="2"/>
  <c r="F54" i="2"/>
  <c r="D53" i="2"/>
  <c r="B52" i="2"/>
  <c r="F50" i="2"/>
  <c r="D49" i="2"/>
  <c r="B48" i="2"/>
  <c r="F46" i="2"/>
  <c r="D45" i="2"/>
  <c r="B44" i="2"/>
  <c r="F42" i="2"/>
  <c r="D41" i="2"/>
  <c r="B40" i="2"/>
  <c r="F38" i="2"/>
  <c r="D37" i="2"/>
  <c r="B36" i="2"/>
  <c r="F34" i="2"/>
  <c r="D33" i="2"/>
  <c r="B32" i="2"/>
  <c r="F30" i="2"/>
  <c r="D29" i="2"/>
  <c r="B28" i="2"/>
  <c r="F26" i="2"/>
  <c r="D25" i="2"/>
  <c r="B24" i="2"/>
  <c r="F22" i="2"/>
  <c r="D21" i="2"/>
  <c r="B20" i="2"/>
  <c r="F18" i="2"/>
  <c r="D17" i="2"/>
  <c r="B16" i="2"/>
  <c r="F14" i="2"/>
  <c r="D13" i="2"/>
  <c r="B12" i="2"/>
  <c r="F10" i="2"/>
  <c r="D9" i="2"/>
  <c r="B8" i="2"/>
  <c r="F6" i="2"/>
  <c r="D5" i="2"/>
  <c r="B4" i="2"/>
  <c r="F2" i="2"/>
  <c r="D1" i="2"/>
  <c r="B1450" i="1"/>
  <c r="F1448" i="1"/>
  <c r="D1447" i="1"/>
  <c r="B1446" i="1"/>
  <c r="F1444" i="1"/>
  <c r="D1443" i="1"/>
  <c r="B1442" i="1"/>
  <c r="F1440" i="1"/>
  <c r="D1439" i="1"/>
  <c r="B1438" i="1"/>
  <c r="F1436" i="1"/>
  <c r="D1435" i="1"/>
  <c r="B1434" i="1"/>
  <c r="F1432" i="1"/>
  <c r="D1431" i="1"/>
  <c r="B1430" i="1"/>
  <c r="F1428" i="1"/>
  <c r="D1427" i="1"/>
  <c r="B1426" i="1"/>
  <c r="F1424" i="1"/>
  <c r="D1423" i="1"/>
  <c r="B1422" i="1"/>
  <c r="F1420" i="1"/>
  <c r="D1419" i="1"/>
  <c r="B1418" i="1"/>
  <c r="F1416" i="1"/>
  <c r="D1415" i="1"/>
  <c r="B1414" i="1"/>
  <c r="F1412" i="1"/>
  <c r="D1411" i="1"/>
  <c r="B1410" i="1"/>
  <c r="F1408" i="1"/>
  <c r="D1407" i="1"/>
  <c r="B1406" i="1"/>
  <c r="F1404" i="1"/>
  <c r="D1403" i="1"/>
  <c r="B1402" i="1"/>
  <c r="F1400" i="1"/>
  <c r="D1399" i="1"/>
  <c r="B1398" i="1"/>
  <c r="F1396" i="1"/>
  <c r="D1395" i="1"/>
  <c r="B1394" i="1"/>
  <c r="F1392" i="1"/>
  <c r="D1391" i="1"/>
  <c r="B1390" i="1"/>
  <c r="F1388" i="1"/>
  <c r="D1387" i="1"/>
  <c r="B1386" i="1"/>
  <c r="F1384" i="1"/>
  <c r="D1383" i="1"/>
  <c r="B1382" i="1"/>
  <c r="F1380" i="1"/>
  <c r="D1379" i="1"/>
  <c r="B1378" i="1"/>
  <c r="F1376" i="1"/>
  <c r="D1375" i="1"/>
  <c r="B1374" i="1"/>
  <c r="F1372" i="1"/>
  <c r="D1371" i="1"/>
  <c r="B1370" i="1"/>
  <c r="F1368" i="1"/>
  <c r="D1367" i="1"/>
  <c r="B1366" i="1"/>
  <c r="F1364" i="1"/>
  <c r="D1363" i="1"/>
  <c r="B1362" i="1"/>
  <c r="F1360" i="1"/>
  <c r="D1359" i="1"/>
  <c r="B1358" i="1"/>
  <c r="F1356" i="1"/>
  <c r="D1355" i="1"/>
  <c r="B1354" i="1"/>
  <c r="F1352" i="1"/>
  <c r="D1351" i="1"/>
  <c r="B1350" i="1"/>
  <c r="F1348" i="1"/>
  <c r="D1347" i="1"/>
  <c r="B1346" i="1"/>
  <c r="F1344" i="1"/>
  <c r="D1343" i="1"/>
  <c r="B1342" i="1"/>
  <c r="F1340" i="1"/>
  <c r="D1339" i="1"/>
  <c r="B1338" i="1"/>
  <c r="F1336" i="1"/>
  <c r="D1335" i="1"/>
  <c r="B1334" i="1"/>
  <c r="F1332" i="1"/>
  <c r="D1331" i="1"/>
  <c r="B1330" i="1"/>
  <c r="F1328" i="1"/>
  <c r="D1327" i="1"/>
  <c r="B1326" i="1"/>
  <c r="F1324" i="1"/>
  <c r="D1323" i="1"/>
  <c r="B1322" i="1"/>
  <c r="F1320" i="1"/>
  <c r="D1319" i="1"/>
  <c r="B1318" i="1"/>
  <c r="F1316" i="1"/>
  <c r="D1315" i="1"/>
  <c r="B1314" i="1"/>
  <c r="F1312" i="1"/>
  <c r="D1311" i="1"/>
  <c r="B1310" i="1"/>
  <c r="F1308" i="1"/>
  <c r="D1307" i="1"/>
  <c r="B1306" i="1"/>
  <c r="F1304" i="1"/>
  <c r="D1303" i="1"/>
  <c r="B1302" i="1"/>
  <c r="F1300" i="1"/>
  <c r="D1299" i="1"/>
  <c r="B1298" i="1"/>
  <c r="F1296" i="1"/>
  <c r="D1295" i="1"/>
  <c r="B1294" i="1"/>
  <c r="F1292" i="1"/>
  <c r="D1291" i="1"/>
  <c r="B1290" i="1"/>
  <c r="F1288" i="1"/>
  <c r="D1287" i="1"/>
  <c r="B1286" i="1"/>
  <c r="F1284" i="1"/>
  <c r="D1283" i="1"/>
  <c r="B1282" i="1"/>
  <c r="F1280" i="1"/>
  <c r="D1279" i="1"/>
  <c r="B1278" i="1"/>
  <c r="F1276" i="1"/>
  <c r="D1275" i="1"/>
  <c r="B1274" i="1"/>
  <c r="F1272" i="1"/>
  <c r="D1271" i="1"/>
  <c r="B1270" i="1"/>
  <c r="F1268" i="1"/>
  <c r="D1267" i="1"/>
  <c r="B1266" i="1"/>
  <c r="F1264" i="1"/>
  <c r="D1263" i="1"/>
  <c r="B1262" i="1"/>
  <c r="F1260" i="1"/>
  <c r="D1259" i="1"/>
  <c r="B1258" i="1"/>
  <c r="F1256" i="1"/>
  <c r="D1255" i="1"/>
  <c r="B1254" i="1"/>
  <c r="F1252" i="1"/>
  <c r="D1251" i="1"/>
  <c r="B1250" i="1"/>
  <c r="F1248" i="1"/>
  <c r="D1247" i="1"/>
  <c r="B1246" i="1"/>
  <c r="F1244" i="1"/>
  <c r="D1243" i="1"/>
  <c r="B1242" i="1"/>
  <c r="F1240" i="1"/>
  <c r="D1239" i="1"/>
  <c r="B1238" i="1"/>
  <c r="F1236" i="1"/>
  <c r="D1235" i="1"/>
  <c r="B1234" i="1"/>
  <c r="F1232" i="1"/>
  <c r="D1231" i="1"/>
  <c r="B1230" i="1"/>
  <c r="F1228" i="1"/>
  <c r="D1227" i="1"/>
  <c r="B1226" i="1"/>
  <c r="F1224" i="1"/>
  <c r="D1223" i="1"/>
  <c r="B1222" i="1"/>
  <c r="F1220" i="1"/>
  <c r="D1219" i="1"/>
  <c r="B1218" i="1"/>
  <c r="F1216" i="1"/>
  <c r="D1215" i="1"/>
  <c r="B1214" i="1"/>
  <c r="F1212" i="1"/>
  <c r="D1211" i="1"/>
  <c r="B1210" i="1"/>
  <c r="F1208" i="1"/>
  <c r="D1207" i="1"/>
  <c r="B1206" i="1"/>
  <c r="F1204" i="1"/>
  <c r="D1203" i="1"/>
  <c r="C1438" i="2"/>
  <c r="C1232" i="2"/>
  <c r="C1186" i="2"/>
  <c r="E1143" i="2"/>
  <c r="A1101" i="2"/>
  <c r="C1058" i="2"/>
  <c r="E1015" i="2"/>
  <c r="A973" i="2"/>
  <c r="C930" i="2"/>
  <c r="E887" i="2"/>
  <c r="A853" i="2"/>
  <c r="E831" i="2"/>
  <c r="C810" i="2"/>
  <c r="A789" i="2"/>
  <c r="E767" i="2"/>
  <c r="C746" i="2"/>
  <c r="A725" i="2"/>
  <c r="C710" i="2"/>
  <c r="F695" i="2"/>
  <c r="B682" i="2"/>
  <c r="E667" i="2"/>
  <c r="B653" i="2"/>
  <c r="A641" i="2"/>
  <c r="C630" i="2"/>
  <c r="E619" i="2"/>
  <c r="F609" i="2"/>
  <c r="D604" i="2"/>
  <c r="B599" i="2"/>
  <c r="F593" i="2"/>
  <c r="D588" i="2"/>
  <c r="B583" i="2"/>
  <c r="F577" i="2"/>
  <c r="D572" i="2"/>
  <c r="B567" i="2"/>
  <c r="F561" i="2"/>
  <c r="D556" i="2"/>
  <c r="B551" i="2"/>
  <c r="F545" i="2"/>
  <c r="D540" i="2"/>
  <c r="B535" i="2"/>
  <c r="F529" i="2"/>
  <c r="D524" i="2"/>
  <c r="B519" i="2"/>
  <c r="F513" i="2"/>
  <c r="D508" i="2"/>
  <c r="B503" i="2"/>
  <c r="F497" i="2"/>
  <c r="D492" i="2"/>
  <c r="B487" i="2"/>
  <c r="F481" i="2"/>
  <c r="D476" i="2"/>
  <c r="B471" i="2"/>
  <c r="F465" i="2"/>
  <c r="D460" i="2"/>
  <c r="B455" i="2"/>
  <c r="F449" i="2"/>
  <c r="D444" i="2"/>
  <c r="B439" i="2"/>
  <c r="F433" i="2"/>
  <c r="D428" i="2"/>
  <c r="B423" i="2"/>
  <c r="F417" i="2"/>
  <c r="D412" i="2"/>
  <c r="B407" i="2"/>
  <c r="F401" i="2"/>
  <c r="D396" i="2"/>
  <c r="B391" i="2"/>
  <c r="F385" i="2"/>
  <c r="D380" i="2"/>
  <c r="B375" i="2"/>
  <c r="F369" i="2"/>
  <c r="D364" i="2"/>
  <c r="B359" i="2"/>
  <c r="F353" i="2"/>
  <c r="D348" i="2"/>
  <c r="B343" i="2"/>
  <c r="F337" i="2"/>
  <c r="D332" i="2"/>
  <c r="B327" i="2"/>
  <c r="F321" i="2"/>
  <c r="D316" i="2"/>
  <c r="B311" i="2"/>
  <c r="F305" i="2"/>
  <c r="D300" i="2"/>
  <c r="B295" i="2"/>
  <c r="F289" i="2"/>
  <c r="D284" i="2"/>
  <c r="B279" i="2"/>
  <c r="F273" i="2"/>
  <c r="D268" i="2"/>
  <c r="B263" i="2"/>
  <c r="F257" i="2"/>
  <c r="D252" i="2"/>
  <c r="B247" i="2"/>
  <c r="F241" i="2"/>
  <c r="D236" i="2"/>
  <c r="B231" i="2"/>
  <c r="F225" i="2"/>
  <c r="D220" i="2"/>
  <c r="B215" i="2"/>
  <c r="F209" i="2"/>
  <c r="D204" i="2"/>
  <c r="B199" i="2"/>
  <c r="F193" i="2"/>
  <c r="D188" i="2"/>
  <c r="B183" i="2"/>
  <c r="F177" i="2"/>
  <c r="D172" i="2"/>
  <c r="B167" i="2"/>
  <c r="F161" i="2"/>
  <c r="E156" i="2"/>
  <c r="B153" i="2"/>
  <c r="F149" i="2"/>
  <c r="A146" i="2"/>
  <c r="D142" i="2"/>
  <c r="B139" i="2"/>
  <c r="C135" i="2"/>
  <c r="F131" i="2"/>
  <c r="D128" i="2"/>
  <c r="E124" i="2"/>
  <c r="B121" i="2"/>
  <c r="F117" i="2"/>
  <c r="C114" i="2"/>
  <c r="E111" i="2"/>
  <c r="A109" i="2"/>
  <c r="C106" i="2"/>
  <c r="E103" i="2"/>
  <c r="A101" i="2"/>
  <c r="C98" i="2"/>
  <c r="E95" i="2"/>
  <c r="A93" i="2"/>
  <c r="C90" i="2"/>
  <c r="E87" i="2"/>
  <c r="A85" i="2"/>
  <c r="C82" i="2"/>
  <c r="E79" i="2"/>
  <c r="A77" i="2"/>
  <c r="C74" i="2"/>
  <c r="E71" i="2"/>
  <c r="A69" i="2"/>
  <c r="C66" i="2"/>
  <c r="A64" i="2"/>
  <c r="E62" i="2"/>
  <c r="C61" i="2"/>
  <c r="A60" i="2"/>
  <c r="E58" i="2"/>
  <c r="C57" i="2"/>
  <c r="A56" i="2"/>
  <c r="E54" i="2"/>
  <c r="C53" i="2"/>
  <c r="A52" i="2"/>
  <c r="E50" i="2"/>
  <c r="C49" i="2"/>
  <c r="A48" i="2"/>
  <c r="E46" i="2"/>
  <c r="C45" i="2"/>
  <c r="A44" i="2"/>
  <c r="E42" i="2"/>
  <c r="C41" i="2"/>
  <c r="A40" i="2"/>
  <c r="E38" i="2"/>
  <c r="C37" i="2"/>
  <c r="A36" i="2"/>
  <c r="E34" i="2"/>
  <c r="C33" i="2"/>
  <c r="A32" i="2"/>
  <c r="E30" i="2"/>
  <c r="C29" i="2"/>
  <c r="A28" i="2"/>
  <c r="E26" i="2"/>
  <c r="C25" i="2"/>
  <c r="A24" i="2"/>
  <c r="E22" i="2"/>
  <c r="C21" i="2"/>
  <c r="A20" i="2"/>
  <c r="E18" i="2"/>
  <c r="C17" i="2"/>
  <c r="A16" i="2"/>
  <c r="E14" i="2"/>
  <c r="C13" i="2"/>
  <c r="A12" i="2"/>
  <c r="E10" i="2"/>
  <c r="C9" i="2"/>
  <c r="A8" i="2"/>
  <c r="E6" i="2"/>
  <c r="C5" i="2"/>
  <c r="A4" i="2"/>
  <c r="E2" i="2"/>
  <c r="C1" i="2"/>
  <c r="A1450" i="1"/>
  <c r="E1448" i="1"/>
  <c r="C1447" i="1"/>
  <c r="A1446" i="1"/>
  <c r="E1444" i="1"/>
  <c r="C1443" i="1"/>
  <c r="A1442" i="1"/>
  <c r="E1440" i="1"/>
  <c r="C1439" i="1"/>
  <c r="A1438" i="1"/>
  <c r="E1436" i="1"/>
  <c r="C1435" i="1"/>
  <c r="A1434" i="1"/>
  <c r="E1432" i="1"/>
  <c r="C1431" i="1"/>
  <c r="A1430" i="1"/>
  <c r="E1428" i="1"/>
  <c r="C1427" i="1"/>
  <c r="A1426" i="1"/>
  <c r="E1424" i="1"/>
  <c r="C1423" i="1"/>
  <c r="A1422" i="1"/>
  <c r="E1420" i="1"/>
  <c r="C1419" i="1"/>
  <c r="A1418" i="1"/>
  <c r="E1416" i="1"/>
  <c r="C1415" i="1"/>
  <c r="A1414" i="1"/>
  <c r="E1412" i="1"/>
  <c r="C1411" i="1"/>
  <c r="A1410" i="1"/>
  <c r="E1408" i="1"/>
  <c r="C1407" i="1"/>
  <c r="A1406" i="1"/>
  <c r="E1404" i="1"/>
  <c r="C1403" i="1"/>
  <c r="A1402" i="1"/>
  <c r="E1400" i="1"/>
  <c r="C1399" i="1"/>
  <c r="A1398" i="1"/>
  <c r="E1396" i="1"/>
  <c r="C1395" i="1"/>
  <c r="A1394" i="1"/>
  <c r="E1392" i="1"/>
  <c r="C1391" i="1"/>
  <c r="A1390" i="1"/>
  <c r="E1388" i="1"/>
  <c r="C1387" i="1"/>
  <c r="A1386" i="1"/>
  <c r="E1384" i="1"/>
  <c r="C1383" i="1"/>
  <c r="A1382" i="1"/>
  <c r="E1380" i="1"/>
  <c r="C1379" i="1"/>
  <c r="A1378" i="1"/>
  <c r="E1376" i="1"/>
  <c r="C1375" i="1"/>
  <c r="A1374" i="1"/>
  <c r="E1372" i="1"/>
  <c r="C1371" i="1"/>
  <c r="A1370" i="1"/>
  <c r="E1368" i="1"/>
  <c r="C1367" i="1"/>
  <c r="A1366" i="1"/>
  <c r="E1364" i="1"/>
  <c r="C1363" i="1"/>
  <c r="A1362" i="1"/>
  <c r="E1360" i="1"/>
  <c r="C1359" i="1"/>
  <c r="A1358" i="1"/>
  <c r="E1356" i="1"/>
  <c r="C1355" i="1"/>
  <c r="A1354" i="1"/>
  <c r="E1352" i="1"/>
  <c r="C1351" i="1"/>
  <c r="A1350" i="1"/>
  <c r="E1348" i="1"/>
  <c r="C1347" i="1"/>
  <c r="A1346" i="1"/>
  <c r="E1344" i="1"/>
  <c r="C1343" i="1"/>
  <c r="A1342" i="1"/>
  <c r="E1340" i="1"/>
  <c r="C1339" i="1"/>
  <c r="A1338" i="1"/>
  <c r="E1336" i="1"/>
  <c r="C1335" i="1"/>
  <c r="A1334" i="1"/>
  <c r="E1332" i="1"/>
  <c r="C1331" i="1"/>
  <c r="A1330" i="1"/>
  <c r="E1328" i="1"/>
  <c r="C1327" i="1"/>
  <c r="A1326" i="1"/>
  <c r="E1324" i="1"/>
  <c r="C1323" i="1"/>
  <c r="A1322" i="1"/>
  <c r="E1320" i="1"/>
  <c r="C1319" i="1"/>
  <c r="A1318" i="1"/>
  <c r="E1316" i="1"/>
  <c r="C1315" i="1"/>
  <c r="A1314" i="1"/>
  <c r="E1312" i="1"/>
  <c r="C1311" i="1"/>
  <c r="A1310" i="1"/>
  <c r="E1308" i="1"/>
  <c r="C1307" i="1"/>
  <c r="A1306" i="1"/>
  <c r="E1304" i="1"/>
  <c r="C1303" i="1"/>
  <c r="A1302" i="1"/>
  <c r="E1300" i="1"/>
  <c r="C1299" i="1"/>
  <c r="A1298" i="1"/>
  <c r="E1296" i="1"/>
  <c r="C1295" i="1"/>
  <c r="A1294" i="1"/>
  <c r="E1292" i="1"/>
  <c r="C1291" i="1"/>
  <c r="A1290" i="1"/>
  <c r="E1288" i="1"/>
  <c r="C1287" i="1"/>
  <c r="A1286" i="1"/>
  <c r="E1284" i="1"/>
  <c r="C1283" i="1"/>
  <c r="A1282" i="1"/>
  <c r="E1280" i="1"/>
  <c r="C1279" i="1"/>
  <c r="A1278" i="1"/>
  <c r="E1276" i="1"/>
  <c r="C1275" i="1"/>
  <c r="A1274" i="1"/>
  <c r="E1272" i="1"/>
  <c r="C1271" i="1"/>
  <c r="A1270" i="1"/>
  <c r="E1268" i="1"/>
  <c r="C1267" i="1"/>
  <c r="A1266" i="1"/>
  <c r="E1264" i="1"/>
  <c r="C1263" i="1"/>
  <c r="A1262" i="1"/>
  <c r="E1260" i="1"/>
  <c r="C1259" i="1"/>
  <c r="A1258" i="1"/>
  <c r="E1256" i="1"/>
  <c r="C1255" i="1"/>
  <c r="A1254" i="1"/>
  <c r="E1252" i="1"/>
  <c r="C1251" i="1"/>
  <c r="A1250" i="1"/>
  <c r="E1248" i="1"/>
  <c r="C1247" i="1"/>
  <c r="A1246" i="1"/>
  <c r="E1244" i="1"/>
  <c r="C1243" i="1"/>
  <c r="A1242" i="1"/>
  <c r="E1240" i="1"/>
  <c r="C1239" i="1"/>
  <c r="A1238" i="1"/>
  <c r="E1236" i="1"/>
  <c r="C1235" i="1"/>
  <c r="A1234" i="1"/>
  <c r="E1232" i="1"/>
  <c r="C1231" i="1"/>
  <c r="A1230" i="1"/>
  <c r="E1228" i="1"/>
  <c r="C1227" i="1"/>
  <c r="A1226" i="1"/>
  <c r="E1224" i="1"/>
  <c r="C1223" i="1"/>
  <c r="A1222" i="1"/>
  <c r="E1220" i="1"/>
  <c r="C1219" i="1"/>
  <c r="A1218" i="1"/>
  <c r="E1216" i="1"/>
  <c r="C1215" i="1"/>
  <c r="A1214" i="1"/>
  <c r="E1212" i="1"/>
  <c r="C1211" i="1"/>
  <c r="A1210" i="1"/>
  <c r="E1208" i="1"/>
  <c r="C1207" i="1"/>
  <c r="A1206" i="1"/>
  <c r="E1204" i="1"/>
  <c r="C1203" i="1"/>
  <c r="A1202" i="1"/>
  <c r="E1200" i="1"/>
  <c r="C1199" i="1"/>
  <c r="A1198" i="1"/>
  <c r="E1196" i="1"/>
  <c r="C1195" i="1"/>
  <c r="A1194" i="1"/>
  <c r="E1192" i="1"/>
  <c r="C1191" i="1"/>
  <c r="A1190" i="1"/>
  <c r="E1188" i="1"/>
  <c r="C1187" i="1"/>
  <c r="A1186" i="1"/>
  <c r="E1184" i="1"/>
  <c r="C1183" i="1"/>
  <c r="A1182" i="1"/>
  <c r="E1180" i="1"/>
  <c r="C1179" i="1"/>
  <c r="A1178" i="1"/>
  <c r="E1176" i="1"/>
  <c r="C1175" i="1"/>
  <c r="A1174" i="1"/>
  <c r="E1172" i="1"/>
  <c r="C1171" i="1"/>
  <c r="A1170" i="1"/>
  <c r="E1168" i="1"/>
  <c r="C1167" i="1"/>
  <c r="A1166" i="1"/>
  <c r="E1164" i="1"/>
  <c r="C1163" i="1"/>
  <c r="A1162" i="1"/>
  <c r="E1160" i="1"/>
  <c r="C1159" i="1"/>
  <c r="A1158" i="1"/>
  <c r="E1156" i="1"/>
  <c r="C1155" i="1"/>
  <c r="A1154" i="1"/>
  <c r="E1152" i="1"/>
  <c r="C1151" i="1"/>
  <c r="A1150" i="1"/>
  <c r="E1148" i="1"/>
  <c r="C1147" i="1"/>
  <c r="A1146" i="1"/>
  <c r="E1144" i="1"/>
  <c r="C1143" i="1"/>
  <c r="A1142" i="1"/>
  <c r="E1140" i="1"/>
  <c r="E1363" i="2"/>
  <c r="A1220" i="2"/>
  <c r="A1177" i="2"/>
  <c r="C1134" i="2"/>
  <c r="E1091" i="2"/>
  <c r="A1049" i="2"/>
  <c r="C1006" i="2"/>
  <c r="E963" i="2"/>
  <c r="A921" i="2"/>
  <c r="C878" i="2"/>
  <c r="F847" i="2"/>
  <c r="D826" i="2"/>
  <c r="B805" i="2"/>
  <c r="F783" i="2"/>
  <c r="D762" i="2"/>
  <c r="B741" i="2"/>
  <c r="B721" i="2"/>
  <c r="D707" i="2"/>
  <c r="A693" i="2"/>
  <c r="D678" i="2"/>
  <c r="F664" i="2"/>
  <c r="C650" i="2"/>
  <c r="D638" i="2"/>
  <c r="F627" i="2"/>
  <c r="B617" i="2"/>
  <c r="E608" i="2"/>
  <c r="C603" i="2"/>
  <c r="A598" i="2"/>
  <c r="E592" i="2"/>
  <c r="C587" i="2"/>
  <c r="A582" i="2"/>
  <c r="E576" i="2"/>
  <c r="C571" i="2"/>
  <c r="A566" i="2"/>
  <c r="E560" i="2"/>
  <c r="C555" i="2"/>
  <c r="A550" i="2"/>
  <c r="E544" i="2"/>
  <c r="C539" i="2"/>
  <c r="A534" i="2"/>
  <c r="E528" i="2"/>
  <c r="C523" i="2"/>
  <c r="A518" i="2"/>
  <c r="E512" i="2"/>
  <c r="C507" i="2"/>
  <c r="A502" i="2"/>
  <c r="E496" i="2"/>
  <c r="C491" i="2"/>
  <c r="A486" i="2"/>
  <c r="E480" i="2"/>
  <c r="C475" i="2"/>
  <c r="A470" i="2"/>
  <c r="E464" i="2"/>
  <c r="C459" i="2"/>
  <c r="A454" i="2"/>
  <c r="E448" i="2"/>
  <c r="C443" i="2"/>
  <c r="A438" i="2"/>
  <c r="E432" i="2"/>
  <c r="C427" i="2"/>
  <c r="A422" i="2"/>
  <c r="E416" i="2"/>
  <c r="C411" i="2"/>
  <c r="A406" i="2"/>
  <c r="E400" i="2"/>
  <c r="C395" i="2"/>
  <c r="A390" i="2"/>
  <c r="E384" i="2"/>
  <c r="C379" i="2"/>
  <c r="A374" i="2"/>
  <c r="E368" i="2"/>
  <c r="C363" i="2"/>
  <c r="A358" i="2"/>
  <c r="E352" i="2"/>
  <c r="C347" i="2"/>
  <c r="A342" i="2"/>
  <c r="E336" i="2"/>
  <c r="C331" i="2"/>
  <c r="A326" i="2"/>
  <c r="E320" i="2"/>
  <c r="C315" i="2"/>
  <c r="A310" i="2"/>
  <c r="E304" i="2"/>
  <c r="C299" i="2"/>
  <c r="A294" i="2"/>
  <c r="E288" i="2"/>
  <c r="C283" i="2"/>
  <c r="A278" i="2"/>
  <c r="E272" i="2"/>
  <c r="C267" i="2"/>
  <c r="A262" i="2"/>
  <c r="E256" i="2"/>
  <c r="C251" i="2"/>
  <c r="A246" i="2"/>
  <c r="E240" i="2"/>
  <c r="C235" i="2"/>
  <c r="A230" i="2"/>
  <c r="E224" i="2"/>
  <c r="C219" i="2"/>
  <c r="A214" i="2"/>
  <c r="E208" i="2"/>
  <c r="C203" i="2"/>
  <c r="A198" i="2"/>
  <c r="E192" i="2"/>
  <c r="C187" i="2"/>
  <c r="A182" i="2"/>
  <c r="E176" i="2"/>
  <c r="C171" i="2"/>
  <c r="A166" i="2"/>
  <c r="E160" i="2"/>
  <c r="D156" i="2"/>
  <c r="E152" i="2"/>
  <c r="B149" i="2"/>
  <c r="F145" i="2"/>
  <c r="A142" i="2"/>
  <c r="D138" i="2"/>
  <c r="B135" i="2"/>
  <c r="C131" i="2"/>
  <c r="F127" i="2"/>
  <c r="D124" i="2"/>
  <c r="E120" i="2"/>
  <c r="B117" i="2"/>
  <c r="A114" i="2"/>
  <c r="C111" i="2"/>
  <c r="E108" i="2"/>
  <c r="A106" i="2"/>
  <c r="C103" i="2"/>
  <c r="E100" i="2"/>
  <c r="A98" i="2"/>
  <c r="C95" i="2"/>
  <c r="E92" i="2"/>
  <c r="A90" i="2"/>
  <c r="C87" i="2"/>
  <c r="E84" i="2"/>
  <c r="A82" i="2"/>
  <c r="C79" i="2"/>
  <c r="E76" i="2"/>
  <c r="A74" i="2"/>
  <c r="C71" i="2"/>
  <c r="E68" i="2"/>
  <c r="A66" i="2"/>
  <c r="F63" i="2"/>
  <c r="D62" i="2"/>
  <c r="B61" i="2"/>
  <c r="F59" i="2"/>
  <c r="D58" i="2"/>
  <c r="B57" i="2"/>
  <c r="F55" i="2"/>
  <c r="D54" i="2"/>
  <c r="B53" i="2"/>
  <c r="F51" i="2"/>
  <c r="D50" i="2"/>
  <c r="B49" i="2"/>
  <c r="F47" i="2"/>
  <c r="D46" i="2"/>
  <c r="B45" i="2"/>
  <c r="F43" i="2"/>
  <c r="D42" i="2"/>
  <c r="B41" i="2"/>
  <c r="F39" i="2"/>
  <c r="D38" i="2"/>
  <c r="B37" i="2"/>
  <c r="F35" i="2"/>
  <c r="D34" i="2"/>
  <c r="B33" i="2"/>
  <c r="F31" i="2"/>
  <c r="D30" i="2"/>
  <c r="B29" i="2"/>
  <c r="F27" i="2"/>
  <c r="D26" i="2"/>
  <c r="B25" i="2"/>
  <c r="F23" i="2"/>
  <c r="D22" i="2"/>
  <c r="B21" i="2"/>
  <c r="F19" i="2"/>
  <c r="D18" i="2"/>
  <c r="B17" i="2"/>
  <c r="F15" i="2"/>
  <c r="D14" i="2"/>
  <c r="B13" i="2"/>
  <c r="F11" i="2"/>
  <c r="D10" i="2"/>
  <c r="B9" i="2"/>
  <c r="F7" i="2"/>
  <c r="D6" i="2"/>
  <c r="B5" i="2"/>
  <c r="F3" i="2"/>
  <c r="D2" i="2"/>
  <c r="B1" i="2"/>
  <c r="F1449" i="1"/>
  <c r="D1448" i="1"/>
  <c r="B1447" i="1"/>
  <c r="F1445" i="1"/>
  <c r="D1444" i="1"/>
  <c r="B1443" i="1"/>
  <c r="F1441" i="1"/>
  <c r="D1440" i="1"/>
  <c r="B1439" i="1"/>
  <c r="F1437" i="1"/>
  <c r="D1436" i="1"/>
  <c r="B1435" i="1"/>
  <c r="F1433" i="1"/>
  <c r="D1432" i="1"/>
  <c r="B1431" i="1"/>
  <c r="F1429" i="1"/>
  <c r="D1428" i="1"/>
  <c r="B1427" i="1"/>
  <c r="F1425" i="1"/>
  <c r="D1424" i="1"/>
  <c r="B1423" i="1"/>
  <c r="F1421" i="1"/>
  <c r="D1420" i="1"/>
  <c r="B1419" i="1"/>
  <c r="F1417" i="1"/>
  <c r="D1416" i="1"/>
  <c r="B1415" i="1"/>
  <c r="F1413" i="1"/>
  <c r="D1412" i="1"/>
  <c r="B1411" i="1"/>
  <c r="F1409" i="1"/>
  <c r="D1408" i="1"/>
  <c r="B1407" i="1"/>
  <c r="F1405" i="1"/>
  <c r="D1404" i="1"/>
  <c r="B1403" i="1"/>
  <c r="F1401" i="1"/>
  <c r="D1400" i="1"/>
  <c r="B1399" i="1"/>
  <c r="F1397" i="1"/>
  <c r="D1396" i="1"/>
  <c r="B1395" i="1"/>
  <c r="F1393" i="1"/>
  <c r="D1392" i="1"/>
  <c r="B1391" i="1"/>
  <c r="F1389" i="1"/>
  <c r="D1388" i="1"/>
  <c r="B1387" i="1"/>
  <c r="F1385" i="1"/>
  <c r="D1384" i="1"/>
  <c r="B1383" i="1"/>
  <c r="F1381" i="1"/>
  <c r="D1380" i="1"/>
  <c r="B1379" i="1"/>
  <c r="F1377" i="1"/>
  <c r="D1376" i="1"/>
  <c r="B1375" i="1"/>
  <c r="F1373" i="1"/>
  <c r="D1372" i="1"/>
  <c r="B1371" i="1"/>
  <c r="F1369" i="1"/>
  <c r="D1368" i="1"/>
  <c r="B1367" i="1"/>
  <c r="F1365" i="1"/>
  <c r="D1364" i="1"/>
  <c r="B1363" i="1"/>
  <c r="F1361" i="1"/>
  <c r="D1360" i="1"/>
  <c r="B1359" i="1"/>
  <c r="F1357" i="1"/>
  <c r="D1356" i="1"/>
  <c r="B1355" i="1"/>
  <c r="F1353" i="1"/>
  <c r="D1352" i="1"/>
  <c r="B1351" i="1"/>
  <c r="F1349" i="1"/>
  <c r="D1348" i="1"/>
  <c r="B1347" i="1"/>
  <c r="F1345" i="1"/>
  <c r="D1344" i="1"/>
  <c r="B1343" i="1"/>
  <c r="F1341" i="1"/>
  <c r="D1340" i="1"/>
  <c r="B1339" i="1"/>
  <c r="F1337" i="1"/>
  <c r="D1336" i="1"/>
  <c r="B1335" i="1"/>
  <c r="F1333" i="1"/>
  <c r="D1332" i="1"/>
  <c r="B1331" i="1"/>
  <c r="F1329" i="1"/>
  <c r="D1328" i="1"/>
  <c r="B1327" i="1"/>
  <c r="F1325" i="1"/>
  <c r="D1324" i="1"/>
  <c r="B1323" i="1"/>
  <c r="F1321" i="1"/>
  <c r="D1320" i="1"/>
  <c r="B1319" i="1"/>
  <c r="F1317" i="1"/>
  <c r="D1316" i="1"/>
  <c r="B1315" i="1"/>
  <c r="F1313" i="1"/>
  <c r="D1312" i="1"/>
  <c r="B1311" i="1"/>
  <c r="F1309" i="1"/>
  <c r="D1308" i="1"/>
  <c r="B1307" i="1"/>
  <c r="F1305" i="1"/>
  <c r="D1304" i="1"/>
  <c r="B1303" i="1"/>
  <c r="F1301" i="1"/>
  <c r="D1300" i="1"/>
  <c r="B1299" i="1"/>
  <c r="F1297" i="1"/>
  <c r="D1296" i="1"/>
  <c r="B1295" i="1"/>
  <c r="F1293" i="1"/>
  <c r="D1292" i="1"/>
  <c r="B1291" i="1"/>
  <c r="F1289" i="1"/>
  <c r="D1288" i="1"/>
  <c r="B1287" i="1"/>
  <c r="F1285" i="1"/>
  <c r="D1284" i="1"/>
  <c r="B1283" i="1"/>
  <c r="F1281" i="1"/>
  <c r="D1280" i="1"/>
  <c r="B1279" i="1"/>
  <c r="F1277" i="1"/>
  <c r="D1276" i="1"/>
  <c r="B1275" i="1"/>
  <c r="F1273" i="1"/>
  <c r="D1272" i="1"/>
  <c r="B1271" i="1"/>
  <c r="F1269" i="1"/>
  <c r="D1268" i="1"/>
  <c r="B1267" i="1"/>
  <c r="F1265" i="1"/>
  <c r="D1264" i="1"/>
  <c r="B1263" i="1"/>
  <c r="F1261" i="1"/>
  <c r="D1260" i="1"/>
  <c r="B1259" i="1"/>
  <c r="F1257" i="1"/>
  <c r="D1256" i="1"/>
  <c r="B1255" i="1"/>
  <c r="F1253" i="1"/>
  <c r="D1252" i="1"/>
  <c r="B1251" i="1"/>
  <c r="F1249" i="1"/>
  <c r="D1248" i="1"/>
  <c r="B1247" i="1"/>
  <c r="F1245" i="1"/>
  <c r="D1244" i="1"/>
  <c r="B1243" i="1"/>
  <c r="F1241" i="1"/>
  <c r="D1240" i="1"/>
  <c r="B1239" i="1"/>
  <c r="F1237" i="1"/>
  <c r="D1236" i="1"/>
  <c r="B1235" i="1"/>
  <c r="F1233" i="1"/>
  <c r="D1232" i="1"/>
  <c r="B1231" i="1"/>
  <c r="F1229" i="1"/>
  <c r="D1228" i="1"/>
  <c r="B1227" i="1"/>
  <c r="F1225" i="1"/>
  <c r="D1224" i="1"/>
  <c r="B1223" i="1"/>
  <c r="F1221" i="1"/>
  <c r="D1220" i="1"/>
  <c r="B1219" i="1"/>
  <c r="F1217" i="1"/>
  <c r="D1216" i="1"/>
  <c r="B1215" i="1"/>
  <c r="F1213" i="1"/>
  <c r="D1212" i="1"/>
  <c r="B1211" i="1"/>
  <c r="F1209" i="1"/>
  <c r="D1208" i="1"/>
  <c r="B1207" i="1"/>
  <c r="F1205" i="1"/>
  <c r="D1204" i="1"/>
  <c r="B1203" i="1"/>
  <c r="F1201" i="1"/>
  <c r="D1200" i="1"/>
  <c r="B1199" i="1"/>
  <c r="F1197" i="1"/>
  <c r="D1196" i="1"/>
  <c r="B1195" i="1"/>
  <c r="F1193" i="1"/>
  <c r="D1192" i="1"/>
  <c r="B1191" i="1"/>
  <c r="F1189" i="1"/>
  <c r="D1188" i="1"/>
  <c r="B1187" i="1"/>
  <c r="F1185" i="1"/>
  <c r="D1184" i="1"/>
  <c r="B1183" i="1"/>
  <c r="F1181" i="1"/>
  <c r="D1180" i="1"/>
  <c r="B1179" i="1"/>
  <c r="F1177" i="1"/>
  <c r="D1176" i="1"/>
  <c r="B1175" i="1"/>
  <c r="F1173" i="1"/>
  <c r="D1172" i="1"/>
  <c r="B1171" i="1"/>
  <c r="F1169" i="1"/>
  <c r="D1168" i="1"/>
  <c r="B1167" i="1"/>
  <c r="F1165" i="1"/>
  <c r="D1164" i="1"/>
  <c r="B1163" i="1"/>
  <c r="F1161" i="1"/>
  <c r="D1160" i="1"/>
  <c r="B1159" i="1"/>
  <c r="F1157" i="1"/>
  <c r="D1156" i="1"/>
  <c r="B1155" i="1"/>
  <c r="F1153" i="1"/>
  <c r="D1152" i="1"/>
  <c r="B1151" i="1"/>
  <c r="F1149" i="1"/>
  <c r="D1148" i="1"/>
  <c r="B1147" i="1"/>
  <c r="F1145" i="1"/>
  <c r="D1144" i="1"/>
  <c r="B1143" i="1"/>
  <c r="F1141" i="1"/>
  <c r="D1140" i="1"/>
  <c r="B1139" i="1"/>
  <c r="F1137" i="1"/>
  <c r="D1136" i="1"/>
  <c r="B1135" i="1"/>
  <c r="F1133" i="1"/>
  <c r="D1132" i="1"/>
  <c r="B1131" i="1"/>
  <c r="F1129" i="1"/>
  <c r="D1128" i="1"/>
  <c r="B1127" i="1"/>
  <c r="F1125" i="1"/>
  <c r="D1124" i="1"/>
  <c r="B1123" i="1"/>
  <c r="F1121" i="1"/>
  <c r="D1120" i="1"/>
  <c r="B1119" i="1"/>
  <c r="F1117" i="1"/>
  <c r="D1116" i="1"/>
  <c r="B1115" i="1"/>
  <c r="F1113" i="1"/>
  <c r="D1112" i="1"/>
  <c r="B1111" i="1"/>
  <c r="F1109" i="1"/>
  <c r="D1108" i="1"/>
  <c r="B1107" i="1"/>
  <c r="F1105" i="1"/>
  <c r="D1104" i="1"/>
  <c r="B1103" i="1"/>
  <c r="F1101" i="1"/>
  <c r="D1100" i="1"/>
  <c r="B1099" i="1"/>
  <c r="F1097" i="1"/>
  <c r="D1096" i="1"/>
  <c r="B1095" i="1"/>
  <c r="F1093" i="1"/>
  <c r="D1092" i="1"/>
  <c r="B1091" i="1"/>
  <c r="F1089" i="1"/>
  <c r="D1088" i="1"/>
  <c r="B1087" i="1"/>
  <c r="F1085" i="1"/>
  <c r="D1084" i="1"/>
  <c r="B1083" i="1"/>
  <c r="F1081" i="1"/>
  <c r="D1080" i="1"/>
  <c r="B1079" i="1"/>
  <c r="F1077" i="1"/>
  <c r="D1076" i="1"/>
  <c r="B1075" i="1"/>
  <c r="F1073" i="1"/>
  <c r="D1072" i="1"/>
  <c r="B1071" i="1"/>
  <c r="F1069" i="1"/>
  <c r="D1068" i="1"/>
  <c r="B1067" i="1"/>
  <c r="F1065" i="1"/>
  <c r="D1064" i="1"/>
  <c r="B1063" i="1"/>
  <c r="F1061" i="1"/>
  <c r="D1060" i="1"/>
  <c r="B1059" i="1"/>
  <c r="F1057" i="1"/>
  <c r="D1056" i="1"/>
  <c r="B1055" i="1"/>
  <c r="F1053" i="1"/>
  <c r="D1052" i="1"/>
  <c r="B1051" i="1"/>
  <c r="F1049" i="1"/>
  <c r="D1048" i="1"/>
  <c r="B1047" i="1"/>
  <c r="F1045" i="1"/>
  <c r="D1044" i="1"/>
  <c r="B1043" i="1"/>
  <c r="F1041" i="1"/>
  <c r="D1040" i="1"/>
  <c r="B1039" i="1"/>
  <c r="F1037" i="1"/>
  <c r="D1036" i="1"/>
  <c r="B1035" i="1"/>
  <c r="F1033" i="1"/>
  <c r="D1032" i="1"/>
  <c r="B1031" i="1"/>
  <c r="F1029" i="1"/>
  <c r="D1028" i="1"/>
  <c r="B1027" i="1"/>
  <c r="F1025" i="1"/>
  <c r="D1024" i="1"/>
  <c r="B1023" i="1"/>
  <c r="F1021" i="1"/>
  <c r="A1353" i="2"/>
  <c r="C1218" i="2"/>
  <c r="E1175" i="2"/>
  <c r="A1133" i="2"/>
  <c r="C1090" i="2"/>
  <c r="E1047" i="2"/>
  <c r="A1005" i="2"/>
  <c r="C962" i="2"/>
  <c r="E919" i="2"/>
  <c r="A877" i="2"/>
  <c r="E847" i="2"/>
  <c r="C826" i="2"/>
  <c r="A805" i="2"/>
  <c r="E783" i="2"/>
  <c r="C762" i="2"/>
  <c r="A741" i="2"/>
  <c r="A721" i="2"/>
  <c r="D706" i="2"/>
  <c r="F692" i="2"/>
  <c r="C678" i="2"/>
  <c r="F663" i="2"/>
  <c r="B650" i="2"/>
  <c r="C638" i="2"/>
  <c r="E627" i="2"/>
  <c r="A617" i="2"/>
  <c r="D608" i="2"/>
  <c r="B603" i="2"/>
  <c r="F597" i="2"/>
  <c r="D592" i="2"/>
  <c r="B587" i="2"/>
  <c r="F581" i="2"/>
  <c r="D576" i="2"/>
  <c r="B571" i="2"/>
  <c r="F565" i="2"/>
  <c r="D560" i="2"/>
  <c r="B555" i="2"/>
  <c r="F549" i="2"/>
  <c r="D544" i="2"/>
  <c r="B539" i="2"/>
  <c r="F533" i="2"/>
  <c r="D528" i="2"/>
  <c r="B523" i="2"/>
  <c r="F517" i="2"/>
  <c r="D512" i="2"/>
  <c r="B507" i="2"/>
  <c r="F501" i="2"/>
  <c r="D496" i="2"/>
  <c r="B491" i="2"/>
  <c r="F485" i="2"/>
  <c r="D480" i="2"/>
  <c r="B475" i="2"/>
  <c r="F469" i="2"/>
  <c r="D464" i="2"/>
  <c r="B459" i="2"/>
  <c r="F453" i="2"/>
  <c r="D448" i="2"/>
  <c r="B443" i="2"/>
  <c r="F437" i="2"/>
  <c r="D432" i="2"/>
  <c r="B427" i="2"/>
  <c r="F421" i="2"/>
  <c r="D416" i="2"/>
  <c r="B411" i="2"/>
  <c r="F405" i="2"/>
  <c r="D400" i="2"/>
  <c r="B395" i="2"/>
  <c r="F389" i="2"/>
  <c r="D384" i="2"/>
  <c r="B379" i="2"/>
  <c r="F373" i="2"/>
  <c r="D368" i="2"/>
  <c r="B363" i="2"/>
  <c r="F357" i="2"/>
  <c r="D352" i="2"/>
  <c r="B347" i="2"/>
  <c r="F341" i="2"/>
  <c r="D336" i="2"/>
  <c r="B331" i="2"/>
  <c r="F325" i="2"/>
  <c r="D320" i="2"/>
  <c r="B315" i="2"/>
  <c r="F309" i="2"/>
  <c r="D304" i="2"/>
  <c r="B299" i="2"/>
  <c r="F293" i="2"/>
  <c r="D288" i="2"/>
  <c r="B283" i="2"/>
  <c r="F277" i="2"/>
  <c r="D272" i="2"/>
  <c r="B267" i="2"/>
  <c r="F261" i="2"/>
  <c r="D256" i="2"/>
  <c r="B251" i="2"/>
  <c r="F245" i="2"/>
  <c r="D240" i="2"/>
  <c r="B235" i="2"/>
  <c r="F229" i="2"/>
  <c r="D224" i="2"/>
  <c r="B219" i="2"/>
  <c r="F213" i="2"/>
  <c r="D208" i="2"/>
  <c r="B203" i="2"/>
  <c r="F197" i="2"/>
  <c r="D192" i="2"/>
  <c r="B187" i="2"/>
  <c r="F181" i="2"/>
  <c r="D176" i="2"/>
  <c r="B171" i="2"/>
  <c r="F165" i="2"/>
  <c r="D160" i="2"/>
  <c r="F155" i="2"/>
  <c r="D152" i="2"/>
  <c r="E148" i="2"/>
  <c r="B145" i="2"/>
  <c r="F141" i="2"/>
  <c r="A138" i="2"/>
  <c r="D134" i="2"/>
  <c r="B131" i="2"/>
  <c r="C127" i="2"/>
  <c r="F123" i="2"/>
  <c r="D120" i="2"/>
  <c r="E116" i="2"/>
  <c r="F113" i="2"/>
  <c r="B111" i="2"/>
  <c r="D108" i="2"/>
  <c r="F105" i="2"/>
  <c r="B103" i="2"/>
  <c r="D100" i="2"/>
  <c r="F97" i="2"/>
  <c r="B95" i="2"/>
  <c r="D92" i="2"/>
  <c r="F89" i="2"/>
  <c r="B87" i="2"/>
  <c r="D84" i="2"/>
  <c r="F81" i="2"/>
  <c r="B79" i="2"/>
  <c r="D76" i="2"/>
  <c r="F73" i="2"/>
  <c r="B71" i="2"/>
  <c r="D68" i="2"/>
  <c r="F65" i="2"/>
  <c r="E63" i="2"/>
  <c r="C62" i="2"/>
  <c r="A61" i="2"/>
  <c r="E59" i="2"/>
  <c r="C58" i="2"/>
  <c r="A57" i="2"/>
  <c r="E55" i="2"/>
  <c r="C54" i="2"/>
  <c r="A53" i="2"/>
  <c r="E51" i="2"/>
  <c r="C50" i="2"/>
  <c r="A49" i="2"/>
  <c r="E47" i="2"/>
  <c r="C46" i="2"/>
  <c r="A45" i="2"/>
  <c r="E43" i="2"/>
  <c r="C42" i="2"/>
  <c r="A41" i="2"/>
  <c r="E39" i="2"/>
  <c r="C38" i="2"/>
  <c r="A37" i="2"/>
  <c r="E35" i="2"/>
  <c r="C34" i="2"/>
  <c r="A33" i="2"/>
  <c r="E31" i="2"/>
  <c r="C30" i="2"/>
  <c r="A29" i="2"/>
  <c r="E27" i="2"/>
  <c r="C26" i="2"/>
  <c r="A25" i="2"/>
  <c r="E23" i="2"/>
  <c r="C22" i="2"/>
  <c r="A21" i="2"/>
  <c r="E19" i="2"/>
  <c r="C18" i="2"/>
  <c r="A17" i="2"/>
  <c r="E15" i="2"/>
  <c r="C14" i="2"/>
  <c r="A13" i="2"/>
  <c r="E11" i="2"/>
  <c r="C10" i="2"/>
  <c r="A9" i="2"/>
  <c r="E7" i="2"/>
  <c r="C6" i="2"/>
  <c r="A5" i="2"/>
  <c r="E3" i="2"/>
  <c r="C2" i="2"/>
  <c r="A1" i="2"/>
  <c r="E1449" i="1"/>
  <c r="C1448" i="1"/>
  <c r="A1447" i="1"/>
  <c r="E1445" i="1"/>
  <c r="C1444" i="1"/>
  <c r="A1443" i="1"/>
  <c r="E1441" i="1"/>
  <c r="C1440" i="1"/>
  <c r="A1439" i="1"/>
  <c r="E1437" i="1"/>
  <c r="C1436" i="1"/>
  <c r="A1435" i="1"/>
  <c r="E1433" i="1"/>
  <c r="C1432" i="1"/>
  <c r="A1431" i="1"/>
  <c r="E1429" i="1"/>
  <c r="C1428" i="1"/>
  <c r="A1427" i="1"/>
  <c r="E1425" i="1"/>
  <c r="C1424" i="1"/>
  <c r="A1423" i="1"/>
  <c r="E1421" i="1"/>
  <c r="C1420" i="1"/>
  <c r="A1419" i="1"/>
  <c r="E1417" i="1"/>
  <c r="C1416" i="1"/>
  <c r="A1415" i="1"/>
  <c r="E1413" i="1"/>
  <c r="C1412" i="1"/>
  <c r="A1411" i="1"/>
  <c r="E1409" i="1"/>
  <c r="C1408" i="1"/>
  <c r="A1407" i="1"/>
  <c r="E1405" i="1"/>
  <c r="C1404" i="1"/>
  <c r="A1403" i="1"/>
  <c r="E1401" i="1"/>
  <c r="C1400" i="1"/>
  <c r="A1399" i="1"/>
  <c r="E1397" i="1"/>
  <c r="C1396" i="1"/>
  <c r="A1395" i="1"/>
  <c r="E1393" i="1"/>
  <c r="C1392" i="1"/>
  <c r="A1391" i="1"/>
  <c r="E1389" i="1"/>
  <c r="C1388" i="1"/>
  <c r="A1387" i="1"/>
  <c r="E1385" i="1"/>
  <c r="C1384" i="1"/>
  <c r="A1383" i="1"/>
  <c r="E1381" i="1"/>
  <c r="C1380" i="1"/>
  <c r="A1379" i="1"/>
  <c r="E1377" i="1"/>
  <c r="C1376" i="1"/>
  <c r="A1375" i="1"/>
  <c r="E1373" i="1"/>
  <c r="C1372" i="1"/>
  <c r="A1371" i="1"/>
  <c r="E1369" i="1"/>
  <c r="C1368" i="1"/>
  <c r="A1367" i="1"/>
  <c r="E1365" i="1"/>
  <c r="C1364" i="1"/>
  <c r="A1363" i="1"/>
  <c r="E1361" i="1"/>
  <c r="C1360" i="1"/>
  <c r="A1359" i="1"/>
  <c r="E1357" i="1"/>
  <c r="C1356" i="1"/>
  <c r="A1355" i="1"/>
  <c r="E1353" i="1"/>
  <c r="C1352" i="1"/>
  <c r="A1351" i="1"/>
  <c r="E1349" i="1"/>
  <c r="C1348" i="1"/>
  <c r="A1347" i="1"/>
  <c r="E1345" i="1"/>
  <c r="C1344" i="1"/>
  <c r="A1343" i="1"/>
  <c r="E1341" i="1"/>
  <c r="C1340" i="1"/>
  <c r="A1339" i="1"/>
  <c r="E1337" i="1"/>
  <c r="C1336" i="1"/>
  <c r="A1335" i="1"/>
  <c r="E1333" i="1"/>
  <c r="C1332" i="1"/>
  <c r="A1331" i="1"/>
  <c r="E1329" i="1"/>
  <c r="C1328" i="1"/>
  <c r="A1327" i="1"/>
  <c r="E1325" i="1"/>
  <c r="C1324" i="1"/>
  <c r="A1323" i="1"/>
  <c r="E1321" i="1"/>
  <c r="C1320" i="1"/>
  <c r="A1319" i="1"/>
  <c r="E1317" i="1"/>
  <c r="C1316" i="1"/>
  <c r="A1315" i="1"/>
  <c r="E1313" i="1"/>
  <c r="C1312" i="1"/>
  <c r="A1311" i="1"/>
  <c r="E1309" i="1"/>
  <c r="C1308" i="1"/>
  <c r="A1307" i="1"/>
  <c r="E1305" i="1"/>
  <c r="C1304" i="1"/>
  <c r="A1303" i="1"/>
  <c r="E1301" i="1"/>
  <c r="C1300" i="1"/>
  <c r="A1299" i="1"/>
  <c r="E1297" i="1"/>
  <c r="C1296" i="1"/>
  <c r="A1295" i="1"/>
  <c r="E1293" i="1"/>
  <c r="C1292" i="1"/>
  <c r="A1291" i="1"/>
  <c r="E1289" i="1"/>
  <c r="C1288" i="1"/>
  <c r="A1287" i="1"/>
  <c r="E1285" i="1"/>
  <c r="C1284" i="1"/>
  <c r="A1283" i="1"/>
  <c r="E1281" i="1"/>
  <c r="C1280" i="1"/>
  <c r="A1279" i="1"/>
  <c r="E1277" i="1"/>
  <c r="C1276" i="1"/>
  <c r="A1275" i="1"/>
  <c r="E1273" i="1"/>
  <c r="C1272" i="1"/>
  <c r="A1271" i="1"/>
  <c r="E1269" i="1"/>
  <c r="C1268" i="1"/>
  <c r="A1267" i="1"/>
  <c r="E1265" i="1"/>
  <c r="C1264" i="1"/>
  <c r="A1263" i="1"/>
  <c r="E1261" i="1"/>
  <c r="C1260" i="1"/>
  <c r="A1259" i="1"/>
  <c r="E1257" i="1"/>
  <c r="C1256" i="1"/>
  <c r="A1255" i="1"/>
  <c r="E1253" i="1"/>
  <c r="C1252" i="1"/>
  <c r="A1251" i="1"/>
  <c r="E1249" i="1"/>
  <c r="C1248" i="1"/>
  <c r="A1247" i="1"/>
  <c r="E1245" i="1"/>
  <c r="C1244" i="1"/>
  <c r="A1243" i="1"/>
  <c r="E1241" i="1"/>
  <c r="C1240" i="1"/>
  <c r="A1239" i="1"/>
  <c r="E1237" i="1"/>
  <c r="C1236" i="1"/>
  <c r="A1235" i="1"/>
  <c r="E1233" i="1"/>
  <c r="C1232" i="1"/>
  <c r="A1231" i="1"/>
  <c r="E1229" i="1"/>
  <c r="C1228" i="1"/>
  <c r="A1227" i="1"/>
  <c r="E1225" i="1"/>
  <c r="C1224" i="1"/>
  <c r="A1223" i="1"/>
  <c r="E1221" i="1"/>
  <c r="C1220" i="1"/>
  <c r="A1219" i="1"/>
  <c r="E1217" i="1"/>
  <c r="C1216" i="1"/>
  <c r="A1215" i="1"/>
  <c r="E1213" i="1"/>
  <c r="C1212" i="1"/>
  <c r="A1211" i="1"/>
  <c r="E1209" i="1"/>
  <c r="C1208" i="1"/>
  <c r="A1207" i="1"/>
  <c r="E1205" i="1"/>
  <c r="C1204" i="1"/>
  <c r="A1203" i="1"/>
  <c r="E1201" i="1"/>
  <c r="C1200" i="1"/>
  <c r="A1199" i="1"/>
  <c r="E1197" i="1"/>
  <c r="C1196" i="1"/>
  <c r="A1195" i="1"/>
  <c r="E1193" i="1"/>
  <c r="C1192" i="1"/>
  <c r="A1191" i="1"/>
  <c r="E1189" i="1"/>
  <c r="C1188" i="1"/>
  <c r="A1187" i="1"/>
  <c r="E1185" i="1"/>
  <c r="C1184" i="1"/>
  <c r="A1183" i="1"/>
  <c r="E1181" i="1"/>
  <c r="C1180" i="1"/>
  <c r="A1179" i="1"/>
  <c r="E1177" i="1"/>
  <c r="C1176" i="1"/>
  <c r="A1175" i="1"/>
  <c r="E1173" i="1"/>
  <c r="C1172" i="1"/>
  <c r="A1171" i="1"/>
  <c r="E1169" i="1"/>
  <c r="C1168" i="1"/>
  <c r="A1167" i="1"/>
  <c r="E1165" i="1"/>
  <c r="C1164" i="1"/>
  <c r="A1163" i="1"/>
  <c r="E1161" i="1"/>
  <c r="C1160" i="1"/>
  <c r="A1159" i="1"/>
  <c r="E1157" i="1"/>
  <c r="C1156" i="1"/>
  <c r="A1155" i="1"/>
  <c r="E1153" i="1"/>
  <c r="C1152" i="1"/>
  <c r="A1151" i="1"/>
  <c r="E1149" i="1"/>
  <c r="C1148" i="1"/>
  <c r="A1147" i="1"/>
  <c r="E1145" i="1"/>
  <c r="C1144" i="1"/>
  <c r="A1143" i="1"/>
  <c r="E1141" i="1"/>
  <c r="C1140" i="1"/>
  <c r="A1139" i="1"/>
  <c r="E1137" i="1"/>
  <c r="C1136" i="1"/>
  <c r="A1135" i="1"/>
  <c r="E1133" i="1"/>
  <c r="C1132" i="1"/>
  <c r="A1131" i="1"/>
  <c r="E1129" i="1"/>
  <c r="C1128" i="1"/>
  <c r="A1127" i="1"/>
  <c r="E1125" i="1"/>
  <c r="C1124" i="1"/>
  <c r="A1123" i="1"/>
  <c r="E1121" i="1"/>
  <c r="C1120" i="1"/>
  <c r="A1119" i="1"/>
  <c r="E1117" i="1"/>
  <c r="C1116" i="1"/>
  <c r="A1115" i="1"/>
  <c r="E1113" i="1"/>
  <c r="C1112" i="1"/>
  <c r="A1111" i="1"/>
  <c r="E1109" i="1"/>
  <c r="C1108" i="1"/>
  <c r="A1107" i="1"/>
  <c r="E1105" i="1"/>
  <c r="C1104" i="1"/>
  <c r="A1103" i="1"/>
  <c r="E1101" i="1"/>
  <c r="C1100" i="1"/>
  <c r="A1099" i="1"/>
  <c r="E1097" i="1"/>
  <c r="C1096" i="1"/>
  <c r="A1095" i="1"/>
  <c r="E1093" i="1"/>
  <c r="C1092" i="1"/>
  <c r="A1091" i="1"/>
  <c r="E1089" i="1"/>
  <c r="C1088" i="1"/>
  <c r="A1087" i="1"/>
  <c r="E1085" i="1"/>
  <c r="C1084" i="1"/>
  <c r="A1083" i="1"/>
  <c r="E1081" i="1"/>
  <c r="C1080" i="1"/>
  <c r="A1079" i="1"/>
  <c r="E1077" i="1"/>
  <c r="C1076" i="1"/>
  <c r="A1075" i="1"/>
  <c r="E1073" i="1"/>
  <c r="C1072" i="1"/>
  <c r="A1071" i="1"/>
  <c r="E1069" i="1"/>
  <c r="C1068" i="1"/>
  <c r="A1067" i="1"/>
  <c r="E1065" i="1"/>
  <c r="C1064" i="1"/>
  <c r="A1063" i="1"/>
  <c r="E1061" i="1"/>
  <c r="C1060" i="1"/>
  <c r="A1059" i="1"/>
  <c r="E1057" i="1"/>
  <c r="C1056" i="1"/>
  <c r="A1055" i="1"/>
  <c r="E1053" i="1"/>
  <c r="C1052" i="1"/>
  <c r="A1051" i="1"/>
  <c r="E1049" i="1"/>
  <c r="C1048" i="1"/>
  <c r="A1047" i="1"/>
  <c r="E1045" i="1"/>
  <c r="C1044" i="1"/>
  <c r="A1043" i="1"/>
  <c r="E1041" i="1"/>
  <c r="C1040" i="1"/>
  <c r="A1039" i="1"/>
  <c r="E1037" i="1"/>
  <c r="C1036" i="1"/>
  <c r="A1035" i="1"/>
  <c r="E1033" i="1"/>
  <c r="C1032" i="1"/>
  <c r="A1031" i="1"/>
  <c r="E1029" i="1"/>
  <c r="C1028" i="1"/>
  <c r="A1027" i="1"/>
  <c r="E1025" i="1"/>
  <c r="C1024" i="1"/>
  <c r="A1023" i="1"/>
  <c r="E1021" i="1"/>
  <c r="E1291" i="2"/>
  <c r="A1081" i="2"/>
  <c r="C910" i="2"/>
  <c r="F799" i="2"/>
  <c r="B718" i="2"/>
  <c r="A661" i="2"/>
  <c r="D614" i="2"/>
  <c r="C591" i="2"/>
  <c r="A570" i="2"/>
  <c r="E548" i="2"/>
  <c r="C527" i="2"/>
  <c r="A506" i="2"/>
  <c r="E484" i="2"/>
  <c r="C463" i="2"/>
  <c r="A442" i="2"/>
  <c r="E420" i="2"/>
  <c r="C399" i="2"/>
  <c r="A378" i="2"/>
  <c r="E356" i="2"/>
  <c r="C335" i="2"/>
  <c r="A314" i="2"/>
  <c r="E292" i="2"/>
  <c r="C271" i="2"/>
  <c r="A250" i="2"/>
  <c r="E228" i="2"/>
  <c r="C207" i="2"/>
  <c r="A186" i="2"/>
  <c r="E164" i="2"/>
  <c r="D148" i="2"/>
  <c r="A134" i="2"/>
  <c r="F119" i="2"/>
  <c r="F107" i="2"/>
  <c r="B97" i="2"/>
  <c r="D86" i="2"/>
  <c r="F75" i="2"/>
  <c r="B65" i="2"/>
  <c r="D59" i="2"/>
  <c r="B54" i="2"/>
  <c r="F48" i="2"/>
  <c r="D43" i="2"/>
  <c r="B38" i="2"/>
  <c r="F32" i="2"/>
  <c r="D27" i="2"/>
  <c r="B22" i="2"/>
  <c r="F16" i="2"/>
  <c r="D11" i="2"/>
  <c r="B6" i="2"/>
  <c r="F1450" i="1"/>
  <c r="D1445" i="1"/>
  <c r="B1440" i="1"/>
  <c r="F1434" i="1"/>
  <c r="D1429" i="1"/>
  <c r="B1424" i="1"/>
  <c r="F1418" i="1"/>
  <c r="D1413" i="1"/>
  <c r="B1408" i="1"/>
  <c r="F1402" i="1"/>
  <c r="D1397" i="1"/>
  <c r="B1392" i="1"/>
  <c r="F1386" i="1"/>
  <c r="D1381" i="1"/>
  <c r="B1376" i="1"/>
  <c r="F1370" i="1"/>
  <c r="D1365" i="1"/>
  <c r="B1360" i="1"/>
  <c r="F1354" i="1"/>
  <c r="D1349" i="1"/>
  <c r="B1344" i="1"/>
  <c r="F1338" i="1"/>
  <c r="D1333" i="1"/>
  <c r="B1328" i="1"/>
  <c r="F1322" i="1"/>
  <c r="D1317" i="1"/>
  <c r="B1312" i="1"/>
  <c r="F1306" i="1"/>
  <c r="D1301" i="1"/>
  <c r="B1296" i="1"/>
  <c r="F1290" i="1"/>
  <c r="D1285" i="1"/>
  <c r="B1280" i="1"/>
  <c r="F1274" i="1"/>
  <c r="D1269" i="1"/>
  <c r="B1264" i="1"/>
  <c r="F1258" i="1"/>
  <c r="D1253" i="1"/>
  <c r="B1248" i="1"/>
  <c r="F1242" i="1"/>
  <c r="D1237" i="1"/>
  <c r="B1232" i="1"/>
  <c r="F1226" i="1"/>
  <c r="D1221" i="1"/>
  <c r="B1216" i="1"/>
  <c r="F1210" i="1"/>
  <c r="D1205" i="1"/>
  <c r="C1201" i="1"/>
  <c r="D1197" i="1"/>
  <c r="B1194" i="1"/>
  <c r="E1190" i="1"/>
  <c r="F1186" i="1"/>
  <c r="D1183" i="1"/>
  <c r="A1180" i="1"/>
  <c r="B1176" i="1"/>
  <c r="F1172" i="1"/>
  <c r="C1169" i="1"/>
  <c r="D1165" i="1"/>
  <c r="B1162" i="1"/>
  <c r="E1158" i="1"/>
  <c r="F1154" i="1"/>
  <c r="D1151" i="1"/>
  <c r="A1148" i="1"/>
  <c r="B1144" i="1"/>
  <c r="F1140" i="1"/>
  <c r="A1138" i="1"/>
  <c r="C1135" i="1"/>
  <c r="E1132" i="1"/>
  <c r="A1130" i="1"/>
  <c r="C1127" i="1"/>
  <c r="E1124" i="1"/>
  <c r="A1122" i="1"/>
  <c r="C1119" i="1"/>
  <c r="E1116" i="1"/>
  <c r="A1114" i="1"/>
  <c r="C1111" i="1"/>
  <c r="E1108" i="1"/>
  <c r="A1106" i="1"/>
  <c r="C1103" i="1"/>
  <c r="E1100" i="1"/>
  <c r="A1098" i="1"/>
  <c r="C1095" i="1"/>
  <c r="E1092" i="1"/>
  <c r="A1090" i="1"/>
  <c r="C1087" i="1"/>
  <c r="E1084" i="1"/>
  <c r="A1082" i="1"/>
  <c r="C1079" i="1"/>
  <c r="E1076" i="1"/>
  <c r="A1074" i="1"/>
  <c r="C1071" i="1"/>
  <c r="E1068" i="1"/>
  <c r="A1066" i="1"/>
  <c r="C1063" i="1"/>
  <c r="E1060" i="1"/>
  <c r="A1058" i="1"/>
  <c r="C1055" i="1"/>
  <c r="E1052" i="1"/>
  <c r="A1050" i="1"/>
  <c r="C1047" i="1"/>
  <c r="E1044" i="1"/>
  <c r="A1042" i="1"/>
  <c r="C1039" i="1"/>
  <c r="E1036" i="1"/>
  <c r="A1034" i="1"/>
  <c r="C1031" i="1"/>
  <c r="E1028" i="1"/>
  <c r="A1026" i="1"/>
  <c r="C1023" i="1"/>
  <c r="F1020" i="1"/>
  <c r="D1019" i="1"/>
  <c r="B1018" i="1"/>
  <c r="F1016" i="1"/>
  <c r="D1015" i="1"/>
  <c r="B1014" i="1"/>
  <c r="F1012" i="1"/>
  <c r="D1011" i="1"/>
  <c r="B1010" i="1"/>
  <c r="F1008" i="1"/>
  <c r="D1007" i="1"/>
  <c r="B1006" i="1"/>
  <c r="F1004" i="1"/>
  <c r="D1003" i="1"/>
  <c r="B1002" i="1"/>
  <c r="F1000" i="1"/>
  <c r="D999" i="1"/>
  <c r="B998" i="1"/>
  <c r="F996" i="1"/>
  <c r="D995" i="1"/>
  <c r="B994" i="1"/>
  <c r="F992" i="1"/>
  <c r="D991" i="1"/>
  <c r="B990" i="1"/>
  <c r="F988" i="1"/>
  <c r="D987" i="1"/>
  <c r="B986" i="1"/>
  <c r="F984" i="1"/>
  <c r="D983" i="1"/>
  <c r="B982" i="1"/>
  <c r="F980" i="1"/>
  <c r="D979" i="1"/>
  <c r="B978" i="1"/>
  <c r="F976" i="1"/>
  <c r="D975" i="1"/>
  <c r="B974" i="1"/>
  <c r="F972" i="1"/>
  <c r="D971" i="1"/>
  <c r="B970" i="1"/>
  <c r="F968" i="1"/>
  <c r="D967" i="1"/>
  <c r="B966" i="1"/>
  <c r="F964" i="1"/>
  <c r="D963" i="1"/>
  <c r="B962" i="1"/>
  <c r="F960" i="1"/>
  <c r="D959" i="1"/>
  <c r="B958" i="1"/>
  <c r="F956" i="1"/>
  <c r="D955" i="1"/>
  <c r="B954" i="1"/>
  <c r="F952" i="1"/>
  <c r="D951" i="1"/>
  <c r="B950" i="1"/>
  <c r="F948" i="1"/>
  <c r="D947" i="1"/>
  <c r="B946" i="1"/>
  <c r="F944" i="1"/>
  <c r="D943" i="1"/>
  <c r="B942" i="1"/>
  <c r="F940" i="1"/>
  <c r="D939" i="1"/>
  <c r="B938" i="1"/>
  <c r="F936" i="1"/>
  <c r="D935" i="1"/>
  <c r="B934" i="1"/>
  <c r="F932" i="1"/>
  <c r="D931" i="1"/>
  <c r="B930" i="1"/>
  <c r="F928" i="1"/>
  <c r="D927" i="1"/>
  <c r="B926" i="1"/>
  <c r="F924" i="1"/>
  <c r="D923" i="1"/>
  <c r="B922" i="1"/>
  <c r="F920" i="1"/>
  <c r="D919" i="1"/>
  <c r="B918" i="1"/>
  <c r="F916" i="1"/>
  <c r="D915" i="1"/>
  <c r="B914" i="1"/>
  <c r="F912" i="1"/>
  <c r="D911" i="1"/>
  <c r="B910" i="1"/>
  <c r="F908" i="1"/>
  <c r="D907" i="1"/>
  <c r="B906" i="1"/>
  <c r="F904" i="1"/>
  <c r="D903" i="1"/>
  <c r="B902" i="1"/>
  <c r="F900" i="1"/>
  <c r="D899" i="1"/>
  <c r="B898" i="1"/>
  <c r="F896" i="1"/>
  <c r="D895" i="1"/>
  <c r="B894" i="1"/>
  <c r="F892" i="1"/>
  <c r="D891" i="1"/>
  <c r="B890" i="1"/>
  <c r="F888" i="1"/>
  <c r="D887" i="1"/>
  <c r="B886" i="1"/>
  <c r="F884" i="1"/>
  <c r="D883" i="1"/>
  <c r="B882" i="1"/>
  <c r="F880" i="1"/>
  <c r="D879" i="1"/>
  <c r="B878" i="1"/>
  <c r="F876" i="1"/>
  <c r="D875" i="1"/>
  <c r="B874" i="1"/>
  <c r="F872" i="1"/>
  <c r="D871" i="1"/>
  <c r="B870" i="1"/>
  <c r="F868" i="1"/>
  <c r="D867" i="1"/>
  <c r="B866" i="1"/>
  <c r="F864" i="1"/>
  <c r="D863" i="1"/>
  <c r="B862" i="1"/>
  <c r="F860" i="1"/>
  <c r="D859" i="1"/>
  <c r="B858" i="1"/>
  <c r="F856" i="1"/>
  <c r="D855" i="1"/>
  <c r="B854" i="1"/>
  <c r="F852" i="1"/>
  <c r="D851" i="1"/>
  <c r="B850" i="1"/>
  <c r="F848" i="1"/>
  <c r="D847" i="1"/>
  <c r="B846" i="1"/>
  <c r="F844" i="1"/>
  <c r="D843" i="1"/>
  <c r="B842" i="1"/>
  <c r="F840" i="1"/>
  <c r="D839" i="1"/>
  <c r="B838" i="1"/>
  <c r="F836" i="1"/>
  <c r="D835" i="1"/>
  <c r="B834" i="1"/>
  <c r="F832" i="1"/>
  <c r="D831" i="1"/>
  <c r="B830" i="1"/>
  <c r="F828" i="1"/>
  <c r="D827" i="1"/>
  <c r="B826" i="1"/>
  <c r="F824" i="1"/>
  <c r="D823" i="1"/>
  <c r="B822" i="1"/>
  <c r="F820" i="1"/>
  <c r="D819" i="1"/>
  <c r="B818" i="1"/>
  <c r="F816" i="1"/>
  <c r="D815" i="1"/>
  <c r="B814" i="1"/>
  <c r="F812" i="1"/>
  <c r="D811" i="1"/>
  <c r="B810" i="1"/>
  <c r="F808" i="1"/>
  <c r="D807" i="1"/>
  <c r="B806" i="1"/>
  <c r="F804" i="1"/>
  <c r="D803" i="1"/>
  <c r="B802" i="1"/>
  <c r="F800" i="1"/>
  <c r="D799" i="1"/>
  <c r="B798" i="1"/>
  <c r="F796" i="1"/>
  <c r="D795" i="1"/>
  <c r="B794" i="1"/>
  <c r="F792" i="1"/>
  <c r="D791" i="1"/>
  <c r="B790" i="1"/>
  <c r="F788" i="1"/>
  <c r="D787" i="1"/>
  <c r="B786" i="1"/>
  <c r="F784" i="1"/>
  <c r="D783" i="1"/>
  <c r="B782" i="1"/>
  <c r="F780" i="1"/>
  <c r="D779" i="1"/>
  <c r="B778" i="1"/>
  <c r="F776" i="1"/>
  <c r="D775" i="1"/>
  <c r="B774" i="1"/>
  <c r="F772" i="1"/>
  <c r="D771" i="1"/>
  <c r="B770" i="1"/>
  <c r="F768" i="1"/>
  <c r="D767" i="1"/>
  <c r="B766" i="1"/>
  <c r="F764" i="1"/>
  <c r="D763" i="1"/>
  <c r="B762" i="1"/>
  <c r="F760" i="1"/>
  <c r="D759" i="1"/>
  <c r="B758" i="1"/>
  <c r="F756" i="1"/>
  <c r="D755" i="1"/>
  <c r="B754" i="1"/>
  <c r="F752" i="1"/>
  <c r="D751" i="1"/>
  <c r="B750" i="1"/>
  <c r="F748" i="1"/>
  <c r="D747" i="1"/>
  <c r="B746" i="1"/>
  <c r="F744" i="1"/>
  <c r="D743" i="1"/>
  <c r="B742" i="1"/>
  <c r="F740" i="1"/>
  <c r="D739" i="1"/>
  <c r="B738" i="1"/>
  <c r="F736" i="1"/>
  <c r="D735" i="1"/>
  <c r="B734" i="1"/>
  <c r="F732" i="1"/>
  <c r="D731" i="1"/>
  <c r="B730" i="1"/>
  <c r="F728" i="1"/>
  <c r="D727" i="1"/>
  <c r="B726" i="1"/>
  <c r="F724" i="1"/>
  <c r="D723" i="1"/>
  <c r="B722" i="1"/>
  <c r="F720" i="1"/>
  <c r="D719" i="1"/>
  <c r="B718" i="1"/>
  <c r="F716" i="1"/>
  <c r="D715" i="1"/>
  <c r="B714" i="1"/>
  <c r="F712" i="1"/>
  <c r="D711" i="1"/>
  <c r="B710" i="1"/>
  <c r="F708" i="1"/>
  <c r="D707" i="1"/>
  <c r="B706" i="1"/>
  <c r="F704" i="1"/>
  <c r="D703" i="1"/>
  <c r="B702" i="1"/>
  <c r="F700" i="1"/>
  <c r="D699" i="1"/>
  <c r="B698" i="1"/>
  <c r="F696" i="1"/>
  <c r="D695" i="1"/>
  <c r="B694" i="1"/>
  <c r="F692" i="1"/>
  <c r="D691" i="1"/>
  <c r="B690" i="1"/>
  <c r="F688" i="1"/>
  <c r="D687" i="1"/>
  <c r="B686" i="1"/>
  <c r="F684" i="1"/>
  <c r="D683" i="1"/>
  <c r="B682" i="1"/>
  <c r="F680" i="1"/>
  <c r="D679" i="1"/>
  <c r="B678" i="1"/>
  <c r="F676" i="1"/>
  <c r="D675" i="1"/>
  <c r="B674" i="1"/>
  <c r="F672" i="1"/>
  <c r="D671" i="1"/>
  <c r="B670" i="1"/>
  <c r="F668" i="1"/>
  <c r="D667" i="1"/>
  <c r="B666" i="1"/>
  <c r="F664" i="1"/>
  <c r="D663" i="1"/>
  <c r="B662" i="1"/>
  <c r="F660" i="1"/>
  <c r="D659" i="1"/>
  <c r="B658" i="1"/>
  <c r="F656" i="1"/>
  <c r="D655" i="1"/>
  <c r="B654" i="1"/>
  <c r="F652" i="1"/>
  <c r="D651" i="1"/>
  <c r="B650" i="1"/>
  <c r="F648" i="1"/>
  <c r="D647" i="1"/>
  <c r="B646" i="1"/>
  <c r="F644" i="1"/>
  <c r="D643" i="1"/>
  <c r="B642" i="1"/>
  <c r="F640" i="1"/>
  <c r="D639" i="1"/>
  <c r="B638" i="1"/>
  <c r="F636" i="1"/>
  <c r="D635" i="1"/>
  <c r="B634" i="1"/>
  <c r="F632" i="1"/>
  <c r="D631" i="1"/>
  <c r="B630" i="1"/>
  <c r="F628" i="1"/>
  <c r="D627" i="1"/>
  <c r="B626" i="1"/>
  <c r="F624" i="1"/>
  <c r="D623" i="1"/>
  <c r="B622" i="1"/>
  <c r="F620" i="1"/>
  <c r="D619" i="1"/>
  <c r="B618" i="1"/>
  <c r="F616" i="1"/>
  <c r="D615" i="1"/>
  <c r="B614" i="1"/>
  <c r="F612" i="1"/>
  <c r="D611" i="1"/>
  <c r="B610" i="1"/>
  <c r="F608" i="1"/>
  <c r="D607" i="1"/>
  <c r="B606" i="1"/>
  <c r="F604" i="1"/>
  <c r="C1286" i="2"/>
  <c r="E1079" i="2"/>
  <c r="A909" i="2"/>
  <c r="E799" i="2"/>
  <c r="B717" i="2"/>
  <c r="F660" i="2"/>
  <c r="C614" i="2"/>
  <c r="B591" i="2"/>
  <c r="F569" i="2"/>
  <c r="D548" i="2"/>
  <c r="B527" i="2"/>
  <c r="F505" i="2"/>
  <c r="D484" i="2"/>
  <c r="B463" i="2"/>
  <c r="F441" i="2"/>
  <c r="D420" i="2"/>
  <c r="B399" i="2"/>
  <c r="F377" i="2"/>
  <c r="D356" i="2"/>
  <c r="B335" i="2"/>
  <c r="F313" i="2"/>
  <c r="D292" i="2"/>
  <c r="B271" i="2"/>
  <c r="F249" i="2"/>
  <c r="D228" i="2"/>
  <c r="B207" i="2"/>
  <c r="F185" i="2"/>
  <c r="D164" i="2"/>
  <c r="F147" i="2"/>
  <c r="F133" i="2"/>
  <c r="C119" i="2"/>
  <c r="E107" i="2"/>
  <c r="A97" i="2"/>
  <c r="C86" i="2"/>
  <c r="E75" i="2"/>
  <c r="A65" i="2"/>
  <c r="C59" i="2"/>
  <c r="A54" i="2"/>
  <c r="E48" i="2"/>
  <c r="C43" i="2"/>
  <c r="A38" i="2"/>
  <c r="E32" i="2"/>
  <c r="C27" i="2"/>
  <c r="A22" i="2"/>
  <c r="E16" i="2"/>
  <c r="C11" i="2"/>
  <c r="A6" i="2"/>
  <c r="E1450" i="1"/>
  <c r="C1445" i="1"/>
  <c r="A1440" i="1"/>
  <c r="E1434" i="1"/>
  <c r="C1429" i="1"/>
  <c r="A1424" i="1"/>
  <c r="E1418" i="1"/>
  <c r="C1413" i="1"/>
  <c r="A1408" i="1"/>
  <c r="E1402" i="1"/>
  <c r="C1397" i="1"/>
  <c r="A1392" i="1"/>
  <c r="E1386" i="1"/>
  <c r="C1381" i="1"/>
  <c r="A1376" i="1"/>
  <c r="E1370" i="1"/>
  <c r="C1365" i="1"/>
  <c r="A1360" i="1"/>
  <c r="E1354" i="1"/>
  <c r="C1349" i="1"/>
  <c r="A1344" i="1"/>
  <c r="E1338" i="1"/>
  <c r="C1333" i="1"/>
  <c r="A1328" i="1"/>
  <c r="E1322" i="1"/>
  <c r="C1317" i="1"/>
  <c r="A1312" i="1"/>
  <c r="E1306" i="1"/>
  <c r="C1301" i="1"/>
  <c r="A1296" i="1"/>
  <c r="E1290" i="1"/>
  <c r="C1285" i="1"/>
  <c r="A1280" i="1"/>
  <c r="E1274" i="1"/>
  <c r="C1269" i="1"/>
  <c r="A1264" i="1"/>
  <c r="E1258" i="1"/>
  <c r="C1253" i="1"/>
  <c r="A1248" i="1"/>
  <c r="E1242" i="1"/>
  <c r="C1237" i="1"/>
  <c r="A1232" i="1"/>
  <c r="E1226" i="1"/>
  <c r="C1221" i="1"/>
  <c r="A1216" i="1"/>
  <c r="E1210" i="1"/>
  <c r="C1205" i="1"/>
  <c r="F1200" i="1"/>
  <c r="C1197" i="1"/>
  <c r="D1193" i="1"/>
  <c r="B1190" i="1"/>
  <c r="E1186" i="1"/>
  <c r="F1182" i="1"/>
  <c r="D1179" i="1"/>
  <c r="A1176" i="1"/>
  <c r="B1172" i="1"/>
  <c r="F1168" i="1"/>
  <c r="C1165" i="1"/>
  <c r="D1161" i="1"/>
  <c r="B1158" i="1"/>
  <c r="E1154" i="1"/>
  <c r="F1150" i="1"/>
  <c r="D1147" i="1"/>
  <c r="A1144" i="1"/>
  <c r="B1140" i="1"/>
  <c r="D1137" i="1"/>
  <c r="F1134" i="1"/>
  <c r="B1132" i="1"/>
  <c r="D1129" i="1"/>
  <c r="F1126" i="1"/>
  <c r="B1124" i="1"/>
  <c r="D1121" i="1"/>
  <c r="F1118" i="1"/>
  <c r="B1116" i="1"/>
  <c r="D1113" i="1"/>
  <c r="F1110" i="1"/>
  <c r="B1108" i="1"/>
  <c r="D1105" i="1"/>
  <c r="F1102" i="1"/>
  <c r="B1100" i="1"/>
  <c r="D1097" i="1"/>
  <c r="F1094" i="1"/>
  <c r="B1092" i="1"/>
  <c r="D1089" i="1"/>
  <c r="F1086" i="1"/>
  <c r="B1084" i="1"/>
  <c r="D1081" i="1"/>
  <c r="F1078" i="1"/>
  <c r="B1076" i="1"/>
  <c r="D1073" i="1"/>
  <c r="F1070" i="1"/>
  <c r="B1068" i="1"/>
  <c r="D1065" i="1"/>
  <c r="F1062" i="1"/>
  <c r="B1060" i="1"/>
  <c r="D1057" i="1"/>
  <c r="F1054" i="1"/>
  <c r="B1052" i="1"/>
  <c r="D1049" i="1"/>
  <c r="F1046" i="1"/>
  <c r="B1044" i="1"/>
  <c r="D1041" i="1"/>
  <c r="F1038" i="1"/>
  <c r="B1036" i="1"/>
  <c r="D1033" i="1"/>
  <c r="F1030" i="1"/>
  <c r="B1028" i="1"/>
  <c r="D1025" i="1"/>
  <c r="F1022" i="1"/>
  <c r="E1020" i="1"/>
  <c r="C1019" i="1"/>
  <c r="A1018" i="1"/>
  <c r="E1016" i="1"/>
  <c r="C1015" i="1"/>
  <c r="A1014" i="1"/>
  <c r="E1012" i="1"/>
  <c r="C1011" i="1"/>
  <c r="A1010" i="1"/>
  <c r="E1008" i="1"/>
  <c r="C1007" i="1"/>
  <c r="A1006" i="1"/>
  <c r="E1004" i="1"/>
  <c r="C1003" i="1"/>
  <c r="A1002" i="1"/>
  <c r="E1000" i="1"/>
  <c r="C999" i="1"/>
  <c r="A998" i="1"/>
  <c r="E996" i="1"/>
  <c r="C995" i="1"/>
  <c r="A994" i="1"/>
  <c r="E992" i="1"/>
  <c r="C991" i="1"/>
  <c r="A990" i="1"/>
  <c r="E988" i="1"/>
  <c r="C987" i="1"/>
  <c r="A986" i="1"/>
  <c r="E984" i="1"/>
  <c r="C983" i="1"/>
  <c r="A982" i="1"/>
  <c r="E980" i="1"/>
  <c r="C979" i="1"/>
  <c r="A978" i="1"/>
  <c r="E976" i="1"/>
  <c r="C975" i="1"/>
  <c r="A974" i="1"/>
  <c r="E972" i="1"/>
  <c r="C971" i="1"/>
  <c r="A970" i="1"/>
  <c r="E968" i="1"/>
  <c r="C967" i="1"/>
  <c r="A966" i="1"/>
  <c r="E964" i="1"/>
  <c r="C963" i="1"/>
  <c r="A962" i="1"/>
  <c r="E960" i="1"/>
  <c r="C959" i="1"/>
  <c r="A958" i="1"/>
  <c r="E956" i="1"/>
  <c r="C955" i="1"/>
  <c r="A954" i="1"/>
  <c r="E952" i="1"/>
  <c r="C951" i="1"/>
  <c r="A950" i="1"/>
  <c r="E948" i="1"/>
  <c r="C947" i="1"/>
  <c r="A946" i="1"/>
  <c r="E944" i="1"/>
  <c r="C943" i="1"/>
  <c r="A942" i="1"/>
  <c r="E940" i="1"/>
  <c r="C939" i="1"/>
  <c r="A938" i="1"/>
  <c r="E936" i="1"/>
  <c r="C935" i="1"/>
  <c r="A934" i="1"/>
  <c r="E932" i="1"/>
  <c r="C931" i="1"/>
  <c r="A930" i="1"/>
  <c r="E928" i="1"/>
  <c r="C927" i="1"/>
  <c r="A926" i="1"/>
  <c r="E924" i="1"/>
  <c r="C923" i="1"/>
  <c r="A922" i="1"/>
  <c r="E920" i="1"/>
  <c r="C919" i="1"/>
  <c r="A918" i="1"/>
  <c r="E916" i="1"/>
  <c r="C915" i="1"/>
  <c r="A914" i="1"/>
  <c r="E912" i="1"/>
  <c r="C911" i="1"/>
  <c r="A910" i="1"/>
  <c r="E908" i="1"/>
  <c r="C907" i="1"/>
  <c r="A906" i="1"/>
  <c r="E904" i="1"/>
  <c r="C903" i="1"/>
  <c r="A902" i="1"/>
  <c r="E900" i="1"/>
  <c r="C899" i="1"/>
  <c r="A898" i="1"/>
  <c r="E896" i="1"/>
  <c r="C895" i="1"/>
  <c r="A894" i="1"/>
  <c r="E892" i="1"/>
  <c r="C891" i="1"/>
  <c r="A890" i="1"/>
  <c r="E888" i="1"/>
  <c r="C887" i="1"/>
  <c r="A886" i="1"/>
  <c r="E884" i="1"/>
  <c r="C883" i="1"/>
  <c r="A882" i="1"/>
  <c r="E880" i="1"/>
  <c r="C879" i="1"/>
  <c r="A878" i="1"/>
  <c r="E876" i="1"/>
  <c r="C875" i="1"/>
  <c r="A874" i="1"/>
  <c r="E872" i="1"/>
  <c r="C871" i="1"/>
  <c r="A870" i="1"/>
  <c r="E868" i="1"/>
  <c r="C867" i="1"/>
  <c r="A866" i="1"/>
  <c r="E864" i="1"/>
  <c r="C863" i="1"/>
  <c r="A862" i="1"/>
  <c r="E860" i="1"/>
  <c r="C859" i="1"/>
  <c r="A858" i="1"/>
  <c r="E856" i="1"/>
  <c r="C855" i="1"/>
  <c r="A854" i="1"/>
  <c r="E852" i="1"/>
  <c r="C851" i="1"/>
  <c r="A850" i="1"/>
  <c r="E848" i="1"/>
  <c r="C847" i="1"/>
  <c r="A846" i="1"/>
  <c r="E844" i="1"/>
  <c r="C843" i="1"/>
  <c r="A842" i="1"/>
  <c r="E840" i="1"/>
  <c r="C839" i="1"/>
  <c r="A838" i="1"/>
  <c r="E836" i="1"/>
  <c r="C835" i="1"/>
  <c r="A834" i="1"/>
  <c r="E832" i="1"/>
  <c r="C831" i="1"/>
  <c r="A830" i="1"/>
  <c r="E828" i="1"/>
  <c r="C827" i="1"/>
  <c r="A826" i="1"/>
  <c r="E824" i="1"/>
  <c r="C823" i="1"/>
  <c r="A822" i="1"/>
  <c r="E820" i="1"/>
  <c r="C819" i="1"/>
  <c r="A818" i="1"/>
  <c r="E816" i="1"/>
  <c r="C815" i="1"/>
  <c r="A814" i="1"/>
  <c r="E812" i="1"/>
  <c r="C811" i="1"/>
  <c r="A810" i="1"/>
  <c r="E808" i="1"/>
  <c r="C807" i="1"/>
  <c r="A806" i="1"/>
  <c r="E804" i="1"/>
  <c r="C803" i="1"/>
  <c r="A802" i="1"/>
  <c r="E800" i="1"/>
  <c r="C799" i="1"/>
  <c r="A798" i="1"/>
  <c r="E796" i="1"/>
  <c r="C795" i="1"/>
  <c r="A794" i="1"/>
  <c r="E792" i="1"/>
  <c r="C791" i="1"/>
  <c r="A790" i="1"/>
  <c r="E788" i="1"/>
  <c r="C787" i="1"/>
  <c r="A786" i="1"/>
  <c r="E784" i="1"/>
  <c r="C783" i="1"/>
  <c r="A782" i="1"/>
  <c r="E780" i="1"/>
  <c r="C779" i="1"/>
  <c r="A778" i="1"/>
  <c r="E776" i="1"/>
  <c r="C775" i="1"/>
  <c r="A774" i="1"/>
  <c r="E772" i="1"/>
  <c r="C771" i="1"/>
  <c r="A770" i="1"/>
  <c r="E768" i="1"/>
  <c r="C767" i="1"/>
  <c r="A766" i="1"/>
  <c r="E764" i="1"/>
  <c r="C763" i="1"/>
  <c r="A762" i="1"/>
  <c r="E760" i="1"/>
  <c r="C759" i="1"/>
  <c r="A758" i="1"/>
  <c r="E756" i="1"/>
  <c r="C755" i="1"/>
  <c r="A754" i="1"/>
  <c r="E752" i="1"/>
  <c r="C751" i="1"/>
  <c r="A750" i="1"/>
  <c r="E748" i="1"/>
  <c r="C747" i="1"/>
  <c r="A746" i="1"/>
  <c r="E744" i="1"/>
  <c r="C743" i="1"/>
  <c r="A742" i="1"/>
  <c r="E740" i="1"/>
  <c r="C739" i="1"/>
  <c r="A738" i="1"/>
  <c r="E736" i="1"/>
  <c r="C735" i="1"/>
  <c r="A734" i="1"/>
  <c r="E732" i="1"/>
  <c r="C731" i="1"/>
  <c r="A730" i="1"/>
  <c r="E728" i="1"/>
  <c r="C727" i="1"/>
  <c r="A726" i="1"/>
  <c r="E724" i="1"/>
  <c r="C723" i="1"/>
  <c r="A722" i="1"/>
  <c r="E720" i="1"/>
  <c r="C719" i="1"/>
  <c r="A718" i="1"/>
  <c r="E716" i="1"/>
  <c r="C715" i="1"/>
  <c r="A714" i="1"/>
  <c r="E712" i="1"/>
  <c r="C711" i="1"/>
  <c r="A710" i="1"/>
  <c r="E708" i="1"/>
  <c r="C707" i="1"/>
  <c r="A706" i="1"/>
  <c r="E704" i="1"/>
  <c r="C703" i="1"/>
  <c r="A702" i="1"/>
  <c r="E700" i="1"/>
  <c r="C699" i="1"/>
  <c r="A698" i="1"/>
  <c r="E696" i="1"/>
  <c r="C695" i="1"/>
  <c r="A694" i="1"/>
  <c r="E692" i="1"/>
  <c r="C691" i="1"/>
  <c r="A690" i="1"/>
  <c r="E688" i="1"/>
  <c r="C687" i="1"/>
  <c r="A686" i="1"/>
  <c r="E684" i="1"/>
  <c r="C683" i="1"/>
  <c r="A682" i="1"/>
  <c r="E680" i="1"/>
  <c r="C679" i="1"/>
  <c r="A678" i="1"/>
  <c r="E676" i="1"/>
  <c r="C675" i="1"/>
  <c r="A674" i="1"/>
  <c r="E672" i="1"/>
  <c r="C671" i="1"/>
  <c r="A670" i="1"/>
  <c r="E668" i="1"/>
  <c r="C667" i="1"/>
  <c r="A666" i="1"/>
  <c r="E664" i="1"/>
  <c r="C663" i="1"/>
  <c r="A662" i="1"/>
  <c r="E660" i="1"/>
  <c r="C659" i="1"/>
  <c r="A658" i="1"/>
  <c r="E656" i="1"/>
  <c r="C655" i="1"/>
  <c r="A654" i="1"/>
  <c r="E652" i="1"/>
  <c r="C651" i="1"/>
  <c r="A650" i="1"/>
  <c r="E648" i="1"/>
  <c r="C647" i="1"/>
  <c r="A646" i="1"/>
  <c r="E644" i="1"/>
  <c r="C643" i="1"/>
  <c r="A642" i="1"/>
  <c r="E640" i="1"/>
  <c r="C639" i="1"/>
  <c r="A638" i="1"/>
  <c r="E636" i="1"/>
  <c r="C635" i="1"/>
  <c r="A634" i="1"/>
  <c r="E632" i="1"/>
  <c r="C631" i="1"/>
  <c r="A630" i="1"/>
  <c r="E628" i="1"/>
  <c r="C627" i="1"/>
  <c r="A626" i="1"/>
  <c r="E624" i="1"/>
  <c r="C623" i="1"/>
  <c r="A622" i="1"/>
  <c r="E620" i="1"/>
  <c r="C619" i="1"/>
  <c r="A618" i="1"/>
  <c r="E616" i="1"/>
  <c r="C615" i="1"/>
  <c r="A614" i="1"/>
  <c r="E612" i="1"/>
  <c r="C611" i="1"/>
  <c r="A610" i="1"/>
  <c r="E608" i="1"/>
  <c r="C607" i="1"/>
  <c r="A606" i="1"/>
  <c r="E604" i="1"/>
  <c r="A1209" i="2"/>
  <c r="C1038" i="2"/>
  <c r="E867" i="2"/>
  <c r="D778" i="2"/>
  <c r="E703" i="2"/>
  <c r="D646" i="2"/>
  <c r="C607" i="2"/>
  <c r="A586" i="2"/>
  <c r="E564" i="2"/>
  <c r="C543" i="2"/>
  <c r="A522" i="2"/>
  <c r="E500" i="2"/>
  <c r="C479" i="2"/>
  <c r="A458" i="2"/>
  <c r="E436" i="2"/>
  <c r="C415" i="2"/>
  <c r="A394" i="2"/>
  <c r="E372" i="2"/>
  <c r="C351" i="2"/>
  <c r="A330" i="2"/>
  <c r="E308" i="2"/>
  <c r="C287" i="2"/>
  <c r="A266" i="2"/>
  <c r="E244" i="2"/>
  <c r="C223" i="2"/>
  <c r="A202" i="2"/>
  <c r="E180" i="2"/>
  <c r="C159" i="2"/>
  <c r="E144" i="2"/>
  <c r="D130" i="2"/>
  <c r="D116" i="2"/>
  <c r="B105" i="2"/>
  <c r="D94" i="2"/>
  <c r="F83" i="2"/>
  <c r="B73" i="2"/>
  <c r="D63" i="2"/>
  <c r="B58" i="2"/>
  <c r="F52" i="2"/>
  <c r="D47" i="2"/>
  <c r="B42" i="2"/>
  <c r="F36" i="2"/>
  <c r="D31" i="2"/>
  <c r="B26" i="2"/>
  <c r="F20" i="2"/>
  <c r="D15" i="2"/>
  <c r="B10" i="2"/>
  <c r="F4" i="2"/>
  <c r="D1449" i="1"/>
  <c r="B1444" i="1"/>
  <c r="F1438" i="1"/>
  <c r="D1433" i="1"/>
  <c r="B1428" i="1"/>
  <c r="F1422" i="1"/>
  <c r="D1417" i="1"/>
  <c r="B1412" i="1"/>
  <c r="F1406" i="1"/>
  <c r="D1401" i="1"/>
  <c r="B1396" i="1"/>
  <c r="F1390" i="1"/>
  <c r="D1385" i="1"/>
  <c r="B1380" i="1"/>
  <c r="F1374" i="1"/>
  <c r="D1369" i="1"/>
  <c r="B1364" i="1"/>
  <c r="F1358" i="1"/>
  <c r="D1353" i="1"/>
  <c r="B1348" i="1"/>
  <c r="F1342" i="1"/>
  <c r="D1337" i="1"/>
  <c r="B1332" i="1"/>
  <c r="F1326" i="1"/>
  <c r="D1321" i="1"/>
  <c r="B1316" i="1"/>
  <c r="F1310" i="1"/>
  <c r="D1305" i="1"/>
  <c r="B1300" i="1"/>
  <c r="F1294" i="1"/>
  <c r="D1289" i="1"/>
  <c r="B1284" i="1"/>
  <c r="F1278" i="1"/>
  <c r="D1273" i="1"/>
  <c r="B1268" i="1"/>
  <c r="F1262" i="1"/>
  <c r="D1257" i="1"/>
  <c r="B1252" i="1"/>
  <c r="F1246" i="1"/>
  <c r="D1241" i="1"/>
  <c r="B1236" i="1"/>
  <c r="F1230" i="1"/>
  <c r="D1225" i="1"/>
  <c r="B1220" i="1"/>
  <c r="F1214" i="1"/>
  <c r="D1209" i="1"/>
  <c r="B1204" i="1"/>
  <c r="B1200" i="1"/>
  <c r="F1196" i="1"/>
  <c r="C1193" i="1"/>
  <c r="D1189" i="1"/>
  <c r="B1186" i="1"/>
  <c r="E1182" i="1"/>
  <c r="F1178" i="1"/>
  <c r="D1175" i="1"/>
  <c r="A1172" i="1"/>
  <c r="B1168" i="1"/>
  <c r="F1164" i="1"/>
  <c r="C1161" i="1"/>
  <c r="D1157" i="1"/>
  <c r="B1154" i="1"/>
  <c r="E1150" i="1"/>
  <c r="F1146" i="1"/>
  <c r="D1143" i="1"/>
  <c r="A1140" i="1"/>
  <c r="C1137" i="1"/>
  <c r="E1134" i="1"/>
  <c r="A1132" i="1"/>
  <c r="C1129" i="1"/>
  <c r="E1126" i="1"/>
  <c r="A1124" i="1"/>
  <c r="C1121" i="1"/>
  <c r="E1118" i="1"/>
  <c r="A1116" i="1"/>
  <c r="C1113" i="1"/>
  <c r="E1110" i="1"/>
  <c r="A1108" i="1"/>
  <c r="C1105" i="1"/>
  <c r="E1102" i="1"/>
  <c r="A1100" i="1"/>
  <c r="C1097" i="1"/>
  <c r="E1094" i="1"/>
  <c r="A1092" i="1"/>
  <c r="C1089" i="1"/>
  <c r="E1086" i="1"/>
  <c r="A1084" i="1"/>
  <c r="C1081" i="1"/>
  <c r="E1078" i="1"/>
  <c r="A1076" i="1"/>
  <c r="C1073" i="1"/>
  <c r="E1070" i="1"/>
  <c r="A1068" i="1"/>
  <c r="C1065" i="1"/>
  <c r="E1062" i="1"/>
  <c r="A1060" i="1"/>
  <c r="C1057" i="1"/>
  <c r="E1054" i="1"/>
  <c r="A1052" i="1"/>
  <c r="C1049" i="1"/>
  <c r="E1046" i="1"/>
  <c r="A1044" i="1"/>
  <c r="C1041" i="1"/>
  <c r="E1038" i="1"/>
  <c r="A1036" i="1"/>
  <c r="C1033" i="1"/>
  <c r="E1030" i="1"/>
  <c r="A1028" i="1"/>
  <c r="C1025" i="1"/>
  <c r="E1022" i="1"/>
  <c r="D1020" i="1"/>
  <c r="B1019" i="1"/>
  <c r="F1017" i="1"/>
  <c r="D1016" i="1"/>
  <c r="B1015" i="1"/>
  <c r="F1013" i="1"/>
  <c r="D1012" i="1"/>
  <c r="B1011" i="1"/>
  <c r="F1009" i="1"/>
  <c r="D1008" i="1"/>
  <c r="B1007" i="1"/>
  <c r="F1005" i="1"/>
  <c r="D1004" i="1"/>
  <c r="B1003" i="1"/>
  <c r="F1001" i="1"/>
  <c r="D1000" i="1"/>
  <c r="B999" i="1"/>
  <c r="F997" i="1"/>
  <c r="D996" i="1"/>
  <c r="B995" i="1"/>
  <c r="F993" i="1"/>
  <c r="D992" i="1"/>
  <c r="B991" i="1"/>
  <c r="F989" i="1"/>
  <c r="D988" i="1"/>
  <c r="B987" i="1"/>
  <c r="F985" i="1"/>
  <c r="D984" i="1"/>
  <c r="B983" i="1"/>
  <c r="F981" i="1"/>
  <c r="D980" i="1"/>
  <c r="B979" i="1"/>
  <c r="F977" i="1"/>
  <c r="D976" i="1"/>
  <c r="B975" i="1"/>
  <c r="F973" i="1"/>
  <c r="D972" i="1"/>
  <c r="B971" i="1"/>
  <c r="F969" i="1"/>
  <c r="D968" i="1"/>
  <c r="B967" i="1"/>
  <c r="F965" i="1"/>
  <c r="D964" i="1"/>
  <c r="B963" i="1"/>
  <c r="F961" i="1"/>
  <c r="D960" i="1"/>
  <c r="B959" i="1"/>
  <c r="F957" i="1"/>
  <c r="D956" i="1"/>
  <c r="B955" i="1"/>
  <c r="F953" i="1"/>
  <c r="D952" i="1"/>
  <c r="B951" i="1"/>
  <c r="F949" i="1"/>
  <c r="D948" i="1"/>
  <c r="B947" i="1"/>
  <c r="F945" i="1"/>
  <c r="D944" i="1"/>
  <c r="B943" i="1"/>
  <c r="F941" i="1"/>
  <c r="D940" i="1"/>
  <c r="B939" i="1"/>
  <c r="F937" i="1"/>
  <c r="D936" i="1"/>
  <c r="B935" i="1"/>
  <c r="F933" i="1"/>
  <c r="D932" i="1"/>
  <c r="B931" i="1"/>
  <c r="F929" i="1"/>
  <c r="D928" i="1"/>
  <c r="B927" i="1"/>
  <c r="F925" i="1"/>
  <c r="D924" i="1"/>
  <c r="B923" i="1"/>
  <c r="F921" i="1"/>
  <c r="D920" i="1"/>
  <c r="B919" i="1"/>
  <c r="F917" i="1"/>
  <c r="D916" i="1"/>
  <c r="B915" i="1"/>
  <c r="F913" i="1"/>
  <c r="D912" i="1"/>
  <c r="B911" i="1"/>
  <c r="F909" i="1"/>
  <c r="D908" i="1"/>
  <c r="B907" i="1"/>
  <c r="F905" i="1"/>
  <c r="D904" i="1"/>
  <c r="B903" i="1"/>
  <c r="F901" i="1"/>
  <c r="D900" i="1"/>
  <c r="B899" i="1"/>
  <c r="F897" i="1"/>
  <c r="D896" i="1"/>
  <c r="B895" i="1"/>
  <c r="F893" i="1"/>
  <c r="D892" i="1"/>
  <c r="B891" i="1"/>
  <c r="F889" i="1"/>
  <c r="D888" i="1"/>
  <c r="B887" i="1"/>
  <c r="F885" i="1"/>
  <c r="D884" i="1"/>
  <c r="B883" i="1"/>
  <c r="F881" i="1"/>
  <c r="D880" i="1"/>
  <c r="B879" i="1"/>
  <c r="F877" i="1"/>
  <c r="D876" i="1"/>
  <c r="B875" i="1"/>
  <c r="F873" i="1"/>
  <c r="D872" i="1"/>
  <c r="B871" i="1"/>
  <c r="F869" i="1"/>
  <c r="D868" i="1"/>
  <c r="B867" i="1"/>
  <c r="F865" i="1"/>
  <c r="D864" i="1"/>
  <c r="B863" i="1"/>
  <c r="F861" i="1"/>
  <c r="D860" i="1"/>
  <c r="B859" i="1"/>
  <c r="F857" i="1"/>
  <c r="D856" i="1"/>
  <c r="B855" i="1"/>
  <c r="F853" i="1"/>
  <c r="D852" i="1"/>
  <c r="B851" i="1"/>
  <c r="F849" i="1"/>
  <c r="D848" i="1"/>
  <c r="B847" i="1"/>
  <c r="F845" i="1"/>
  <c r="D844" i="1"/>
  <c r="B843" i="1"/>
  <c r="F841" i="1"/>
  <c r="D840" i="1"/>
  <c r="B839" i="1"/>
  <c r="F837" i="1"/>
  <c r="D836" i="1"/>
  <c r="B835" i="1"/>
  <c r="F833" i="1"/>
  <c r="D832" i="1"/>
  <c r="B831" i="1"/>
  <c r="F829" i="1"/>
  <c r="D828" i="1"/>
  <c r="B827" i="1"/>
  <c r="F825" i="1"/>
  <c r="D824" i="1"/>
  <c r="B823" i="1"/>
  <c r="F821" i="1"/>
  <c r="D820" i="1"/>
  <c r="B819" i="1"/>
  <c r="F817" i="1"/>
  <c r="D816" i="1"/>
  <c r="B815" i="1"/>
  <c r="F813" i="1"/>
  <c r="D812" i="1"/>
  <c r="B811" i="1"/>
  <c r="F809" i="1"/>
  <c r="D808" i="1"/>
  <c r="B807" i="1"/>
  <c r="F805" i="1"/>
  <c r="D804" i="1"/>
  <c r="B803" i="1"/>
  <c r="F801" i="1"/>
  <c r="D800" i="1"/>
  <c r="B799" i="1"/>
  <c r="F797" i="1"/>
  <c r="D796" i="1"/>
  <c r="B795" i="1"/>
  <c r="F793" i="1"/>
  <c r="D792" i="1"/>
  <c r="B791" i="1"/>
  <c r="F789" i="1"/>
  <c r="D788" i="1"/>
  <c r="B787" i="1"/>
  <c r="F785" i="1"/>
  <c r="D784" i="1"/>
  <c r="B783" i="1"/>
  <c r="F781" i="1"/>
  <c r="D780" i="1"/>
  <c r="B779" i="1"/>
  <c r="F777" i="1"/>
  <c r="D776" i="1"/>
  <c r="B775" i="1"/>
  <c r="F773" i="1"/>
  <c r="D772" i="1"/>
  <c r="B771" i="1"/>
  <c r="F769" i="1"/>
  <c r="D768" i="1"/>
  <c r="B767" i="1"/>
  <c r="F765" i="1"/>
  <c r="D764" i="1"/>
  <c r="B763" i="1"/>
  <c r="F761" i="1"/>
  <c r="D760" i="1"/>
  <c r="B759" i="1"/>
  <c r="F757" i="1"/>
  <c r="D756" i="1"/>
  <c r="B755" i="1"/>
  <c r="F753" i="1"/>
  <c r="D752" i="1"/>
  <c r="B751" i="1"/>
  <c r="F749" i="1"/>
  <c r="D748" i="1"/>
  <c r="B747" i="1"/>
  <c r="F745" i="1"/>
  <c r="D744" i="1"/>
  <c r="B743" i="1"/>
  <c r="F741" i="1"/>
  <c r="D740" i="1"/>
  <c r="B739" i="1"/>
  <c r="F737" i="1"/>
  <c r="D736" i="1"/>
  <c r="B735" i="1"/>
  <c r="F733" i="1"/>
  <c r="D732" i="1"/>
  <c r="B731" i="1"/>
  <c r="F729" i="1"/>
  <c r="D728" i="1"/>
  <c r="B727" i="1"/>
  <c r="F725" i="1"/>
  <c r="D724" i="1"/>
  <c r="B723" i="1"/>
  <c r="F721" i="1"/>
  <c r="D720" i="1"/>
  <c r="B719" i="1"/>
  <c r="F717" i="1"/>
  <c r="D716" i="1"/>
  <c r="B715" i="1"/>
  <c r="F713" i="1"/>
  <c r="D712" i="1"/>
  <c r="B711" i="1"/>
  <c r="F709" i="1"/>
  <c r="D708" i="1"/>
  <c r="B707" i="1"/>
  <c r="F705" i="1"/>
  <c r="E1207" i="2"/>
  <c r="A1037" i="2"/>
  <c r="C866" i="2"/>
  <c r="C778" i="2"/>
  <c r="D703" i="2"/>
  <c r="C646" i="2"/>
  <c r="B607" i="2"/>
  <c r="F585" i="2"/>
  <c r="D564" i="2"/>
  <c r="B543" i="2"/>
  <c r="F521" i="2"/>
  <c r="D500" i="2"/>
  <c r="B479" i="2"/>
  <c r="F457" i="2"/>
  <c r="D436" i="2"/>
  <c r="B415" i="2"/>
  <c r="F393" i="2"/>
  <c r="D372" i="2"/>
  <c r="B351" i="2"/>
  <c r="F329" i="2"/>
  <c r="D308" i="2"/>
  <c r="B287" i="2"/>
  <c r="F265" i="2"/>
  <c r="D244" i="2"/>
  <c r="B223" i="2"/>
  <c r="F201" i="2"/>
  <c r="D180" i="2"/>
  <c r="B159" i="2"/>
  <c r="D144" i="2"/>
  <c r="A130" i="2"/>
  <c r="F115" i="2"/>
  <c r="A105" i="2"/>
  <c r="C94" i="2"/>
  <c r="E83" i="2"/>
  <c r="A73" i="2"/>
  <c r="C63" i="2"/>
  <c r="A58" i="2"/>
  <c r="E52" i="2"/>
  <c r="C47" i="2"/>
  <c r="A42" i="2"/>
  <c r="E36" i="2"/>
  <c r="C31" i="2"/>
  <c r="A26" i="2"/>
  <c r="E20" i="2"/>
  <c r="C15" i="2"/>
  <c r="A10" i="2"/>
  <c r="E4" i="2"/>
  <c r="C1449" i="1"/>
  <c r="A1444" i="1"/>
  <c r="E1438" i="1"/>
  <c r="C1433" i="1"/>
  <c r="A1428" i="1"/>
  <c r="E1422" i="1"/>
  <c r="C1417" i="1"/>
  <c r="A1412" i="1"/>
  <c r="E1406" i="1"/>
  <c r="C1401" i="1"/>
  <c r="A1396" i="1"/>
  <c r="E1390" i="1"/>
  <c r="C1385" i="1"/>
  <c r="A1380" i="1"/>
  <c r="E1374" i="1"/>
  <c r="C1369" i="1"/>
  <c r="A1364" i="1"/>
  <c r="E1358" i="1"/>
  <c r="C1353" i="1"/>
  <c r="A1348" i="1"/>
  <c r="E1342" i="1"/>
  <c r="C1337" i="1"/>
  <c r="A1332" i="1"/>
  <c r="E1326" i="1"/>
  <c r="C1321" i="1"/>
  <c r="A1316" i="1"/>
  <c r="E1310" i="1"/>
  <c r="C1305" i="1"/>
  <c r="A1300" i="1"/>
  <c r="E1294" i="1"/>
  <c r="C1289" i="1"/>
  <c r="A1284" i="1"/>
  <c r="E1278" i="1"/>
  <c r="C1273" i="1"/>
  <c r="A1268" i="1"/>
  <c r="E1262" i="1"/>
  <c r="C1257" i="1"/>
  <c r="A1252" i="1"/>
  <c r="E1246" i="1"/>
  <c r="C1241" i="1"/>
  <c r="A1236" i="1"/>
  <c r="E1230" i="1"/>
  <c r="C1225" i="1"/>
  <c r="A1220" i="1"/>
  <c r="E1214" i="1"/>
  <c r="C1209" i="1"/>
  <c r="A1204" i="1"/>
  <c r="A1200" i="1"/>
  <c r="B1196" i="1"/>
  <c r="F1192" i="1"/>
  <c r="C1189" i="1"/>
  <c r="D1185" i="1"/>
  <c r="B1182" i="1"/>
  <c r="E1178" i="1"/>
  <c r="F1174" i="1"/>
  <c r="D1171" i="1"/>
  <c r="A1168" i="1"/>
  <c r="B1164" i="1"/>
  <c r="F1160" i="1"/>
  <c r="C1157" i="1"/>
  <c r="D1153" i="1"/>
  <c r="B1150" i="1"/>
  <c r="E1146" i="1"/>
  <c r="F1142" i="1"/>
  <c r="D1139" i="1"/>
  <c r="F1136" i="1"/>
  <c r="B1134" i="1"/>
  <c r="D1131" i="1"/>
  <c r="F1128" i="1"/>
  <c r="B1126" i="1"/>
  <c r="D1123" i="1"/>
  <c r="F1120" i="1"/>
  <c r="B1118" i="1"/>
  <c r="D1115" i="1"/>
  <c r="F1112" i="1"/>
  <c r="B1110" i="1"/>
  <c r="D1107" i="1"/>
  <c r="F1104" i="1"/>
  <c r="B1102" i="1"/>
  <c r="D1099" i="1"/>
  <c r="F1096" i="1"/>
  <c r="B1094" i="1"/>
  <c r="D1091" i="1"/>
  <c r="F1088" i="1"/>
  <c r="B1086" i="1"/>
  <c r="D1083" i="1"/>
  <c r="F1080" i="1"/>
  <c r="B1078" i="1"/>
  <c r="D1075" i="1"/>
  <c r="F1072" i="1"/>
  <c r="B1070" i="1"/>
  <c r="D1067" i="1"/>
  <c r="F1064" i="1"/>
  <c r="B1062" i="1"/>
  <c r="D1059" i="1"/>
  <c r="F1056" i="1"/>
  <c r="B1054" i="1"/>
  <c r="D1051" i="1"/>
  <c r="F1048" i="1"/>
  <c r="B1046" i="1"/>
  <c r="D1043" i="1"/>
  <c r="F1040" i="1"/>
  <c r="B1038" i="1"/>
  <c r="D1035" i="1"/>
  <c r="F1032" i="1"/>
  <c r="B1030" i="1"/>
  <c r="D1027" i="1"/>
  <c r="F1024" i="1"/>
  <c r="B1022" i="1"/>
  <c r="C1020" i="1"/>
  <c r="A1019" i="1"/>
  <c r="E1017" i="1"/>
  <c r="C1016" i="1"/>
  <c r="A1015" i="1"/>
  <c r="E1013" i="1"/>
  <c r="C1012" i="1"/>
  <c r="A1011" i="1"/>
  <c r="E1009" i="1"/>
  <c r="C1008" i="1"/>
  <c r="A1007" i="1"/>
  <c r="E1005" i="1"/>
  <c r="C1004" i="1"/>
  <c r="A1003" i="1"/>
  <c r="E1001" i="1"/>
  <c r="C1000" i="1"/>
  <c r="A999" i="1"/>
  <c r="E997" i="1"/>
  <c r="C996" i="1"/>
  <c r="A995" i="1"/>
  <c r="E993" i="1"/>
  <c r="C992" i="1"/>
  <c r="A991" i="1"/>
  <c r="E989" i="1"/>
  <c r="C988" i="1"/>
  <c r="A987" i="1"/>
  <c r="E985" i="1"/>
  <c r="C984" i="1"/>
  <c r="A983" i="1"/>
  <c r="E981" i="1"/>
  <c r="C980" i="1"/>
  <c r="A979" i="1"/>
  <c r="E977" i="1"/>
  <c r="C976" i="1"/>
  <c r="A975" i="1"/>
  <c r="E973" i="1"/>
  <c r="C972" i="1"/>
  <c r="A971" i="1"/>
  <c r="E969" i="1"/>
  <c r="C968" i="1"/>
  <c r="A967" i="1"/>
  <c r="E965" i="1"/>
  <c r="C964" i="1"/>
  <c r="A963" i="1"/>
  <c r="E961" i="1"/>
  <c r="C960" i="1"/>
  <c r="A959" i="1"/>
  <c r="E957" i="1"/>
  <c r="C956" i="1"/>
  <c r="A955" i="1"/>
  <c r="E953" i="1"/>
  <c r="C952" i="1"/>
  <c r="A951" i="1"/>
  <c r="E949" i="1"/>
  <c r="C948" i="1"/>
  <c r="A947" i="1"/>
  <c r="E945" i="1"/>
  <c r="C944" i="1"/>
  <c r="A943" i="1"/>
  <c r="E941" i="1"/>
  <c r="C940" i="1"/>
  <c r="A939" i="1"/>
  <c r="E937" i="1"/>
  <c r="C936" i="1"/>
  <c r="A935" i="1"/>
  <c r="E933" i="1"/>
  <c r="C932" i="1"/>
  <c r="A931" i="1"/>
  <c r="E929" i="1"/>
  <c r="C928" i="1"/>
  <c r="A927" i="1"/>
  <c r="E925" i="1"/>
  <c r="C924" i="1"/>
  <c r="A923" i="1"/>
  <c r="E921" i="1"/>
  <c r="C920" i="1"/>
  <c r="A919" i="1"/>
  <c r="E917" i="1"/>
  <c r="C916" i="1"/>
  <c r="A915" i="1"/>
  <c r="E913" i="1"/>
  <c r="C912" i="1"/>
  <c r="A911" i="1"/>
  <c r="E909" i="1"/>
  <c r="C908" i="1"/>
  <c r="A907" i="1"/>
  <c r="E905" i="1"/>
  <c r="C904" i="1"/>
  <c r="A903" i="1"/>
  <c r="E901" i="1"/>
  <c r="C900" i="1"/>
  <c r="A899" i="1"/>
  <c r="E897" i="1"/>
  <c r="C896" i="1"/>
  <c r="A895" i="1"/>
  <c r="E893" i="1"/>
  <c r="C892" i="1"/>
  <c r="A891" i="1"/>
  <c r="E889" i="1"/>
  <c r="C888" i="1"/>
  <c r="A887" i="1"/>
  <c r="E885" i="1"/>
  <c r="C884" i="1"/>
  <c r="A883" i="1"/>
  <c r="E881" i="1"/>
  <c r="C880" i="1"/>
  <c r="A879" i="1"/>
  <c r="E877" i="1"/>
  <c r="C876" i="1"/>
  <c r="A875" i="1"/>
  <c r="E873" i="1"/>
  <c r="C872" i="1"/>
  <c r="A871" i="1"/>
  <c r="E869" i="1"/>
  <c r="C868" i="1"/>
  <c r="A867" i="1"/>
  <c r="E865" i="1"/>
  <c r="C864" i="1"/>
  <c r="A863" i="1"/>
  <c r="E861" i="1"/>
  <c r="C860" i="1"/>
  <c r="A859" i="1"/>
  <c r="E857" i="1"/>
  <c r="C856" i="1"/>
  <c r="A855" i="1"/>
  <c r="E853" i="1"/>
  <c r="C852" i="1"/>
  <c r="A851" i="1"/>
  <c r="E849" i="1"/>
  <c r="C848" i="1"/>
  <c r="A847" i="1"/>
  <c r="E845" i="1"/>
  <c r="C844" i="1"/>
  <c r="A843" i="1"/>
  <c r="E841" i="1"/>
  <c r="C840" i="1"/>
  <c r="A839" i="1"/>
  <c r="E837" i="1"/>
  <c r="C836" i="1"/>
  <c r="A835" i="1"/>
  <c r="E833" i="1"/>
  <c r="C832" i="1"/>
  <c r="A831" i="1"/>
  <c r="E829" i="1"/>
  <c r="C828" i="1"/>
  <c r="A827" i="1"/>
  <c r="E825" i="1"/>
  <c r="C824" i="1"/>
  <c r="A823" i="1"/>
  <c r="E821" i="1"/>
  <c r="C820" i="1"/>
  <c r="A819" i="1"/>
  <c r="E817" i="1"/>
  <c r="C816" i="1"/>
  <c r="A815" i="1"/>
  <c r="E813" i="1"/>
  <c r="C812" i="1"/>
  <c r="A811" i="1"/>
  <c r="E809" i="1"/>
  <c r="C808" i="1"/>
  <c r="A807" i="1"/>
  <c r="E805" i="1"/>
  <c r="C804" i="1"/>
  <c r="A803" i="1"/>
  <c r="E801" i="1"/>
  <c r="C800" i="1"/>
  <c r="A799" i="1"/>
  <c r="E797" i="1"/>
  <c r="C796" i="1"/>
  <c r="A795" i="1"/>
  <c r="E793" i="1"/>
  <c r="C792" i="1"/>
  <c r="A791" i="1"/>
  <c r="E789" i="1"/>
  <c r="C788" i="1"/>
  <c r="A787" i="1"/>
  <c r="E785" i="1"/>
  <c r="C784" i="1"/>
  <c r="A783" i="1"/>
  <c r="E781" i="1"/>
  <c r="C780" i="1"/>
  <c r="A779" i="1"/>
  <c r="E777" i="1"/>
  <c r="C776" i="1"/>
  <c r="A775" i="1"/>
  <c r="E773" i="1"/>
  <c r="C772" i="1"/>
  <c r="A771" i="1"/>
  <c r="E769" i="1"/>
  <c r="C768" i="1"/>
  <c r="A767" i="1"/>
  <c r="E765" i="1"/>
  <c r="C764" i="1"/>
  <c r="A763" i="1"/>
  <c r="E761" i="1"/>
  <c r="C760" i="1"/>
  <c r="A759" i="1"/>
  <c r="E757" i="1"/>
  <c r="C756" i="1"/>
  <c r="A755" i="1"/>
  <c r="E753" i="1"/>
  <c r="C752" i="1"/>
  <c r="A751" i="1"/>
  <c r="E749" i="1"/>
  <c r="C748" i="1"/>
  <c r="A747" i="1"/>
  <c r="E745" i="1"/>
  <c r="C744" i="1"/>
  <c r="A743" i="1"/>
  <c r="E741" i="1"/>
  <c r="C740" i="1"/>
  <c r="A739" i="1"/>
  <c r="E737" i="1"/>
  <c r="C736" i="1"/>
  <c r="A735" i="1"/>
  <c r="E733" i="1"/>
  <c r="C732" i="1"/>
  <c r="A731" i="1"/>
  <c r="E729" i="1"/>
  <c r="C728" i="1"/>
  <c r="A727" i="1"/>
  <c r="E725" i="1"/>
  <c r="C724" i="1"/>
  <c r="A723" i="1"/>
  <c r="E721" i="1"/>
  <c r="C720" i="1"/>
  <c r="A719" i="1"/>
  <c r="E717" i="1"/>
  <c r="C716" i="1"/>
  <c r="A715" i="1"/>
  <c r="E713" i="1"/>
  <c r="C712" i="1"/>
  <c r="A711" i="1"/>
  <c r="E709" i="1"/>
  <c r="C708" i="1"/>
  <c r="A707" i="1"/>
  <c r="E705" i="1"/>
  <c r="C704" i="1"/>
  <c r="A703" i="1"/>
  <c r="E701" i="1"/>
  <c r="C700" i="1"/>
  <c r="A699" i="1"/>
  <c r="E697" i="1"/>
  <c r="C696" i="1"/>
  <c r="A695" i="1"/>
  <c r="E693" i="1"/>
  <c r="C692" i="1"/>
  <c r="A691" i="1"/>
  <c r="E689" i="1"/>
  <c r="C688" i="1"/>
  <c r="A687" i="1"/>
  <c r="E685" i="1"/>
  <c r="C684" i="1"/>
  <c r="A683" i="1"/>
  <c r="E681" i="1"/>
  <c r="C680" i="1"/>
  <c r="A679" i="1"/>
  <c r="E677" i="1"/>
  <c r="C676" i="1"/>
  <c r="A675" i="1"/>
  <c r="E673" i="1"/>
  <c r="C672" i="1"/>
  <c r="A671" i="1"/>
  <c r="E669" i="1"/>
  <c r="C668" i="1"/>
  <c r="A667" i="1"/>
  <c r="E665" i="1"/>
  <c r="C664" i="1"/>
  <c r="A663" i="1"/>
  <c r="C1166" i="2"/>
  <c r="E995" i="2"/>
  <c r="D842" i="2"/>
  <c r="B757" i="2"/>
  <c r="B689" i="2"/>
  <c r="F635" i="2"/>
  <c r="A602" i="2"/>
  <c r="E580" i="2"/>
  <c r="C559" i="2"/>
  <c r="A538" i="2"/>
  <c r="E516" i="2"/>
  <c r="C495" i="2"/>
  <c r="A474" i="2"/>
  <c r="E452" i="2"/>
  <c r="C431" i="2"/>
  <c r="A410" i="2"/>
  <c r="E388" i="2"/>
  <c r="C367" i="2"/>
  <c r="A346" i="2"/>
  <c r="E324" i="2"/>
  <c r="C303" i="2"/>
  <c r="A282" i="2"/>
  <c r="E260" i="2"/>
  <c r="C239" i="2"/>
  <c r="A218" i="2"/>
  <c r="E196" i="2"/>
  <c r="C175" i="2"/>
  <c r="C155" i="2"/>
  <c r="B141" i="2"/>
  <c r="B127" i="2"/>
  <c r="B113" i="2"/>
  <c r="D102" i="2"/>
  <c r="F91" i="2"/>
  <c r="B81" i="2"/>
  <c r="D70" i="2"/>
  <c r="B62" i="2"/>
  <c r="F56" i="2"/>
  <c r="D51" i="2"/>
  <c r="B46" i="2"/>
  <c r="F40" i="2"/>
  <c r="D35" i="2"/>
  <c r="B30" i="2"/>
  <c r="F24" i="2"/>
  <c r="D19" i="2"/>
  <c r="B14" i="2"/>
  <c r="F8" i="2"/>
  <c r="D3" i="2"/>
  <c r="B1448" i="1"/>
  <c r="F1442" i="1"/>
  <c r="D1437" i="1"/>
  <c r="B1432" i="1"/>
  <c r="F1426" i="1"/>
  <c r="D1421" i="1"/>
  <c r="B1416" i="1"/>
  <c r="F1410" i="1"/>
  <c r="D1405" i="1"/>
  <c r="B1400" i="1"/>
  <c r="F1394" i="1"/>
  <c r="D1389" i="1"/>
  <c r="B1384" i="1"/>
  <c r="F1378" i="1"/>
  <c r="D1373" i="1"/>
  <c r="B1368" i="1"/>
  <c r="F1362" i="1"/>
  <c r="D1357" i="1"/>
  <c r="B1352" i="1"/>
  <c r="F1346" i="1"/>
  <c r="D1341" i="1"/>
  <c r="B1336" i="1"/>
  <c r="F1330" i="1"/>
  <c r="D1325" i="1"/>
  <c r="B1320" i="1"/>
  <c r="F1314" i="1"/>
  <c r="D1309" i="1"/>
  <c r="B1304" i="1"/>
  <c r="F1298" i="1"/>
  <c r="D1293" i="1"/>
  <c r="B1288" i="1"/>
  <c r="F1282" i="1"/>
  <c r="D1277" i="1"/>
  <c r="B1272" i="1"/>
  <c r="F1266" i="1"/>
  <c r="D1261" i="1"/>
  <c r="B1256" i="1"/>
  <c r="F1250" i="1"/>
  <c r="D1245" i="1"/>
  <c r="B1240" i="1"/>
  <c r="F1234" i="1"/>
  <c r="D1229" i="1"/>
  <c r="B1224" i="1"/>
  <c r="F1218" i="1"/>
  <c r="D1213" i="1"/>
  <c r="B1208" i="1"/>
  <c r="F1202" i="1"/>
  <c r="D1199" i="1"/>
  <c r="A1196" i="1"/>
  <c r="B1192" i="1"/>
  <c r="F1188" i="1"/>
  <c r="C1185" i="1"/>
  <c r="D1181" i="1"/>
  <c r="B1178" i="1"/>
  <c r="E1174" i="1"/>
  <c r="F1170" i="1"/>
  <c r="D1167" i="1"/>
  <c r="A1164" i="1"/>
  <c r="B1160" i="1"/>
  <c r="F1156" i="1"/>
  <c r="C1153" i="1"/>
  <c r="D1149" i="1"/>
  <c r="B1146" i="1"/>
  <c r="E1142" i="1"/>
  <c r="C1139" i="1"/>
  <c r="E1136" i="1"/>
  <c r="A1134" i="1"/>
  <c r="C1131" i="1"/>
  <c r="E1128" i="1"/>
  <c r="A1126" i="1"/>
  <c r="C1123" i="1"/>
  <c r="E1120" i="1"/>
  <c r="A1118" i="1"/>
  <c r="C1115" i="1"/>
  <c r="E1112" i="1"/>
  <c r="A1110" i="1"/>
  <c r="C1107" i="1"/>
  <c r="E1104" i="1"/>
  <c r="A1102" i="1"/>
  <c r="C1099" i="1"/>
  <c r="E1096" i="1"/>
  <c r="A1094" i="1"/>
  <c r="C1091" i="1"/>
  <c r="E1088" i="1"/>
  <c r="A1086" i="1"/>
  <c r="C1083" i="1"/>
  <c r="E1080" i="1"/>
  <c r="A1078" i="1"/>
  <c r="C1075" i="1"/>
  <c r="E1072" i="1"/>
  <c r="A1070" i="1"/>
  <c r="C1067" i="1"/>
  <c r="E1064" i="1"/>
  <c r="A1062" i="1"/>
  <c r="C1059" i="1"/>
  <c r="E1056" i="1"/>
  <c r="A1054" i="1"/>
  <c r="C1051" i="1"/>
  <c r="E1048" i="1"/>
  <c r="A1046" i="1"/>
  <c r="C1043" i="1"/>
  <c r="E1040" i="1"/>
  <c r="A1038" i="1"/>
  <c r="C1035" i="1"/>
  <c r="E1032" i="1"/>
  <c r="A1030" i="1"/>
  <c r="C1027" i="1"/>
  <c r="E1024" i="1"/>
  <c r="A1022" i="1"/>
  <c r="B1020" i="1"/>
  <c r="F1018" i="1"/>
  <c r="D1017" i="1"/>
  <c r="B1016" i="1"/>
  <c r="F1014" i="1"/>
  <c r="D1013" i="1"/>
  <c r="B1012" i="1"/>
  <c r="F1010" i="1"/>
  <c r="D1009" i="1"/>
  <c r="B1008" i="1"/>
  <c r="F1006" i="1"/>
  <c r="D1005" i="1"/>
  <c r="B1004" i="1"/>
  <c r="F1002" i="1"/>
  <c r="D1001" i="1"/>
  <c r="B1000" i="1"/>
  <c r="F998" i="1"/>
  <c r="D997" i="1"/>
  <c r="B996" i="1"/>
  <c r="F994" i="1"/>
  <c r="D993" i="1"/>
  <c r="B992" i="1"/>
  <c r="F990" i="1"/>
  <c r="D989" i="1"/>
  <c r="B988" i="1"/>
  <c r="F986" i="1"/>
  <c r="D985" i="1"/>
  <c r="B984" i="1"/>
  <c r="F982" i="1"/>
  <c r="D981" i="1"/>
  <c r="B980" i="1"/>
  <c r="F978" i="1"/>
  <c r="D977" i="1"/>
  <c r="B976" i="1"/>
  <c r="F974" i="1"/>
  <c r="D973" i="1"/>
  <c r="B972" i="1"/>
  <c r="F970" i="1"/>
  <c r="D969" i="1"/>
  <c r="B968" i="1"/>
  <c r="F966" i="1"/>
  <c r="D965" i="1"/>
  <c r="B964" i="1"/>
  <c r="F962" i="1"/>
  <c r="D961" i="1"/>
  <c r="B960" i="1"/>
  <c r="F958" i="1"/>
  <c r="D957" i="1"/>
  <c r="B956" i="1"/>
  <c r="F954" i="1"/>
  <c r="D953" i="1"/>
  <c r="B952" i="1"/>
  <c r="F950" i="1"/>
  <c r="D949" i="1"/>
  <c r="B948" i="1"/>
  <c r="F946" i="1"/>
  <c r="D945" i="1"/>
  <c r="B944" i="1"/>
  <c r="F942" i="1"/>
  <c r="D941" i="1"/>
  <c r="B940" i="1"/>
  <c r="F938" i="1"/>
  <c r="D937" i="1"/>
  <c r="B936" i="1"/>
  <c r="F934" i="1"/>
  <c r="D933" i="1"/>
  <c r="B932" i="1"/>
  <c r="F930" i="1"/>
  <c r="D929" i="1"/>
  <c r="B928" i="1"/>
  <c r="F926" i="1"/>
  <c r="D925" i="1"/>
  <c r="B924" i="1"/>
  <c r="F922" i="1"/>
  <c r="D921" i="1"/>
  <c r="B920" i="1"/>
  <c r="F918" i="1"/>
  <c r="D917" i="1"/>
  <c r="B916" i="1"/>
  <c r="F914" i="1"/>
  <c r="D913" i="1"/>
  <c r="B912" i="1"/>
  <c r="F910" i="1"/>
  <c r="D909" i="1"/>
  <c r="B908" i="1"/>
  <c r="F906" i="1"/>
  <c r="D905" i="1"/>
  <c r="B904" i="1"/>
  <c r="F902" i="1"/>
  <c r="D901" i="1"/>
  <c r="B900" i="1"/>
  <c r="F898" i="1"/>
  <c r="D897" i="1"/>
  <c r="B896" i="1"/>
  <c r="F894" i="1"/>
  <c r="D893" i="1"/>
  <c r="B892" i="1"/>
  <c r="F890" i="1"/>
  <c r="D889" i="1"/>
  <c r="B888" i="1"/>
  <c r="F886" i="1"/>
  <c r="D885" i="1"/>
  <c r="B884" i="1"/>
  <c r="F882" i="1"/>
  <c r="D881" i="1"/>
  <c r="B880" i="1"/>
  <c r="F878" i="1"/>
  <c r="D877" i="1"/>
  <c r="B876" i="1"/>
  <c r="F874" i="1"/>
  <c r="D873" i="1"/>
  <c r="B872" i="1"/>
  <c r="F870" i="1"/>
  <c r="D869" i="1"/>
  <c r="B868" i="1"/>
  <c r="F866" i="1"/>
  <c r="D865" i="1"/>
  <c r="B864" i="1"/>
  <c r="F862" i="1"/>
  <c r="D861" i="1"/>
  <c r="B860" i="1"/>
  <c r="F858" i="1"/>
  <c r="D857" i="1"/>
  <c r="B856" i="1"/>
  <c r="F854" i="1"/>
  <c r="D853" i="1"/>
  <c r="B852" i="1"/>
  <c r="F850" i="1"/>
  <c r="D849" i="1"/>
  <c r="B848" i="1"/>
  <c r="F846" i="1"/>
  <c r="D845" i="1"/>
  <c r="B844" i="1"/>
  <c r="F842" i="1"/>
  <c r="D841" i="1"/>
  <c r="B840" i="1"/>
  <c r="F838" i="1"/>
  <c r="D837" i="1"/>
  <c r="B836" i="1"/>
  <c r="F834" i="1"/>
  <c r="D833" i="1"/>
  <c r="B832" i="1"/>
  <c r="F830" i="1"/>
  <c r="D829" i="1"/>
  <c r="B828" i="1"/>
  <c r="F826" i="1"/>
  <c r="D825" i="1"/>
  <c r="B824" i="1"/>
  <c r="F822" i="1"/>
  <c r="D821" i="1"/>
  <c r="B820" i="1"/>
  <c r="F818" i="1"/>
  <c r="D817" i="1"/>
  <c r="B816" i="1"/>
  <c r="F814" i="1"/>
  <c r="D813" i="1"/>
  <c r="B812" i="1"/>
  <c r="F810" i="1"/>
  <c r="D809" i="1"/>
  <c r="B808" i="1"/>
  <c r="F806" i="1"/>
  <c r="D805" i="1"/>
  <c r="B804" i="1"/>
  <c r="F802" i="1"/>
  <c r="D801" i="1"/>
  <c r="B800" i="1"/>
  <c r="F798" i="1"/>
  <c r="D797" i="1"/>
  <c r="B796" i="1"/>
  <c r="F794" i="1"/>
  <c r="D793" i="1"/>
  <c r="B792" i="1"/>
  <c r="F790" i="1"/>
  <c r="D789" i="1"/>
  <c r="B788" i="1"/>
  <c r="F786" i="1"/>
  <c r="D785" i="1"/>
  <c r="B784" i="1"/>
  <c r="F782" i="1"/>
  <c r="D781" i="1"/>
  <c r="B780" i="1"/>
  <c r="F778" i="1"/>
  <c r="D777" i="1"/>
  <c r="B776" i="1"/>
  <c r="F774" i="1"/>
  <c r="D773" i="1"/>
  <c r="B772" i="1"/>
  <c r="F770" i="1"/>
  <c r="D769" i="1"/>
  <c r="B768" i="1"/>
  <c r="F766" i="1"/>
  <c r="D765" i="1"/>
  <c r="B764" i="1"/>
  <c r="F762" i="1"/>
  <c r="D761" i="1"/>
  <c r="B760" i="1"/>
  <c r="F758" i="1"/>
  <c r="D757" i="1"/>
  <c r="B756" i="1"/>
  <c r="F754" i="1"/>
  <c r="D753" i="1"/>
  <c r="B752" i="1"/>
  <c r="F750" i="1"/>
  <c r="D749" i="1"/>
  <c r="B748" i="1"/>
  <c r="F746" i="1"/>
  <c r="D745" i="1"/>
  <c r="B744" i="1"/>
  <c r="F742" i="1"/>
  <c r="D741" i="1"/>
  <c r="B740" i="1"/>
  <c r="F738" i="1"/>
  <c r="D737" i="1"/>
  <c r="B736" i="1"/>
  <c r="F734" i="1"/>
  <c r="D733" i="1"/>
  <c r="B732" i="1"/>
  <c r="F730" i="1"/>
  <c r="D729" i="1"/>
  <c r="B728" i="1"/>
  <c r="F726" i="1"/>
  <c r="D725" i="1"/>
  <c r="B724" i="1"/>
  <c r="F722" i="1"/>
  <c r="D721" i="1"/>
  <c r="B720" i="1"/>
  <c r="F718" i="1"/>
  <c r="D717" i="1"/>
  <c r="B716" i="1"/>
  <c r="F714" i="1"/>
  <c r="D713" i="1"/>
  <c r="B712" i="1"/>
  <c r="F710" i="1"/>
  <c r="D709" i="1"/>
  <c r="B708" i="1"/>
  <c r="F706" i="1"/>
  <c r="D705" i="1"/>
  <c r="B704" i="1"/>
  <c r="F702" i="1"/>
  <c r="D701" i="1"/>
  <c r="B700" i="1"/>
  <c r="F698" i="1"/>
  <c r="D697" i="1"/>
  <c r="B696" i="1"/>
  <c r="F694" i="1"/>
  <c r="D693" i="1"/>
  <c r="B692" i="1"/>
  <c r="F690" i="1"/>
  <c r="D689" i="1"/>
  <c r="B688" i="1"/>
  <c r="F686" i="1"/>
  <c r="D685" i="1"/>
  <c r="B684" i="1"/>
  <c r="F682" i="1"/>
  <c r="D681" i="1"/>
  <c r="B680" i="1"/>
  <c r="F678" i="1"/>
  <c r="D677" i="1"/>
  <c r="B676" i="1"/>
  <c r="F674" i="1"/>
  <c r="D673" i="1"/>
  <c r="B672" i="1"/>
  <c r="F670" i="1"/>
  <c r="D669" i="1"/>
  <c r="B668" i="1"/>
  <c r="F666" i="1"/>
  <c r="D665" i="1"/>
  <c r="B664" i="1"/>
  <c r="F662" i="1"/>
  <c r="D661" i="1"/>
  <c r="B660" i="1"/>
  <c r="F658" i="1"/>
  <c r="D657" i="1"/>
  <c r="B656" i="1"/>
  <c r="F654" i="1"/>
  <c r="D653" i="1"/>
  <c r="B652" i="1"/>
  <c r="F650" i="1"/>
  <c r="D649" i="1"/>
  <c r="B648" i="1"/>
  <c r="F646" i="1"/>
  <c r="D645" i="1"/>
  <c r="B644" i="1"/>
  <c r="F642" i="1"/>
  <c r="D641" i="1"/>
  <c r="B640" i="1"/>
  <c r="F638" i="1"/>
  <c r="D637" i="1"/>
  <c r="B636" i="1"/>
  <c r="F634" i="1"/>
  <c r="D633" i="1"/>
  <c r="B632" i="1"/>
  <c r="F630" i="1"/>
  <c r="D629" i="1"/>
  <c r="B628" i="1"/>
  <c r="F626" i="1"/>
  <c r="D625" i="1"/>
  <c r="B624" i="1"/>
  <c r="F622" i="1"/>
  <c r="D621" i="1"/>
  <c r="B620" i="1"/>
  <c r="F618" i="1"/>
  <c r="D617" i="1"/>
  <c r="B616" i="1"/>
  <c r="F614" i="1"/>
  <c r="D613" i="1"/>
  <c r="B612" i="1"/>
  <c r="F610" i="1"/>
  <c r="D609" i="1"/>
  <c r="B608" i="1"/>
  <c r="F606" i="1"/>
  <c r="D605" i="1"/>
  <c r="B604" i="1"/>
  <c r="F602" i="1"/>
  <c r="D601" i="1"/>
  <c r="B600" i="1"/>
  <c r="F598" i="1"/>
  <c r="D597" i="1"/>
  <c r="B596" i="1"/>
  <c r="F594" i="1"/>
  <c r="D593" i="1"/>
  <c r="B592" i="1"/>
  <c r="F590" i="1"/>
  <c r="D589" i="1"/>
  <c r="B588" i="1"/>
  <c r="F586" i="1"/>
  <c r="D585" i="1"/>
  <c r="B584" i="1"/>
  <c r="F582" i="1"/>
  <c r="D581" i="1"/>
  <c r="B580" i="1"/>
  <c r="F578" i="1"/>
  <c r="D577" i="1"/>
  <c r="B576" i="1"/>
  <c r="F574" i="1"/>
  <c r="D573" i="1"/>
  <c r="B572" i="1"/>
  <c r="F570" i="1"/>
  <c r="D569" i="1"/>
  <c r="B568" i="1"/>
  <c r="F566" i="1"/>
  <c r="D565" i="1"/>
  <c r="B564" i="1"/>
  <c r="F562" i="1"/>
  <c r="D561" i="1"/>
  <c r="B560" i="1"/>
  <c r="F558" i="1"/>
  <c r="D557" i="1"/>
  <c r="B556" i="1"/>
  <c r="F554" i="1"/>
  <c r="D553" i="1"/>
  <c r="B552" i="1"/>
  <c r="F550" i="1"/>
  <c r="D549" i="1"/>
  <c r="B548" i="1"/>
  <c r="F546" i="1"/>
  <c r="A1165" i="2"/>
  <c r="C994" i="2"/>
  <c r="C842" i="2"/>
  <c r="A757" i="2"/>
  <c r="A689" i="2"/>
  <c r="E635" i="2"/>
  <c r="C1122" i="2"/>
  <c r="E951" i="2"/>
  <c r="A821" i="2"/>
  <c r="E735" i="2"/>
  <c r="D674" i="2"/>
  <c r="A625" i="2"/>
  <c r="D596" i="2"/>
  <c r="B575" i="2"/>
  <c r="F553" i="2"/>
  <c r="D532" i="2"/>
  <c r="B511" i="2"/>
  <c r="F489" i="2"/>
  <c r="D468" i="2"/>
  <c r="B447" i="2"/>
  <c r="F425" i="2"/>
  <c r="D404" i="2"/>
  <c r="B383" i="2"/>
  <c r="F361" i="2"/>
  <c r="D340" i="2"/>
  <c r="B319" i="2"/>
  <c r="F297" i="2"/>
  <c r="D276" i="2"/>
  <c r="B255" i="2"/>
  <c r="F233" i="2"/>
  <c r="D212" i="2"/>
  <c r="B191" i="2"/>
  <c r="F169" i="2"/>
  <c r="C151" i="2"/>
  <c r="B137" i="2"/>
  <c r="B123" i="2"/>
  <c r="C110" i="2"/>
  <c r="E99" i="2"/>
  <c r="A89" i="2"/>
  <c r="C78" i="2"/>
  <c r="E67" i="2"/>
  <c r="E60" i="2"/>
  <c r="C55" i="2"/>
  <c r="A50" i="2"/>
  <c r="E44" i="2"/>
  <c r="C39" i="2"/>
  <c r="A34" i="2"/>
  <c r="E28" i="2"/>
  <c r="C23" i="2"/>
  <c r="A18" i="2"/>
  <c r="E12" i="2"/>
  <c r="C7" i="2"/>
  <c r="A2" i="2"/>
  <c r="E1446" i="1"/>
  <c r="C1441" i="1"/>
  <c r="A1436" i="1"/>
  <c r="E1430" i="1"/>
  <c r="C1425" i="1"/>
  <c r="A1420" i="1"/>
  <c r="E1414" i="1"/>
  <c r="C1409" i="1"/>
  <c r="A1404" i="1"/>
  <c r="E1398" i="1"/>
  <c r="C1393" i="1"/>
  <c r="A1388" i="1"/>
  <c r="E1382" i="1"/>
  <c r="C1377" i="1"/>
  <c r="A1372" i="1"/>
  <c r="E1366" i="1"/>
  <c r="C1361" i="1"/>
  <c r="A1356" i="1"/>
  <c r="E1350" i="1"/>
  <c r="C1345" i="1"/>
  <c r="A1340" i="1"/>
  <c r="E1334" i="1"/>
  <c r="C1329" i="1"/>
  <c r="A1324" i="1"/>
  <c r="E1318" i="1"/>
  <c r="C1313" i="1"/>
  <c r="A1308" i="1"/>
  <c r="E1302" i="1"/>
  <c r="C1297" i="1"/>
  <c r="A1292" i="1"/>
  <c r="E1286" i="1"/>
  <c r="C1281" i="1"/>
  <c r="A1276" i="1"/>
  <c r="E1270" i="1"/>
  <c r="C1265" i="1"/>
  <c r="A1260" i="1"/>
  <c r="E1254" i="1"/>
  <c r="C1249" i="1"/>
  <c r="A1244" i="1"/>
  <c r="E1238" i="1"/>
  <c r="C1233" i="1"/>
  <c r="A1228" i="1"/>
  <c r="E1222" i="1"/>
  <c r="C1217" i="1"/>
  <c r="A1212" i="1"/>
  <c r="E1206" i="1"/>
  <c r="D1201" i="1"/>
  <c r="B1198" i="1"/>
  <c r="E1194" i="1"/>
  <c r="F1190" i="1"/>
  <c r="D1187" i="1"/>
  <c r="A1184" i="1"/>
  <c r="B1180" i="1"/>
  <c r="F1176" i="1"/>
  <c r="C1173" i="1"/>
  <c r="D1169" i="1"/>
  <c r="B1166" i="1"/>
  <c r="E1162" i="1"/>
  <c r="F1158" i="1"/>
  <c r="D1155" i="1"/>
  <c r="A1152" i="1"/>
  <c r="B1148" i="1"/>
  <c r="F1144" i="1"/>
  <c r="C1141" i="1"/>
  <c r="B1138" i="1"/>
  <c r="D1135" i="1"/>
  <c r="F1132" i="1"/>
  <c r="B1130" i="1"/>
  <c r="D1127" i="1"/>
  <c r="F1124" i="1"/>
  <c r="B1122" i="1"/>
  <c r="D1119" i="1"/>
  <c r="F1116" i="1"/>
  <c r="B1114" i="1"/>
  <c r="D1111" i="1"/>
  <c r="F1108" i="1"/>
  <c r="B1106" i="1"/>
  <c r="D1103" i="1"/>
  <c r="F1100" i="1"/>
  <c r="B1098" i="1"/>
  <c r="D1095" i="1"/>
  <c r="F1092" i="1"/>
  <c r="B1090" i="1"/>
  <c r="D1087" i="1"/>
  <c r="F1084" i="1"/>
  <c r="B1082" i="1"/>
  <c r="D1079" i="1"/>
  <c r="F1076" i="1"/>
  <c r="B1074" i="1"/>
  <c r="D1071" i="1"/>
  <c r="F1068" i="1"/>
  <c r="B1066" i="1"/>
  <c r="D1063" i="1"/>
  <c r="F1060" i="1"/>
  <c r="B1058" i="1"/>
  <c r="D1055" i="1"/>
  <c r="F1052" i="1"/>
  <c r="B1050" i="1"/>
  <c r="D1047" i="1"/>
  <c r="F1044" i="1"/>
  <c r="B1042" i="1"/>
  <c r="D1039" i="1"/>
  <c r="F1036" i="1"/>
  <c r="B1034" i="1"/>
  <c r="D1031" i="1"/>
  <c r="F1028" i="1"/>
  <c r="B1026" i="1"/>
  <c r="D1023" i="1"/>
  <c r="A1021" i="1"/>
  <c r="E1019" i="1"/>
  <c r="C1018" i="1"/>
  <c r="A1017" i="1"/>
  <c r="E1015" i="1"/>
  <c r="C1014" i="1"/>
  <c r="A1013" i="1"/>
  <c r="E1011" i="1"/>
  <c r="C1010" i="1"/>
  <c r="A1009" i="1"/>
  <c r="E1007" i="1"/>
  <c r="C1006" i="1"/>
  <c r="A1005" i="1"/>
  <c r="E1003" i="1"/>
  <c r="C1002" i="1"/>
  <c r="A1001" i="1"/>
  <c r="E999" i="1"/>
  <c r="C998" i="1"/>
  <c r="A997" i="1"/>
  <c r="E995" i="1"/>
  <c r="C994" i="1"/>
  <c r="A993" i="1"/>
  <c r="E991" i="1"/>
  <c r="C990" i="1"/>
  <c r="A989" i="1"/>
  <c r="E987" i="1"/>
  <c r="C986" i="1"/>
  <c r="A985" i="1"/>
  <c r="E983" i="1"/>
  <c r="C982" i="1"/>
  <c r="A981" i="1"/>
  <c r="E979" i="1"/>
  <c r="C978" i="1"/>
  <c r="A977" i="1"/>
  <c r="E975" i="1"/>
  <c r="C974" i="1"/>
  <c r="A973" i="1"/>
  <c r="E971" i="1"/>
  <c r="C970" i="1"/>
  <c r="A969" i="1"/>
  <c r="E967" i="1"/>
  <c r="C966" i="1"/>
  <c r="A965" i="1"/>
  <c r="E963" i="1"/>
  <c r="C962" i="1"/>
  <c r="A961" i="1"/>
  <c r="E959" i="1"/>
  <c r="C958" i="1"/>
  <c r="A957" i="1"/>
  <c r="E955" i="1"/>
  <c r="C954" i="1"/>
  <c r="A953" i="1"/>
  <c r="E951" i="1"/>
  <c r="C950" i="1"/>
  <c r="A949" i="1"/>
  <c r="E947" i="1"/>
  <c r="C946" i="1"/>
  <c r="A945" i="1"/>
  <c r="E943" i="1"/>
  <c r="C942" i="1"/>
  <c r="A941" i="1"/>
  <c r="E939" i="1"/>
  <c r="C938" i="1"/>
  <c r="A937" i="1"/>
  <c r="E935" i="1"/>
  <c r="C934" i="1"/>
  <c r="A933" i="1"/>
  <c r="E931" i="1"/>
  <c r="C930" i="1"/>
  <c r="A929" i="1"/>
  <c r="E927" i="1"/>
  <c r="C926" i="1"/>
  <c r="A925" i="1"/>
  <c r="E923" i="1"/>
  <c r="C922" i="1"/>
  <c r="A921" i="1"/>
  <c r="E919" i="1"/>
  <c r="C918" i="1"/>
  <c r="A917" i="1"/>
  <c r="E915" i="1"/>
  <c r="C914" i="1"/>
  <c r="A913" i="1"/>
  <c r="E911" i="1"/>
  <c r="C910" i="1"/>
  <c r="A909" i="1"/>
  <c r="E907" i="1"/>
  <c r="C906" i="1"/>
  <c r="A905" i="1"/>
  <c r="E903" i="1"/>
  <c r="C902" i="1"/>
  <c r="A901" i="1"/>
  <c r="E899" i="1"/>
  <c r="C898" i="1"/>
  <c r="A897" i="1"/>
  <c r="E895" i="1"/>
  <c r="C894" i="1"/>
  <c r="A893" i="1"/>
  <c r="E891" i="1"/>
  <c r="C890" i="1"/>
  <c r="A889" i="1"/>
  <c r="E887" i="1"/>
  <c r="C886" i="1"/>
  <c r="A885" i="1"/>
  <c r="E883" i="1"/>
  <c r="C882" i="1"/>
  <c r="A881" i="1"/>
  <c r="E879" i="1"/>
  <c r="C878" i="1"/>
  <c r="A877" i="1"/>
  <c r="E875" i="1"/>
  <c r="C874" i="1"/>
  <c r="A873" i="1"/>
  <c r="E871" i="1"/>
  <c r="C870" i="1"/>
  <c r="A869" i="1"/>
  <c r="E867" i="1"/>
  <c r="C866" i="1"/>
  <c r="A865" i="1"/>
  <c r="E863" i="1"/>
  <c r="C862" i="1"/>
  <c r="A861" i="1"/>
  <c r="E859" i="1"/>
  <c r="C858" i="1"/>
  <c r="A857" i="1"/>
  <c r="E855" i="1"/>
  <c r="C854" i="1"/>
  <c r="A853" i="1"/>
  <c r="E851" i="1"/>
  <c r="C850" i="1"/>
  <c r="A849" i="1"/>
  <c r="E847" i="1"/>
  <c r="C846" i="1"/>
  <c r="A845" i="1"/>
  <c r="E843" i="1"/>
  <c r="C842" i="1"/>
  <c r="A841" i="1"/>
  <c r="E839" i="1"/>
  <c r="C838" i="1"/>
  <c r="A837" i="1"/>
  <c r="E835" i="1"/>
  <c r="C834" i="1"/>
  <c r="A833" i="1"/>
  <c r="E831" i="1"/>
  <c r="C830" i="1"/>
  <c r="A829" i="1"/>
  <c r="E827" i="1"/>
  <c r="C826" i="1"/>
  <c r="A825" i="1"/>
  <c r="E823" i="1"/>
  <c r="C822" i="1"/>
  <c r="A821" i="1"/>
  <c r="E819" i="1"/>
  <c r="C818" i="1"/>
  <c r="A817" i="1"/>
  <c r="E815" i="1"/>
  <c r="C814" i="1"/>
  <c r="A813" i="1"/>
  <c r="E811" i="1"/>
  <c r="C810" i="1"/>
  <c r="A809" i="1"/>
  <c r="E807" i="1"/>
  <c r="C806" i="1"/>
  <c r="A805" i="1"/>
  <c r="E803" i="1"/>
  <c r="C802" i="1"/>
  <c r="A801" i="1"/>
  <c r="E799" i="1"/>
  <c r="C798" i="1"/>
  <c r="A797" i="1"/>
  <c r="E795" i="1"/>
  <c r="C794" i="1"/>
  <c r="A793" i="1"/>
  <c r="E791" i="1"/>
  <c r="C790" i="1"/>
  <c r="A789" i="1"/>
  <c r="E787" i="1"/>
  <c r="C786" i="1"/>
  <c r="A785" i="1"/>
  <c r="E783" i="1"/>
  <c r="C782" i="1"/>
  <c r="A781" i="1"/>
  <c r="E779" i="1"/>
  <c r="C778" i="1"/>
  <c r="A777" i="1"/>
  <c r="E775" i="1"/>
  <c r="C774" i="1"/>
  <c r="A773" i="1"/>
  <c r="E771" i="1"/>
  <c r="C770" i="1"/>
  <c r="A769" i="1"/>
  <c r="E767" i="1"/>
  <c r="C766" i="1"/>
  <c r="A765" i="1"/>
  <c r="E763" i="1"/>
  <c r="C762" i="1"/>
  <c r="A761" i="1"/>
  <c r="E759" i="1"/>
  <c r="C758" i="1"/>
  <c r="A757" i="1"/>
  <c r="E755" i="1"/>
  <c r="C754" i="1"/>
  <c r="A753" i="1"/>
  <c r="E751" i="1"/>
  <c r="C750" i="1"/>
  <c r="A749" i="1"/>
  <c r="E747" i="1"/>
  <c r="C746" i="1"/>
  <c r="A745" i="1"/>
  <c r="E743" i="1"/>
  <c r="C742" i="1"/>
  <c r="A741" i="1"/>
  <c r="E739" i="1"/>
  <c r="C738" i="1"/>
  <c r="A737" i="1"/>
  <c r="E735" i="1"/>
  <c r="C734" i="1"/>
  <c r="A733" i="1"/>
  <c r="E731" i="1"/>
  <c r="C730" i="1"/>
  <c r="A729" i="1"/>
  <c r="E727" i="1"/>
  <c r="C726" i="1"/>
  <c r="A725" i="1"/>
  <c r="E723" i="1"/>
  <c r="C722" i="1"/>
  <c r="A721" i="1"/>
  <c r="E719" i="1"/>
  <c r="C718" i="1"/>
  <c r="A717" i="1"/>
  <c r="E715" i="1"/>
  <c r="C714" i="1"/>
  <c r="A713" i="1"/>
  <c r="E711" i="1"/>
  <c r="C710" i="1"/>
  <c r="A709" i="1"/>
  <c r="E707" i="1"/>
  <c r="C706" i="1"/>
  <c r="A705" i="1"/>
  <c r="E703" i="1"/>
  <c r="C702" i="1"/>
  <c r="A701" i="1"/>
  <c r="E699" i="1"/>
  <c r="C698" i="1"/>
  <c r="A697" i="1"/>
  <c r="E695" i="1"/>
  <c r="C694" i="1"/>
  <c r="A693" i="1"/>
  <c r="E691" i="1"/>
  <c r="C690" i="1"/>
  <c r="A689" i="1"/>
  <c r="E687" i="1"/>
  <c r="C686" i="1"/>
  <c r="A685" i="1"/>
  <c r="E683" i="1"/>
  <c r="C682" i="1"/>
  <c r="A681" i="1"/>
  <c r="E679" i="1"/>
  <c r="C678" i="1"/>
  <c r="A677" i="1"/>
  <c r="E675" i="1"/>
  <c r="C674" i="1"/>
  <c r="A673" i="1"/>
  <c r="E671" i="1"/>
  <c r="C670" i="1"/>
  <c r="A669" i="1"/>
  <c r="E667" i="1"/>
  <c r="C666" i="1"/>
  <c r="A665" i="1"/>
  <c r="E663" i="1"/>
  <c r="C662" i="1"/>
  <c r="A661" i="1"/>
  <c r="E659" i="1"/>
  <c r="C658" i="1"/>
  <c r="A657" i="1"/>
  <c r="E655" i="1"/>
  <c r="C654" i="1"/>
  <c r="A653" i="1"/>
  <c r="E651" i="1"/>
  <c r="C650" i="1"/>
  <c r="A649" i="1"/>
  <c r="E647" i="1"/>
  <c r="C646" i="1"/>
  <c r="A645" i="1"/>
  <c r="E643" i="1"/>
  <c r="C642" i="1"/>
  <c r="A641" i="1"/>
  <c r="E639" i="1"/>
  <c r="C638" i="1"/>
  <c r="A637" i="1"/>
  <c r="E635" i="1"/>
  <c r="C634" i="1"/>
  <c r="A633" i="1"/>
  <c r="E631" i="1"/>
  <c r="C630" i="1"/>
  <c r="A629" i="1"/>
  <c r="E627" i="1"/>
  <c r="C626" i="1"/>
  <c r="A625" i="1"/>
  <c r="E623" i="1"/>
  <c r="C622" i="1"/>
  <c r="A621" i="1"/>
  <c r="E619" i="1"/>
  <c r="C618" i="1"/>
  <c r="A617" i="1"/>
  <c r="E615" i="1"/>
  <c r="C614" i="1"/>
  <c r="A613" i="1"/>
  <c r="E611" i="1"/>
  <c r="C610" i="1"/>
  <c r="A609" i="1"/>
  <c r="E607" i="1"/>
  <c r="C606" i="1"/>
  <c r="A605" i="1"/>
  <c r="E603" i="1"/>
  <c r="C602" i="1"/>
  <c r="A601" i="1"/>
  <c r="E599" i="1"/>
  <c r="C598" i="1"/>
  <c r="A597" i="1"/>
  <c r="E595" i="1"/>
  <c r="C594" i="1"/>
  <c r="A593" i="1"/>
  <c r="E591" i="1"/>
  <c r="C590" i="1"/>
  <c r="A589" i="1"/>
  <c r="E587" i="1"/>
  <c r="C586" i="1"/>
  <c r="A585" i="1"/>
  <c r="E583" i="1"/>
  <c r="C582" i="1"/>
  <c r="A581" i="1"/>
  <c r="E579" i="1"/>
  <c r="C578" i="1"/>
  <c r="A577" i="1"/>
  <c r="E575" i="1"/>
  <c r="C574" i="1"/>
  <c r="A573" i="1"/>
  <c r="E571" i="1"/>
  <c r="C570" i="1"/>
  <c r="A569" i="1"/>
  <c r="E567" i="1"/>
  <c r="C566" i="1"/>
  <c r="A565" i="1"/>
  <c r="E563" i="1"/>
  <c r="C562" i="1"/>
  <c r="A561" i="1"/>
  <c r="E559" i="1"/>
  <c r="C558" i="1"/>
  <c r="A557" i="1"/>
  <c r="E555" i="1"/>
  <c r="C554" i="1"/>
  <c r="A553" i="1"/>
  <c r="E551" i="1"/>
  <c r="C550" i="1"/>
  <c r="A549" i="1"/>
  <c r="E547" i="1"/>
  <c r="E1123" i="2"/>
  <c r="D580" i="2"/>
  <c r="B495" i="2"/>
  <c r="F409" i="2"/>
  <c r="D324" i="2"/>
  <c r="B239" i="2"/>
  <c r="B155" i="2"/>
  <c r="C102" i="2"/>
  <c r="A62" i="2"/>
  <c r="E40" i="2"/>
  <c r="C19" i="2"/>
  <c r="A1448" i="1"/>
  <c r="E1426" i="1"/>
  <c r="C1405" i="1"/>
  <c r="A1384" i="1"/>
  <c r="E1362" i="1"/>
  <c r="C1341" i="1"/>
  <c r="A1320" i="1"/>
  <c r="E1298" i="1"/>
  <c r="C1277" i="1"/>
  <c r="A1256" i="1"/>
  <c r="E1234" i="1"/>
  <c r="C1213" i="1"/>
  <c r="D1195" i="1"/>
  <c r="C1181" i="1"/>
  <c r="F1166" i="1"/>
  <c r="F1152" i="1"/>
  <c r="F1138" i="1"/>
  <c r="B1128" i="1"/>
  <c r="D1117" i="1"/>
  <c r="F1106" i="1"/>
  <c r="B1096" i="1"/>
  <c r="D1085" i="1"/>
  <c r="F1074" i="1"/>
  <c r="B1064" i="1"/>
  <c r="D1053" i="1"/>
  <c r="F1042" i="1"/>
  <c r="B1032" i="1"/>
  <c r="D1021" i="1"/>
  <c r="A1016" i="1"/>
  <c r="E1010" i="1"/>
  <c r="C1005" i="1"/>
  <c r="A1000" i="1"/>
  <c r="E994" i="1"/>
  <c r="C989" i="1"/>
  <c r="A984" i="1"/>
  <c r="E978" i="1"/>
  <c r="C973" i="1"/>
  <c r="A968" i="1"/>
  <c r="E962" i="1"/>
  <c r="C957" i="1"/>
  <c r="A952" i="1"/>
  <c r="E946" i="1"/>
  <c r="C941" i="1"/>
  <c r="A936" i="1"/>
  <c r="E930" i="1"/>
  <c r="C925" i="1"/>
  <c r="A920" i="1"/>
  <c r="E914" i="1"/>
  <c r="C909" i="1"/>
  <c r="A904" i="1"/>
  <c r="E898" i="1"/>
  <c r="C893" i="1"/>
  <c r="A888" i="1"/>
  <c r="E882" i="1"/>
  <c r="C877" i="1"/>
  <c r="A872" i="1"/>
  <c r="E866" i="1"/>
  <c r="C861" i="1"/>
  <c r="A856" i="1"/>
  <c r="E850" i="1"/>
  <c r="C845" i="1"/>
  <c r="A840" i="1"/>
  <c r="E834" i="1"/>
  <c r="C829" i="1"/>
  <c r="A824" i="1"/>
  <c r="E818" i="1"/>
  <c r="C813" i="1"/>
  <c r="A808" i="1"/>
  <c r="E802" i="1"/>
  <c r="C797" i="1"/>
  <c r="A792" i="1"/>
  <c r="E786" i="1"/>
  <c r="C781" i="1"/>
  <c r="A776" i="1"/>
  <c r="E770" i="1"/>
  <c r="C765" i="1"/>
  <c r="A760" i="1"/>
  <c r="E754" i="1"/>
  <c r="C749" i="1"/>
  <c r="A744" i="1"/>
  <c r="E738" i="1"/>
  <c r="C733" i="1"/>
  <c r="A728" i="1"/>
  <c r="E722" i="1"/>
  <c r="C717" i="1"/>
  <c r="A712" i="1"/>
  <c r="E706" i="1"/>
  <c r="E702" i="1"/>
  <c r="B699" i="1"/>
  <c r="F695" i="1"/>
  <c r="A692" i="1"/>
  <c r="D688" i="1"/>
  <c r="B685" i="1"/>
  <c r="C681" i="1"/>
  <c r="F677" i="1"/>
  <c r="D674" i="1"/>
  <c r="E670" i="1"/>
  <c r="B667" i="1"/>
  <c r="F663" i="1"/>
  <c r="D660" i="1"/>
  <c r="F657" i="1"/>
  <c r="B655" i="1"/>
  <c r="D652" i="1"/>
  <c r="F649" i="1"/>
  <c r="B647" i="1"/>
  <c r="D644" i="1"/>
  <c r="F641" i="1"/>
  <c r="B639" i="1"/>
  <c r="D636" i="1"/>
  <c r="F633" i="1"/>
  <c r="B631" i="1"/>
  <c r="D628" i="1"/>
  <c r="F625" i="1"/>
  <c r="B623" i="1"/>
  <c r="D620" i="1"/>
  <c r="F617" i="1"/>
  <c r="B615" i="1"/>
  <c r="D612" i="1"/>
  <c r="F609" i="1"/>
  <c r="B607" i="1"/>
  <c r="D604" i="1"/>
  <c r="E602" i="1"/>
  <c r="F600" i="1"/>
  <c r="B599" i="1"/>
  <c r="C597" i="1"/>
  <c r="D595" i="1"/>
  <c r="F593" i="1"/>
  <c r="A592" i="1"/>
  <c r="B590" i="1"/>
  <c r="D588" i="1"/>
  <c r="E586" i="1"/>
  <c r="F584" i="1"/>
  <c r="B583" i="1"/>
  <c r="C581" i="1"/>
  <c r="D579" i="1"/>
  <c r="F577" i="1"/>
  <c r="A576" i="1"/>
  <c r="B574" i="1"/>
  <c r="D572" i="1"/>
  <c r="E570" i="1"/>
  <c r="F568" i="1"/>
  <c r="B567" i="1"/>
  <c r="C565" i="1"/>
  <c r="D563" i="1"/>
  <c r="F561" i="1"/>
  <c r="A560" i="1"/>
  <c r="B558" i="1"/>
  <c r="D556" i="1"/>
  <c r="E554" i="1"/>
  <c r="F552" i="1"/>
  <c r="B551" i="1"/>
  <c r="C549" i="1"/>
  <c r="D547" i="1"/>
  <c r="A546" i="1"/>
  <c r="E544" i="1"/>
  <c r="C543" i="1"/>
  <c r="A542" i="1"/>
  <c r="E540" i="1"/>
  <c r="C539" i="1"/>
  <c r="A538" i="1"/>
  <c r="E536" i="1"/>
  <c r="C535" i="1"/>
  <c r="A534" i="1"/>
  <c r="E532" i="1"/>
  <c r="C531" i="1"/>
  <c r="A530" i="1"/>
  <c r="E528" i="1"/>
  <c r="C527" i="1"/>
  <c r="A526" i="1"/>
  <c r="E524" i="1"/>
  <c r="C523" i="1"/>
  <c r="A522" i="1"/>
  <c r="E520" i="1"/>
  <c r="C519" i="1"/>
  <c r="A518" i="1"/>
  <c r="E516" i="1"/>
  <c r="C515" i="1"/>
  <c r="A514" i="1"/>
  <c r="E512" i="1"/>
  <c r="C511" i="1"/>
  <c r="A510" i="1"/>
  <c r="E508" i="1"/>
  <c r="C507" i="1"/>
  <c r="A506" i="1"/>
  <c r="E504" i="1"/>
  <c r="C503" i="1"/>
  <c r="A502" i="1"/>
  <c r="E500" i="1"/>
  <c r="C499" i="1"/>
  <c r="A498" i="1"/>
  <c r="E496" i="1"/>
  <c r="C495" i="1"/>
  <c r="A494" i="1"/>
  <c r="E492" i="1"/>
  <c r="C491" i="1"/>
  <c r="A490" i="1"/>
  <c r="E488" i="1"/>
  <c r="C487" i="1"/>
  <c r="A486" i="1"/>
  <c r="E484" i="1"/>
  <c r="C483" i="1"/>
  <c r="A482" i="1"/>
  <c r="E480" i="1"/>
  <c r="C479" i="1"/>
  <c r="A478" i="1"/>
  <c r="E476" i="1"/>
  <c r="C475" i="1"/>
  <c r="A474" i="1"/>
  <c r="E472" i="1"/>
  <c r="C471" i="1"/>
  <c r="A470" i="1"/>
  <c r="E468" i="1"/>
  <c r="C467" i="1"/>
  <c r="A466" i="1"/>
  <c r="E464" i="1"/>
  <c r="C463" i="1"/>
  <c r="A462" i="1"/>
  <c r="E460" i="1"/>
  <c r="C459" i="1"/>
  <c r="A458" i="1"/>
  <c r="E456" i="1"/>
  <c r="C455" i="1"/>
  <c r="A454" i="1"/>
  <c r="E452" i="1"/>
  <c r="C451" i="1"/>
  <c r="A450" i="1"/>
  <c r="E448" i="1"/>
  <c r="C447" i="1"/>
  <c r="A446" i="1"/>
  <c r="E444" i="1"/>
  <c r="C443" i="1"/>
  <c r="A442" i="1"/>
  <c r="E440" i="1"/>
  <c r="C439" i="1"/>
  <c r="A438" i="1"/>
  <c r="E436" i="1"/>
  <c r="C435" i="1"/>
  <c r="A434" i="1"/>
  <c r="E432" i="1"/>
  <c r="C431" i="1"/>
  <c r="A430" i="1"/>
  <c r="E428" i="1"/>
  <c r="C427" i="1"/>
  <c r="A426" i="1"/>
  <c r="E424" i="1"/>
  <c r="C423" i="1"/>
  <c r="A422" i="1"/>
  <c r="E420" i="1"/>
  <c r="C419" i="1"/>
  <c r="A418" i="1"/>
  <c r="E416" i="1"/>
  <c r="C415" i="1"/>
  <c r="A414" i="1"/>
  <c r="E412" i="1"/>
  <c r="C411" i="1"/>
  <c r="A410" i="1"/>
  <c r="E408" i="1"/>
  <c r="C407" i="1"/>
  <c r="A406" i="1"/>
  <c r="E404" i="1"/>
  <c r="C403" i="1"/>
  <c r="A402" i="1"/>
  <c r="E400" i="1"/>
  <c r="C399" i="1"/>
  <c r="A398" i="1"/>
  <c r="E396" i="1"/>
  <c r="C395" i="1"/>
  <c r="A394" i="1"/>
  <c r="E392" i="1"/>
  <c r="C391" i="1"/>
  <c r="A390" i="1"/>
  <c r="E388" i="1"/>
  <c r="C387" i="1"/>
  <c r="A386" i="1"/>
  <c r="E384" i="1"/>
  <c r="C383" i="1"/>
  <c r="A382" i="1"/>
  <c r="E380" i="1"/>
  <c r="C379" i="1"/>
  <c r="A378" i="1"/>
  <c r="E376" i="1"/>
  <c r="C375" i="1"/>
  <c r="A374" i="1"/>
  <c r="E372" i="1"/>
  <c r="C371" i="1"/>
  <c r="A370" i="1"/>
  <c r="E368" i="1"/>
  <c r="C367" i="1"/>
  <c r="A366" i="1"/>
  <c r="E364" i="1"/>
  <c r="C363" i="1"/>
  <c r="A362" i="1"/>
  <c r="E360" i="1"/>
  <c r="C359" i="1"/>
  <c r="A358" i="1"/>
  <c r="E356" i="1"/>
  <c r="C355" i="1"/>
  <c r="A354" i="1"/>
  <c r="E352" i="1"/>
  <c r="C351" i="1"/>
  <c r="A350" i="1"/>
  <c r="E348" i="1"/>
  <c r="C347" i="1"/>
  <c r="A346" i="1"/>
  <c r="E344" i="1"/>
  <c r="C343" i="1"/>
  <c r="A342" i="1"/>
  <c r="E340" i="1"/>
  <c r="C339" i="1"/>
  <c r="A338" i="1"/>
  <c r="E336" i="1"/>
  <c r="C335" i="1"/>
  <c r="A334" i="1"/>
  <c r="E332" i="1"/>
  <c r="C331" i="1"/>
  <c r="A330" i="1"/>
  <c r="E328" i="1"/>
  <c r="C327" i="1"/>
  <c r="A326" i="1"/>
  <c r="E324" i="1"/>
  <c r="C323" i="1"/>
  <c r="A322" i="1"/>
  <c r="E320" i="1"/>
  <c r="C319" i="1"/>
  <c r="A318" i="1"/>
  <c r="E316" i="1"/>
  <c r="C315" i="1"/>
  <c r="A314" i="1"/>
  <c r="E312" i="1"/>
  <c r="C311" i="1"/>
  <c r="A310" i="1"/>
  <c r="E308" i="1"/>
  <c r="C307" i="1"/>
  <c r="A306" i="1"/>
  <c r="E304" i="1"/>
  <c r="C303" i="1"/>
  <c r="A302" i="1"/>
  <c r="E300" i="1"/>
  <c r="C299" i="1"/>
  <c r="A298" i="1"/>
  <c r="E296" i="1"/>
  <c r="C295" i="1"/>
  <c r="A294" i="1"/>
  <c r="E292" i="1"/>
  <c r="C291" i="1"/>
  <c r="A290" i="1"/>
  <c r="E288" i="1"/>
  <c r="C287" i="1"/>
  <c r="A286" i="1"/>
  <c r="E284" i="1"/>
  <c r="C283" i="1"/>
  <c r="A282" i="1"/>
  <c r="E280" i="1"/>
  <c r="C279" i="1"/>
  <c r="A278" i="1"/>
  <c r="E276" i="1"/>
  <c r="C275" i="1"/>
  <c r="A274" i="1"/>
  <c r="E272" i="1"/>
  <c r="C271" i="1"/>
  <c r="A270" i="1"/>
  <c r="E268" i="1"/>
  <c r="C267" i="1"/>
  <c r="A266" i="1"/>
  <c r="E264" i="1"/>
  <c r="C263" i="1"/>
  <c r="A262" i="1"/>
  <c r="E260" i="1"/>
  <c r="C259" i="1"/>
  <c r="A258" i="1"/>
  <c r="E256" i="1"/>
  <c r="C255" i="1"/>
  <c r="A254" i="1"/>
  <c r="E252" i="1"/>
  <c r="C251" i="1"/>
  <c r="A250" i="1"/>
  <c r="E248" i="1"/>
  <c r="C247" i="1"/>
  <c r="A246" i="1"/>
  <c r="E244" i="1"/>
  <c r="C243" i="1"/>
  <c r="A242" i="1"/>
  <c r="E240" i="1"/>
  <c r="C239" i="1"/>
  <c r="A238" i="1"/>
  <c r="E236" i="1"/>
  <c r="C235" i="1"/>
  <c r="A234" i="1"/>
  <c r="E232" i="1"/>
  <c r="C231" i="1"/>
  <c r="A230" i="1"/>
  <c r="E228" i="1"/>
  <c r="C227" i="1"/>
  <c r="A226" i="1"/>
  <c r="E224" i="1"/>
  <c r="C223" i="1"/>
  <c r="A222" i="1"/>
  <c r="E220" i="1"/>
  <c r="C219" i="1"/>
  <c r="A218" i="1"/>
  <c r="E216" i="1"/>
  <c r="C215" i="1"/>
  <c r="A214" i="1"/>
  <c r="E212" i="1"/>
  <c r="C211" i="1"/>
  <c r="A210" i="1"/>
  <c r="E208" i="1"/>
  <c r="C207" i="1"/>
  <c r="A206" i="1"/>
  <c r="E204" i="1"/>
  <c r="C203" i="1"/>
  <c r="A202" i="1"/>
  <c r="E200" i="1"/>
  <c r="C199" i="1"/>
  <c r="A198" i="1"/>
  <c r="E196" i="1"/>
  <c r="C195" i="1"/>
  <c r="A194" i="1"/>
  <c r="E192" i="1"/>
  <c r="C191" i="1"/>
  <c r="A190" i="1"/>
  <c r="E188" i="1"/>
  <c r="C187" i="1"/>
  <c r="A186" i="1"/>
  <c r="E184" i="1"/>
  <c r="C183" i="1"/>
  <c r="A182" i="1"/>
  <c r="E180" i="1"/>
  <c r="C179" i="1"/>
  <c r="A178" i="1"/>
  <c r="E176" i="1"/>
  <c r="C175" i="1"/>
  <c r="A174" i="1"/>
  <c r="E172" i="1"/>
  <c r="C171" i="1"/>
  <c r="A170" i="1"/>
  <c r="E168" i="1"/>
  <c r="C167" i="1"/>
  <c r="A166" i="1"/>
  <c r="E164" i="1"/>
  <c r="C163" i="1"/>
  <c r="A162" i="1"/>
  <c r="E160" i="1"/>
  <c r="C159" i="1"/>
  <c r="A158" i="1"/>
  <c r="E156" i="1"/>
  <c r="C155" i="1"/>
  <c r="A154" i="1"/>
  <c r="E152" i="1"/>
  <c r="C151" i="1"/>
  <c r="A150" i="1"/>
  <c r="E148" i="1"/>
  <c r="C147" i="1"/>
  <c r="A146" i="1"/>
  <c r="E144" i="1"/>
  <c r="C143" i="1"/>
  <c r="A142" i="1"/>
  <c r="E140" i="1"/>
  <c r="C139" i="1"/>
  <c r="A138" i="1"/>
  <c r="E136" i="1"/>
  <c r="C135" i="1"/>
  <c r="A134" i="1"/>
  <c r="E132" i="1"/>
  <c r="C131" i="1"/>
  <c r="A130" i="1"/>
  <c r="E128" i="1"/>
  <c r="C127" i="1"/>
  <c r="A126" i="1"/>
  <c r="E124" i="1"/>
  <c r="C123" i="1"/>
  <c r="A122" i="1"/>
  <c r="E120" i="1"/>
  <c r="C119" i="1"/>
  <c r="A118" i="1"/>
  <c r="E116" i="1"/>
  <c r="C115" i="1"/>
  <c r="A114" i="1"/>
  <c r="E112" i="1"/>
  <c r="C111" i="1"/>
  <c r="A110" i="1"/>
  <c r="E108" i="1"/>
  <c r="C107" i="1"/>
  <c r="A106" i="1"/>
  <c r="E104" i="1"/>
  <c r="C103" i="1"/>
  <c r="A102" i="1"/>
  <c r="E100" i="1"/>
  <c r="C99" i="1"/>
  <c r="A98" i="1"/>
  <c r="E96" i="1"/>
  <c r="C95" i="1"/>
  <c r="A94" i="1"/>
  <c r="E92" i="1"/>
  <c r="C91" i="1"/>
  <c r="A90" i="1"/>
  <c r="E88" i="1"/>
  <c r="C87" i="1"/>
  <c r="A86" i="1"/>
  <c r="E84" i="1"/>
  <c r="C83" i="1"/>
  <c r="A82" i="1"/>
  <c r="E80" i="1"/>
  <c r="C79" i="1"/>
  <c r="A78" i="1"/>
  <c r="E76" i="1"/>
  <c r="A953" i="2"/>
  <c r="C575" i="2"/>
  <c r="A490" i="2"/>
  <c r="E404" i="2"/>
  <c r="C319" i="2"/>
  <c r="A234" i="2"/>
  <c r="F151" i="2"/>
  <c r="F99" i="2"/>
  <c r="F60" i="2"/>
  <c r="D39" i="2"/>
  <c r="B18" i="2"/>
  <c r="F1446" i="1"/>
  <c r="D1425" i="1"/>
  <c r="B1404" i="1"/>
  <c r="F1382" i="1"/>
  <c r="D1361" i="1"/>
  <c r="B1340" i="1"/>
  <c r="F1318" i="1"/>
  <c r="D1297" i="1"/>
  <c r="B1276" i="1"/>
  <c r="F1254" i="1"/>
  <c r="D1233" i="1"/>
  <c r="B1212" i="1"/>
  <c r="F1194" i="1"/>
  <c r="F1180" i="1"/>
  <c r="E1166" i="1"/>
  <c r="B1152" i="1"/>
  <c r="E1138" i="1"/>
  <c r="A1128" i="1"/>
  <c r="C1117" i="1"/>
  <c r="E1106" i="1"/>
  <c r="A1096" i="1"/>
  <c r="C1085" i="1"/>
  <c r="E1074" i="1"/>
  <c r="A1064" i="1"/>
  <c r="C1053" i="1"/>
  <c r="E1042" i="1"/>
  <c r="A1032" i="1"/>
  <c r="C1021" i="1"/>
  <c r="F1015" i="1"/>
  <c r="D1010" i="1"/>
  <c r="B1005" i="1"/>
  <c r="F999" i="1"/>
  <c r="D994" i="1"/>
  <c r="B989" i="1"/>
  <c r="F983" i="1"/>
  <c r="D978" i="1"/>
  <c r="B973" i="1"/>
  <c r="F967" i="1"/>
  <c r="D962" i="1"/>
  <c r="B957" i="1"/>
  <c r="F951" i="1"/>
  <c r="D946" i="1"/>
  <c r="B941" i="1"/>
  <c r="F935" i="1"/>
  <c r="D930" i="1"/>
  <c r="B925" i="1"/>
  <c r="F919" i="1"/>
  <c r="D914" i="1"/>
  <c r="B909" i="1"/>
  <c r="F903" i="1"/>
  <c r="D898" i="1"/>
  <c r="B893" i="1"/>
  <c r="F887" i="1"/>
  <c r="D882" i="1"/>
  <c r="B877" i="1"/>
  <c r="F871" i="1"/>
  <c r="D866" i="1"/>
  <c r="B861" i="1"/>
  <c r="F855" i="1"/>
  <c r="D850" i="1"/>
  <c r="B845" i="1"/>
  <c r="F839" i="1"/>
  <c r="D834" i="1"/>
  <c r="B829" i="1"/>
  <c r="F823" i="1"/>
  <c r="D818" i="1"/>
  <c r="B813" i="1"/>
  <c r="F807" i="1"/>
  <c r="D802" i="1"/>
  <c r="B797" i="1"/>
  <c r="F791" i="1"/>
  <c r="D786" i="1"/>
  <c r="B781" i="1"/>
  <c r="F775" i="1"/>
  <c r="D770" i="1"/>
  <c r="B765" i="1"/>
  <c r="F759" i="1"/>
  <c r="D754" i="1"/>
  <c r="B749" i="1"/>
  <c r="F743" i="1"/>
  <c r="D738" i="1"/>
  <c r="B733" i="1"/>
  <c r="F727" i="1"/>
  <c r="D722" i="1"/>
  <c r="B717" i="1"/>
  <c r="F711" i="1"/>
  <c r="D706" i="1"/>
  <c r="D702" i="1"/>
  <c r="E698" i="1"/>
  <c r="B695" i="1"/>
  <c r="F691" i="1"/>
  <c r="A688" i="1"/>
  <c r="D684" i="1"/>
  <c r="B681" i="1"/>
  <c r="C677" i="1"/>
  <c r="F673" i="1"/>
  <c r="D670" i="1"/>
  <c r="E666" i="1"/>
  <c r="B663" i="1"/>
  <c r="C660" i="1"/>
  <c r="E657" i="1"/>
  <c r="A655" i="1"/>
  <c r="C652" i="1"/>
  <c r="E649" i="1"/>
  <c r="A647" i="1"/>
  <c r="C644" i="1"/>
  <c r="E641" i="1"/>
  <c r="A639" i="1"/>
  <c r="C636" i="1"/>
  <c r="E633" i="1"/>
  <c r="A631" i="1"/>
  <c r="C628" i="1"/>
  <c r="E625" i="1"/>
  <c r="A623" i="1"/>
  <c r="C620" i="1"/>
  <c r="E617" i="1"/>
  <c r="A615" i="1"/>
  <c r="C612" i="1"/>
  <c r="E609" i="1"/>
  <c r="A607" i="1"/>
  <c r="C604" i="1"/>
  <c r="D602" i="1"/>
  <c r="E600" i="1"/>
  <c r="A599" i="1"/>
  <c r="B597" i="1"/>
  <c r="C595" i="1"/>
  <c r="E593" i="1"/>
  <c r="F591" i="1"/>
  <c r="A590" i="1"/>
  <c r="C588" i="1"/>
  <c r="D586" i="1"/>
  <c r="E584" i="1"/>
  <c r="A583" i="1"/>
  <c r="B581" i="1"/>
  <c r="C579" i="1"/>
  <c r="E577" i="1"/>
  <c r="F575" i="1"/>
  <c r="A574" i="1"/>
  <c r="C572" i="1"/>
  <c r="D570" i="1"/>
  <c r="E568" i="1"/>
  <c r="A567" i="1"/>
  <c r="B565" i="1"/>
  <c r="C563" i="1"/>
  <c r="E561" i="1"/>
  <c r="F559" i="1"/>
  <c r="A558" i="1"/>
  <c r="C556" i="1"/>
  <c r="D554" i="1"/>
  <c r="E552" i="1"/>
  <c r="A551" i="1"/>
  <c r="B549" i="1"/>
  <c r="C547" i="1"/>
  <c r="F545" i="1"/>
  <c r="D544" i="1"/>
  <c r="B543" i="1"/>
  <c r="F541" i="1"/>
  <c r="D540" i="1"/>
  <c r="B539" i="1"/>
  <c r="F537" i="1"/>
  <c r="D536" i="1"/>
  <c r="B535" i="1"/>
  <c r="F533" i="1"/>
  <c r="D532" i="1"/>
  <c r="B531" i="1"/>
  <c r="F529" i="1"/>
  <c r="D528" i="1"/>
  <c r="B527" i="1"/>
  <c r="F525" i="1"/>
  <c r="D524" i="1"/>
  <c r="B523" i="1"/>
  <c r="F521" i="1"/>
  <c r="D520" i="1"/>
  <c r="B519" i="1"/>
  <c r="F517" i="1"/>
  <c r="D516" i="1"/>
  <c r="B515" i="1"/>
  <c r="F513" i="1"/>
  <c r="D512" i="1"/>
  <c r="B511" i="1"/>
  <c r="F509" i="1"/>
  <c r="D508" i="1"/>
  <c r="B507" i="1"/>
  <c r="F505" i="1"/>
  <c r="D504" i="1"/>
  <c r="B503" i="1"/>
  <c r="F501" i="1"/>
  <c r="D500" i="1"/>
  <c r="B499" i="1"/>
  <c r="F497" i="1"/>
  <c r="D496" i="1"/>
  <c r="B495" i="1"/>
  <c r="F493" i="1"/>
  <c r="D492" i="1"/>
  <c r="B491" i="1"/>
  <c r="F489" i="1"/>
  <c r="D488" i="1"/>
  <c r="B487" i="1"/>
  <c r="F485" i="1"/>
  <c r="D484" i="1"/>
  <c r="B483" i="1"/>
  <c r="F481" i="1"/>
  <c r="D480" i="1"/>
  <c r="B479" i="1"/>
  <c r="F477" i="1"/>
  <c r="D476" i="1"/>
  <c r="B475" i="1"/>
  <c r="F473" i="1"/>
  <c r="D472" i="1"/>
  <c r="B471" i="1"/>
  <c r="F469" i="1"/>
  <c r="D468" i="1"/>
  <c r="B467" i="1"/>
  <c r="F465" i="1"/>
  <c r="D464" i="1"/>
  <c r="B463" i="1"/>
  <c r="F461" i="1"/>
  <c r="D460" i="1"/>
  <c r="B459" i="1"/>
  <c r="F457" i="1"/>
  <c r="D456" i="1"/>
  <c r="B455" i="1"/>
  <c r="F453" i="1"/>
  <c r="D452" i="1"/>
  <c r="B451" i="1"/>
  <c r="F449" i="1"/>
  <c r="D448" i="1"/>
  <c r="B447" i="1"/>
  <c r="F445" i="1"/>
  <c r="D444" i="1"/>
  <c r="B443" i="1"/>
  <c r="F441" i="1"/>
  <c r="D440" i="1"/>
  <c r="B439" i="1"/>
  <c r="F437" i="1"/>
  <c r="D436" i="1"/>
  <c r="B435" i="1"/>
  <c r="F433" i="1"/>
  <c r="D432" i="1"/>
  <c r="B431" i="1"/>
  <c r="F429" i="1"/>
  <c r="D428" i="1"/>
  <c r="B427" i="1"/>
  <c r="F425" i="1"/>
  <c r="D424" i="1"/>
  <c r="B423" i="1"/>
  <c r="F421" i="1"/>
  <c r="D420" i="1"/>
  <c r="B419" i="1"/>
  <c r="F417" i="1"/>
  <c r="D416" i="1"/>
  <c r="B415" i="1"/>
  <c r="F413" i="1"/>
  <c r="D412" i="1"/>
  <c r="B411" i="1"/>
  <c r="F409" i="1"/>
  <c r="D408" i="1"/>
  <c r="B407" i="1"/>
  <c r="F405" i="1"/>
  <c r="D404" i="1"/>
  <c r="B403" i="1"/>
  <c r="F401" i="1"/>
  <c r="D400" i="1"/>
  <c r="B399" i="1"/>
  <c r="F397" i="1"/>
  <c r="D396" i="1"/>
  <c r="B395" i="1"/>
  <c r="F393" i="1"/>
  <c r="D392" i="1"/>
  <c r="B391" i="1"/>
  <c r="F389" i="1"/>
  <c r="D388" i="1"/>
  <c r="B387" i="1"/>
  <c r="F385" i="1"/>
  <c r="D384" i="1"/>
  <c r="B383" i="1"/>
  <c r="F381" i="1"/>
  <c r="D380" i="1"/>
  <c r="B379" i="1"/>
  <c r="F377" i="1"/>
  <c r="D376" i="1"/>
  <c r="B375" i="1"/>
  <c r="F373" i="1"/>
  <c r="D372" i="1"/>
  <c r="B371" i="1"/>
  <c r="F369" i="1"/>
  <c r="D368" i="1"/>
  <c r="B367" i="1"/>
  <c r="F365" i="1"/>
  <c r="D364" i="1"/>
  <c r="B363" i="1"/>
  <c r="F361" i="1"/>
  <c r="D360" i="1"/>
  <c r="B359" i="1"/>
  <c r="F357" i="1"/>
  <c r="D356" i="1"/>
  <c r="B355" i="1"/>
  <c r="F353" i="1"/>
  <c r="D352" i="1"/>
  <c r="B351" i="1"/>
  <c r="F349" i="1"/>
  <c r="D348" i="1"/>
  <c r="B347" i="1"/>
  <c r="F345" i="1"/>
  <c r="D344" i="1"/>
  <c r="B343" i="1"/>
  <c r="F341" i="1"/>
  <c r="D340" i="1"/>
  <c r="B339" i="1"/>
  <c r="F337" i="1"/>
  <c r="D336" i="1"/>
  <c r="B335" i="1"/>
  <c r="F333" i="1"/>
  <c r="D332" i="1"/>
  <c r="B331" i="1"/>
  <c r="F329" i="1"/>
  <c r="D328" i="1"/>
  <c r="B327" i="1"/>
  <c r="F325" i="1"/>
  <c r="D324" i="1"/>
  <c r="B323" i="1"/>
  <c r="F321" i="1"/>
  <c r="D320" i="1"/>
  <c r="B319" i="1"/>
  <c r="F317" i="1"/>
  <c r="D316" i="1"/>
  <c r="B315" i="1"/>
  <c r="F313" i="1"/>
  <c r="D312" i="1"/>
  <c r="B311" i="1"/>
  <c r="F309" i="1"/>
  <c r="D308" i="1"/>
  <c r="B307" i="1"/>
  <c r="F305" i="1"/>
  <c r="D304" i="1"/>
  <c r="B303" i="1"/>
  <c r="F301" i="1"/>
  <c r="D300" i="1"/>
  <c r="B299" i="1"/>
  <c r="F297" i="1"/>
  <c r="D296" i="1"/>
  <c r="B295" i="1"/>
  <c r="F293" i="1"/>
  <c r="D292" i="1"/>
  <c r="B291" i="1"/>
  <c r="F289" i="1"/>
  <c r="D288" i="1"/>
  <c r="B287" i="1"/>
  <c r="F285" i="1"/>
  <c r="D284" i="1"/>
  <c r="B283" i="1"/>
  <c r="F281" i="1"/>
  <c r="D280" i="1"/>
  <c r="B279" i="1"/>
  <c r="F277" i="1"/>
  <c r="D276" i="1"/>
  <c r="B275" i="1"/>
  <c r="F273" i="1"/>
  <c r="D272" i="1"/>
  <c r="B271" i="1"/>
  <c r="F269" i="1"/>
  <c r="D268" i="1"/>
  <c r="B267" i="1"/>
  <c r="F265" i="1"/>
  <c r="D264" i="1"/>
  <c r="B263" i="1"/>
  <c r="F261" i="1"/>
  <c r="D260" i="1"/>
  <c r="B259" i="1"/>
  <c r="F257" i="1"/>
  <c r="D256" i="1"/>
  <c r="B255" i="1"/>
  <c r="F253" i="1"/>
  <c r="D252" i="1"/>
  <c r="B251" i="1"/>
  <c r="F249" i="1"/>
  <c r="D248" i="1"/>
  <c r="B247" i="1"/>
  <c r="F245" i="1"/>
  <c r="D244" i="1"/>
  <c r="B243" i="1"/>
  <c r="F241" i="1"/>
  <c r="D240" i="1"/>
  <c r="B239" i="1"/>
  <c r="F237" i="1"/>
  <c r="D236" i="1"/>
  <c r="B235" i="1"/>
  <c r="F233" i="1"/>
  <c r="D232" i="1"/>
  <c r="B231" i="1"/>
  <c r="F229" i="1"/>
  <c r="D228" i="1"/>
  <c r="B227" i="1"/>
  <c r="F225" i="1"/>
  <c r="D224" i="1"/>
  <c r="B223" i="1"/>
  <c r="F221" i="1"/>
  <c r="D220" i="1"/>
  <c r="B219" i="1"/>
  <c r="F217" i="1"/>
  <c r="D216" i="1"/>
  <c r="B215" i="1"/>
  <c r="F213" i="1"/>
  <c r="D212" i="1"/>
  <c r="B211" i="1"/>
  <c r="F209" i="1"/>
  <c r="D208" i="1"/>
  <c r="B207" i="1"/>
  <c r="F205" i="1"/>
  <c r="D204" i="1"/>
  <c r="B203" i="1"/>
  <c r="F201" i="1"/>
  <c r="D200" i="1"/>
  <c r="B199" i="1"/>
  <c r="F197" i="1"/>
  <c r="D196" i="1"/>
  <c r="B195" i="1"/>
  <c r="F193" i="1"/>
  <c r="D192" i="1"/>
  <c r="B191" i="1"/>
  <c r="F189" i="1"/>
  <c r="D188" i="1"/>
  <c r="B187" i="1"/>
  <c r="F185" i="1"/>
  <c r="D184" i="1"/>
  <c r="B183" i="1"/>
  <c r="F181" i="1"/>
  <c r="D180" i="1"/>
  <c r="B179" i="1"/>
  <c r="F177" i="1"/>
  <c r="D176" i="1"/>
  <c r="B175" i="1"/>
  <c r="F173" i="1"/>
  <c r="D172" i="1"/>
  <c r="B171" i="1"/>
  <c r="F169" i="1"/>
  <c r="D168" i="1"/>
  <c r="B167" i="1"/>
  <c r="F165" i="1"/>
  <c r="D164" i="1"/>
  <c r="B163" i="1"/>
  <c r="F161" i="1"/>
  <c r="D160" i="1"/>
  <c r="B159" i="1"/>
  <c r="F157" i="1"/>
  <c r="D156" i="1"/>
  <c r="B155" i="1"/>
  <c r="F153" i="1"/>
  <c r="D152" i="1"/>
  <c r="B151" i="1"/>
  <c r="F149" i="1"/>
  <c r="D148" i="1"/>
  <c r="B147" i="1"/>
  <c r="F145" i="1"/>
  <c r="D144" i="1"/>
  <c r="B143" i="1"/>
  <c r="F141" i="1"/>
  <c r="D140" i="1"/>
  <c r="B139" i="1"/>
  <c r="F137" i="1"/>
  <c r="D136" i="1"/>
  <c r="B135" i="1"/>
  <c r="F133" i="1"/>
  <c r="D132" i="1"/>
  <c r="B131" i="1"/>
  <c r="F129" i="1"/>
  <c r="D128" i="1"/>
  <c r="B127" i="1"/>
  <c r="F125" i="1"/>
  <c r="D124" i="1"/>
  <c r="B123" i="1"/>
  <c r="F121" i="1"/>
  <c r="D120" i="1"/>
  <c r="B119" i="1"/>
  <c r="F117" i="1"/>
  <c r="D116" i="1"/>
  <c r="B115" i="1"/>
  <c r="F113" i="1"/>
  <c r="D112" i="1"/>
  <c r="B111" i="1"/>
  <c r="F109" i="1"/>
  <c r="D108" i="1"/>
  <c r="B107" i="1"/>
  <c r="F105" i="1"/>
  <c r="D104" i="1"/>
  <c r="B103" i="1"/>
  <c r="F101" i="1"/>
  <c r="D100" i="1"/>
  <c r="B99" i="1"/>
  <c r="F97" i="1"/>
  <c r="D96" i="1"/>
  <c r="B95" i="1"/>
  <c r="F93" i="1"/>
  <c r="D92" i="1"/>
  <c r="B91" i="1"/>
  <c r="F89" i="1"/>
  <c r="D88" i="1"/>
  <c r="B87" i="1"/>
  <c r="F85" i="1"/>
  <c r="D84" i="1"/>
  <c r="B821" i="2"/>
  <c r="B559" i="2"/>
  <c r="F473" i="2"/>
  <c r="D388" i="2"/>
  <c r="B303" i="2"/>
  <c r="F217" i="2"/>
  <c r="E140" i="2"/>
  <c r="E91" i="2"/>
  <c r="E56" i="2"/>
  <c r="C35" i="2"/>
  <c r="A14" i="2"/>
  <c r="E1442" i="1"/>
  <c r="C1421" i="1"/>
  <c r="A1400" i="1"/>
  <c r="E1378" i="1"/>
  <c r="C1357" i="1"/>
  <c r="A1336" i="1"/>
  <c r="E1314" i="1"/>
  <c r="C1293" i="1"/>
  <c r="A1272" i="1"/>
  <c r="E1250" i="1"/>
  <c r="C1229" i="1"/>
  <c r="A1208" i="1"/>
  <c r="A1192" i="1"/>
  <c r="D1177" i="1"/>
  <c r="D1163" i="1"/>
  <c r="C1149" i="1"/>
  <c r="B1136" i="1"/>
  <c r="D1125" i="1"/>
  <c r="F1114" i="1"/>
  <c r="B1104" i="1"/>
  <c r="D1093" i="1"/>
  <c r="F1082" i="1"/>
  <c r="B1072" i="1"/>
  <c r="D1061" i="1"/>
  <c r="F1050" i="1"/>
  <c r="B1040" i="1"/>
  <c r="D1029" i="1"/>
  <c r="A1020" i="1"/>
  <c r="E1014" i="1"/>
  <c r="C1009" i="1"/>
  <c r="A1004" i="1"/>
  <c r="E998" i="1"/>
  <c r="C993" i="1"/>
  <c r="A988" i="1"/>
  <c r="E982" i="1"/>
  <c r="C977" i="1"/>
  <c r="A972" i="1"/>
  <c r="E966" i="1"/>
  <c r="C961" i="1"/>
  <c r="A956" i="1"/>
  <c r="E950" i="1"/>
  <c r="C945" i="1"/>
  <c r="A940" i="1"/>
  <c r="E934" i="1"/>
  <c r="C929" i="1"/>
  <c r="A924" i="1"/>
  <c r="E918" i="1"/>
  <c r="C913" i="1"/>
  <c r="A908" i="1"/>
  <c r="E902" i="1"/>
  <c r="C897" i="1"/>
  <c r="A892" i="1"/>
  <c r="E886" i="1"/>
  <c r="C881" i="1"/>
  <c r="A876" i="1"/>
  <c r="E870" i="1"/>
  <c r="C865" i="1"/>
  <c r="A860" i="1"/>
  <c r="E854" i="1"/>
  <c r="C849" i="1"/>
  <c r="A844" i="1"/>
  <c r="E838" i="1"/>
  <c r="C833" i="1"/>
  <c r="A828" i="1"/>
  <c r="E822" i="1"/>
  <c r="C817" i="1"/>
  <c r="A812" i="1"/>
  <c r="E806" i="1"/>
  <c r="C801" i="1"/>
  <c r="A796" i="1"/>
  <c r="E790" i="1"/>
  <c r="C785" i="1"/>
  <c r="A780" i="1"/>
  <c r="E774" i="1"/>
  <c r="C769" i="1"/>
  <c r="A764" i="1"/>
  <c r="E758" i="1"/>
  <c r="C753" i="1"/>
  <c r="A748" i="1"/>
  <c r="E742" i="1"/>
  <c r="C737" i="1"/>
  <c r="A732" i="1"/>
  <c r="E726" i="1"/>
  <c r="C721" i="1"/>
  <c r="A716" i="1"/>
  <c r="E710" i="1"/>
  <c r="C705" i="1"/>
  <c r="F701" i="1"/>
  <c r="D698" i="1"/>
  <c r="E694" i="1"/>
  <c r="B691" i="1"/>
  <c r="F687" i="1"/>
  <c r="A684" i="1"/>
  <c r="D680" i="1"/>
  <c r="B677" i="1"/>
  <c r="C673" i="1"/>
  <c r="F669" i="1"/>
  <c r="D666" i="1"/>
  <c r="E662" i="1"/>
  <c r="A660" i="1"/>
  <c r="C657" i="1"/>
  <c r="E654" i="1"/>
  <c r="A652" i="1"/>
  <c r="C649" i="1"/>
  <c r="E646" i="1"/>
  <c r="A644" i="1"/>
  <c r="C641" i="1"/>
  <c r="E638" i="1"/>
  <c r="A636" i="1"/>
  <c r="C633" i="1"/>
  <c r="E630" i="1"/>
  <c r="A628" i="1"/>
  <c r="C625" i="1"/>
  <c r="E622" i="1"/>
  <c r="A620" i="1"/>
  <c r="C617" i="1"/>
  <c r="E614" i="1"/>
  <c r="A612" i="1"/>
  <c r="C609" i="1"/>
  <c r="E606" i="1"/>
  <c r="A604" i="1"/>
  <c r="B602" i="1"/>
  <c r="D600" i="1"/>
  <c r="E598" i="1"/>
  <c r="F596" i="1"/>
  <c r="B595" i="1"/>
  <c r="C593" i="1"/>
  <c r="D591" i="1"/>
  <c r="F589" i="1"/>
  <c r="A588" i="1"/>
  <c r="B586" i="1"/>
  <c r="D584" i="1"/>
  <c r="E582" i="1"/>
  <c r="F580" i="1"/>
  <c r="B579" i="1"/>
  <c r="C577" i="1"/>
  <c r="D575" i="1"/>
  <c r="F573" i="1"/>
  <c r="A572" i="1"/>
  <c r="B570" i="1"/>
  <c r="D568" i="1"/>
  <c r="E566" i="1"/>
  <c r="F564" i="1"/>
  <c r="B563" i="1"/>
  <c r="C561" i="1"/>
  <c r="D559" i="1"/>
  <c r="F557" i="1"/>
  <c r="A556" i="1"/>
  <c r="B554" i="1"/>
  <c r="D552" i="1"/>
  <c r="E550" i="1"/>
  <c r="F548" i="1"/>
  <c r="B547" i="1"/>
  <c r="E545" i="1"/>
  <c r="C544" i="1"/>
  <c r="A543" i="1"/>
  <c r="E541" i="1"/>
  <c r="C540" i="1"/>
  <c r="A539" i="1"/>
  <c r="E537" i="1"/>
  <c r="C536" i="1"/>
  <c r="A535" i="1"/>
  <c r="E533" i="1"/>
  <c r="C532" i="1"/>
  <c r="A531" i="1"/>
  <c r="E529" i="1"/>
  <c r="C528" i="1"/>
  <c r="A527" i="1"/>
  <c r="E525" i="1"/>
  <c r="C524" i="1"/>
  <c r="A523" i="1"/>
  <c r="E521" i="1"/>
  <c r="C520" i="1"/>
  <c r="A519" i="1"/>
  <c r="E517" i="1"/>
  <c r="C516" i="1"/>
  <c r="A515" i="1"/>
  <c r="E513" i="1"/>
  <c r="C512" i="1"/>
  <c r="A511" i="1"/>
  <c r="E509" i="1"/>
  <c r="C508" i="1"/>
  <c r="A507" i="1"/>
  <c r="E505" i="1"/>
  <c r="C504" i="1"/>
  <c r="A503" i="1"/>
  <c r="E501" i="1"/>
  <c r="C500" i="1"/>
  <c r="A499" i="1"/>
  <c r="E497" i="1"/>
  <c r="C496" i="1"/>
  <c r="A495" i="1"/>
  <c r="E493" i="1"/>
  <c r="C492" i="1"/>
  <c r="A491" i="1"/>
  <c r="E489" i="1"/>
  <c r="C488" i="1"/>
  <c r="A487" i="1"/>
  <c r="E485" i="1"/>
  <c r="C484" i="1"/>
  <c r="A483" i="1"/>
  <c r="E481" i="1"/>
  <c r="C480" i="1"/>
  <c r="A479" i="1"/>
  <c r="E477" i="1"/>
  <c r="C476" i="1"/>
  <c r="A475" i="1"/>
  <c r="E473" i="1"/>
  <c r="C472" i="1"/>
  <c r="A471" i="1"/>
  <c r="E469" i="1"/>
  <c r="C468" i="1"/>
  <c r="A467" i="1"/>
  <c r="E465" i="1"/>
  <c r="C464" i="1"/>
  <c r="A463" i="1"/>
  <c r="E461" i="1"/>
  <c r="C460" i="1"/>
  <c r="A459" i="1"/>
  <c r="E457" i="1"/>
  <c r="C456" i="1"/>
  <c r="A455" i="1"/>
  <c r="E453" i="1"/>
  <c r="C452" i="1"/>
  <c r="A451" i="1"/>
  <c r="E449" i="1"/>
  <c r="C448" i="1"/>
  <c r="A447" i="1"/>
  <c r="E445" i="1"/>
  <c r="C444" i="1"/>
  <c r="A443" i="1"/>
  <c r="E441" i="1"/>
  <c r="C440" i="1"/>
  <c r="A439" i="1"/>
  <c r="E437" i="1"/>
  <c r="C436" i="1"/>
  <c r="A435" i="1"/>
  <c r="E433" i="1"/>
  <c r="C432" i="1"/>
  <c r="A431" i="1"/>
  <c r="E429" i="1"/>
  <c r="C428" i="1"/>
  <c r="A427" i="1"/>
  <c r="E425" i="1"/>
  <c r="C424" i="1"/>
  <c r="A423" i="1"/>
  <c r="E421" i="1"/>
  <c r="C420" i="1"/>
  <c r="A419" i="1"/>
  <c r="E417" i="1"/>
  <c r="C416" i="1"/>
  <c r="A415" i="1"/>
  <c r="E413" i="1"/>
  <c r="C412" i="1"/>
  <c r="A411" i="1"/>
  <c r="E409" i="1"/>
  <c r="C408" i="1"/>
  <c r="A407" i="1"/>
  <c r="E405" i="1"/>
  <c r="C404" i="1"/>
  <c r="A403" i="1"/>
  <c r="E401" i="1"/>
  <c r="C400" i="1"/>
  <c r="A399" i="1"/>
  <c r="E397" i="1"/>
  <c r="C396" i="1"/>
  <c r="A395" i="1"/>
  <c r="E393" i="1"/>
  <c r="C392" i="1"/>
  <c r="A391" i="1"/>
  <c r="E389" i="1"/>
  <c r="C388" i="1"/>
  <c r="A387" i="1"/>
  <c r="E385" i="1"/>
  <c r="C384" i="1"/>
  <c r="A383" i="1"/>
  <c r="E381" i="1"/>
  <c r="C380" i="1"/>
  <c r="A379" i="1"/>
  <c r="E377" i="1"/>
  <c r="C376" i="1"/>
  <c r="A375" i="1"/>
  <c r="E373" i="1"/>
  <c r="C372" i="1"/>
  <c r="A371" i="1"/>
  <c r="E369" i="1"/>
  <c r="C368" i="1"/>
  <c r="A367" i="1"/>
  <c r="E365" i="1"/>
  <c r="C364" i="1"/>
  <c r="A363" i="1"/>
  <c r="E361" i="1"/>
  <c r="C360" i="1"/>
  <c r="A359" i="1"/>
  <c r="E357" i="1"/>
  <c r="C356" i="1"/>
  <c r="A355" i="1"/>
  <c r="E353" i="1"/>
  <c r="C352" i="1"/>
  <c r="A351" i="1"/>
  <c r="E349" i="1"/>
  <c r="C348" i="1"/>
  <c r="A347" i="1"/>
  <c r="E345" i="1"/>
  <c r="C344" i="1"/>
  <c r="A343" i="1"/>
  <c r="E341" i="1"/>
  <c r="C340" i="1"/>
  <c r="A339" i="1"/>
  <c r="E337" i="1"/>
  <c r="C336" i="1"/>
  <c r="A335" i="1"/>
  <c r="E333" i="1"/>
  <c r="C332" i="1"/>
  <c r="A331" i="1"/>
  <c r="E329" i="1"/>
  <c r="C328" i="1"/>
  <c r="A327" i="1"/>
  <c r="E325" i="1"/>
  <c r="C324" i="1"/>
  <c r="A323" i="1"/>
  <c r="E321" i="1"/>
  <c r="C320" i="1"/>
  <c r="A319" i="1"/>
  <c r="E317" i="1"/>
  <c r="C316" i="1"/>
  <c r="A315" i="1"/>
  <c r="E313" i="1"/>
  <c r="C312" i="1"/>
  <c r="A311" i="1"/>
  <c r="E309" i="1"/>
  <c r="C308" i="1"/>
  <c r="A307" i="1"/>
  <c r="E305" i="1"/>
  <c r="C304" i="1"/>
  <c r="A303" i="1"/>
  <c r="E301" i="1"/>
  <c r="C300" i="1"/>
  <c r="A299" i="1"/>
  <c r="E297" i="1"/>
  <c r="C296" i="1"/>
  <c r="A295" i="1"/>
  <c r="E293" i="1"/>
  <c r="C292" i="1"/>
  <c r="A291" i="1"/>
  <c r="E289" i="1"/>
  <c r="C288" i="1"/>
  <c r="A287" i="1"/>
  <c r="E285" i="1"/>
  <c r="C284" i="1"/>
  <c r="A283" i="1"/>
  <c r="E281" i="1"/>
  <c r="C280" i="1"/>
  <c r="A279" i="1"/>
  <c r="E277" i="1"/>
  <c r="C276" i="1"/>
  <c r="A275" i="1"/>
  <c r="E273" i="1"/>
  <c r="C272" i="1"/>
  <c r="A271" i="1"/>
  <c r="E269" i="1"/>
  <c r="C268" i="1"/>
  <c r="A267" i="1"/>
  <c r="E265" i="1"/>
  <c r="C264" i="1"/>
  <c r="A263" i="1"/>
  <c r="E261" i="1"/>
  <c r="C260" i="1"/>
  <c r="A259" i="1"/>
  <c r="E257" i="1"/>
  <c r="C256" i="1"/>
  <c r="A255" i="1"/>
  <c r="E253" i="1"/>
  <c r="C252" i="1"/>
  <c r="A251" i="1"/>
  <c r="E249" i="1"/>
  <c r="C248" i="1"/>
  <c r="A247" i="1"/>
  <c r="E245" i="1"/>
  <c r="C244" i="1"/>
  <c r="A243" i="1"/>
  <c r="E241" i="1"/>
  <c r="C240" i="1"/>
  <c r="A239" i="1"/>
  <c r="E237" i="1"/>
  <c r="C236" i="1"/>
  <c r="A235" i="1"/>
  <c r="E233" i="1"/>
  <c r="C232" i="1"/>
  <c r="A231" i="1"/>
  <c r="E229" i="1"/>
  <c r="C228" i="1"/>
  <c r="A227" i="1"/>
  <c r="E225" i="1"/>
  <c r="C224" i="1"/>
  <c r="A223" i="1"/>
  <c r="E221" i="1"/>
  <c r="C220" i="1"/>
  <c r="A219" i="1"/>
  <c r="E217" i="1"/>
  <c r="C216" i="1"/>
  <c r="A215" i="1"/>
  <c r="E213" i="1"/>
  <c r="C212" i="1"/>
  <c r="A211" i="1"/>
  <c r="E209" i="1"/>
  <c r="C208" i="1"/>
  <c r="A207" i="1"/>
  <c r="E205" i="1"/>
  <c r="C204" i="1"/>
  <c r="A203" i="1"/>
  <c r="E201" i="1"/>
  <c r="C200" i="1"/>
  <c r="A199" i="1"/>
  <c r="E197" i="1"/>
  <c r="C196" i="1"/>
  <c r="A195" i="1"/>
  <c r="E193" i="1"/>
  <c r="C192" i="1"/>
  <c r="A191" i="1"/>
  <c r="E189" i="1"/>
  <c r="C188" i="1"/>
  <c r="A187" i="1"/>
  <c r="E185" i="1"/>
  <c r="C184" i="1"/>
  <c r="A183" i="1"/>
  <c r="E181" i="1"/>
  <c r="C180" i="1"/>
  <c r="A179" i="1"/>
  <c r="E177" i="1"/>
  <c r="C176" i="1"/>
  <c r="A175" i="1"/>
  <c r="E173" i="1"/>
  <c r="C172" i="1"/>
  <c r="A171" i="1"/>
  <c r="E169" i="1"/>
  <c r="C168" i="1"/>
  <c r="A167" i="1"/>
  <c r="E165" i="1"/>
  <c r="C164" i="1"/>
  <c r="A163" i="1"/>
  <c r="E161" i="1"/>
  <c r="C160" i="1"/>
  <c r="A159" i="1"/>
  <c r="E157" i="1"/>
  <c r="C156" i="1"/>
  <c r="A155" i="1"/>
  <c r="E153" i="1"/>
  <c r="C152" i="1"/>
  <c r="A151" i="1"/>
  <c r="E149" i="1"/>
  <c r="C148" i="1"/>
  <c r="A147" i="1"/>
  <c r="E145" i="1"/>
  <c r="C144" i="1"/>
  <c r="A143" i="1"/>
  <c r="E141" i="1"/>
  <c r="C140" i="1"/>
  <c r="A139" i="1"/>
  <c r="E137" i="1"/>
  <c r="C136" i="1"/>
  <c r="A135" i="1"/>
  <c r="E133" i="1"/>
  <c r="C132" i="1"/>
  <c r="A131" i="1"/>
  <c r="E129" i="1"/>
  <c r="C128" i="1"/>
  <c r="A127" i="1"/>
  <c r="E125" i="1"/>
  <c r="C124" i="1"/>
  <c r="A123" i="1"/>
  <c r="E121" i="1"/>
  <c r="C120" i="1"/>
  <c r="A119" i="1"/>
  <c r="E117" i="1"/>
  <c r="C116" i="1"/>
  <c r="A115" i="1"/>
  <c r="E113" i="1"/>
  <c r="C112" i="1"/>
  <c r="A111" i="1"/>
  <c r="E109" i="1"/>
  <c r="C108" i="1"/>
  <c r="A107" i="1"/>
  <c r="E105" i="1"/>
  <c r="C104" i="1"/>
  <c r="A103" i="1"/>
  <c r="E101" i="1"/>
  <c r="C100" i="1"/>
  <c r="A99" i="1"/>
  <c r="E97" i="1"/>
  <c r="C96" i="1"/>
  <c r="A95" i="1"/>
  <c r="E93" i="1"/>
  <c r="C92" i="1"/>
  <c r="A91" i="1"/>
  <c r="E89" i="1"/>
  <c r="C88" i="1"/>
  <c r="A87" i="1"/>
  <c r="E85" i="1"/>
  <c r="C84" i="1"/>
  <c r="F735" i="2"/>
  <c r="A554" i="2"/>
  <c r="E468" i="2"/>
  <c r="C383" i="2"/>
  <c r="A298" i="2"/>
  <c r="E212" i="2"/>
  <c r="F137" i="2"/>
  <c r="B89" i="2"/>
  <c r="D55" i="2"/>
  <c r="B34" i="2"/>
  <c r="F12" i="2"/>
  <c r="D1441" i="1"/>
  <c r="B1420" i="1"/>
  <c r="F1398" i="1"/>
  <c r="D1377" i="1"/>
  <c r="B1356" i="1"/>
  <c r="F1334" i="1"/>
  <c r="D1313" i="1"/>
  <c r="B1292" i="1"/>
  <c r="F1270" i="1"/>
  <c r="D1249" i="1"/>
  <c r="B1228" i="1"/>
  <c r="F1206" i="1"/>
  <c r="D1191" i="1"/>
  <c r="C1177" i="1"/>
  <c r="F1162" i="1"/>
  <c r="F1148" i="1"/>
  <c r="A1136" i="1"/>
  <c r="C1125" i="1"/>
  <c r="E1114" i="1"/>
  <c r="A1104" i="1"/>
  <c r="C1093" i="1"/>
  <c r="E1082" i="1"/>
  <c r="A1072" i="1"/>
  <c r="C1061" i="1"/>
  <c r="E1050" i="1"/>
  <c r="A1040" i="1"/>
  <c r="C1029" i="1"/>
  <c r="F1019" i="1"/>
  <c r="D1014" i="1"/>
  <c r="B1009" i="1"/>
  <c r="F1003" i="1"/>
  <c r="D998" i="1"/>
  <c r="B993" i="1"/>
  <c r="F987" i="1"/>
  <c r="D982" i="1"/>
  <c r="B977" i="1"/>
  <c r="F971" i="1"/>
  <c r="D966" i="1"/>
  <c r="B961" i="1"/>
  <c r="F955" i="1"/>
  <c r="D950" i="1"/>
  <c r="B945" i="1"/>
  <c r="F939" i="1"/>
  <c r="D934" i="1"/>
  <c r="B929" i="1"/>
  <c r="F923" i="1"/>
  <c r="D918" i="1"/>
  <c r="B913" i="1"/>
  <c r="F907" i="1"/>
  <c r="D902" i="1"/>
  <c r="B897" i="1"/>
  <c r="F891" i="1"/>
  <c r="D886" i="1"/>
  <c r="B881" i="1"/>
  <c r="F875" i="1"/>
  <c r="D870" i="1"/>
  <c r="B865" i="1"/>
  <c r="F859" i="1"/>
  <c r="D854" i="1"/>
  <c r="B849" i="1"/>
  <c r="F843" i="1"/>
  <c r="D838" i="1"/>
  <c r="B833" i="1"/>
  <c r="F827" i="1"/>
  <c r="D822" i="1"/>
  <c r="B817" i="1"/>
  <c r="F811" i="1"/>
  <c r="D806" i="1"/>
  <c r="B801" i="1"/>
  <c r="F795" i="1"/>
  <c r="D790" i="1"/>
  <c r="B785" i="1"/>
  <c r="F779" i="1"/>
  <c r="D774" i="1"/>
  <c r="B769" i="1"/>
  <c r="F763" i="1"/>
  <c r="D758" i="1"/>
  <c r="B753" i="1"/>
  <c r="F747" i="1"/>
  <c r="D742" i="1"/>
  <c r="B737" i="1"/>
  <c r="F731" i="1"/>
  <c r="D726" i="1"/>
  <c r="B721" i="1"/>
  <c r="F715" i="1"/>
  <c r="D710" i="1"/>
  <c r="B705" i="1"/>
  <c r="C701" i="1"/>
  <c r="F697" i="1"/>
  <c r="D694" i="1"/>
  <c r="E690" i="1"/>
  <c r="B687" i="1"/>
  <c r="F683" i="1"/>
  <c r="A680" i="1"/>
  <c r="D676" i="1"/>
  <c r="B673" i="1"/>
  <c r="C669" i="1"/>
  <c r="F665" i="1"/>
  <c r="D662" i="1"/>
  <c r="F659" i="1"/>
  <c r="B657" i="1"/>
  <c r="D654" i="1"/>
  <c r="F651" i="1"/>
  <c r="B649" i="1"/>
  <c r="D646" i="1"/>
  <c r="F643" i="1"/>
  <c r="B641" i="1"/>
  <c r="D638" i="1"/>
  <c r="F635" i="1"/>
  <c r="B633" i="1"/>
  <c r="D630" i="1"/>
  <c r="F627" i="1"/>
  <c r="B625" i="1"/>
  <c r="D622" i="1"/>
  <c r="F619" i="1"/>
  <c r="B617" i="1"/>
  <c r="D614" i="1"/>
  <c r="F611" i="1"/>
  <c r="B609" i="1"/>
  <c r="D606" i="1"/>
  <c r="F603" i="1"/>
  <c r="A602" i="1"/>
  <c r="C600" i="1"/>
  <c r="D598" i="1"/>
  <c r="E596" i="1"/>
  <c r="A595" i="1"/>
  <c r="B593" i="1"/>
  <c r="C591" i="1"/>
  <c r="E589" i="1"/>
  <c r="F587" i="1"/>
  <c r="A586" i="1"/>
  <c r="C584" i="1"/>
  <c r="D582" i="1"/>
  <c r="E580" i="1"/>
  <c r="A579" i="1"/>
  <c r="B577" i="1"/>
  <c r="C575" i="1"/>
  <c r="E573" i="1"/>
  <c r="F571" i="1"/>
  <c r="A570" i="1"/>
  <c r="C568" i="1"/>
  <c r="D566" i="1"/>
  <c r="E564" i="1"/>
  <c r="A563" i="1"/>
  <c r="B561" i="1"/>
  <c r="C559" i="1"/>
  <c r="E557" i="1"/>
  <c r="F555" i="1"/>
  <c r="A554" i="1"/>
  <c r="C552" i="1"/>
  <c r="D550" i="1"/>
  <c r="E548" i="1"/>
  <c r="A547" i="1"/>
  <c r="D545" i="1"/>
  <c r="B544" i="1"/>
  <c r="F542" i="1"/>
  <c r="D541" i="1"/>
  <c r="B540" i="1"/>
  <c r="F538" i="1"/>
  <c r="D537" i="1"/>
  <c r="B536" i="1"/>
  <c r="F534" i="1"/>
  <c r="D533" i="1"/>
  <c r="B532" i="1"/>
  <c r="F530" i="1"/>
  <c r="D529" i="1"/>
  <c r="B528" i="1"/>
  <c r="F526" i="1"/>
  <c r="D525" i="1"/>
  <c r="B524" i="1"/>
  <c r="F522" i="1"/>
  <c r="D521" i="1"/>
  <c r="B520" i="1"/>
  <c r="F518" i="1"/>
  <c r="D517" i="1"/>
  <c r="B516" i="1"/>
  <c r="F514" i="1"/>
  <c r="D513" i="1"/>
  <c r="B512" i="1"/>
  <c r="F510" i="1"/>
  <c r="D509" i="1"/>
  <c r="B508" i="1"/>
  <c r="F506" i="1"/>
  <c r="D505" i="1"/>
  <c r="B504" i="1"/>
  <c r="F502" i="1"/>
  <c r="D501" i="1"/>
  <c r="B500" i="1"/>
  <c r="F498" i="1"/>
  <c r="D497" i="1"/>
  <c r="B496" i="1"/>
  <c r="F494" i="1"/>
  <c r="D493" i="1"/>
  <c r="B492" i="1"/>
  <c r="F490" i="1"/>
  <c r="D489" i="1"/>
  <c r="B488" i="1"/>
  <c r="F486" i="1"/>
  <c r="D485" i="1"/>
  <c r="B484" i="1"/>
  <c r="F482" i="1"/>
  <c r="D481" i="1"/>
  <c r="B480" i="1"/>
  <c r="F478" i="1"/>
  <c r="D477" i="1"/>
  <c r="B476" i="1"/>
  <c r="F474" i="1"/>
  <c r="D473" i="1"/>
  <c r="B472" i="1"/>
  <c r="F470" i="1"/>
  <c r="D469" i="1"/>
  <c r="B468" i="1"/>
  <c r="F466" i="1"/>
  <c r="D465" i="1"/>
  <c r="B464" i="1"/>
  <c r="F462" i="1"/>
  <c r="D461" i="1"/>
  <c r="B460" i="1"/>
  <c r="F458" i="1"/>
  <c r="D457" i="1"/>
  <c r="B456" i="1"/>
  <c r="F454" i="1"/>
  <c r="D453" i="1"/>
  <c r="B452" i="1"/>
  <c r="F450" i="1"/>
  <c r="D449" i="1"/>
  <c r="B448" i="1"/>
  <c r="F446" i="1"/>
  <c r="D445" i="1"/>
  <c r="B444" i="1"/>
  <c r="F442" i="1"/>
  <c r="D441" i="1"/>
  <c r="B440" i="1"/>
  <c r="F438" i="1"/>
  <c r="D437" i="1"/>
  <c r="B436" i="1"/>
  <c r="F434" i="1"/>
  <c r="D433" i="1"/>
  <c r="B432" i="1"/>
  <c r="F430" i="1"/>
  <c r="D429" i="1"/>
  <c r="B428" i="1"/>
  <c r="F426" i="1"/>
  <c r="D425" i="1"/>
  <c r="B424" i="1"/>
  <c r="F422" i="1"/>
  <c r="D421" i="1"/>
  <c r="B420" i="1"/>
  <c r="F418" i="1"/>
  <c r="D417" i="1"/>
  <c r="B416" i="1"/>
  <c r="F414" i="1"/>
  <c r="D413" i="1"/>
  <c r="B412" i="1"/>
  <c r="F410" i="1"/>
  <c r="D409" i="1"/>
  <c r="B408" i="1"/>
  <c r="F406" i="1"/>
  <c r="D405" i="1"/>
  <c r="B404" i="1"/>
  <c r="F402" i="1"/>
  <c r="D401" i="1"/>
  <c r="B400" i="1"/>
  <c r="F398" i="1"/>
  <c r="D397" i="1"/>
  <c r="B396" i="1"/>
  <c r="F394" i="1"/>
  <c r="D393" i="1"/>
  <c r="B392" i="1"/>
  <c r="F390" i="1"/>
  <c r="D389" i="1"/>
  <c r="B388" i="1"/>
  <c r="F386" i="1"/>
  <c r="D385" i="1"/>
  <c r="B384" i="1"/>
  <c r="F382" i="1"/>
  <c r="D381" i="1"/>
  <c r="B380" i="1"/>
  <c r="F378" i="1"/>
  <c r="D377" i="1"/>
  <c r="B376" i="1"/>
  <c r="F374" i="1"/>
  <c r="D373" i="1"/>
  <c r="B372" i="1"/>
  <c r="F370" i="1"/>
  <c r="D369" i="1"/>
  <c r="B368" i="1"/>
  <c r="F366" i="1"/>
  <c r="D365" i="1"/>
  <c r="B364" i="1"/>
  <c r="F362" i="1"/>
  <c r="D361" i="1"/>
  <c r="B360" i="1"/>
  <c r="F358" i="1"/>
  <c r="D357" i="1"/>
  <c r="B356" i="1"/>
  <c r="F354" i="1"/>
  <c r="D353" i="1"/>
  <c r="B352" i="1"/>
  <c r="F350" i="1"/>
  <c r="D349" i="1"/>
  <c r="B348" i="1"/>
  <c r="F346" i="1"/>
  <c r="D345" i="1"/>
  <c r="B344" i="1"/>
  <c r="F342" i="1"/>
  <c r="D341" i="1"/>
  <c r="B340" i="1"/>
  <c r="F338" i="1"/>
  <c r="D337" i="1"/>
  <c r="B336" i="1"/>
  <c r="F334" i="1"/>
  <c r="D333" i="1"/>
  <c r="B332" i="1"/>
  <c r="F330" i="1"/>
  <c r="D329" i="1"/>
  <c r="B328" i="1"/>
  <c r="F326" i="1"/>
  <c r="D325" i="1"/>
  <c r="B324" i="1"/>
  <c r="F322" i="1"/>
  <c r="D321" i="1"/>
  <c r="B320" i="1"/>
  <c r="F318" i="1"/>
  <c r="D317" i="1"/>
  <c r="B316" i="1"/>
  <c r="F314" i="1"/>
  <c r="D313" i="1"/>
  <c r="B312" i="1"/>
  <c r="F310" i="1"/>
  <c r="D309" i="1"/>
  <c r="B308" i="1"/>
  <c r="F306" i="1"/>
  <c r="D305" i="1"/>
  <c r="B304" i="1"/>
  <c r="F302" i="1"/>
  <c r="D301" i="1"/>
  <c r="B300" i="1"/>
  <c r="F298" i="1"/>
  <c r="D297" i="1"/>
  <c r="B296" i="1"/>
  <c r="F294" i="1"/>
  <c r="D293" i="1"/>
  <c r="B292" i="1"/>
  <c r="F290" i="1"/>
  <c r="D289" i="1"/>
  <c r="B288" i="1"/>
  <c r="F286" i="1"/>
  <c r="D285" i="1"/>
  <c r="B284" i="1"/>
  <c r="F282" i="1"/>
  <c r="D281" i="1"/>
  <c r="B280" i="1"/>
  <c r="F278" i="1"/>
  <c r="D277" i="1"/>
  <c r="B276" i="1"/>
  <c r="F274" i="1"/>
  <c r="D273" i="1"/>
  <c r="B272" i="1"/>
  <c r="F270" i="1"/>
  <c r="D269" i="1"/>
  <c r="B268" i="1"/>
  <c r="F266" i="1"/>
  <c r="D265" i="1"/>
  <c r="B264" i="1"/>
  <c r="F262" i="1"/>
  <c r="D261" i="1"/>
  <c r="B260" i="1"/>
  <c r="F258" i="1"/>
  <c r="D257" i="1"/>
  <c r="B256" i="1"/>
  <c r="F254" i="1"/>
  <c r="D253" i="1"/>
  <c r="B252" i="1"/>
  <c r="F250" i="1"/>
  <c r="D249" i="1"/>
  <c r="B248" i="1"/>
  <c r="F246" i="1"/>
  <c r="D245" i="1"/>
  <c r="B244" i="1"/>
  <c r="F242" i="1"/>
  <c r="D241" i="1"/>
  <c r="B240" i="1"/>
  <c r="F238" i="1"/>
  <c r="D237" i="1"/>
  <c r="B236" i="1"/>
  <c r="F234" i="1"/>
  <c r="D233" i="1"/>
  <c r="B232" i="1"/>
  <c r="F230" i="1"/>
  <c r="D229" i="1"/>
  <c r="B228" i="1"/>
  <c r="F226" i="1"/>
  <c r="D675" i="2"/>
  <c r="F537" i="2"/>
  <c r="D452" i="2"/>
  <c r="B367" i="2"/>
  <c r="F281" i="2"/>
  <c r="D196" i="2"/>
  <c r="D126" i="2"/>
  <c r="A81" i="2"/>
  <c r="C51" i="2"/>
  <c r="A30" i="2"/>
  <c r="E8" i="2"/>
  <c r="C1437" i="1"/>
  <c r="A1416" i="1"/>
  <c r="E1394" i="1"/>
  <c r="C1373" i="1"/>
  <c r="A1352" i="1"/>
  <c r="E1330" i="1"/>
  <c r="C1309" i="1"/>
  <c r="A1288" i="1"/>
  <c r="E1266" i="1"/>
  <c r="C1245" i="1"/>
  <c r="A1224" i="1"/>
  <c r="E1202" i="1"/>
  <c r="B1188" i="1"/>
  <c r="B1174" i="1"/>
  <c r="A1160" i="1"/>
  <c r="D1145" i="1"/>
  <c r="D1133" i="1"/>
  <c r="F1122" i="1"/>
  <c r="B1112" i="1"/>
  <c r="D1101" i="1"/>
  <c r="F1090" i="1"/>
  <c r="B1080" i="1"/>
  <c r="D1069" i="1"/>
  <c r="F1058" i="1"/>
  <c r="B1048" i="1"/>
  <c r="D1037" i="1"/>
  <c r="F1026" i="1"/>
  <c r="E1018" i="1"/>
  <c r="C1013" i="1"/>
  <c r="A1008" i="1"/>
  <c r="E1002" i="1"/>
  <c r="C997" i="1"/>
  <c r="A992" i="1"/>
  <c r="E986" i="1"/>
  <c r="C981" i="1"/>
  <c r="A976" i="1"/>
  <c r="E970" i="1"/>
  <c r="C965" i="1"/>
  <c r="A960" i="1"/>
  <c r="E954" i="1"/>
  <c r="C949" i="1"/>
  <c r="A944" i="1"/>
  <c r="E938" i="1"/>
  <c r="C933" i="1"/>
  <c r="A928" i="1"/>
  <c r="E922" i="1"/>
  <c r="C917" i="1"/>
  <c r="A912" i="1"/>
  <c r="E906" i="1"/>
  <c r="C901" i="1"/>
  <c r="A896" i="1"/>
  <c r="E890" i="1"/>
  <c r="C885" i="1"/>
  <c r="A880" i="1"/>
  <c r="E874" i="1"/>
  <c r="C869" i="1"/>
  <c r="A864" i="1"/>
  <c r="E858" i="1"/>
  <c r="C853" i="1"/>
  <c r="A848" i="1"/>
  <c r="E842" i="1"/>
  <c r="C837" i="1"/>
  <c r="A832" i="1"/>
  <c r="E826" i="1"/>
  <c r="C821" i="1"/>
  <c r="A816" i="1"/>
  <c r="E810" i="1"/>
  <c r="C805" i="1"/>
  <c r="A800" i="1"/>
  <c r="E794" i="1"/>
  <c r="C789" i="1"/>
  <c r="A784" i="1"/>
  <c r="E778" i="1"/>
  <c r="C773" i="1"/>
  <c r="A768" i="1"/>
  <c r="E762" i="1"/>
  <c r="C757" i="1"/>
  <c r="A752" i="1"/>
  <c r="E746" i="1"/>
  <c r="C741" i="1"/>
  <c r="A736" i="1"/>
  <c r="E730" i="1"/>
  <c r="C725" i="1"/>
  <c r="A720" i="1"/>
  <c r="E714" i="1"/>
  <c r="C709" i="1"/>
  <c r="D704" i="1"/>
  <c r="B701" i="1"/>
  <c r="C697" i="1"/>
  <c r="F693" i="1"/>
  <c r="D690" i="1"/>
  <c r="E686" i="1"/>
  <c r="B683" i="1"/>
  <c r="F679" i="1"/>
  <c r="A676" i="1"/>
  <c r="D672" i="1"/>
  <c r="B669" i="1"/>
  <c r="C665" i="1"/>
  <c r="F661" i="1"/>
  <c r="B659" i="1"/>
  <c r="D656" i="1"/>
  <c r="F653" i="1"/>
  <c r="B651" i="1"/>
  <c r="D648" i="1"/>
  <c r="F645" i="1"/>
  <c r="B643" i="1"/>
  <c r="D640" i="1"/>
  <c r="F637" i="1"/>
  <c r="B635" i="1"/>
  <c r="D632" i="1"/>
  <c r="F629" i="1"/>
  <c r="B627" i="1"/>
  <c r="D624" i="1"/>
  <c r="F621" i="1"/>
  <c r="B619" i="1"/>
  <c r="D616" i="1"/>
  <c r="F613" i="1"/>
  <c r="B611" i="1"/>
  <c r="D608" i="1"/>
  <c r="F605" i="1"/>
  <c r="D603" i="1"/>
  <c r="F601" i="1"/>
  <c r="A600" i="1"/>
  <c r="B598" i="1"/>
  <c r="D596" i="1"/>
  <c r="E594" i="1"/>
  <c r="F592" i="1"/>
  <c r="B591" i="1"/>
  <c r="C589" i="1"/>
  <c r="D587" i="1"/>
  <c r="F585" i="1"/>
  <c r="A584" i="1"/>
  <c r="B582" i="1"/>
  <c r="D580" i="1"/>
  <c r="E578" i="1"/>
  <c r="F576" i="1"/>
  <c r="B575" i="1"/>
  <c r="C573" i="1"/>
  <c r="D571" i="1"/>
  <c r="F569" i="1"/>
  <c r="A568" i="1"/>
  <c r="B566" i="1"/>
  <c r="D564" i="1"/>
  <c r="E562" i="1"/>
  <c r="F560" i="1"/>
  <c r="B559" i="1"/>
  <c r="C557" i="1"/>
  <c r="D555" i="1"/>
  <c r="F553" i="1"/>
  <c r="A552" i="1"/>
  <c r="B550" i="1"/>
  <c r="D548" i="1"/>
  <c r="E546" i="1"/>
  <c r="C545" i="1"/>
  <c r="A544" i="1"/>
  <c r="E542" i="1"/>
  <c r="C541" i="1"/>
  <c r="A540" i="1"/>
  <c r="E538" i="1"/>
  <c r="C537" i="1"/>
  <c r="A536" i="1"/>
  <c r="E534" i="1"/>
  <c r="C533" i="1"/>
  <c r="A532" i="1"/>
  <c r="E530" i="1"/>
  <c r="C529" i="1"/>
  <c r="A528" i="1"/>
  <c r="E526" i="1"/>
  <c r="C525" i="1"/>
  <c r="A524" i="1"/>
  <c r="E522" i="1"/>
  <c r="C521" i="1"/>
  <c r="A520" i="1"/>
  <c r="E518" i="1"/>
  <c r="C517" i="1"/>
  <c r="A516" i="1"/>
  <c r="E514" i="1"/>
  <c r="C513" i="1"/>
  <c r="A512" i="1"/>
  <c r="E510" i="1"/>
  <c r="C509" i="1"/>
  <c r="A508" i="1"/>
  <c r="E506" i="1"/>
  <c r="C505" i="1"/>
  <c r="A504" i="1"/>
  <c r="E502" i="1"/>
  <c r="C501" i="1"/>
  <c r="A500" i="1"/>
  <c r="E498" i="1"/>
  <c r="C497" i="1"/>
  <c r="A496" i="1"/>
  <c r="E494" i="1"/>
  <c r="C493" i="1"/>
  <c r="A492" i="1"/>
  <c r="E490" i="1"/>
  <c r="C489" i="1"/>
  <c r="A488" i="1"/>
  <c r="E486" i="1"/>
  <c r="C485" i="1"/>
  <c r="A484" i="1"/>
  <c r="E482" i="1"/>
  <c r="C481" i="1"/>
  <c r="A480" i="1"/>
  <c r="E478" i="1"/>
  <c r="C477" i="1"/>
  <c r="A476" i="1"/>
  <c r="E474" i="1"/>
  <c r="C473" i="1"/>
  <c r="A472" i="1"/>
  <c r="E470" i="1"/>
  <c r="C469" i="1"/>
  <c r="A468" i="1"/>
  <c r="E466" i="1"/>
  <c r="C465" i="1"/>
  <c r="A464" i="1"/>
  <c r="E462" i="1"/>
  <c r="C461" i="1"/>
  <c r="A460" i="1"/>
  <c r="E458" i="1"/>
  <c r="C457" i="1"/>
  <c r="A456" i="1"/>
  <c r="E454" i="1"/>
  <c r="C453" i="1"/>
  <c r="A452" i="1"/>
  <c r="E450" i="1"/>
  <c r="C449" i="1"/>
  <c r="A448" i="1"/>
  <c r="E446" i="1"/>
  <c r="C445" i="1"/>
  <c r="A444" i="1"/>
  <c r="E442" i="1"/>
  <c r="C441" i="1"/>
  <c r="A440" i="1"/>
  <c r="E438" i="1"/>
  <c r="C437" i="1"/>
  <c r="A436" i="1"/>
  <c r="E434" i="1"/>
  <c r="C433" i="1"/>
  <c r="A432" i="1"/>
  <c r="E430" i="1"/>
  <c r="C429" i="1"/>
  <c r="A428" i="1"/>
  <c r="E426" i="1"/>
  <c r="C425" i="1"/>
  <c r="A424" i="1"/>
  <c r="E422" i="1"/>
  <c r="C421" i="1"/>
  <c r="A420" i="1"/>
  <c r="E418" i="1"/>
  <c r="C417" i="1"/>
  <c r="A416" i="1"/>
  <c r="E414" i="1"/>
  <c r="C413" i="1"/>
  <c r="A412" i="1"/>
  <c r="E410" i="1"/>
  <c r="C409" i="1"/>
  <c r="A408" i="1"/>
  <c r="E406" i="1"/>
  <c r="C405" i="1"/>
  <c r="A404" i="1"/>
  <c r="E402" i="1"/>
  <c r="C401" i="1"/>
  <c r="A400" i="1"/>
  <c r="E398" i="1"/>
  <c r="C397" i="1"/>
  <c r="A396" i="1"/>
  <c r="E394" i="1"/>
  <c r="C393" i="1"/>
  <c r="A392" i="1"/>
  <c r="E390" i="1"/>
  <c r="C389" i="1"/>
  <c r="A388" i="1"/>
  <c r="E386" i="1"/>
  <c r="C385" i="1"/>
  <c r="A384" i="1"/>
  <c r="E382" i="1"/>
  <c r="C381" i="1"/>
  <c r="A380" i="1"/>
  <c r="E378" i="1"/>
  <c r="C377" i="1"/>
  <c r="A376" i="1"/>
  <c r="E374" i="1"/>
  <c r="C373" i="1"/>
  <c r="A372" i="1"/>
  <c r="E370" i="1"/>
  <c r="C369" i="1"/>
  <c r="A368" i="1"/>
  <c r="E366" i="1"/>
  <c r="C365" i="1"/>
  <c r="A364" i="1"/>
  <c r="E362" i="1"/>
  <c r="C361" i="1"/>
  <c r="A360" i="1"/>
  <c r="E358" i="1"/>
  <c r="C357" i="1"/>
  <c r="A356" i="1"/>
  <c r="E354" i="1"/>
  <c r="C353" i="1"/>
  <c r="A352" i="1"/>
  <c r="E350" i="1"/>
  <c r="C349" i="1"/>
  <c r="A348" i="1"/>
  <c r="E346" i="1"/>
  <c r="C345" i="1"/>
  <c r="A344" i="1"/>
  <c r="E342" i="1"/>
  <c r="C341" i="1"/>
  <c r="A340" i="1"/>
  <c r="E338" i="1"/>
  <c r="C337" i="1"/>
  <c r="A336" i="1"/>
  <c r="E334" i="1"/>
  <c r="C333" i="1"/>
  <c r="A332" i="1"/>
  <c r="E330" i="1"/>
  <c r="C329" i="1"/>
  <c r="A328" i="1"/>
  <c r="E326" i="1"/>
  <c r="C325" i="1"/>
  <c r="A324" i="1"/>
  <c r="E322" i="1"/>
  <c r="C321" i="1"/>
  <c r="A320" i="1"/>
  <c r="E318" i="1"/>
  <c r="C317" i="1"/>
  <c r="A316" i="1"/>
  <c r="E314" i="1"/>
  <c r="C313" i="1"/>
  <c r="A312" i="1"/>
  <c r="E310" i="1"/>
  <c r="C309" i="1"/>
  <c r="A308" i="1"/>
  <c r="E306" i="1"/>
  <c r="C305" i="1"/>
  <c r="A304" i="1"/>
  <c r="E302" i="1"/>
  <c r="C301" i="1"/>
  <c r="A300" i="1"/>
  <c r="E298" i="1"/>
  <c r="C297" i="1"/>
  <c r="A296" i="1"/>
  <c r="E294" i="1"/>
  <c r="C293" i="1"/>
  <c r="A292" i="1"/>
  <c r="E290" i="1"/>
  <c r="C289" i="1"/>
  <c r="A288" i="1"/>
  <c r="E286" i="1"/>
  <c r="C285" i="1"/>
  <c r="A284" i="1"/>
  <c r="E282" i="1"/>
  <c r="C281" i="1"/>
  <c r="A280" i="1"/>
  <c r="E278" i="1"/>
  <c r="C277" i="1"/>
  <c r="A276" i="1"/>
  <c r="E274" i="1"/>
  <c r="C273" i="1"/>
  <c r="A272" i="1"/>
  <c r="E270" i="1"/>
  <c r="C269" i="1"/>
  <c r="A268" i="1"/>
  <c r="E266" i="1"/>
  <c r="C265" i="1"/>
  <c r="A264" i="1"/>
  <c r="E262" i="1"/>
  <c r="C261" i="1"/>
  <c r="A260" i="1"/>
  <c r="E258" i="1"/>
  <c r="C257" i="1"/>
  <c r="A256" i="1"/>
  <c r="E254" i="1"/>
  <c r="C253" i="1"/>
  <c r="A252" i="1"/>
  <c r="E250" i="1"/>
  <c r="C249" i="1"/>
  <c r="A248" i="1"/>
  <c r="E246" i="1"/>
  <c r="C245" i="1"/>
  <c r="A244" i="1"/>
  <c r="E242" i="1"/>
  <c r="C241" i="1"/>
  <c r="A240" i="1"/>
  <c r="E238" i="1"/>
  <c r="C237" i="1"/>
  <c r="A236" i="1"/>
  <c r="E234" i="1"/>
  <c r="C233" i="1"/>
  <c r="A232" i="1"/>
  <c r="E230" i="1"/>
  <c r="C229" i="1"/>
  <c r="A228" i="1"/>
  <c r="E226" i="1"/>
  <c r="C225" i="1"/>
  <c r="A224" i="1"/>
  <c r="E222" i="1"/>
  <c r="C221" i="1"/>
  <c r="A220" i="1"/>
  <c r="E218" i="1"/>
  <c r="C217" i="1"/>
  <c r="A216" i="1"/>
  <c r="E214" i="1"/>
  <c r="C213" i="1"/>
  <c r="A212" i="1"/>
  <c r="E210" i="1"/>
  <c r="C209" i="1"/>
  <c r="A208" i="1"/>
  <c r="E206" i="1"/>
  <c r="C205" i="1"/>
  <c r="A204" i="1"/>
  <c r="E202" i="1"/>
  <c r="C201" i="1"/>
  <c r="A200" i="1"/>
  <c r="E198" i="1"/>
  <c r="C197" i="1"/>
  <c r="A196" i="1"/>
  <c r="E194" i="1"/>
  <c r="C193" i="1"/>
  <c r="A192" i="1"/>
  <c r="E190" i="1"/>
  <c r="C189" i="1"/>
  <c r="A188" i="1"/>
  <c r="E186" i="1"/>
  <c r="C185" i="1"/>
  <c r="A184" i="1"/>
  <c r="E182" i="1"/>
  <c r="C181" i="1"/>
  <c r="A180" i="1"/>
  <c r="E178" i="1"/>
  <c r="C177" i="1"/>
  <c r="A176" i="1"/>
  <c r="E174" i="1"/>
  <c r="C173" i="1"/>
  <c r="A172" i="1"/>
  <c r="E170" i="1"/>
  <c r="C169" i="1"/>
  <c r="A168" i="1"/>
  <c r="E166" i="1"/>
  <c r="C165" i="1"/>
  <c r="A164" i="1"/>
  <c r="E162" i="1"/>
  <c r="C161" i="1"/>
  <c r="A160" i="1"/>
  <c r="E158" i="1"/>
  <c r="C157" i="1"/>
  <c r="A156" i="1"/>
  <c r="E154" i="1"/>
  <c r="C153" i="1"/>
  <c r="A152" i="1"/>
  <c r="E150" i="1"/>
  <c r="C149" i="1"/>
  <c r="A148" i="1"/>
  <c r="E146" i="1"/>
  <c r="C145" i="1"/>
  <c r="A144" i="1"/>
  <c r="E142" i="1"/>
  <c r="C141" i="1"/>
  <c r="A140" i="1"/>
  <c r="E138" i="1"/>
  <c r="C137" i="1"/>
  <c r="A136" i="1"/>
  <c r="E134" i="1"/>
  <c r="C133" i="1"/>
  <c r="A132" i="1"/>
  <c r="E130" i="1"/>
  <c r="C129" i="1"/>
  <c r="A128" i="1"/>
  <c r="E126" i="1"/>
  <c r="C125" i="1"/>
  <c r="A124" i="1"/>
  <c r="E122" i="1"/>
  <c r="C121" i="1"/>
  <c r="A120" i="1"/>
  <c r="E118" i="1"/>
  <c r="C117" i="1"/>
  <c r="A116" i="1"/>
  <c r="E114" i="1"/>
  <c r="C113" i="1"/>
  <c r="A112" i="1"/>
  <c r="E110" i="1"/>
  <c r="C109" i="1"/>
  <c r="A108" i="1"/>
  <c r="E106" i="1"/>
  <c r="C105" i="1"/>
  <c r="A104" i="1"/>
  <c r="E102" i="1"/>
  <c r="C101" i="1"/>
  <c r="A100" i="1"/>
  <c r="E98" i="1"/>
  <c r="C97" i="1"/>
  <c r="A96" i="1"/>
  <c r="E94" i="1"/>
  <c r="C93" i="1"/>
  <c r="A92" i="1"/>
  <c r="E90" i="1"/>
  <c r="C89" i="1"/>
  <c r="A88" i="1"/>
  <c r="E86" i="1"/>
  <c r="C85" i="1"/>
  <c r="A84" i="1"/>
  <c r="E82" i="1"/>
  <c r="C81" i="1"/>
  <c r="B625" i="2"/>
  <c r="E532" i="2"/>
  <c r="C447" i="2"/>
  <c r="A362" i="2"/>
  <c r="E276" i="2"/>
  <c r="C191" i="2"/>
  <c r="C123" i="2"/>
  <c r="D78" i="2"/>
  <c r="B50" i="2"/>
  <c r="F28" i="2"/>
  <c r="D7" i="2"/>
  <c r="B1436" i="1"/>
  <c r="F1414" i="1"/>
  <c r="D1393" i="1"/>
  <c r="B1372" i="1"/>
  <c r="F1350" i="1"/>
  <c r="D1329" i="1"/>
  <c r="B1308" i="1"/>
  <c r="F1286" i="1"/>
  <c r="D1265" i="1"/>
  <c r="B1244" i="1"/>
  <c r="F1222" i="1"/>
  <c r="B1202" i="1"/>
  <c r="A1188" i="1"/>
  <c r="D1173" i="1"/>
  <c r="D1159" i="1"/>
  <c r="C1145" i="1"/>
  <c r="C1133" i="1"/>
  <c r="E1122" i="1"/>
  <c r="A1112" i="1"/>
  <c r="C1101" i="1"/>
  <c r="E1090" i="1"/>
  <c r="A1080" i="1"/>
  <c r="C1069" i="1"/>
  <c r="E1058" i="1"/>
  <c r="A1048" i="1"/>
  <c r="C1037" i="1"/>
  <c r="E1026" i="1"/>
  <c r="D1018" i="1"/>
  <c r="B1013" i="1"/>
  <c r="F1007" i="1"/>
  <c r="D1002" i="1"/>
  <c r="B997" i="1"/>
  <c r="F991" i="1"/>
  <c r="D986" i="1"/>
  <c r="B981" i="1"/>
  <c r="F975" i="1"/>
  <c r="D970" i="1"/>
  <c r="B965" i="1"/>
  <c r="F959" i="1"/>
  <c r="D954" i="1"/>
  <c r="B949" i="1"/>
  <c r="F943" i="1"/>
  <c r="D938" i="1"/>
  <c r="B933" i="1"/>
  <c r="F927" i="1"/>
  <c r="D922" i="1"/>
  <c r="B917" i="1"/>
  <c r="F911" i="1"/>
  <c r="D906" i="1"/>
  <c r="B901" i="1"/>
  <c r="F895" i="1"/>
  <c r="D890" i="1"/>
  <c r="B885" i="1"/>
  <c r="F879" i="1"/>
  <c r="D874" i="1"/>
  <c r="B869" i="1"/>
  <c r="F863" i="1"/>
  <c r="D858" i="1"/>
  <c r="B853" i="1"/>
  <c r="F847" i="1"/>
  <c r="D842" i="1"/>
  <c r="B837" i="1"/>
  <c r="F831" i="1"/>
  <c r="D826" i="1"/>
  <c r="B821" i="1"/>
  <c r="F815" i="1"/>
  <c r="D810" i="1"/>
  <c r="B805" i="1"/>
  <c r="F799" i="1"/>
  <c r="D794" i="1"/>
  <c r="B789" i="1"/>
  <c r="F783" i="1"/>
  <c r="D778" i="1"/>
  <c r="B773" i="1"/>
  <c r="F767" i="1"/>
  <c r="D762" i="1"/>
  <c r="B757" i="1"/>
  <c r="F751" i="1"/>
  <c r="D746" i="1"/>
  <c r="B741" i="1"/>
  <c r="F735" i="1"/>
  <c r="D730" i="1"/>
  <c r="B725" i="1"/>
  <c r="F719" i="1"/>
  <c r="D714" i="1"/>
  <c r="B709" i="1"/>
  <c r="A704" i="1"/>
  <c r="D700" i="1"/>
  <c r="B697" i="1"/>
  <c r="C693" i="1"/>
  <c r="F689" i="1"/>
  <c r="D686" i="1"/>
  <c r="E682" i="1"/>
  <c r="B679" i="1"/>
  <c r="F675" i="1"/>
  <c r="A672" i="1"/>
  <c r="D668" i="1"/>
  <c r="B665" i="1"/>
  <c r="E661" i="1"/>
  <c r="A659" i="1"/>
  <c r="C656" i="1"/>
  <c r="E653" i="1"/>
  <c r="A651" i="1"/>
  <c r="C648" i="1"/>
  <c r="E645" i="1"/>
  <c r="A643" i="1"/>
  <c r="C640" i="1"/>
  <c r="E637" i="1"/>
  <c r="A635" i="1"/>
  <c r="C632" i="1"/>
  <c r="E629" i="1"/>
  <c r="A627" i="1"/>
  <c r="C624" i="1"/>
  <c r="E621" i="1"/>
  <c r="A619" i="1"/>
  <c r="C616" i="1"/>
  <c r="E613" i="1"/>
  <c r="A611" i="1"/>
  <c r="C608" i="1"/>
  <c r="E605" i="1"/>
  <c r="C603" i="1"/>
  <c r="E601" i="1"/>
  <c r="F599" i="1"/>
  <c r="A598" i="1"/>
  <c r="C596" i="1"/>
  <c r="D594" i="1"/>
  <c r="E592" i="1"/>
  <c r="A591" i="1"/>
  <c r="B589" i="1"/>
  <c r="C587" i="1"/>
  <c r="E585" i="1"/>
  <c r="F583" i="1"/>
  <c r="A582" i="1"/>
  <c r="C580" i="1"/>
  <c r="D578" i="1"/>
  <c r="E576" i="1"/>
  <c r="A575" i="1"/>
  <c r="B573" i="1"/>
  <c r="C571" i="1"/>
  <c r="E569" i="1"/>
  <c r="F567" i="1"/>
  <c r="A566" i="1"/>
  <c r="C564" i="1"/>
  <c r="D562" i="1"/>
  <c r="E560" i="1"/>
  <c r="A559" i="1"/>
  <c r="B557" i="1"/>
  <c r="C555" i="1"/>
  <c r="E553" i="1"/>
  <c r="F551" i="1"/>
  <c r="A550" i="1"/>
  <c r="C548" i="1"/>
  <c r="D546" i="1"/>
  <c r="B545" i="1"/>
  <c r="F543" i="1"/>
  <c r="D542" i="1"/>
  <c r="B541" i="1"/>
  <c r="F539" i="1"/>
  <c r="D538" i="1"/>
  <c r="B537" i="1"/>
  <c r="F535" i="1"/>
  <c r="D534" i="1"/>
  <c r="B533" i="1"/>
  <c r="F531" i="1"/>
  <c r="D530" i="1"/>
  <c r="B529" i="1"/>
  <c r="F527" i="1"/>
  <c r="D526" i="1"/>
  <c r="B525" i="1"/>
  <c r="F523" i="1"/>
  <c r="D522" i="1"/>
  <c r="B521" i="1"/>
  <c r="F519" i="1"/>
  <c r="D518" i="1"/>
  <c r="B517" i="1"/>
  <c r="F515" i="1"/>
  <c r="D514" i="1"/>
  <c r="B513" i="1"/>
  <c r="F511" i="1"/>
  <c r="D510" i="1"/>
  <c r="B509" i="1"/>
  <c r="F507" i="1"/>
  <c r="D506" i="1"/>
  <c r="B505" i="1"/>
  <c r="F503" i="1"/>
  <c r="D502" i="1"/>
  <c r="B501" i="1"/>
  <c r="F499" i="1"/>
  <c r="D498" i="1"/>
  <c r="B497" i="1"/>
  <c r="F495" i="1"/>
  <c r="D494" i="1"/>
  <c r="B493" i="1"/>
  <c r="F491" i="1"/>
  <c r="D490" i="1"/>
  <c r="B489" i="1"/>
  <c r="F487" i="1"/>
  <c r="D486" i="1"/>
  <c r="B485" i="1"/>
  <c r="F483" i="1"/>
  <c r="D482" i="1"/>
  <c r="B481" i="1"/>
  <c r="F479" i="1"/>
  <c r="D478" i="1"/>
  <c r="B477" i="1"/>
  <c r="F475" i="1"/>
  <c r="D474" i="1"/>
  <c r="B473" i="1"/>
  <c r="F471" i="1"/>
  <c r="D470" i="1"/>
  <c r="B469" i="1"/>
  <c r="F467" i="1"/>
  <c r="D466" i="1"/>
  <c r="B465" i="1"/>
  <c r="F463" i="1"/>
  <c r="D462" i="1"/>
  <c r="B461" i="1"/>
  <c r="F459" i="1"/>
  <c r="D458" i="1"/>
  <c r="B457" i="1"/>
  <c r="F455" i="1"/>
  <c r="D454" i="1"/>
  <c r="B453" i="1"/>
  <c r="F451" i="1"/>
  <c r="D450" i="1"/>
  <c r="B449" i="1"/>
  <c r="F447" i="1"/>
  <c r="D446" i="1"/>
  <c r="B445" i="1"/>
  <c r="F443" i="1"/>
  <c r="D442" i="1"/>
  <c r="B441" i="1"/>
  <c r="F439" i="1"/>
  <c r="D438" i="1"/>
  <c r="B437" i="1"/>
  <c r="F435" i="1"/>
  <c r="D434" i="1"/>
  <c r="B433" i="1"/>
  <c r="F431" i="1"/>
  <c r="D430" i="1"/>
  <c r="B429" i="1"/>
  <c r="F427" i="1"/>
  <c r="D426" i="1"/>
  <c r="B425" i="1"/>
  <c r="F423" i="1"/>
  <c r="D422" i="1"/>
  <c r="B421" i="1"/>
  <c r="F419" i="1"/>
  <c r="D418" i="1"/>
  <c r="B417" i="1"/>
  <c r="F415" i="1"/>
  <c r="D414" i="1"/>
  <c r="B413" i="1"/>
  <c r="F411" i="1"/>
  <c r="D410" i="1"/>
  <c r="B409" i="1"/>
  <c r="F407" i="1"/>
  <c r="D406" i="1"/>
  <c r="B405" i="1"/>
  <c r="F403" i="1"/>
  <c r="D402" i="1"/>
  <c r="B401" i="1"/>
  <c r="F399" i="1"/>
  <c r="D398" i="1"/>
  <c r="B397" i="1"/>
  <c r="F395" i="1"/>
  <c r="D394" i="1"/>
  <c r="B393" i="1"/>
  <c r="F391" i="1"/>
  <c r="D390" i="1"/>
  <c r="B389" i="1"/>
  <c r="F387" i="1"/>
  <c r="D386" i="1"/>
  <c r="B385" i="1"/>
  <c r="F383" i="1"/>
  <c r="D382" i="1"/>
  <c r="B381" i="1"/>
  <c r="F379" i="1"/>
  <c r="D378" i="1"/>
  <c r="B377" i="1"/>
  <c r="F375" i="1"/>
  <c r="D374" i="1"/>
  <c r="B373" i="1"/>
  <c r="F371" i="1"/>
  <c r="D370" i="1"/>
  <c r="B369" i="1"/>
  <c r="F367" i="1"/>
  <c r="D366" i="1"/>
  <c r="B365" i="1"/>
  <c r="F363" i="1"/>
  <c r="D362" i="1"/>
  <c r="B361" i="1"/>
  <c r="F359" i="1"/>
  <c r="D358" i="1"/>
  <c r="B357" i="1"/>
  <c r="F355" i="1"/>
  <c r="D354" i="1"/>
  <c r="B353" i="1"/>
  <c r="F351" i="1"/>
  <c r="D350" i="1"/>
  <c r="B349" i="1"/>
  <c r="F347" i="1"/>
  <c r="D346" i="1"/>
  <c r="B345" i="1"/>
  <c r="F343" i="1"/>
  <c r="D342" i="1"/>
  <c r="B341" i="1"/>
  <c r="F339" i="1"/>
  <c r="D338" i="1"/>
  <c r="B337" i="1"/>
  <c r="F335" i="1"/>
  <c r="D334" i="1"/>
  <c r="B333" i="1"/>
  <c r="F331" i="1"/>
  <c r="D330" i="1"/>
  <c r="B329" i="1"/>
  <c r="F327" i="1"/>
  <c r="D326" i="1"/>
  <c r="B325" i="1"/>
  <c r="F323" i="1"/>
  <c r="D322" i="1"/>
  <c r="B321" i="1"/>
  <c r="F319" i="1"/>
  <c r="D318" i="1"/>
  <c r="B317" i="1"/>
  <c r="F315" i="1"/>
  <c r="D314" i="1"/>
  <c r="B313" i="1"/>
  <c r="F311" i="1"/>
  <c r="D310" i="1"/>
  <c r="B309" i="1"/>
  <c r="F307" i="1"/>
  <c r="D306" i="1"/>
  <c r="B305" i="1"/>
  <c r="F303" i="1"/>
  <c r="D302" i="1"/>
  <c r="B301" i="1"/>
  <c r="F299" i="1"/>
  <c r="D298" i="1"/>
  <c r="B297" i="1"/>
  <c r="F295" i="1"/>
  <c r="D294" i="1"/>
  <c r="B293" i="1"/>
  <c r="F291" i="1"/>
  <c r="D290" i="1"/>
  <c r="B289" i="1"/>
  <c r="F287" i="1"/>
  <c r="D286" i="1"/>
  <c r="B285" i="1"/>
  <c r="F283" i="1"/>
  <c r="D282" i="1"/>
  <c r="B281" i="1"/>
  <c r="F279" i="1"/>
  <c r="D278" i="1"/>
  <c r="B277" i="1"/>
  <c r="F275" i="1"/>
  <c r="D274" i="1"/>
  <c r="B273" i="1"/>
  <c r="F271" i="1"/>
  <c r="D270" i="1"/>
  <c r="B269" i="1"/>
  <c r="F267" i="1"/>
  <c r="D266" i="1"/>
  <c r="B265" i="1"/>
  <c r="F263" i="1"/>
  <c r="D262" i="1"/>
  <c r="B261" i="1"/>
  <c r="F259" i="1"/>
  <c r="D258" i="1"/>
  <c r="B257" i="1"/>
  <c r="F255" i="1"/>
  <c r="D254" i="1"/>
  <c r="B253" i="1"/>
  <c r="F251" i="1"/>
  <c r="D250" i="1"/>
  <c r="B249" i="1"/>
  <c r="F247" i="1"/>
  <c r="D246" i="1"/>
  <c r="B245" i="1"/>
  <c r="F243" i="1"/>
  <c r="D242" i="1"/>
  <c r="B241" i="1"/>
  <c r="F239" i="1"/>
  <c r="D238" i="1"/>
  <c r="B237" i="1"/>
  <c r="F235" i="1"/>
  <c r="D234" i="1"/>
  <c r="B233" i="1"/>
  <c r="F231" i="1"/>
  <c r="D230" i="1"/>
  <c r="B229" i="1"/>
  <c r="F227" i="1"/>
  <c r="D226" i="1"/>
  <c r="B225" i="1"/>
  <c r="F223" i="1"/>
  <c r="D222" i="1"/>
  <c r="B221" i="1"/>
  <c r="F219" i="1"/>
  <c r="D218" i="1"/>
  <c r="B217" i="1"/>
  <c r="F215" i="1"/>
  <c r="D214" i="1"/>
  <c r="B213" i="1"/>
  <c r="F211" i="1"/>
  <c r="D210" i="1"/>
  <c r="B209" i="1"/>
  <c r="F207" i="1"/>
  <c r="D206" i="1"/>
  <c r="B205" i="1"/>
  <c r="F203" i="1"/>
  <c r="D202" i="1"/>
  <c r="B201" i="1"/>
  <c r="F199" i="1"/>
  <c r="D198" i="1"/>
  <c r="B197" i="1"/>
  <c r="F195" i="1"/>
  <c r="D194" i="1"/>
  <c r="B193" i="1"/>
  <c r="F191" i="1"/>
  <c r="D190" i="1"/>
  <c r="B189" i="1"/>
  <c r="F187" i="1"/>
  <c r="D186" i="1"/>
  <c r="B185" i="1"/>
  <c r="F183" i="1"/>
  <c r="D182" i="1"/>
  <c r="B181" i="1"/>
  <c r="F179" i="1"/>
  <c r="D178" i="1"/>
  <c r="B177" i="1"/>
  <c r="F175" i="1"/>
  <c r="D174" i="1"/>
  <c r="B173" i="1"/>
  <c r="F171" i="1"/>
  <c r="D170" i="1"/>
  <c r="B169" i="1"/>
  <c r="F167" i="1"/>
  <c r="D166" i="1"/>
  <c r="B165" i="1"/>
  <c r="F163" i="1"/>
  <c r="D162" i="1"/>
  <c r="B161" i="1"/>
  <c r="F159" i="1"/>
  <c r="D158" i="1"/>
  <c r="B157" i="1"/>
  <c r="F155" i="1"/>
  <c r="D154" i="1"/>
  <c r="B153" i="1"/>
  <c r="F151" i="1"/>
  <c r="D150" i="1"/>
  <c r="B149" i="1"/>
  <c r="F147" i="1"/>
  <c r="D146" i="1"/>
  <c r="B145" i="1"/>
  <c r="F143" i="1"/>
  <c r="D142" i="1"/>
  <c r="B141" i="1"/>
  <c r="F139" i="1"/>
  <c r="D138" i="1"/>
  <c r="B137" i="1"/>
  <c r="F135" i="1"/>
  <c r="D134" i="1"/>
  <c r="B133" i="1"/>
  <c r="F131" i="1"/>
  <c r="D130" i="1"/>
  <c r="B129" i="1"/>
  <c r="F127" i="1"/>
  <c r="D126" i="1"/>
  <c r="B125" i="1"/>
  <c r="F123" i="1"/>
  <c r="D122" i="1"/>
  <c r="B121" i="1"/>
  <c r="F119" i="1"/>
  <c r="D118" i="1"/>
  <c r="B117" i="1"/>
  <c r="F115" i="1"/>
  <c r="D114" i="1"/>
  <c r="B113" i="1"/>
  <c r="F111" i="1"/>
  <c r="D110" i="1"/>
  <c r="B109" i="1"/>
  <c r="F107" i="1"/>
  <c r="D106" i="1"/>
  <c r="B105" i="1"/>
  <c r="F103" i="1"/>
  <c r="D102" i="1"/>
  <c r="B101" i="1"/>
  <c r="F99" i="1"/>
  <c r="D98" i="1"/>
  <c r="B97" i="1"/>
  <c r="F95" i="1"/>
  <c r="D94" i="1"/>
  <c r="B93" i="1"/>
  <c r="F91" i="1"/>
  <c r="D90" i="1"/>
  <c r="B89" i="1"/>
  <c r="F87" i="1"/>
  <c r="D86" i="1"/>
  <c r="B85" i="1"/>
  <c r="F83" i="1"/>
  <c r="D82" i="1"/>
  <c r="B81" i="1"/>
  <c r="F79" i="1"/>
  <c r="D78" i="1"/>
  <c r="B77" i="1"/>
  <c r="F75" i="1"/>
  <c r="E596" i="2"/>
  <c r="C511" i="2"/>
  <c r="A426" i="2"/>
  <c r="E340" i="2"/>
  <c r="C255" i="2"/>
  <c r="A170" i="2"/>
  <c r="D110" i="2"/>
  <c r="F67" i="2"/>
  <c r="F44" i="2"/>
  <c r="D23" i="2"/>
  <c r="B2" i="2"/>
  <c r="F1430" i="1"/>
  <c r="D1409" i="1"/>
  <c r="B1388" i="1"/>
  <c r="F1366" i="1"/>
  <c r="D1345" i="1"/>
  <c r="B1324" i="1"/>
  <c r="F1302" i="1"/>
  <c r="D1281" i="1"/>
  <c r="B1260" i="1"/>
  <c r="F1238" i="1"/>
  <c r="D1217" i="1"/>
  <c r="E1198" i="1"/>
  <c r="B1184" i="1"/>
  <c r="B1170" i="1"/>
  <c r="A1156" i="1"/>
  <c r="D1141" i="1"/>
  <c r="E1130" i="1"/>
  <c r="A1120" i="1"/>
  <c r="C1109" i="1"/>
  <c r="E1098" i="1"/>
  <c r="A1088" i="1"/>
  <c r="C1077" i="1"/>
  <c r="E1066" i="1"/>
  <c r="A1056" i="1"/>
  <c r="C1045" i="1"/>
  <c r="E1034" i="1"/>
  <c r="A1024" i="1"/>
  <c r="B1017" i="1"/>
  <c r="F1011" i="1"/>
  <c r="D1006" i="1"/>
  <c r="B1001" i="1"/>
  <c r="F995" i="1"/>
  <c r="D990" i="1"/>
  <c r="B985" i="1"/>
  <c r="F979" i="1"/>
  <c r="D974" i="1"/>
  <c r="B969" i="1"/>
  <c r="F963" i="1"/>
  <c r="D958" i="1"/>
  <c r="B953" i="1"/>
  <c r="F947" i="1"/>
  <c r="D942" i="1"/>
  <c r="B937" i="1"/>
  <c r="F931" i="1"/>
  <c r="D926" i="1"/>
  <c r="B921" i="1"/>
  <c r="F915" i="1"/>
  <c r="D910" i="1"/>
  <c r="B905" i="1"/>
  <c r="F899" i="1"/>
  <c r="D894" i="1"/>
  <c r="B889" i="1"/>
  <c r="F883" i="1"/>
  <c r="D878" i="1"/>
  <c r="B873" i="1"/>
  <c r="F867" i="1"/>
  <c r="D862" i="1"/>
  <c r="B857" i="1"/>
  <c r="F851" i="1"/>
  <c r="D846" i="1"/>
  <c r="B841" i="1"/>
  <c r="F835" i="1"/>
  <c r="D830" i="1"/>
  <c r="B825" i="1"/>
  <c r="F819" i="1"/>
  <c r="D814" i="1"/>
  <c r="B809" i="1"/>
  <c r="F803" i="1"/>
  <c r="D798" i="1"/>
  <c r="B793" i="1"/>
  <c r="F787" i="1"/>
  <c r="D782" i="1"/>
  <c r="B777" i="1"/>
  <c r="F771" i="1"/>
  <c r="D766" i="1"/>
  <c r="B761" i="1"/>
  <c r="F755" i="1"/>
  <c r="D750" i="1"/>
  <c r="B745" i="1"/>
  <c r="F739" i="1"/>
  <c r="D734" i="1"/>
  <c r="B729" i="1"/>
  <c r="F723" i="1"/>
  <c r="D718" i="1"/>
  <c r="B713" i="1"/>
  <c r="F707" i="1"/>
  <c r="B703" i="1"/>
  <c r="F699" i="1"/>
  <c r="A696" i="1"/>
  <c r="D692" i="1"/>
  <c r="B689" i="1"/>
  <c r="C685" i="1"/>
  <c r="F681" i="1"/>
  <c r="D678" i="1"/>
  <c r="E674" i="1"/>
  <c r="B671" i="1"/>
  <c r="F667" i="1"/>
  <c r="A664" i="1"/>
  <c r="B661" i="1"/>
  <c r="D658" i="1"/>
  <c r="F655" i="1"/>
  <c r="B653" i="1"/>
  <c r="D650" i="1"/>
  <c r="F647" i="1"/>
  <c r="B645" i="1"/>
  <c r="D642" i="1"/>
  <c r="F639" i="1"/>
  <c r="B637" i="1"/>
  <c r="D634" i="1"/>
  <c r="F631" i="1"/>
  <c r="B629" i="1"/>
  <c r="D626" i="1"/>
  <c r="F623" i="1"/>
  <c r="B621" i="1"/>
  <c r="D618" i="1"/>
  <c r="F615" i="1"/>
  <c r="B613" i="1"/>
  <c r="D610" i="1"/>
  <c r="F607" i="1"/>
  <c r="B605" i="1"/>
  <c r="A603" i="1"/>
  <c r="B601" i="1"/>
  <c r="C599" i="1"/>
  <c r="E597" i="1"/>
  <c r="F595" i="1"/>
  <c r="A594" i="1"/>
  <c r="C592" i="1"/>
  <c r="D590" i="1"/>
  <c r="E588" i="1"/>
  <c r="A587" i="1"/>
  <c r="B585" i="1"/>
  <c r="C583" i="1"/>
  <c r="E581" i="1"/>
  <c r="F579" i="1"/>
  <c r="A578" i="1"/>
  <c r="C576" i="1"/>
  <c r="D574" i="1"/>
  <c r="E572" i="1"/>
  <c r="A571" i="1"/>
  <c r="B569" i="1"/>
  <c r="C567" i="1"/>
  <c r="E565" i="1"/>
  <c r="F563" i="1"/>
  <c r="A562" i="1"/>
  <c r="C560" i="1"/>
  <c r="D558" i="1"/>
  <c r="E556" i="1"/>
  <c r="A555" i="1"/>
  <c r="B553" i="1"/>
  <c r="C551" i="1"/>
  <c r="E549" i="1"/>
  <c r="F547" i="1"/>
  <c r="B546" i="1"/>
  <c r="F544" i="1"/>
  <c r="D543" i="1"/>
  <c r="B542" i="1"/>
  <c r="F540" i="1"/>
  <c r="D539" i="1"/>
  <c r="B538" i="1"/>
  <c r="F536" i="1"/>
  <c r="D535" i="1"/>
  <c r="B534" i="1"/>
  <c r="F532" i="1"/>
  <c r="D531" i="1"/>
  <c r="B530" i="1"/>
  <c r="F528" i="1"/>
  <c r="D527" i="1"/>
  <c r="B526" i="1"/>
  <c r="F524" i="1"/>
  <c r="D523" i="1"/>
  <c r="B522" i="1"/>
  <c r="F520" i="1"/>
  <c r="D519" i="1"/>
  <c r="B518" i="1"/>
  <c r="F516" i="1"/>
  <c r="D515" i="1"/>
  <c r="B514" i="1"/>
  <c r="F512" i="1"/>
  <c r="D511" i="1"/>
  <c r="B510" i="1"/>
  <c r="F508" i="1"/>
  <c r="D507" i="1"/>
  <c r="B506" i="1"/>
  <c r="F504" i="1"/>
  <c r="D503" i="1"/>
  <c r="B502" i="1"/>
  <c r="F500" i="1"/>
  <c r="D499" i="1"/>
  <c r="B498" i="1"/>
  <c r="F496" i="1"/>
  <c r="D495" i="1"/>
  <c r="B494" i="1"/>
  <c r="F492" i="1"/>
  <c r="D491" i="1"/>
  <c r="B490" i="1"/>
  <c r="F488" i="1"/>
  <c r="D487" i="1"/>
  <c r="B486" i="1"/>
  <c r="F484" i="1"/>
  <c r="D483" i="1"/>
  <c r="B482" i="1"/>
  <c r="F480" i="1"/>
  <c r="D479" i="1"/>
  <c r="B478" i="1"/>
  <c r="F476" i="1"/>
  <c r="D475" i="1"/>
  <c r="B474" i="1"/>
  <c r="F472" i="1"/>
  <c r="D471" i="1"/>
  <c r="B470" i="1"/>
  <c r="F468" i="1"/>
  <c r="D467" i="1"/>
  <c r="B466" i="1"/>
  <c r="F464" i="1"/>
  <c r="D463" i="1"/>
  <c r="B462" i="1"/>
  <c r="F460" i="1"/>
  <c r="D459" i="1"/>
  <c r="B458" i="1"/>
  <c r="F456" i="1"/>
  <c r="D455" i="1"/>
  <c r="B454" i="1"/>
  <c r="F452" i="1"/>
  <c r="D451" i="1"/>
  <c r="B450" i="1"/>
  <c r="F448" i="1"/>
  <c r="D447" i="1"/>
  <c r="B446" i="1"/>
  <c r="F444" i="1"/>
  <c r="D443" i="1"/>
  <c r="B442" i="1"/>
  <c r="F440" i="1"/>
  <c r="D439" i="1"/>
  <c r="B438" i="1"/>
  <c r="F436" i="1"/>
  <c r="D435" i="1"/>
  <c r="B434" i="1"/>
  <c r="F432" i="1"/>
  <c r="D431" i="1"/>
  <c r="B430" i="1"/>
  <c r="F428" i="1"/>
  <c r="D427" i="1"/>
  <c r="B426" i="1"/>
  <c r="F424" i="1"/>
  <c r="D423" i="1"/>
  <c r="B422" i="1"/>
  <c r="F420" i="1"/>
  <c r="D419" i="1"/>
  <c r="B418" i="1"/>
  <c r="F416" i="1"/>
  <c r="D415" i="1"/>
  <c r="B414" i="1"/>
  <c r="F412" i="1"/>
  <c r="D411" i="1"/>
  <c r="B410" i="1"/>
  <c r="F408" i="1"/>
  <c r="D407" i="1"/>
  <c r="B406" i="1"/>
  <c r="F404" i="1"/>
  <c r="D403" i="1"/>
  <c r="B402" i="1"/>
  <c r="F400" i="1"/>
  <c r="D399" i="1"/>
  <c r="B398" i="1"/>
  <c r="F396" i="1"/>
  <c r="D395" i="1"/>
  <c r="B394" i="1"/>
  <c r="F392" i="1"/>
  <c r="D391" i="1"/>
  <c r="B390" i="1"/>
  <c r="F388" i="1"/>
  <c r="D387" i="1"/>
  <c r="B386" i="1"/>
  <c r="F384" i="1"/>
  <c r="D383" i="1"/>
  <c r="B382" i="1"/>
  <c r="F380" i="1"/>
  <c r="D379" i="1"/>
  <c r="B378" i="1"/>
  <c r="F376" i="1"/>
  <c r="D375" i="1"/>
  <c r="B374" i="1"/>
  <c r="F372" i="1"/>
  <c r="D371" i="1"/>
  <c r="B370" i="1"/>
  <c r="F368" i="1"/>
  <c r="D367" i="1"/>
  <c r="B366" i="1"/>
  <c r="F364" i="1"/>
  <c r="D363" i="1"/>
  <c r="B362" i="1"/>
  <c r="F360" i="1"/>
  <c r="D359" i="1"/>
  <c r="B358" i="1"/>
  <c r="F356" i="1"/>
  <c r="D355" i="1"/>
  <c r="B354" i="1"/>
  <c r="F352" i="1"/>
  <c r="D351" i="1"/>
  <c r="B350" i="1"/>
  <c r="F348" i="1"/>
  <c r="D347" i="1"/>
  <c r="B346" i="1"/>
  <c r="F344" i="1"/>
  <c r="D343" i="1"/>
  <c r="B342" i="1"/>
  <c r="F340" i="1"/>
  <c r="D339" i="1"/>
  <c r="B338" i="1"/>
  <c r="F336" i="1"/>
  <c r="D335" i="1"/>
  <c r="B334" i="1"/>
  <c r="F332" i="1"/>
  <c r="D331" i="1"/>
  <c r="B330" i="1"/>
  <c r="F328" i="1"/>
  <c r="D327" i="1"/>
  <c r="B326" i="1"/>
  <c r="F324" i="1"/>
  <c r="D323" i="1"/>
  <c r="B322" i="1"/>
  <c r="F320" i="1"/>
  <c r="D319" i="1"/>
  <c r="B318" i="1"/>
  <c r="F316" i="1"/>
  <c r="D315" i="1"/>
  <c r="B314" i="1"/>
  <c r="F312" i="1"/>
  <c r="D311" i="1"/>
  <c r="B310" i="1"/>
  <c r="F308" i="1"/>
  <c r="D307" i="1"/>
  <c r="B306" i="1"/>
  <c r="F304" i="1"/>
  <c r="D303" i="1"/>
  <c r="B302" i="1"/>
  <c r="F300" i="1"/>
  <c r="D299" i="1"/>
  <c r="B298" i="1"/>
  <c r="F296" i="1"/>
  <c r="D295" i="1"/>
  <c r="B294" i="1"/>
  <c r="F292" i="1"/>
  <c r="D291" i="1"/>
  <c r="B290" i="1"/>
  <c r="F288" i="1"/>
  <c r="D287" i="1"/>
  <c r="B286" i="1"/>
  <c r="F284" i="1"/>
  <c r="D283" i="1"/>
  <c r="B282" i="1"/>
  <c r="F280" i="1"/>
  <c r="D279" i="1"/>
  <c r="B278" i="1"/>
  <c r="F276" i="1"/>
  <c r="D275" i="1"/>
  <c r="B274" i="1"/>
  <c r="F272" i="1"/>
  <c r="D271" i="1"/>
  <c r="B270" i="1"/>
  <c r="F268" i="1"/>
  <c r="D267" i="1"/>
  <c r="B266" i="1"/>
  <c r="F264" i="1"/>
  <c r="D263" i="1"/>
  <c r="B262" i="1"/>
  <c r="F260" i="1"/>
  <c r="D259" i="1"/>
  <c r="B258" i="1"/>
  <c r="F256" i="1"/>
  <c r="D255" i="1"/>
  <c r="B254" i="1"/>
  <c r="F252" i="1"/>
  <c r="D251" i="1"/>
  <c r="B250" i="1"/>
  <c r="F248" i="1"/>
  <c r="D247" i="1"/>
  <c r="B246" i="1"/>
  <c r="F244" i="1"/>
  <c r="D243" i="1"/>
  <c r="B242" i="1"/>
  <c r="F240" i="1"/>
  <c r="D239" i="1"/>
  <c r="B238" i="1"/>
  <c r="F236" i="1"/>
  <c r="D235" i="1"/>
  <c r="B234" i="1"/>
  <c r="F232" i="1"/>
  <c r="D231" i="1"/>
  <c r="B230" i="1"/>
  <c r="F228" i="1"/>
  <c r="D227" i="1"/>
  <c r="B226" i="1"/>
  <c r="F224" i="1"/>
  <c r="D223" i="1"/>
  <c r="B222" i="1"/>
  <c r="F220" i="1"/>
  <c r="D219" i="1"/>
  <c r="B218" i="1"/>
  <c r="F216" i="1"/>
  <c r="D215" i="1"/>
  <c r="B214" i="1"/>
  <c r="F212" i="1"/>
  <c r="D211" i="1"/>
  <c r="B210" i="1"/>
  <c r="F208" i="1"/>
  <c r="D207" i="1"/>
  <c r="B206" i="1"/>
  <c r="F204" i="1"/>
  <c r="D203" i="1"/>
  <c r="B202" i="1"/>
  <c r="F200" i="1"/>
  <c r="D199" i="1"/>
  <c r="B198" i="1"/>
  <c r="F196" i="1"/>
  <c r="D195" i="1"/>
  <c r="B194" i="1"/>
  <c r="F192" i="1"/>
  <c r="D191" i="1"/>
  <c r="B190" i="1"/>
  <c r="F188" i="1"/>
  <c r="D187" i="1"/>
  <c r="B186" i="1"/>
  <c r="F184" i="1"/>
  <c r="D183" i="1"/>
  <c r="B182" i="1"/>
  <c r="F180" i="1"/>
  <c r="D179" i="1"/>
  <c r="B178" i="1"/>
  <c r="F176" i="1"/>
  <c r="D175" i="1"/>
  <c r="B174" i="1"/>
  <c r="F172" i="1"/>
  <c r="D171" i="1"/>
  <c r="B170" i="1"/>
  <c r="F168" i="1"/>
  <c r="D167" i="1"/>
  <c r="B166" i="1"/>
  <c r="F164" i="1"/>
  <c r="D163" i="1"/>
  <c r="B162" i="1"/>
  <c r="F160" i="1"/>
  <c r="D159" i="1"/>
  <c r="B158" i="1"/>
  <c r="F156" i="1"/>
  <c r="D155" i="1"/>
  <c r="B154" i="1"/>
  <c r="F152" i="1"/>
  <c r="D151" i="1"/>
  <c r="B150" i="1"/>
  <c r="F148" i="1"/>
  <c r="D147" i="1"/>
  <c r="B146" i="1"/>
  <c r="F144" i="1"/>
  <c r="D143" i="1"/>
  <c r="B142" i="1"/>
  <c r="F140" i="1"/>
  <c r="D139" i="1"/>
  <c r="B138" i="1"/>
  <c r="F136" i="1"/>
  <c r="D135" i="1"/>
  <c r="B134" i="1"/>
  <c r="F132" i="1"/>
  <c r="D131" i="1"/>
  <c r="B130" i="1"/>
  <c r="F128" i="1"/>
  <c r="D127" i="1"/>
  <c r="B126" i="1"/>
  <c r="F124" i="1"/>
  <c r="D123" i="1"/>
  <c r="B122" i="1"/>
  <c r="F120" i="1"/>
  <c r="D119" i="1"/>
  <c r="B118" i="1"/>
  <c r="F116" i="1"/>
  <c r="D115" i="1"/>
  <c r="B114" i="1"/>
  <c r="F112" i="1"/>
  <c r="D111" i="1"/>
  <c r="B110" i="1"/>
  <c r="F108" i="1"/>
  <c r="D107" i="1"/>
  <c r="B106" i="1"/>
  <c r="F104" i="1"/>
  <c r="D103" i="1"/>
  <c r="B102" i="1"/>
  <c r="F100" i="1"/>
  <c r="D99" i="1"/>
  <c r="B98" i="1"/>
  <c r="F96" i="1"/>
  <c r="D95" i="1"/>
  <c r="B94" i="1"/>
  <c r="F92" i="1"/>
  <c r="D91" i="1"/>
  <c r="B90" i="1"/>
  <c r="F88" i="1"/>
  <c r="D87" i="1"/>
  <c r="B86" i="1"/>
  <c r="F84" i="1"/>
  <c r="D83" i="1"/>
  <c r="B82" i="1"/>
  <c r="F80" i="1"/>
  <c r="F601" i="2"/>
  <c r="A46" i="2"/>
  <c r="C1325" i="1"/>
  <c r="E1170" i="1"/>
  <c r="D1077" i="1"/>
  <c r="E1006" i="1"/>
  <c r="A964" i="1"/>
  <c r="C921" i="1"/>
  <c r="E878" i="1"/>
  <c r="A836" i="1"/>
  <c r="C793" i="1"/>
  <c r="E750" i="1"/>
  <c r="A708" i="1"/>
  <c r="E678" i="1"/>
  <c r="C653" i="1"/>
  <c r="A632" i="1"/>
  <c r="E610" i="1"/>
  <c r="B594" i="1"/>
  <c r="A580" i="1"/>
  <c r="F565" i="1"/>
  <c r="D551" i="1"/>
  <c r="E539" i="1"/>
  <c r="A529" i="1"/>
  <c r="C518" i="1"/>
  <c r="E507" i="1"/>
  <c r="A497" i="1"/>
  <c r="C486" i="1"/>
  <c r="E475" i="1"/>
  <c r="A465" i="1"/>
  <c r="C454" i="1"/>
  <c r="E443" i="1"/>
  <c r="A433" i="1"/>
  <c r="C422" i="1"/>
  <c r="E411" i="1"/>
  <c r="A401" i="1"/>
  <c r="C390" i="1"/>
  <c r="E379" i="1"/>
  <c r="A369" i="1"/>
  <c r="C358" i="1"/>
  <c r="E347" i="1"/>
  <c r="A337" i="1"/>
  <c r="C326" i="1"/>
  <c r="E315" i="1"/>
  <c r="A305" i="1"/>
  <c r="C294" i="1"/>
  <c r="E283" i="1"/>
  <c r="A273" i="1"/>
  <c r="C262" i="1"/>
  <c r="E251" i="1"/>
  <c r="A241" i="1"/>
  <c r="C230" i="1"/>
  <c r="F222" i="1"/>
  <c r="D217" i="1"/>
  <c r="B212" i="1"/>
  <c r="F206" i="1"/>
  <c r="D201" i="1"/>
  <c r="B196" i="1"/>
  <c r="F190" i="1"/>
  <c r="D185" i="1"/>
  <c r="B180" i="1"/>
  <c r="F174" i="1"/>
  <c r="D169" i="1"/>
  <c r="B164" i="1"/>
  <c r="F158" i="1"/>
  <c r="D153" i="1"/>
  <c r="B148" i="1"/>
  <c r="F142" i="1"/>
  <c r="D137" i="1"/>
  <c r="B132" i="1"/>
  <c r="F126" i="1"/>
  <c r="D121" i="1"/>
  <c r="B116" i="1"/>
  <c r="F110" i="1"/>
  <c r="D105" i="1"/>
  <c r="B100" i="1"/>
  <c r="F94" i="1"/>
  <c r="D89" i="1"/>
  <c r="B84" i="1"/>
  <c r="D81" i="1"/>
  <c r="B79" i="1"/>
  <c r="D77" i="1"/>
  <c r="E75" i="1"/>
  <c r="C74" i="1"/>
  <c r="A73" i="1"/>
  <c r="E71" i="1"/>
  <c r="C70" i="1"/>
  <c r="A69" i="1"/>
  <c r="E67" i="1"/>
  <c r="C66" i="1"/>
  <c r="A65" i="1"/>
  <c r="E63" i="1"/>
  <c r="C62" i="1"/>
  <c r="A61" i="1"/>
  <c r="E59" i="1"/>
  <c r="C58" i="1"/>
  <c r="A57" i="1"/>
  <c r="E55" i="1"/>
  <c r="C54" i="1"/>
  <c r="A53" i="1"/>
  <c r="E51" i="1"/>
  <c r="C50" i="1"/>
  <c r="A49" i="1"/>
  <c r="E47" i="1"/>
  <c r="C46" i="1"/>
  <c r="A45" i="1"/>
  <c r="E43" i="1"/>
  <c r="C42" i="1"/>
  <c r="A41" i="1"/>
  <c r="E39" i="1"/>
  <c r="C38" i="1"/>
  <c r="A37" i="1"/>
  <c r="E35" i="1"/>
  <c r="C34" i="1"/>
  <c r="A33" i="1"/>
  <c r="E31" i="1"/>
  <c r="C30" i="1"/>
  <c r="A29" i="1"/>
  <c r="E27" i="1"/>
  <c r="C26" i="1"/>
  <c r="A25" i="1"/>
  <c r="E23" i="1"/>
  <c r="C22" i="1"/>
  <c r="A21" i="1"/>
  <c r="E19" i="1"/>
  <c r="C18" i="1"/>
  <c r="A17" i="1"/>
  <c r="E15" i="1"/>
  <c r="C14" i="1"/>
  <c r="A13" i="1"/>
  <c r="E11" i="1"/>
  <c r="C10" i="1"/>
  <c r="A9" i="1"/>
  <c r="E7" i="1"/>
  <c r="C6" i="1"/>
  <c r="A5" i="1"/>
  <c r="E3" i="1"/>
  <c r="C2" i="1"/>
  <c r="A1" i="1"/>
  <c r="D51" i="1"/>
  <c r="F44" i="1"/>
  <c r="F40" i="1"/>
  <c r="B38" i="1"/>
  <c r="D35" i="1"/>
  <c r="F32" i="1"/>
  <c r="B30" i="1"/>
  <c r="D27" i="1"/>
  <c r="F24" i="1"/>
  <c r="B22" i="1"/>
  <c r="D19" i="1"/>
  <c r="B18" i="1"/>
  <c r="D15" i="1"/>
  <c r="F12" i="1"/>
  <c r="D11" i="1"/>
  <c r="F8" i="1"/>
  <c r="D7" i="1"/>
  <c r="F4" i="1"/>
  <c r="B2" i="1"/>
  <c r="C11" i="1"/>
  <c r="C3" i="1"/>
  <c r="B19" i="1"/>
  <c r="F9" i="1"/>
  <c r="D4" i="1"/>
  <c r="C969" i="1"/>
  <c r="E634" i="1"/>
  <c r="C530" i="1"/>
  <c r="C466" i="1"/>
  <c r="E391" i="1"/>
  <c r="C338" i="1"/>
  <c r="E263" i="1"/>
  <c r="E223" i="1"/>
  <c r="E191" i="1"/>
  <c r="E159" i="1"/>
  <c r="A133" i="1"/>
  <c r="A101" i="1"/>
  <c r="E81" i="1"/>
  <c r="B73" i="1"/>
  <c r="B69" i="1"/>
  <c r="F63" i="1"/>
  <c r="F55" i="1"/>
  <c r="F47" i="1"/>
  <c r="D38" i="1"/>
  <c r="F31" i="1"/>
  <c r="F23" i="1"/>
  <c r="F15" i="1"/>
  <c r="B9" i="1"/>
  <c r="D516" i="2"/>
  <c r="E24" i="2"/>
  <c r="A1304" i="1"/>
  <c r="B1156" i="1"/>
  <c r="F1066" i="1"/>
  <c r="C1001" i="1"/>
  <c r="E958" i="1"/>
  <c r="A916" i="1"/>
  <c r="C873" i="1"/>
  <c r="E830" i="1"/>
  <c r="A788" i="1"/>
  <c r="C745" i="1"/>
  <c r="F703" i="1"/>
  <c r="B675" i="1"/>
  <c r="E650" i="1"/>
  <c r="C629" i="1"/>
  <c r="A608" i="1"/>
  <c r="D592" i="1"/>
  <c r="B578" i="1"/>
  <c r="A564" i="1"/>
  <c r="F549" i="1"/>
  <c r="C538" i="1"/>
  <c r="E527" i="1"/>
  <c r="A517" i="1"/>
  <c r="C506" i="1"/>
  <c r="E495" i="1"/>
  <c r="A485" i="1"/>
  <c r="C474" i="1"/>
  <c r="E463" i="1"/>
  <c r="A453" i="1"/>
  <c r="C442" i="1"/>
  <c r="E431" i="1"/>
  <c r="A421" i="1"/>
  <c r="C410" i="1"/>
  <c r="E399" i="1"/>
  <c r="A389" i="1"/>
  <c r="C378" i="1"/>
  <c r="E367" i="1"/>
  <c r="A357" i="1"/>
  <c r="C346" i="1"/>
  <c r="E335" i="1"/>
  <c r="A325" i="1"/>
  <c r="C314" i="1"/>
  <c r="E303" i="1"/>
  <c r="A293" i="1"/>
  <c r="C282" i="1"/>
  <c r="E271" i="1"/>
  <c r="A261" i="1"/>
  <c r="C250" i="1"/>
  <c r="E239" i="1"/>
  <c r="A229" i="1"/>
  <c r="C222" i="1"/>
  <c r="A217" i="1"/>
  <c r="E211" i="1"/>
  <c r="C206" i="1"/>
  <c r="A201" i="1"/>
  <c r="E195" i="1"/>
  <c r="C190" i="1"/>
  <c r="A185" i="1"/>
  <c r="E179" i="1"/>
  <c r="C174" i="1"/>
  <c r="A169" i="1"/>
  <c r="E163" i="1"/>
  <c r="C158" i="1"/>
  <c r="A153" i="1"/>
  <c r="E147" i="1"/>
  <c r="C142" i="1"/>
  <c r="A137" i="1"/>
  <c r="E131" i="1"/>
  <c r="C126" i="1"/>
  <c r="A121" i="1"/>
  <c r="E115" i="1"/>
  <c r="C110" i="1"/>
  <c r="A105" i="1"/>
  <c r="E99" i="1"/>
  <c r="C94" i="1"/>
  <c r="A89" i="1"/>
  <c r="E83" i="1"/>
  <c r="A81" i="1"/>
  <c r="A79" i="1"/>
  <c r="C77" i="1"/>
  <c r="D75" i="1"/>
  <c r="B74" i="1"/>
  <c r="F72" i="1"/>
  <c r="D71" i="1"/>
  <c r="B70" i="1"/>
  <c r="F68" i="1"/>
  <c r="D67" i="1"/>
  <c r="B66" i="1"/>
  <c r="F64" i="1"/>
  <c r="D63" i="1"/>
  <c r="B62" i="1"/>
  <c r="F60" i="1"/>
  <c r="D59" i="1"/>
  <c r="B58" i="1"/>
  <c r="F56" i="1"/>
  <c r="D55" i="1"/>
  <c r="B54" i="1"/>
  <c r="F52" i="1"/>
  <c r="B50" i="1"/>
  <c r="F48" i="1"/>
  <c r="D47" i="1"/>
  <c r="B46" i="1"/>
  <c r="D43" i="1"/>
  <c r="B42" i="1"/>
  <c r="D39" i="1"/>
  <c r="F36" i="1"/>
  <c r="B34" i="1"/>
  <c r="D31" i="1"/>
  <c r="F28" i="1"/>
  <c r="B26" i="1"/>
  <c r="D23" i="1"/>
  <c r="F20" i="1"/>
  <c r="F16" i="1"/>
  <c r="B14" i="1"/>
  <c r="B10" i="1"/>
  <c r="B6" i="1"/>
  <c r="D3" i="1"/>
  <c r="E8" i="1"/>
  <c r="A6" i="1"/>
  <c r="A2" i="1"/>
  <c r="F21" i="1"/>
  <c r="D16" i="1"/>
  <c r="D12" i="1"/>
  <c r="B7" i="1"/>
  <c r="B3" i="1"/>
  <c r="A1012" i="1"/>
  <c r="A445" i="1"/>
  <c r="C306" i="1"/>
  <c r="A213" i="1"/>
  <c r="C170" i="1"/>
  <c r="C122" i="1"/>
  <c r="D79" i="1"/>
  <c r="D66" i="1"/>
  <c r="D58" i="1"/>
  <c r="D50" i="1"/>
  <c r="D42" i="1"/>
  <c r="D34" i="1"/>
  <c r="D26" i="1"/>
  <c r="D18" i="1"/>
  <c r="F11" i="1"/>
  <c r="D2" i="1"/>
  <c r="B431" i="2"/>
  <c r="C3" i="2"/>
  <c r="E1282" i="1"/>
  <c r="B1142" i="1"/>
  <c r="B1056" i="1"/>
  <c r="A996" i="1"/>
  <c r="C953" i="1"/>
  <c r="E910" i="1"/>
  <c r="A868" i="1"/>
  <c r="C825" i="1"/>
  <c r="E782" i="1"/>
  <c r="A740" i="1"/>
  <c r="A700" i="1"/>
  <c r="F671" i="1"/>
  <c r="A648" i="1"/>
  <c r="E626" i="1"/>
  <c r="C605" i="1"/>
  <c r="E590" i="1"/>
  <c r="D576" i="1"/>
  <c r="B562" i="1"/>
  <c r="A548" i="1"/>
  <c r="A537" i="1"/>
  <c r="C526" i="1"/>
  <c r="E515" i="1"/>
  <c r="A505" i="1"/>
  <c r="C494" i="1"/>
  <c r="E483" i="1"/>
  <c r="A473" i="1"/>
  <c r="C462" i="1"/>
  <c r="E451" i="1"/>
  <c r="A441" i="1"/>
  <c r="C430" i="1"/>
  <c r="E419" i="1"/>
  <c r="A409" i="1"/>
  <c r="C398" i="1"/>
  <c r="E387" i="1"/>
  <c r="A377" i="1"/>
  <c r="C366" i="1"/>
  <c r="E355" i="1"/>
  <c r="A345" i="1"/>
  <c r="C334" i="1"/>
  <c r="E323" i="1"/>
  <c r="A313" i="1"/>
  <c r="C302" i="1"/>
  <c r="E291" i="1"/>
  <c r="A281" i="1"/>
  <c r="C270" i="1"/>
  <c r="E259" i="1"/>
  <c r="A249" i="1"/>
  <c r="C238" i="1"/>
  <c r="E227" i="1"/>
  <c r="D221" i="1"/>
  <c r="B216" i="1"/>
  <c r="F210" i="1"/>
  <c r="D205" i="1"/>
  <c r="B200" i="1"/>
  <c r="F194" i="1"/>
  <c r="D189" i="1"/>
  <c r="B184" i="1"/>
  <c r="F178" i="1"/>
  <c r="D173" i="1"/>
  <c r="B168" i="1"/>
  <c r="F162" i="1"/>
  <c r="D157" i="1"/>
  <c r="B152" i="1"/>
  <c r="F146" i="1"/>
  <c r="D141" i="1"/>
  <c r="B136" i="1"/>
  <c r="F130" i="1"/>
  <c r="D125" i="1"/>
  <c r="B120" i="1"/>
  <c r="F114" i="1"/>
  <c r="D109" i="1"/>
  <c r="B104" i="1"/>
  <c r="F98" i="1"/>
  <c r="D93" i="1"/>
  <c r="B88" i="1"/>
  <c r="B83" i="1"/>
  <c r="D80" i="1"/>
  <c r="F78" i="1"/>
  <c r="A77" i="1"/>
  <c r="C75" i="1"/>
  <c r="A74" i="1"/>
  <c r="E72" i="1"/>
  <c r="C71" i="1"/>
  <c r="A70" i="1"/>
  <c r="E68" i="1"/>
  <c r="C67" i="1"/>
  <c r="A66" i="1"/>
  <c r="E64" i="1"/>
  <c r="C63" i="1"/>
  <c r="A62" i="1"/>
  <c r="E60" i="1"/>
  <c r="C59" i="1"/>
  <c r="A58" i="1"/>
  <c r="E56" i="1"/>
  <c r="C55" i="1"/>
  <c r="A54" i="1"/>
  <c r="E52" i="1"/>
  <c r="C51" i="1"/>
  <c r="A50" i="1"/>
  <c r="E48" i="1"/>
  <c r="C47" i="1"/>
  <c r="A46" i="1"/>
  <c r="E44" i="1"/>
  <c r="C43" i="1"/>
  <c r="A42" i="1"/>
  <c r="E40" i="1"/>
  <c r="C39" i="1"/>
  <c r="A38" i="1"/>
  <c r="E36" i="1"/>
  <c r="C35" i="1"/>
  <c r="A34" i="1"/>
  <c r="E32" i="1"/>
  <c r="C31" i="1"/>
  <c r="A30" i="1"/>
  <c r="E28" i="1"/>
  <c r="C27" i="1"/>
  <c r="A26" i="1"/>
  <c r="E24" i="1"/>
  <c r="C23" i="1"/>
  <c r="A22" i="1"/>
  <c r="E20" i="1"/>
  <c r="C19" i="1"/>
  <c r="A18" i="1"/>
  <c r="E16" i="1"/>
  <c r="C15" i="1"/>
  <c r="A14" i="1"/>
  <c r="E12" i="1"/>
  <c r="A10" i="1"/>
  <c r="C7" i="1"/>
  <c r="E4" i="1"/>
  <c r="B23" i="1"/>
  <c r="B15" i="1"/>
  <c r="B11" i="1"/>
  <c r="F5" i="1"/>
  <c r="B1088" i="1"/>
  <c r="C434" i="1"/>
  <c r="E295" i="1"/>
  <c r="E207" i="1"/>
  <c r="A165" i="1"/>
  <c r="E111" i="1"/>
  <c r="E77" i="1"/>
  <c r="F67" i="1"/>
  <c r="B57" i="1"/>
  <c r="B49" i="1"/>
  <c r="F39" i="1"/>
  <c r="D30" i="1"/>
  <c r="D22" i="1"/>
  <c r="D14" i="1"/>
  <c r="F3" i="1"/>
  <c r="F345" i="2"/>
  <c r="A1432" i="1"/>
  <c r="C1261" i="1"/>
  <c r="F1130" i="1"/>
  <c r="D1045" i="1"/>
  <c r="E990" i="1"/>
  <c r="A948" i="1"/>
  <c r="C905" i="1"/>
  <c r="E862" i="1"/>
  <c r="A820" i="1"/>
  <c r="C777" i="1"/>
  <c r="E734" i="1"/>
  <c r="D696" i="1"/>
  <c r="A668" i="1"/>
  <c r="C645" i="1"/>
  <c r="A624" i="1"/>
  <c r="B603" i="1"/>
  <c r="F588" i="1"/>
  <c r="E574" i="1"/>
  <c r="D560" i="1"/>
  <c r="C546" i="1"/>
  <c r="E535" i="1"/>
  <c r="A525" i="1"/>
  <c r="C514" i="1"/>
  <c r="E503" i="1"/>
  <c r="A493" i="1"/>
  <c r="C482" i="1"/>
  <c r="E471" i="1"/>
  <c r="A461" i="1"/>
  <c r="C450" i="1"/>
  <c r="E439" i="1"/>
  <c r="A429" i="1"/>
  <c r="C418" i="1"/>
  <c r="E407" i="1"/>
  <c r="A397" i="1"/>
  <c r="C386" i="1"/>
  <c r="E375" i="1"/>
  <c r="A365" i="1"/>
  <c r="C354" i="1"/>
  <c r="E343" i="1"/>
  <c r="A333" i="1"/>
  <c r="C322" i="1"/>
  <c r="E311" i="1"/>
  <c r="A301" i="1"/>
  <c r="C290" i="1"/>
  <c r="E279" i="1"/>
  <c r="A269" i="1"/>
  <c r="C258" i="1"/>
  <c r="E247" i="1"/>
  <c r="A237" i="1"/>
  <c r="C226" i="1"/>
  <c r="A221" i="1"/>
  <c r="E215" i="1"/>
  <c r="C210" i="1"/>
  <c r="A205" i="1"/>
  <c r="E199" i="1"/>
  <c r="C194" i="1"/>
  <c r="A189" i="1"/>
  <c r="E183" i="1"/>
  <c r="C178" i="1"/>
  <c r="A173" i="1"/>
  <c r="E167" i="1"/>
  <c r="C162" i="1"/>
  <c r="A157" i="1"/>
  <c r="E151" i="1"/>
  <c r="C146" i="1"/>
  <c r="A141" i="1"/>
  <c r="E135" i="1"/>
  <c r="C130" i="1"/>
  <c r="A125" i="1"/>
  <c r="E119" i="1"/>
  <c r="C114" i="1"/>
  <c r="A109" i="1"/>
  <c r="E103" i="1"/>
  <c r="C98" i="1"/>
  <c r="A93" i="1"/>
  <c r="E87" i="1"/>
  <c r="A83" i="1"/>
  <c r="C80" i="1"/>
  <c r="E78" i="1"/>
  <c r="F76" i="1"/>
  <c r="B75" i="1"/>
  <c r="F73" i="1"/>
  <c r="D72" i="1"/>
  <c r="B71" i="1"/>
  <c r="F69" i="1"/>
  <c r="D68" i="1"/>
  <c r="B67" i="1"/>
  <c r="F65" i="1"/>
  <c r="D64" i="1"/>
  <c r="B63" i="1"/>
  <c r="F61" i="1"/>
  <c r="D60" i="1"/>
  <c r="B59" i="1"/>
  <c r="F57" i="1"/>
  <c r="D56" i="1"/>
  <c r="B55" i="1"/>
  <c r="F53" i="1"/>
  <c r="D52" i="1"/>
  <c r="B51" i="1"/>
  <c r="F49" i="1"/>
  <c r="D48" i="1"/>
  <c r="B47" i="1"/>
  <c r="F45" i="1"/>
  <c r="D44" i="1"/>
  <c r="B43" i="1"/>
  <c r="F41" i="1"/>
  <c r="D40" i="1"/>
  <c r="B39" i="1"/>
  <c r="F37" i="1"/>
  <c r="D36" i="1"/>
  <c r="B35" i="1"/>
  <c r="F33" i="1"/>
  <c r="D32" i="1"/>
  <c r="B31" i="1"/>
  <c r="F29" i="1"/>
  <c r="D28" i="1"/>
  <c r="B27" i="1"/>
  <c r="F25" i="1"/>
  <c r="D24" i="1"/>
  <c r="D20" i="1"/>
  <c r="F17" i="1"/>
  <c r="F13" i="1"/>
  <c r="D8" i="1"/>
  <c r="F1" i="1"/>
  <c r="E926" i="1"/>
  <c r="C138" i="1"/>
  <c r="F43" i="1"/>
  <c r="D6" i="1"/>
  <c r="D260" i="2"/>
  <c r="E1410" i="1"/>
  <c r="A1240" i="1"/>
  <c r="B1120" i="1"/>
  <c r="F1034" i="1"/>
  <c r="C985" i="1"/>
  <c r="E942" i="1"/>
  <c r="A900" i="1"/>
  <c r="C857" i="1"/>
  <c r="E814" i="1"/>
  <c r="A772" i="1"/>
  <c r="C729" i="1"/>
  <c r="B693" i="1"/>
  <c r="D664" i="1"/>
  <c r="E642" i="1"/>
  <c r="C621" i="1"/>
  <c r="C601" i="1"/>
  <c r="B587" i="1"/>
  <c r="F572" i="1"/>
  <c r="E558" i="1"/>
  <c r="A545" i="1"/>
  <c r="C534" i="1"/>
  <c r="E523" i="1"/>
  <c r="A513" i="1"/>
  <c r="C502" i="1"/>
  <c r="E491" i="1"/>
  <c r="A481" i="1"/>
  <c r="C470" i="1"/>
  <c r="E459" i="1"/>
  <c r="A449" i="1"/>
  <c r="C438" i="1"/>
  <c r="E427" i="1"/>
  <c r="A417" i="1"/>
  <c r="C406" i="1"/>
  <c r="E395" i="1"/>
  <c r="A385" i="1"/>
  <c r="C374" i="1"/>
  <c r="E363" i="1"/>
  <c r="A353" i="1"/>
  <c r="C342" i="1"/>
  <c r="E331" i="1"/>
  <c r="A321" i="1"/>
  <c r="C310" i="1"/>
  <c r="E299" i="1"/>
  <c r="A289" i="1"/>
  <c r="C278" i="1"/>
  <c r="E267" i="1"/>
  <c r="A257" i="1"/>
  <c r="C246" i="1"/>
  <c r="E235" i="1"/>
  <c r="D225" i="1"/>
  <c r="B220" i="1"/>
  <c r="F214" i="1"/>
  <c r="D209" i="1"/>
  <c r="B204" i="1"/>
  <c r="F198" i="1"/>
  <c r="D193" i="1"/>
  <c r="B188" i="1"/>
  <c r="F182" i="1"/>
  <c r="D177" i="1"/>
  <c r="B172" i="1"/>
  <c r="F166" i="1"/>
  <c r="D161" i="1"/>
  <c r="B156" i="1"/>
  <c r="F150" i="1"/>
  <c r="D145" i="1"/>
  <c r="B140" i="1"/>
  <c r="F134" i="1"/>
  <c r="D129" i="1"/>
  <c r="B124" i="1"/>
  <c r="F118" i="1"/>
  <c r="D113" i="1"/>
  <c r="B108" i="1"/>
  <c r="F102" i="1"/>
  <c r="D97" i="1"/>
  <c r="B92" i="1"/>
  <c r="F86" i="1"/>
  <c r="F82" i="1"/>
  <c r="B80" i="1"/>
  <c r="C78" i="1"/>
  <c r="D76" i="1"/>
  <c r="A75" i="1"/>
  <c r="E73" i="1"/>
  <c r="C72" i="1"/>
  <c r="A71" i="1"/>
  <c r="E69" i="1"/>
  <c r="C68" i="1"/>
  <c r="A67" i="1"/>
  <c r="E65" i="1"/>
  <c r="C64" i="1"/>
  <c r="A63" i="1"/>
  <c r="E61" i="1"/>
  <c r="C60" i="1"/>
  <c r="A59" i="1"/>
  <c r="E57" i="1"/>
  <c r="C56" i="1"/>
  <c r="A55" i="1"/>
  <c r="E53" i="1"/>
  <c r="C52" i="1"/>
  <c r="A51" i="1"/>
  <c r="E49" i="1"/>
  <c r="C48" i="1"/>
  <c r="A47" i="1"/>
  <c r="E45" i="1"/>
  <c r="C44" i="1"/>
  <c r="A43" i="1"/>
  <c r="E41" i="1"/>
  <c r="C40" i="1"/>
  <c r="A39" i="1"/>
  <c r="E37" i="1"/>
  <c r="C36" i="1"/>
  <c r="A35" i="1"/>
  <c r="E33" i="1"/>
  <c r="C32" i="1"/>
  <c r="A31" i="1"/>
  <c r="E29" i="1"/>
  <c r="C28" i="1"/>
  <c r="A27" i="1"/>
  <c r="E25" i="1"/>
  <c r="C24" i="1"/>
  <c r="A23" i="1"/>
  <c r="E21" i="1"/>
  <c r="C20" i="1"/>
  <c r="A19" i="1"/>
  <c r="E17" i="1"/>
  <c r="C16" i="1"/>
  <c r="A15" i="1"/>
  <c r="E13" i="1"/>
  <c r="C12" i="1"/>
  <c r="A11" i="1"/>
  <c r="E9" i="1"/>
  <c r="C8" i="1"/>
  <c r="A7" i="1"/>
  <c r="E5" i="1"/>
  <c r="C4" i="1"/>
  <c r="A3" i="1"/>
  <c r="E1" i="1"/>
  <c r="F34" i="1"/>
  <c r="F30" i="1"/>
  <c r="F26" i="1"/>
  <c r="B24" i="1"/>
  <c r="F22" i="1"/>
  <c r="B20" i="1"/>
  <c r="F18" i="1"/>
  <c r="B16" i="1"/>
  <c r="F14" i="1"/>
  <c r="B12" i="1"/>
  <c r="D9" i="1"/>
  <c r="B8" i="1"/>
  <c r="F6" i="1"/>
  <c r="B4" i="1"/>
  <c r="F2" i="1"/>
  <c r="E10" i="1"/>
  <c r="C5" i="1"/>
  <c r="C1" i="1"/>
  <c r="F1184" i="1"/>
  <c r="D567" i="1"/>
  <c r="E487" i="1"/>
  <c r="C402" i="1"/>
  <c r="E359" i="1"/>
  <c r="A285" i="1"/>
  <c r="E231" i="1"/>
  <c r="A197" i="1"/>
  <c r="E175" i="1"/>
  <c r="E143" i="1"/>
  <c r="C106" i="1"/>
  <c r="A85" i="1"/>
  <c r="A76" i="1"/>
  <c r="D70" i="1"/>
  <c r="B65" i="1"/>
  <c r="F59" i="1"/>
  <c r="B53" i="1"/>
  <c r="B45" i="1"/>
  <c r="F35" i="1"/>
  <c r="F27" i="1"/>
  <c r="F19" i="1"/>
  <c r="B13" i="1"/>
  <c r="B5" i="1"/>
  <c r="B175" i="2"/>
  <c r="C1389" i="1"/>
  <c r="E1218" i="1"/>
  <c r="D1109" i="1"/>
  <c r="B1024" i="1"/>
  <c r="A980" i="1"/>
  <c r="C937" i="1"/>
  <c r="E894" i="1"/>
  <c r="A852" i="1"/>
  <c r="C809" i="1"/>
  <c r="E766" i="1"/>
  <c r="A724" i="1"/>
  <c r="C689" i="1"/>
  <c r="C661" i="1"/>
  <c r="A640" i="1"/>
  <c r="E618" i="1"/>
  <c r="D599" i="1"/>
  <c r="C585" i="1"/>
  <c r="B571" i="1"/>
  <c r="F556" i="1"/>
  <c r="E543" i="1"/>
  <c r="A533" i="1"/>
  <c r="C522" i="1"/>
  <c r="E511" i="1"/>
  <c r="A501" i="1"/>
  <c r="C490" i="1"/>
  <c r="E479" i="1"/>
  <c r="A469" i="1"/>
  <c r="C458" i="1"/>
  <c r="E447" i="1"/>
  <c r="A437" i="1"/>
  <c r="C426" i="1"/>
  <c r="E415" i="1"/>
  <c r="A405" i="1"/>
  <c r="C394" i="1"/>
  <c r="E383" i="1"/>
  <c r="A373" i="1"/>
  <c r="C362" i="1"/>
  <c r="E351" i="1"/>
  <c r="A341" i="1"/>
  <c r="C330" i="1"/>
  <c r="E319" i="1"/>
  <c r="A309" i="1"/>
  <c r="C298" i="1"/>
  <c r="E287" i="1"/>
  <c r="A277" i="1"/>
  <c r="C266" i="1"/>
  <c r="E255" i="1"/>
  <c r="A245" i="1"/>
  <c r="C234" i="1"/>
  <c r="A225" i="1"/>
  <c r="E219" i="1"/>
  <c r="C214" i="1"/>
  <c r="A209" i="1"/>
  <c r="E203" i="1"/>
  <c r="C198" i="1"/>
  <c r="A193" i="1"/>
  <c r="E187" i="1"/>
  <c r="C182" i="1"/>
  <c r="A177" i="1"/>
  <c r="E171" i="1"/>
  <c r="C166" i="1"/>
  <c r="A161" i="1"/>
  <c r="E155" i="1"/>
  <c r="C150" i="1"/>
  <c r="A145" i="1"/>
  <c r="E139" i="1"/>
  <c r="C134" i="1"/>
  <c r="A129" i="1"/>
  <c r="E123" i="1"/>
  <c r="C118" i="1"/>
  <c r="A113" i="1"/>
  <c r="E107" i="1"/>
  <c r="C102" i="1"/>
  <c r="A97" i="1"/>
  <c r="E91" i="1"/>
  <c r="C86" i="1"/>
  <c r="C82" i="1"/>
  <c r="A80" i="1"/>
  <c r="B78" i="1"/>
  <c r="C76" i="1"/>
  <c r="F74" i="1"/>
  <c r="D73" i="1"/>
  <c r="B72" i="1"/>
  <c r="F70" i="1"/>
  <c r="D69" i="1"/>
  <c r="B68" i="1"/>
  <c r="F66" i="1"/>
  <c r="D65" i="1"/>
  <c r="B64" i="1"/>
  <c r="F62" i="1"/>
  <c r="D61" i="1"/>
  <c r="B60" i="1"/>
  <c r="F58" i="1"/>
  <c r="D57" i="1"/>
  <c r="B56" i="1"/>
  <c r="F54" i="1"/>
  <c r="D53" i="1"/>
  <c r="B52" i="1"/>
  <c r="F50" i="1"/>
  <c r="D49" i="1"/>
  <c r="B48" i="1"/>
  <c r="F46" i="1"/>
  <c r="D45" i="1"/>
  <c r="B44" i="1"/>
  <c r="F42" i="1"/>
  <c r="D41" i="1"/>
  <c r="B40" i="1"/>
  <c r="F38" i="1"/>
  <c r="D37" i="1"/>
  <c r="B36" i="1"/>
  <c r="D33" i="1"/>
  <c r="B32" i="1"/>
  <c r="D29" i="1"/>
  <c r="B28" i="1"/>
  <c r="D25" i="1"/>
  <c r="D21" i="1"/>
  <c r="D17" i="1"/>
  <c r="D13" i="1"/>
  <c r="F10" i="1"/>
  <c r="D5" i="1"/>
  <c r="D1" i="1"/>
  <c r="C9" i="1"/>
  <c r="E2" i="1"/>
  <c r="E1346" i="1"/>
  <c r="A884" i="1"/>
  <c r="E798" i="1"/>
  <c r="A756" i="1"/>
  <c r="D682" i="1"/>
  <c r="C613" i="1"/>
  <c r="F581" i="1"/>
  <c r="A541" i="1"/>
  <c r="A509" i="1"/>
  <c r="A477" i="1"/>
  <c r="E423" i="1"/>
  <c r="A381" i="1"/>
  <c r="A349" i="1"/>
  <c r="A317" i="1"/>
  <c r="A253" i="1"/>
  <c r="C218" i="1"/>
  <c r="C186" i="1"/>
  <c r="C154" i="1"/>
  <c r="E127" i="1"/>
  <c r="E95" i="1"/>
  <c r="D74" i="1"/>
  <c r="D62" i="1"/>
  <c r="D54" i="1"/>
  <c r="D46" i="1"/>
  <c r="B37" i="1"/>
  <c r="B29" i="1"/>
  <c r="B21" i="1"/>
  <c r="D10" i="1"/>
  <c r="B1" i="1"/>
  <c r="A113" i="2"/>
  <c r="A1368" i="1"/>
  <c r="F1198" i="1"/>
  <c r="F1098" i="1"/>
  <c r="C1017" i="1"/>
  <c r="E974" i="1"/>
  <c r="A932" i="1"/>
  <c r="C889" i="1"/>
  <c r="E846" i="1"/>
  <c r="A804" i="1"/>
  <c r="C761" i="1"/>
  <c r="E718" i="1"/>
  <c r="F685" i="1"/>
  <c r="E658" i="1"/>
  <c r="C637" i="1"/>
  <c r="A616" i="1"/>
  <c r="F597" i="1"/>
  <c r="D583" i="1"/>
  <c r="C569" i="1"/>
  <c r="B555" i="1"/>
  <c r="C542" i="1"/>
  <c r="E531" i="1"/>
  <c r="A521" i="1"/>
  <c r="C510" i="1"/>
  <c r="E499" i="1"/>
  <c r="A489" i="1"/>
  <c r="C478" i="1"/>
  <c r="E467" i="1"/>
  <c r="A457" i="1"/>
  <c r="C446" i="1"/>
  <c r="E435" i="1"/>
  <c r="A425" i="1"/>
  <c r="C414" i="1"/>
  <c r="E403" i="1"/>
  <c r="A393" i="1"/>
  <c r="C382" i="1"/>
  <c r="E371" i="1"/>
  <c r="A361" i="1"/>
  <c r="C350" i="1"/>
  <c r="E339" i="1"/>
  <c r="A329" i="1"/>
  <c r="C318" i="1"/>
  <c r="E307" i="1"/>
  <c r="A297" i="1"/>
  <c r="C286" i="1"/>
  <c r="E275" i="1"/>
  <c r="A265" i="1"/>
  <c r="C254" i="1"/>
  <c r="E243" i="1"/>
  <c r="A233" i="1"/>
  <c r="B224" i="1"/>
  <c r="F218" i="1"/>
  <c r="D213" i="1"/>
  <c r="B208" i="1"/>
  <c r="F202" i="1"/>
  <c r="D197" i="1"/>
  <c r="B192" i="1"/>
  <c r="F186" i="1"/>
  <c r="D181" i="1"/>
  <c r="B176" i="1"/>
  <c r="F170" i="1"/>
  <c r="D165" i="1"/>
  <c r="B160" i="1"/>
  <c r="F154" i="1"/>
  <c r="D149" i="1"/>
  <c r="B144" i="1"/>
  <c r="F138" i="1"/>
  <c r="D133" i="1"/>
  <c r="B128" i="1"/>
  <c r="F122" i="1"/>
  <c r="D117" i="1"/>
  <c r="B112" i="1"/>
  <c r="F106" i="1"/>
  <c r="D101" i="1"/>
  <c r="B96" i="1"/>
  <c r="F90" i="1"/>
  <c r="D85" i="1"/>
  <c r="F81" i="1"/>
  <c r="E79" i="1"/>
  <c r="F77" i="1"/>
  <c r="B76" i="1"/>
  <c r="E74" i="1"/>
  <c r="C73" i="1"/>
  <c r="A72" i="1"/>
  <c r="E70" i="1"/>
  <c r="C69" i="1"/>
  <c r="A68" i="1"/>
  <c r="E66" i="1"/>
  <c r="C65" i="1"/>
  <c r="A64" i="1"/>
  <c r="E62" i="1"/>
  <c r="C61" i="1"/>
  <c r="A60" i="1"/>
  <c r="E58" i="1"/>
  <c r="C57" i="1"/>
  <c r="A56" i="1"/>
  <c r="E54" i="1"/>
  <c r="C53" i="1"/>
  <c r="A52" i="1"/>
  <c r="E50" i="1"/>
  <c r="C49" i="1"/>
  <c r="A48" i="1"/>
  <c r="E46" i="1"/>
  <c r="C45" i="1"/>
  <c r="A44" i="1"/>
  <c r="E42" i="1"/>
  <c r="C41" i="1"/>
  <c r="A40" i="1"/>
  <c r="E38" i="1"/>
  <c r="C37" i="1"/>
  <c r="A36" i="1"/>
  <c r="E34" i="1"/>
  <c r="C33" i="1"/>
  <c r="A32" i="1"/>
  <c r="E30" i="1"/>
  <c r="C29" i="1"/>
  <c r="A28" i="1"/>
  <c r="E26" i="1"/>
  <c r="C25" i="1"/>
  <c r="A24" i="1"/>
  <c r="E22" i="1"/>
  <c r="C21" i="1"/>
  <c r="A20" i="1"/>
  <c r="E18" i="1"/>
  <c r="C17" i="1"/>
  <c r="A16" i="1"/>
  <c r="E14" i="1"/>
  <c r="C13" i="1"/>
  <c r="A12" i="1"/>
  <c r="A8" i="1"/>
  <c r="E6" i="1"/>
  <c r="A4" i="1"/>
  <c r="C70" i="2"/>
  <c r="C841" i="1"/>
  <c r="C713" i="1"/>
  <c r="A656" i="1"/>
  <c r="A596" i="1"/>
  <c r="C553" i="1"/>
  <c r="E519" i="1"/>
  <c r="C498" i="1"/>
  <c r="E455" i="1"/>
  <c r="A413" i="1"/>
  <c r="C370" i="1"/>
  <c r="E327" i="1"/>
  <c r="C274" i="1"/>
  <c r="C242" i="1"/>
  <c r="C202" i="1"/>
  <c r="A181" i="1"/>
  <c r="A149" i="1"/>
  <c r="A117" i="1"/>
  <c r="C90" i="1"/>
  <c r="F71" i="1"/>
  <c r="B61" i="1"/>
  <c r="F51" i="1"/>
  <c r="B41" i="1"/>
  <c r="B33" i="1"/>
  <c r="B25" i="1"/>
  <c r="B17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164" fontId="1" fillId="0" borderId="0" xfId="0" applyNumberFormat="1" applyFont="1"/>
    <xf numFmtId="0" fontId="1" fillId="0" borderId="0" xfId="0" applyFont="1"/>
    <xf numFmtId="164" fontId="2" fillId="2" borderId="0" xfId="0" applyNumberFormat="1" applyFont="1" applyFill="1"/>
    <xf numFmtId="14" fontId="2" fillId="2" borderId="0" xfId="0" applyNumberFormat="1" applyFont="1" applyFill="1" applyAlignme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450"/>
  <sheetViews>
    <sheetView workbookViewId="0">
      <selection sqref="A1:A1450"/>
    </sheetView>
  </sheetViews>
  <sheetFormatPr defaultColWidth="14.44140625" defaultRowHeight="15.75" customHeight="1"/>
  <sheetData>
    <row r="1" spans="1:6">
      <c r="A1" s="5" t="str">
        <f ca="1">IFERROR(__xludf.DUMMYFUNCTION("GOOGLEFINANCE(""IDX:BBCA"",""ALL"",""1/1/2015"",""1/1/2021"",""DAILY"")"),"Date")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>
      <c r="A2" s="5">
        <f ca="1">IFERROR(__xludf.DUMMYFUNCTION("""COMPUTED_VALUE"""),42006.625)</f>
        <v>42006.625</v>
      </c>
      <c r="B2" s="2">
        <f ca="1">IFERROR(__xludf.DUMMYFUNCTION("""COMPUTED_VALUE"""),13275)</f>
        <v>13275</v>
      </c>
      <c r="C2" s="2">
        <f ca="1">IFERROR(__xludf.DUMMYFUNCTION("""COMPUTED_VALUE"""),13275)</f>
        <v>13275</v>
      </c>
      <c r="D2" s="2">
        <f ca="1">IFERROR(__xludf.DUMMYFUNCTION("""COMPUTED_VALUE"""),13150)</f>
        <v>13150</v>
      </c>
      <c r="E2" s="2">
        <f ca="1">IFERROR(__xludf.DUMMYFUNCTION("""COMPUTED_VALUE"""),13225)</f>
        <v>13225</v>
      </c>
      <c r="F2" s="2">
        <f ca="1">IFERROR(__xludf.DUMMYFUNCTION("""COMPUTED_VALUE"""),5860500)</f>
        <v>5860500</v>
      </c>
    </row>
    <row r="3" spans="1:6">
      <c r="A3" s="5">
        <f ca="1">IFERROR(__xludf.DUMMYFUNCTION("""COMPUTED_VALUE"""),42009.625)</f>
        <v>42009.625</v>
      </c>
      <c r="B3" s="2">
        <f ca="1">IFERROR(__xludf.DUMMYFUNCTION("""COMPUTED_VALUE"""),13150)</f>
        <v>13150</v>
      </c>
      <c r="C3" s="2">
        <f ca="1">IFERROR(__xludf.DUMMYFUNCTION("""COMPUTED_VALUE"""),13200)</f>
        <v>13200</v>
      </c>
      <c r="D3" s="2">
        <f ca="1">IFERROR(__xludf.DUMMYFUNCTION("""COMPUTED_VALUE"""),13125)</f>
        <v>13125</v>
      </c>
      <c r="E3" s="2">
        <f ca="1">IFERROR(__xludf.DUMMYFUNCTION("""COMPUTED_VALUE"""),13200)</f>
        <v>13200</v>
      </c>
      <c r="F3" s="2">
        <f ca="1">IFERROR(__xludf.DUMMYFUNCTION("""COMPUTED_VALUE"""),5086900)</f>
        <v>5086900</v>
      </c>
    </row>
    <row r="4" spans="1:6">
      <c r="A4" s="5">
        <f ca="1">IFERROR(__xludf.DUMMYFUNCTION("""COMPUTED_VALUE"""),42010.625)</f>
        <v>42010.625</v>
      </c>
      <c r="B4" s="2">
        <f ca="1">IFERROR(__xludf.DUMMYFUNCTION("""COMPUTED_VALUE"""),13000)</f>
        <v>13000</v>
      </c>
      <c r="C4" s="2">
        <f ca="1">IFERROR(__xludf.DUMMYFUNCTION("""COMPUTED_VALUE"""),13200)</f>
        <v>13200</v>
      </c>
      <c r="D4" s="2">
        <f ca="1">IFERROR(__xludf.DUMMYFUNCTION("""COMPUTED_VALUE"""),13000)</f>
        <v>13000</v>
      </c>
      <c r="E4" s="2">
        <f ca="1">IFERROR(__xludf.DUMMYFUNCTION("""COMPUTED_VALUE"""),13100)</f>
        <v>13100</v>
      </c>
      <c r="F4" s="2">
        <f ca="1">IFERROR(__xludf.DUMMYFUNCTION("""COMPUTED_VALUE"""),9736300)</f>
        <v>9736300</v>
      </c>
    </row>
    <row r="5" spans="1:6">
      <c r="A5" s="5">
        <f ca="1">IFERROR(__xludf.DUMMYFUNCTION("""COMPUTED_VALUE"""),42011.625)</f>
        <v>42011.625</v>
      </c>
      <c r="B5" s="2">
        <f ca="1">IFERROR(__xludf.DUMMYFUNCTION("""COMPUTED_VALUE"""),13050)</f>
        <v>13050</v>
      </c>
      <c r="C5" s="2">
        <f ca="1">IFERROR(__xludf.DUMMYFUNCTION("""COMPUTED_VALUE"""),13200)</f>
        <v>13200</v>
      </c>
      <c r="D5" s="2">
        <f ca="1">IFERROR(__xludf.DUMMYFUNCTION("""COMPUTED_VALUE"""),13050)</f>
        <v>13050</v>
      </c>
      <c r="E5" s="2">
        <f ca="1">IFERROR(__xludf.DUMMYFUNCTION("""COMPUTED_VALUE"""),13125)</f>
        <v>13125</v>
      </c>
      <c r="F5" s="2">
        <f ca="1">IFERROR(__xludf.DUMMYFUNCTION("""COMPUTED_VALUE"""),8066800)</f>
        <v>8066800</v>
      </c>
    </row>
    <row r="6" spans="1:6">
      <c r="A6" s="5">
        <f ca="1">IFERROR(__xludf.DUMMYFUNCTION("""COMPUTED_VALUE"""),42012.625)</f>
        <v>42012.625</v>
      </c>
      <c r="B6" s="2">
        <f ca="1">IFERROR(__xludf.DUMMYFUNCTION("""COMPUTED_VALUE"""),13125)</f>
        <v>13125</v>
      </c>
      <c r="C6" s="2">
        <f ca="1">IFERROR(__xludf.DUMMYFUNCTION("""COMPUTED_VALUE"""),13150)</f>
        <v>13150</v>
      </c>
      <c r="D6" s="2">
        <f ca="1">IFERROR(__xludf.DUMMYFUNCTION("""COMPUTED_VALUE"""),12975)</f>
        <v>12975</v>
      </c>
      <c r="E6" s="2">
        <f ca="1">IFERROR(__xludf.DUMMYFUNCTION("""COMPUTED_VALUE"""),12975)</f>
        <v>12975</v>
      </c>
      <c r="F6" s="2">
        <f ca="1">IFERROR(__xludf.DUMMYFUNCTION("""COMPUTED_VALUE"""),10891400)</f>
        <v>10891400</v>
      </c>
    </row>
    <row r="7" spans="1:6">
      <c r="A7" s="5">
        <f ca="1">IFERROR(__xludf.DUMMYFUNCTION("""COMPUTED_VALUE"""),42013.625)</f>
        <v>42013.625</v>
      </c>
      <c r="B7" s="2">
        <f ca="1">IFERROR(__xludf.DUMMYFUNCTION("""COMPUTED_VALUE"""),13025)</f>
        <v>13025</v>
      </c>
      <c r="C7" s="2">
        <f ca="1">IFERROR(__xludf.DUMMYFUNCTION("""COMPUTED_VALUE"""),13075)</f>
        <v>13075</v>
      </c>
      <c r="D7" s="2">
        <f ca="1">IFERROR(__xludf.DUMMYFUNCTION("""COMPUTED_VALUE"""),12925)</f>
        <v>12925</v>
      </c>
      <c r="E7" s="2">
        <f ca="1">IFERROR(__xludf.DUMMYFUNCTION("""COMPUTED_VALUE"""),12925)</f>
        <v>12925</v>
      </c>
      <c r="F7" s="2">
        <f ca="1">IFERROR(__xludf.DUMMYFUNCTION("""COMPUTED_VALUE"""),21791500)</f>
        <v>21791500</v>
      </c>
    </row>
    <row r="8" spans="1:6">
      <c r="A8" s="5">
        <f ca="1">IFERROR(__xludf.DUMMYFUNCTION("""COMPUTED_VALUE"""),42016.625)</f>
        <v>42016.625</v>
      </c>
      <c r="B8" s="2">
        <f ca="1">IFERROR(__xludf.DUMMYFUNCTION("""COMPUTED_VALUE"""),12925)</f>
        <v>12925</v>
      </c>
      <c r="C8" s="2">
        <f ca="1">IFERROR(__xludf.DUMMYFUNCTION("""COMPUTED_VALUE"""),13000)</f>
        <v>13000</v>
      </c>
      <c r="D8" s="2">
        <f ca="1">IFERROR(__xludf.DUMMYFUNCTION("""COMPUTED_VALUE"""),12800)</f>
        <v>12800</v>
      </c>
      <c r="E8" s="2">
        <f ca="1">IFERROR(__xludf.DUMMYFUNCTION("""COMPUTED_VALUE"""),13000)</f>
        <v>13000</v>
      </c>
      <c r="F8" s="2">
        <f ca="1">IFERROR(__xludf.DUMMYFUNCTION("""COMPUTED_VALUE"""),16330200)</f>
        <v>16330200</v>
      </c>
    </row>
    <row r="9" spans="1:6">
      <c r="A9" s="5">
        <f ca="1">IFERROR(__xludf.DUMMYFUNCTION("""COMPUTED_VALUE"""),42017.625)</f>
        <v>42017.625</v>
      </c>
      <c r="B9" s="2">
        <f ca="1">IFERROR(__xludf.DUMMYFUNCTION("""COMPUTED_VALUE"""),13050)</f>
        <v>13050</v>
      </c>
      <c r="C9" s="2">
        <f ca="1">IFERROR(__xludf.DUMMYFUNCTION("""COMPUTED_VALUE"""),13050)</f>
        <v>13050</v>
      </c>
      <c r="D9" s="2">
        <f ca="1">IFERROR(__xludf.DUMMYFUNCTION("""COMPUTED_VALUE"""),12975)</f>
        <v>12975</v>
      </c>
      <c r="E9" s="2">
        <f ca="1">IFERROR(__xludf.DUMMYFUNCTION("""COMPUTED_VALUE"""),13000)</f>
        <v>13000</v>
      </c>
      <c r="F9" s="2">
        <f ca="1">IFERROR(__xludf.DUMMYFUNCTION("""COMPUTED_VALUE"""),7204800)</f>
        <v>7204800</v>
      </c>
    </row>
    <row r="10" spans="1:6">
      <c r="A10" s="5">
        <f ca="1">IFERROR(__xludf.DUMMYFUNCTION("""COMPUTED_VALUE"""),42018.625)</f>
        <v>42018.625</v>
      </c>
      <c r="B10" s="2">
        <f ca="1">IFERROR(__xludf.DUMMYFUNCTION("""COMPUTED_VALUE"""),13025)</f>
        <v>13025</v>
      </c>
      <c r="C10" s="2">
        <f ca="1">IFERROR(__xludf.DUMMYFUNCTION("""COMPUTED_VALUE"""),13025)</f>
        <v>13025</v>
      </c>
      <c r="D10" s="2">
        <f ca="1">IFERROR(__xludf.DUMMYFUNCTION("""COMPUTED_VALUE"""),12925)</f>
        <v>12925</v>
      </c>
      <c r="E10" s="2">
        <f ca="1">IFERROR(__xludf.DUMMYFUNCTION("""COMPUTED_VALUE"""),12925)</f>
        <v>12925</v>
      </c>
      <c r="F10" s="2">
        <f ca="1">IFERROR(__xludf.DUMMYFUNCTION("""COMPUTED_VALUE"""),5945600)</f>
        <v>5945600</v>
      </c>
    </row>
    <row r="11" spans="1:6">
      <c r="A11" s="5">
        <f ca="1">IFERROR(__xludf.DUMMYFUNCTION("""COMPUTED_VALUE"""),42019.625)</f>
        <v>42019.625</v>
      </c>
      <c r="B11" s="2">
        <f ca="1">IFERROR(__xludf.DUMMYFUNCTION("""COMPUTED_VALUE"""),12950)</f>
        <v>12950</v>
      </c>
      <c r="C11" s="2">
        <f ca="1">IFERROR(__xludf.DUMMYFUNCTION("""COMPUTED_VALUE"""),13050)</f>
        <v>13050</v>
      </c>
      <c r="D11" s="2">
        <f ca="1">IFERROR(__xludf.DUMMYFUNCTION("""COMPUTED_VALUE"""),12950)</f>
        <v>12950</v>
      </c>
      <c r="E11" s="2">
        <f ca="1">IFERROR(__xludf.DUMMYFUNCTION("""COMPUTED_VALUE"""),12950)</f>
        <v>12950</v>
      </c>
      <c r="F11" s="2">
        <f ca="1">IFERROR(__xludf.DUMMYFUNCTION("""COMPUTED_VALUE"""),5516100)</f>
        <v>5516100</v>
      </c>
    </row>
    <row r="12" spans="1:6">
      <c r="A12" s="5">
        <f ca="1">IFERROR(__xludf.DUMMYFUNCTION("""COMPUTED_VALUE"""),42020.625)</f>
        <v>42020.625</v>
      </c>
      <c r="B12" s="2">
        <f ca="1">IFERROR(__xludf.DUMMYFUNCTION("""COMPUTED_VALUE"""),13025)</f>
        <v>13025</v>
      </c>
      <c r="C12" s="2">
        <f ca="1">IFERROR(__xludf.DUMMYFUNCTION("""COMPUTED_VALUE"""),13025)</f>
        <v>13025</v>
      </c>
      <c r="D12" s="2">
        <f ca="1">IFERROR(__xludf.DUMMYFUNCTION("""COMPUTED_VALUE"""),12950)</f>
        <v>12950</v>
      </c>
      <c r="E12" s="2">
        <f ca="1">IFERROR(__xludf.DUMMYFUNCTION("""COMPUTED_VALUE"""),12950)</f>
        <v>12950</v>
      </c>
      <c r="F12" s="2">
        <f ca="1">IFERROR(__xludf.DUMMYFUNCTION("""COMPUTED_VALUE"""),9270900)</f>
        <v>9270900</v>
      </c>
    </row>
    <row r="13" spans="1:6">
      <c r="A13" s="5">
        <f ca="1">IFERROR(__xludf.DUMMYFUNCTION("""COMPUTED_VALUE"""),42023.625)</f>
        <v>42023.625</v>
      </c>
      <c r="B13" s="2">
        <f ca="1">IFERROR(__xludf.DUMMYFUNCTION("""COMPUTED_VALUE"""),12975)</f>
        <v>12975</v>
      </c>
      <c r="C13" s="2">
        <f ca="1">IFERROR(__xludf.DUMMYFUNCTION("""COMPUTED_VALUE"""),13025)</f>
        <v>13025</v>
      </c>
      <c r="D13" s="2">
        <f ca="1">IFERROR(__xludf.DUMMYFUNCTION("""COMPUTED_VALUE"""),12975)</f>
        <v>12975</v>
      </c>
      <c r="E13" s="2">
        <f ca="1">IFERROR(__xludf.DUMMYFUNCTION("""COMPUTED_VALUE"""),13000)</f>
        <v>13000</v>
      </c>
      <c r="F13" s="2">
        <f ca="1">IFERROR(__xludf.DUMMYFUNCTION("""COMPUTED_VALUE"""),5226900)</f>
        <v>5226900</v>
      </c>
    </row>
    <row r="14" spans="1:6">
      <c r="A14" s="5">
        <f ca="1">IFERROR(__xludf.DUMMYFUNCTION("""COMPUTED_VALUE"""),42024.625)</f>
        <v>42024.625</v>
      </c>
      <c r="B14" s="2">
        <f ca="1">IFERROR(__xludf.DUMMYFUNCTION("""COMPUTED_VALUE"""),12975)</f>
        <v>12975</v>
      </c>
      <c r="C14" s="2">
        <f ca="1">IFERROR(__xludf.DUMMYFUNCTION("""COMPUTED_VALUE"""),13050)</f>
        <v>13050</v>
      </c>
      <c r="D14" s="2">
        <f ca="1">IFERROR(__xludf.DUMMYFUNCTION("""COMPUTED_VALUE"""),12925)</f>
        <v>12925</v>
      </c>
      <c r="E14" s="2">
        <f ca="1">IFERROR(__xludf.DUMMYFUNCTION("""COMPUTED_VALUE"""),13025)</f>
        <v>13025</v>
      </c>
      <c r="F14" s="2">
        <f ca="1">IFERROR(__xludf.DUMMYFUNCTION("""COMPUTED_VALUE"""),7257100)</f>
        <v>7257100</v>
      </c>
    </row>
    <row r="15" spans="1:6">
      <c r="A15" s="5">
        <f ca="1">IFERROR(__xludf.DUMMYFUNCTION("""COMPUTED_VALUE"""),42025.625)</f>
        <v>42025.625</v>
      </c>
      <c r="B15" s="2">
        <f ca="1">IFERROR(__xludf.DUMMYFUNCTION("""COMPUTED_VALUE"""),13050)</f>
        <v>13050</v>
      </c>
      <c r="C15" s="2">
        <f ca="1">IFERROR(__xludf.DUMMYFUNCTION("""COMPUTED_VALUE"""),13200)</f>
        <v>13200</v>
      </c>
      <c r="D15" s="2">
        <f ca="1">IFERROR(__xludf.DUMMYFUNCTION("""COMPUTED_VALUE"""),13025)</f>
        <v>13025</v>
      </c>
      <c r="E15" s="2">
        <f ca="1">IFERROR(__xludf.DUMMYFUNCTION("""COMPUTED_VALUE"""),13075)</f>
        <v>13075</v>
      </c>
      <c r="F15" s="2">
        <f ca="1">IFERROR(__xludf.DUMMYFUNCTION("""COMPUTED_VALUE"""),14651600)</f>
        <v>14651600</v>
      </c>
    </row>
    <row r="16" spans="1:6">
      <c r="A16" s="5">
        <f ca="1">IFERROR(__xludf.DUMMYFUNCTION("""COMPUTED_VALUE"""),42026.625)</f>
        <v>42026.625</v>
      </c>
      <c r="B16" s="2">
        <f ca="1">IFERROR(__xludf.DUMMYFUNCTION("""COMPUTED_VALUE"""),13050)</f>
        <v>13050</v>
      </c>
      <c r="C16" s="2">
        <f ca="1">IFERROR(__xludf.DUMMYFUNCTION("""COMPUTED_VALUE"""),13225)</f>
        <v>13225</v>
      </c>
      <c r="D16" s="2">
        <f ca="1">IFERROR(__xludf.DUMMYFUNCTION("""COMPUTED_VALUE"""),13050)</f>
        <v>13050</v>
      </c>
      <c r="E16" s="2">
        <f ca="1">IFERROR(__xludf.DUMMYFUNCTION("""COMPUTED_VALUE"""),13200)</f>
        <v>13200</v>
      </c>
      <c r="F16" s="2">
        <f ca="1">IFERROR(__xludf.DUMMYFUNCTION("""COMPUTED_VALUE"""),11730800)</f>
        <v>11730800</v>
      </c>
    </row>
    <row r="17" spans="1:6">
      <c r="A17" s="5">
        <f ca="1">IFERROR(__xludf.DUMMYFUNCTION("""COMPUTED_VALUE"""),42027.625)</f>
        <v>42027.625</v>
      </c>
      <c r="B17" s="2">
        <f ca="1">IFERROR(__xludf.DUMMYFUNCTION("""COMPUTED_VALUE"""),13225)</f>
        <v>13225</v>
      </c>
      <c r="C17" s="2">
        <f ca="1">IFERROR(__xludf.DUMMYFUNCTION("""COMPUTED_VALUE"""),13400)</f>
        <v>13400</v>
      </c>
      <c r="D17" s="2">
        <f ca="1">IFERROR(__xludf.DUMMYFUNCTION("""COMPUTED_VALUE"""),13225)</f>
        <v>13225</v>
      </c>
      <c r="E17" s="2">
        <f ca="1">IFERROR(__xludf.DUMMYFUNCTION("""COMPUTED_VALUE"""),13325)</f>
        <v>13325</v>
      </c>
      <c r="F17" s="2">
        <f ca="1">IFERROR(__xludf.DUMMYFUNCTION("""COMPUTED_VALUE"""),24202200)</f>
        <v>24202200</v>
      </c>
    </row>
    <row r="18" spans="1:6">
      <c r="A18" s="5">
        <f ca="1">IFERROR(__xludf.DUMMYFUNCTION("""COMPUTED_VALUE"""),42030.625)</f>
        <v>42030.625</v>
      </c>
      <c r="B18" s="2">
        <f ca="1">IFERROR(__xludf.DUMMYFUNCTION("""COMPUTED_VALUE"""),13325)</f>
        <v>13325</v>
      </c>
      <c r="C18" s="2">
        <f ca="1">IFERROR(__xludf.DUMMYFUNCTION("""COMPUTED_VALUE"""),13400)</f>
        <v>13400</v>
      </c>
      <c r="D18" s="2">
        <f ca="1">IFERROR(__xludf.DUMMYFUNCTION("""COMPUTED_VALUE"""),13025)</f>
        <v>13025</v>
      </c>
      <c r="E18" s="2">
        <f ca="1">IFERROR(__xludf.DUMMYFUNCTION("""COMPUTED_VALUE"""),13150)</f>
        <v>13150</v>
      </c>
      <c r="F18" s="2">
        <f ca="1">IFERROR(__xludf.DUMMYFUNCTION("""COMPUTED_VALUE"""),20617800)</f>
        <v>20617800</v>
      </c>
    </row>
    <row r="19" spans="1:6">
      <c r="A19" s="5">
        <f ca="1">IFERROR(__xludf.DUMMYFUNCTION("""COMPUTED_VALUE"""),42031.625)</f>
        <v>42031.625</v>
      </c>
      <c r="B19" s="2">
        <f ca="1">IFERROR(__xludf.DUMMYFUNCTION("""COMPUTED_VALUE"""),13150)</f>
        <v>13150</v>
      </c>
      <c r="C19" s="2">
        <f ca="1">IFERROR(__xludf.DUMMYFUNCTION("""COMPUTED_VALUE"""),13225)</f>
        <v>13225</v>
      </c>
      <c r="D19" s="2">
        <f ca="1">IFERROR(__xludf.DUMMYFUNCTION("""COMPUTED_VALUE"""),13125)</f>
        <v>13125</v>
      </c>
      <c r="E19" s="2">
        <f ca="1">IFERROR(__xludf.DUMMYFUNCTION("""COMPUTED_VALUE"""),13200)</f>
        <v>13200</v>
      </c>
      <c r="F19" s="2">
        <f ca="1">IFERROR(__xludf.DUMMYFUNCTION("""COMPUTED_VALUE"""),9997700)</f>
        <v>9997700</v>
      </c>
    </row>
    <row r="20" spans="1:6">
      <c r="A20" s="5">
        <f ca="1">IFERROR(__xludf.DUMMYFUNCTION("""COMPUTED_VALUE"""),42032.625)</f>
        <v>42032.625</v>
      </c>
      <c r="B20" s="2">
        <f ca="1">IFERROR(__xludf.DUMMYFUNCTION("""COMPUTED_VALUE"""),13175)</f>
        <v>13175</v>
      </c>
      <c r="C20" s="2">
        <f ca="1">IFERROR(__xludf.DUMMYFUNCTION("""COMPUTED_VALUE"""),13325)</f>
        <v>13325</v>
      </c>
      <c r="D20" s="2">
        <f ca="1">IFERROR(__xludf.DUMMYFUNCTION("""COMPUTED_VALUE"""),13150)</f>
        <v>13150</v>
      </c>
      <c r="E20" s="2">
        <f ca="1">IFERROR(__xludf.DUMMYFUNCTION("""COMPUTED_VALUE"""),13275)</f>
        <v>13275</v>
      </c>
      <c r="F20" s="2">
        <f ca="1">IFERROR(__xludf.DUMMYFUNCTION("""COMPUTED_VALUE"""),9646000)</f>
        <v>9646000</v>
      </c>
    </row>
    <row r="21" spans="1:6">
      <c r="A21" s="5">
        <f ca="1">IFERROR(__xludf.DUMMYFUNCTION("""COMPUTED_VALUE"""),42033.625)</f>
        <v>42033.625</v>
      </c>
      <c r="B21" s="2">
        <f ca="1">IFERROR(__xludf.DUMMYFUNCTION("""COMPUTED_VALUE"""),13250)</f>
        <v>13250</v>
      </c>
      <c r="C21" s="2">
        <f ca="1">IFERROR(__xludf.DUMMYFUNCTION("""COMPUTED_VALUE"""),13325)</f>
        <v>13325</v>
      </c>
      <c r="D21" s="2">
        <f ca="1">IFERROR(__xludf.DUMMYFUNCTION("""COMPUTED_VALUE"""),13200)</f>
        <v>13200</v>
      </c>
      <c r="E21" s="2">
        <f ca="1">IFERROR(__xludf.DUMMYFUNCTION("""COMPUTED_VALUE"""),13325)</f>
        <v>13325</v>
      </c>
      <c r="F21" s="2">
        <f ca="1">IFERROR(__xludf.DUMMYFUNCTION("""COMPUTED_VALUE"""),8319900)</f>
        <v>8319900</v>
      </c>
    </row>
    <row r="22" spans="1:6">
      <c r="A22" s="5">
        <f ca="1">IFERROR(__xludf.DUMMYFUNCTION("""COMPUTED_VALUE"""),42034.625)</f>
        <v>42034.625</v>
      </c>
      <c r="B22" s="2">
        <f ca="1">IFERROR(__xludf.DUMMYFUNCTION("""COMPUTED_VALUE"""),13400)</f>
        <v>13400</v>
      </c>
      <c r="C22" s="2">
        <f ca="1">IFERROR(__xludf.DUMMYFUNCTION("""COMPUTED_VALUE"""),13425)</f>
        <v>13425</v>
      </c>
      <c r="D22" s="2">
        <f ca="1">IFERROR(__xludf.DUMMYFUNCTION("""COMPUTED_VALUE"""),13325)</f>
        <v>13325</v>
      </c>
      <c r="E22" s="2">
        <f ca="1">IFERROR(__xludf.DUMMYFUNCTION("""COMPUTED_VALUE"""),13375)</f>
        <v>13375</v>
      </c>
      <c r="F22" s="2">
        <f ca="1">IFERROR(__xludf.DUMMYFUNCTION("""COMPUTED_VALUE"""),18828500)</f>
        <v>18828500</v>
      </c>
    </row>
    <row r="23" spans="1:6">
      <c r="A23" s="5">
        <f ca="1">IFERROR(__xludf.DUMMYFUNCTION("""COMPUTED_VALUE"""),42037.625)</f>
        <v>42037.625</v>
      </c>
      <c r="B23" s="2">
        <f ca="1">IFERROR(__xludf.DUMMYFUNCTION("""COMPUTED_VALUE"""),13350)</f>
        <v>13350</v>
      </c>
      <c r="C23" s="2">
        <f ca="1">IFERROR(__xludf.DUMMYFUNCTION("""COMPUTED_VALUE"""),13375)</f>
        <v>13375</v>
      </c>
      <c r="D23" s="2">
        <f ca="1">IFERROR(__xludf.DUMMYFUNCTION("""COMPUTED_VALUE"""),13250)</f>
        <v>13250</v>
      </c>
      <c r="E23" s="2">
        <f ca="1">IFERROR(__xludf.DUMMYFUNCTION("""COMPUTED_VALUE"""),13350)</f>
        <v>13350</v>
      </c>
      <c r="F23" s="2">
        <f ca="1">IFERROR(__xludf.DUMMYFUNCTION("""COMPUTED_VALUE"""),7763300)</f>
        <v>7763300</v>
      </c>
    </row>
    <row r="24" spans="1:6">
      <c r="A24" s="5">
        <f ca="1">IFERROR(__xludf.DUMMYFUNCTION("""COMPUTED_VALUE"""),42038.625)</f>
        <v>42038.625</v>
      </c>
      <c r="B24" s="2">
        <f ca="1">IFERROR(__xludf.DUMMYFUNCTION("""COMPUTED_VALUE"""),13375)</f>
        <v>13375</v>
      </c>
      <c r="C24" s="2">
        <f ca="1">IFERROR(__xludf.DUMMYFUNCTION("""COMPUTED_VALUE"""),13500)</f>
        <v>13500</v>
      </c>
      <c r="D24" s="2">
        <f ca="1">IFERROR(__xludf.DUMMYFUNCTION("""COMPUTED_VALUE"""),13350)</f>
        <v>13350</v>
      </c>
      <c r="E24" s="2">
        <f ca="1">IFERROR(__xludf.DUMMYFUNCTION("""COMPUTED_VALUE"""),13500)</f>
        <v>13500</v>
      </c>
      <c r="F24" s="2">
        <f ca="1">IFERROR(__xludf.DUMMYFUNCTION("""COMPUTED_VALUE"""),13409300)</f>
        <v>13409300</v>
      </c>
    </row>
    <row r="25" spans="1:6">
      <c r="A25" s="5">
        <f ca="1">IFERROR(__xludf.DUMMYFUNCTION("""COMPUTED_VALUE"""),42039.625)</f>
        <v>42039.625</v>
      </c>
      <c r="B25" s="2">
        <f ca="1">IFERROR(__xludf.DUMMYFUNCTION("""COMPUTED_VALUE"""),13525)</f>
        <v>13525</v>
      </c>
      <c r="C25" s="2">
        <f ca="1">IFERROR(__xludf.DUMMYFUNCTION("""COMPUTED_VALUE"""),14000)</f>
        <v>14000</v>
      </c>
      <c r="D25" s="2">
        <f ca="1">IFERROR(__xludf.DUMMYFUNCTION("""COMPUTED_VALUE"""),13475)</f>
        <v>13475</v>
      </c>
      <c r="E25" s="2">
        <f ca="1">IFERROR(__xludf.DUMMYFUNCTION("""COMPUTED_VALUE"""),13900)</f>
        <v>13900</v>
      </c>
      <c r="F25" s="2">
        <f ca="1">IFERROR(__xludf.DUMMYFUNCTION("""COMPUTED_VALUE"""),27261200)</f>
        <v>27261200</v>
      </c>
    </row>
    <row r="26" spans="1:6">
      <c r="A26" s="5">
        <f ca="1">IFERROR(__xludf.DUMMYFUNCTION("""COMPUTED_VALUE"""),42040.625)</f>
        <v>42040.625</v>
      </c>
      <c r="B26" s="2">
        <f ca="1">IFERROR(__xludf.DUMMYFUNCTION("""COMPUTED_VALUE"""),13900)</f>
        <v>13900</v>
      </c>
      <c r="C26" s="2">
        <f ca="1">IFERROR(__xludf.DUMMYFUNCTION("""COMPUTED_VALUE"""),13925)</f>
        <v>13925</v>
      </c>
      <c r="D26" s="2">
        <f ca="1">IFERROR(__xludf.DUMMYFUNCTION("""COMPUTED_VALUE"""),13375)</f>
        <v>13375</v>
      </c>
      <c r="E26" s="2">
        <f ca="1">IFERROR(__xludf.DUMMYFUNCTION("""COMPUTED_VALUE"""),13700)</f>
        <v>13700</v>
      </c>
      <c r="F26" s="2">
        <f ca="1">IFERROR(__xludf.DUMMYFUNCTION("""COMPUTED_VALUE"""),16784700)</f>
        <v>16784700</v>
      </c>
    </row>
    <row r="27" spans="1:6">
      <c r="A27" s="5">
        <f ca="1">IFERROR(__xludf.DUMMYFUNCTION("""COMPUTED_VALUE"""),42041.625)</f>
        <v>42041.625</v>
      </c>
      <c r="B27" s="2">
        <f ca="1">IFERROR(__xludf.DUMMYFUNCTION("""COMPUTED_VALUE"""),13775)</f>
        <v>13775</v>
      </c>
      <c r="C27" s="2">
        <f ca="1">IFERROR(__xludf.DUMMYFUNCTION("""COMPUTED_VALUE"""),13800)</f>
        <v>13800</v>
      </c>
      <c r="D27" s="2">
        <f ca="1">IFERROR(__xludf.DUMMYFUNCTION("""COMPUTED_VALUE"""),13650)</f>
        <v>13650</v>
      </c>
      <c r="E27" s="2">
        <f ca="1">IFERROR(__xludf.DUMMYFUNCTION("""COMPUTED_VALUE"""),13700)</f>
        <v>13700</v>
      </c>
      <c r="F27" s="2">
        <f ca="1">IFERROR(__xludf.DUMMYFUNCTION("""COMPUTED_VALUE"""),10812100)</f>
        <v>10812100</v>
      </c>
    </row>
    <row r="28" spans="1:6">
      <c r="A28" s="5">
        <f ca="1">IFERROR(__xludf.DUMMYFUNCTION("""COMPUTED_VALUE"""),42044.625)</f>
        <v>42044.625</v>
      </c>
      <c r="B28" s="2">
        <f ca="1">IFERROR(__xludf.DUMMYFUNCTION("""COMPUTED_VALUE"""),13500)</f>
        <v>13500</v>
      </c>
      <c r="C28" s="2">
        <f ca="1">IFERROR(__xludf.DUMMYFUNCTION("""COMPUTED_VALUE"""),13900)</f>
        <v>13900</v>
      </c>
      <c r="D28" s="2">
        <f ca="1">IFERROR(__xludf.DUMMYFUNCTION("""COMPUTED_VALUE"""),13500)</f>
        <v>13500</v>
      </c>
      <c r="E28" s="2">
        <f ca="1">IFERROR(__xludf.DUMMYFUNCTION("""COMPUTED_VALUE"""),13800)</f>
        <v>13800</v>
      </c>
      <c r="F28" s="2">
        <f ca="1">IFERROR(__xludf.DUMMYFUNCTION("""COMPUTED_VALUE"""),13721800)</f>
        <v>13721800</v>
      </c>
    </row>
    <row r="29" spans="1:6">
      <c r="A29" s="5">
        <f ca="1">IFERROR(__xludf.DUMMYFUNCTION("""COMPUTED_VALUE"""),42045.625)</f>
        <v>42045.625</v>
      </c>
      <c r="B29" s="2">
        <f ca="1">IFERROR(__xludf.DUMMYFUNCTION("""COMPUTED_VALUE"""),13875)</f>
        <v>13875</v>
      </c>
      <c r="C29" s="2">
        <f ca="1">IFERROR(__xludf.DUMMYFUNCTION("""COMPUTED_VALUE"""),13900)</f>
        <v>13900</v>
      </c>
      <c r="D29" s="2">
        <f ca="1">IFERROR(__xludf.DUMMYFUNCTION("""COMPUTED_VALUE"""),13650)</f>
        <v>13650</v>
      </c>
      <c r="E29" s="2">
        <f ca="1">IFERROR(__xludf.DUMMYFUNCTION("""COMPUTED_VALUE"""),13750)</f>
        <v>13750</v>
      </c>
      <c r="F29" s="2">
        <f ca="1">IFERROR(__xludf.DUMMYFUNCTION("""COMPUTED_VALUE"""),10108100)</f>
        <v>10108100</v>
      </c>
    </row>
    <row r="30" spans="1:6">
      <c r="A30" s="5">
        <f ca="1">IFERROR(__xludf.DUMMYFUNCTION("""COMPUTED_VALUE"""),42046.625)</f>
        <v>42046.625</v>
      </c>
      <c r="B30" s="2">
        <f ca="1">IFERROR(__xludf.DUMMYFUNCTION("""COMPUTED_VALUE"""),13775)</f>
        <v>13775</v>
      </c>
      <c r="C30" s="2">
        <f ca="1">IFERROR(__xludf.DUMMYFUNCTION("""COMPUTED_VALUE"""),13925)</f>
        <v>13925</v>
      </c>
      <c r="D30" s="2">
        <f ca="1">IFERROR(__xludf.DUMMYFUNCTION("""COMPUTED_VALUE"""),13700)</f>
        <v>13700</v>
      </c>
      <c r="E30" s="2">
        <f ca="1">IFERROR(__xludf.DUMMYFUNCTION("""COMPUTED_VALUE"""),13925)</f>
        <v>13925</v>
      </c>
      <c r="F30" s="2">
        <f ca="1">IFERROR(__xludf.DUMMYFUNCTION("""COMPUTED_VALUE"""),9294300)</f>
        <v>9294300</v>
      </c>
    </row>
    <row r="31" spans="1:6">
      <c r="A31" s="5">
        <f ca="1">IFERROR(__xludf.DUMMYFUNCTION("""COMPUTED_VALUE"""),42047.625)</f>
        <v>42047.625</v>
      </c>
      <c r="B31" s="2">
        <f ca="1">IFERROR(__xludf.DUMMYFUNCTION("""COMPUTED_VALUE"""),13925)</f>
        <v>13925</v>
      </c>
      <c r="C31" s="2">
        <f ca="1">IFERROR(__xludf.DUMMYFUNCTION("""COMPUTED_VALUE"""),13950)</f>
        <v>13950</v>
      </c>
      <c r="D31" s="2">
        <f ca="1">IFERROR(__xludf.DUMMYFUNCTION("""COMPUTED_VALUE"""),13850)</f>
        <v>13850</v>
      </c>
      <c r="E31" s="2">
        <f ca="1">IFERROR(__xludf.DUMMYFUNCTION("""COMPUTED_VALUE"""),13900)</f>
        <v>13900</v>
      </c>
      <c r="F31" s="2">
        <f ca="1">IFERROR(__xludf.DUMMYFUNCTION("""COMPUTED_VALUE"""),11691100)</f>
        <v>11691100</v>
      </c>
    </row>
    <row r="32" spans="1:6">
      <c r="A32" s="5">
        <f ca="1">IFERROR(__xludf.DUMMYFUNCTION("""COMPUTED_VALUE"""),42048.625)</f>
        <v>42048.625</v>
      </c>
      <c r="B32" s="2">
        <f ca="1">IFERROR(__xludf.DUMMYFUNCTION("""COMPUTED_VALUE"""),14000)</f>
        <v>14000</v>
      </c>
      <c r="C32" s="2">
        <f ca="1">IFERROR(__xludf.DUMMYFUNCTION("""COMPUTED_VALUE"""),14250)</f>
        <v>14250</v>
      </c>
      <c r="D32" s="2">
        <f ca="1">IFERROR(__xludf.DUMMYFUNCTION("""COMPUTED_VALUE"""),13975)</f>
        <v>13975</v>
      </c>
      <c r="E32" s="2">
        <f ca="1">IFERROR(__xludf.DUMMYFUNCTION("""COMPUTED_VALUE"""),14025)</f>
        <v>14025</v>
      </c>
      <c r="F32" s="2">
        <f ca="1">IFERROR(__xludf.DUMMYFUNCTION("""COMPUTED_VALUE"""),18130700)</f>
        <v>18130700</v>
      </c>
    </row>
    <row r="33" spans="1:6">
      <c r="A33" s="5">
        <f ca="1">IFERROR(__xludf.DUMMYFUNCTION("""COMPUTED_VALUE"""),42051.625)</f>
        <v>42051.625</v>
      </c>
      <c r="B33" s="2">
        <f ca="1">IFERROR(__xludf.DUMMYFUNCTION("""COMPUTED_VALUE"""),14050)</f>
        <v>14050</v>
      </c>
      <c r="C33" s="2">
        <f ca="1">IFERROR(__xludf.DUMMYFUNCTION("""COMPUTED_VALUE"""),14175)</f>
        <v>14175</v>
      </c>
      <c r="D33" s="2">
        <f ca="1">IFERROR(__xludf.DUMMYFUNCTION("""COMPUTED_VALUE"""),14000)</f>
        <v>14000</v>
      </c>
      <c r="E33" s="2">
        <f ca="1">IFERROR(__xludf.DUMMYFUNCTION("""COMPUTED_VALUE"""),14000)</f>
        <v>14000</v>
      </c>
      <c r="F33" s="2">
        <f ca="1">IFERROR(__xludf.DUMMYFUNCTION("""COMPUTED_VALUE"""),6100200)</f>
        <v>6100200</v>
      </c>
    </row>
    <row r="34" spans="1:6">
      <c r="A34" s="5">
        <f ca="1">IFERROR(__xludf.DUMMYFUNCTION("""COMPUTED_VALUE"""),42052.625)</f>
        <v>42052.625</v>
      </c>
      <c r="B34" s="2">
        <f ca="1">IFERROR(__xludf.DUMMYFUNCTION("""COMPUTED_VALUE"""),14000)</f>
        <v>14000</v>
      </c>
      <c r="C34" s="2">
        <f ca="1">IFERROR(__xludf.DUMMYFUNCTION("""COMPUTED_VALUE"""),14125)</f>
        <v>14125</v>
      </c>
      <c r="D34" s="2">
        <f ca="1">IFERROR(__xludf.DUMMYFUNCTION("""COMPUTED_VALUE"""),14000)</f>
        <v>14000</v>
      </c>
      <c r="E34" s="2">
        <f ca="1">IFERROR(__xludf.DUMMYFUNCTION("""COMPUTED_VALUE"""),14075)</f>
        <v>14075</v>
      </c>
      <c r="F34" s="2">
        <f ca="1">IFERROR(__xludf.DUMMYFUNCTION("""COMPUTED_VALUE"""),9589000)</f>
        <v>9589000</v>
      </c>
    </row>
    <row r="35" spans="1:6">
      <c r="A35" s="5">
        <f ca="1">IFERROR(__xludf.DUMMYFUNCTION("""COMPUTED_VALUE"""),42053.625)</f>
        <v>42053.625</v>
      </c>
      <c r="B35" s="2">
        <f ca="1">IFERROR(__xludf.DUMMYFUNCTION("""COMPUTED_VALUE"""),14200)</f>
        <v>14200</v>
      </c>
      <c r="C35" s="2">
        <f ca="1">IFERROR(__xludf.DUMMYFUNCTION("""COMPUTED_VALUE"""),14550)</f>
        <v>14550</v>
      </c>
      <c r="D35" s="2">
        <f ca="1">IFERROR(__xludf.DUMMYFUNCTION("""COMPUTED_VALUE"""),14000)</f>
        <v>14000</v>
      </c>
      <c r="E35" s="2">
        <f ca="1">IFERROR(__xludf.DUMMYFUNCTION("""COMPUTED_VALUE"""),14075)</f>
        <v>14075</v>
      </c>
      <c r="F35" s="2">
        <f ca="1">IFERROR(__xludf.DUMMYFUNCTION("""COMPUTED_VALUE"""),11556400)</f>
        <v>11556400</v>
      </c>
    </row>
    <row r="36" spans="1:6">
      <c r="A36" s="5">
        <f ca="1">IFERROR(__xludf.DUMMYFUNCTION("""COMPUTED_VALUE"""),42055.625)</f>
        <v>42055.625</v>
      </c>
      <c r="B36" s="2">
        <f ca="1">IFERROR(__xludf.DUMMYFUNCTION("""COMPUTED_VALUE"""),14300)</f>
        <v>14300</v>
      </c>
      <c r="C36" s="2">
        <f ca="1">IFERROR(__xludf.DUMMYFUNCTION("""COMPUTED_VALUE"""),14325)</f>
        <v>14325</v>
      </c>
      <c r="D36" s="2">
        <f ca="1">IFERROR(__xludf.DUMMYFUNCTION("""COMPUTED_VALUE"""),14050)</f>
        <v>14050</v>
      </c>
      <c r="E36" s="2">
        <f ca="1">IFERROR(__xludf.DUMMYFUNCTION("""COMPUTED_VALUE"""),14050)</f>
        <v>14050</v>
      </c>
      <c r="F36" s="2">
        <f ca="1">IFERROR(__xludf.DUMMYFUNCTION("""COMPUTED_VALUE"""),5032400)</f>
        <v>5032400</v>
      </c>
    </row>
    <row r="37" spans="1:6">
      <c r="A37" s="5">
        <f ca="1">IFERROR(__xludf.DUMMYFUNCTION("""COMPUTED_VALUE"""),42058.625)</f>
        <v>42058.625</v>
      </c>
      <c r="B37" s="2">
        <f ca="1">IFERROR(__xludf.DUMMYFUNCTION("""COMPUTED_VALUE"""),14075)</f>
        <v>14075</v>
      </c>
      <c r="C37" s="2">
        <f ca="1">IFERROR(__xludf.DUMMYFUNCTION("""COMPUTED_VALUE"""),14225)</f>
        <v>14225</v>
      </c>
      <c r="D37" s="2">
        <f ca="1">IFERROR(__xludf.DUMMYFUNCTION("""COMPUTED_VALUE"""),13975)</f>
        <v>13975</v>
      </c>
      <c r="E37" s="2">
        <f ca="1">IFERROR(__xludf.DUMMYFUNCTION("""COMPUTED_VALUE"""),14025)</f>
        <v>14025</v>
      </c>
      <c r="F37" s="2">
        <f ca="1">IFERROR(__xludf.DUMMYFUNCTION("""COMPUTED_VALUE"""),11174300)</f>
        <v>11174300</v>
      </c>
    </row>
    <row r="38" spans="1:6">
      <c r="A38" s="5">
        <f ca="1">IFERROR(__xludf.DUMMYFUNCTION("""COMPUTED_VALUE"""),42059.625)</f>
        <v>42059.625</v>
      </c>
      <c r="B38" s="2">
        <f ca="1">IFERROR(__xludf.DUMMYFUNCTION("""COMPUTED_VALUE"""),14050)</f>
        <v>14050</v>
      </c>
      <c r="C38" s="2">
        <f ca="1">IFERROR(__xludf.DUMMYFUNCTION("""COMPUTED_VALUE"""),14075)</f>
        <v>14075</v>
      </c>
      <c r="D38" s="2">
        <f ca="1">IFERROR(__xludf.DUMMYFUNCTION("""COMPUTED_VALUE"""),13925)</f>
        <v>13925</v>
      </c>
      <c r="E38" s="2">
        <f ca="1">IFERROR(__xludf.DUMMYFUNCTION("""COMPUTED_VALUE"""),14050)</f>
        <v>14050</v>
      </c>
      <c r="F38" s="2">
        <f ca="1">IFERROR(__xludf.DUMMYFUNCTION("""COMPUTED_VALUE"""),9296400)</f>
        <v>9296400</v>
      </c>
    </row>
    <row r="39" spans="1:6">
      <c r="A39" s="5">
        <f ca="1">IFERROR(__xludf.DUMMYFUNCTION("""COMPUTED_VALUE"""),42060.625)</f>
        <v>42060.625</v>
      </c>
      <c r="B39" s="2">
        <f ca="1">IFERROR(__xludf.DUMMYFUNCTION("""COMPUTED_VALUE"""),14000)</f>
        <v>14000</v>
      </c>
      <c r="C39" s="2">
        <f ca="1">IFERROR(__xludf.DUMMYFUNCTION("""COMPUTED_VALUE"""),14175)</f>
        <v>14175</v>
      </c>
      <c r="D39" s="2">
        <f ca="1">IFERROR(__xludf.DUMMYFUNCTION("""COMPUTED_VALUE"""),14000)</f>
        <v>14000</v>
      </c>
      <c r="E39" s="2">
        <f ca="1">IFERROR(__xludf.DUMMYFUNCTION("""COMPUTED_VALUE"""),14100)</f>
        <v>14100</v>
      </c>
      <c r="F39" s="2">
        <f ca="1">IFERROR(__xludf.DUMMYFUNCTION("""COMPUTED_VALUE"""),7914600)</f>
        <v>7914600</v>
      </c>
    </row>
    <row r="40" spans="1:6">
      <c r="A40" s="5">
        <f ca="1">IFERROR(__xludf.DUMMYFUNCTION("""COMPUTED_VALUE"""),42061.625)</f>
        <v>42061.625</v>
      </c>
      <c r="B40" s="2">
        <f ca="1">IFERROR(__xludf.DUMMYFUNCTION("""COMPUTED_VALUE"""),13975)</f>
        <v>13975</v>
      </c>
      <c r="C40" s="2">
        <f ca="1">IFERROR(__xludf.DUMMYFUNCTION("""COMPUTED_VALUE"""),14175)</f>
        <v>14175</v>
      </c>
      <c r="D40" s="2">
        <f ca="1">IFERROR(__xludf.DUMMYFUNCTION("""COMPUTED_VALUE"""),13975)</f>
        <v>13975</v>
      </c>
      <c r="E40" s="2">
        <f ca="1">IFERROR(__xludf.DUMMYFUNCTION("""COMPUTED_VALUE"""),14075)</f>
        <v>14075</v>
      </c>
      <c r="F40" s="2">
        <f ca="1">IFERROR(__xludf.DUMMYFUNCTION("""COMPUTED_VALUE"""),12680100)</f>
        <v>12680100</v>
      </c>
    </row>
    <row r="41" spans="1:6">
      <c r="A41" s="5">
        <f ca="1">IFERROR(__xludf.DUMMYFUNCTION("""COMPUTED_VALUE"""),42062.625)</f>
        <v>42062.625</v>
      </c>
      <c r="B41" s="2">
        <f ca="1">IFERROR(__xludf.DUMMYFUNCTION("""COMPUTED_VALUE"""),14000)</f>
        <v>14000</v>
      </c>
      <c r="C41" s="2">
        <f ca="1">IFERROR(__xludf.DUMMYFUNCTION("""COMPUTED_VALUE"""),14150)</f>
        <v>14150</v>
      </c>
      <c r="D41" s="2">
        <f ca="1">IFERROR(__xludf.DUMMYFUNCTION("""COMPUTED_VALUE"""),14000)</f>
        <v>14000</v>
      </c>
      <c r="E41" s="2">
        <f ca="1">IFERROR(__xludf.DUMMYFUNCTION("""COMPUTED_VALUE"""),14100)</f>
        <v>14100</v>
      </c>
      <c r="F41" s="2">
        <f ca="1">IFERROR(__xludf.DUMMYFUNCTION("""COMPUTED_VALUE"""),18251500)</f>
        <v>18251500</v>
      </c>
    </row>
    <row r="42" spans="1:6">
      <c r="A42" s="5">
        <f ca="1">IFERROR(__xludf.DUMMYFUNCTION("""COMPUTED_VALUE"""),42065.625)</f>
        <v>42065.625</v>
      </c>
      <c r="B42" s="2">
        <f ca="1">IFERROR(__xludf.DUMMYFUNCTION("""COMPUTED_VALUE"""),14150)</f>
        <v>14150</v>
      </c>
      <c r="C42" s="2">
        <f ca="1">IFERROR(__xludf.DUMMYFUNCTION("""COMPUTED_VALUE"""),14300)</f>
        <v>14300</v>
      </c>
      <c r="D42" s="2">
        <f ca="1">IFERROR(__xludf.DUMMYFUNCTION("""COMPUTED_VALUE"""),14100)</f>
        <v>14100</v>
      </c>
      <c r="E42" s="2">
        <f ca="1">IFERROR(__xludf.DUMMYFUNCTION("""COMPUTED_VALUE"""),14225)</f>
        <v>14225</v>
      </c>
      <c r="F42" s="2">
        <f ca="1">IFERROR(__xludf.DUMMYFUNCTION("""COMPUTED_VALUE"""),21156700)</f>
        <v>21156700</v>
      </c>
    </row>
    <row r="43" spans="1:6">
      <c r="A43" s="5">
        <f ca="1">IFERROR(__xludf.DUMMYFUNCTION("""COMPUTED_VALUE"""),42066.625)</f>
        <v>42066.625</v>
      </c>
      <c r="B43" s="2">
        <f ca="1">IFERROR(__xludf.DUMMYFUNCTION("""COMPUTED_VALUE"""),14350)</f>
        <v>14350</v>
      </c>
      <c r="C43" s="2">
        <f ca="1">IFERROR(__xludf.DUMMYFUNCTION("""COMPUTED_VALUE"""),14575)</f>
        <v>14575</v>
      </c>
      <c r="D43" s="2">
        <f ca="1">IFERROR(__xludf.DUMMYFUNCTION("""COMPUTED_VALUE"""),14325)</f>
        <v>14325</v>
      </c>
      <c r="E43" s="2">
        <f ca="1">IFERROR(__xludf.DUMMYFUNCTION("""COMPUTED_VALUE"""),14400)</f>
        <v>14400</v>
      </c>
      <c r="F43" s="2">
        <f ca="1">IFERROR(__xludf.DUMMYFUNCTION("""COMPUTED_VALUE"""),20033200)</f>
        <v>20033200</v>
      </c>
    </row>
    <row r="44" spans="1:6">
      <c r="A44" s="5">
        <f ca="1">IFERROR(__xludf.DUMMYFUNCTION("""COMPUTED_VALUE"""),42067.625)</f>
        <v>42067.625</v>
      </c>
      <c r="B44" s="2">
        <f ca="1">IFERROR(__xludf.DUMMYFUNCTION("""COMPUTED_VALUE"""),14500)</f>
        <v>14500</v>
      </c>
      <c r="C44" s="2">
        <f ca="1">IFERROR(__xludf.DUMMYFUNCTION("""COMPUTED_VALUE"""),14575)</f>
        <v>14575</v>
      </c>
      <c r="D44" s="2">
        <f ca="1">IFERROR(__xludf.DUMMYFUNCTION("""COMPUTED_VALUE"""),14375)</f>
        <v>14375</v>
      </c>
      <c r="E44" s="2">
        <f ca="1">IFERROR(__xludf.DUMMYFUNCTION("""COMPUTED_VALUE"""),14425)</f>
        <v>14425</v>
      </c>
      <c r="F44" s="2">
        <f ca="1">IFERROR(__xludf.DUMMYFUNCTION("""COMPUTED_VALUE"""),12264300)</f>
        <v>12264300</v>
      </c>
    </row>
    <row r="45" spans="1:6">
      <c r="A45" s="5">
        <f ca="1">IFERROR(__xludf.DUMMYFUNCTION("""COMPUTED_VALUE"""),42068.625)</f>
        <v>42068.625</v>
      </c>
      <c r="B45" s="2">
        <f ca="1">IFERROR(__xludf.DUMMYFUNCTION("""COMPUTED_VALUE"""),14500)</f>
        <v>14500</v>
      </c>
      <c r="C45" s="2">
        <f ca="1">IFERROR(__xludf.DUMMYFUNCTION("""COMPUTED_VALUE"""),14650)</f>
        <v>14650</v>
      </c>
      <c r="D45" s="2">
        <f ca="1">IFERROR(__xludf.DUMMYFUNCTION("""COMPUTED_VALUE"""),14475)</f>
        <v>14475</v>
      </c>
      <c r="E45" s="2">
        <f ca="1">IFERROR(__xludf.DUMMYFUNCTION("""COMPUTED_VALUE"""),14500)</f>
        <v>14500</v>
      </c>
      <c r="F45" s="2">
        <f ca="1">IFERROR(__xludf.DUMMYFUNCTION("""COMPUTED_VALUE"""),12669500)</f>
        <v>12669500</v>
      </c>
    </row>
    <row r="46" spans="1:6">
      <c r="A46" s="5">
        <f ca="1">IFERROR(__xludf.DUMMYFUNCTION("""COMPUTED_VALUE"""),42069.625)</f>
        <v>42069.625</v>
      </c>
      <c r="B46" s="2">
        <f ca="1">IFERROR(__xludf.DUMMYFUNCTION("""COMPUTED_VALUE"""),14500)</f>
        <v>14500</v>
      </c>
      <c r="C46" s="2">
        <f ca="1">IFERROR(__xludf.DUMMYFUNCTION("""COMPUTED_VALUE"""),14675)</f>
        <v>14675</v>
      </c>
      <c r="D46" s="2">
        <f ca="1">IFERROR(__xludf.DUMMYFUNCTION("""COMPUTED_VALUE"""),14500)</f>
        <v>14500</v>
      </c>
      <c r="E46" s="2">
        <f ca="1">IFERROR(__xludf.DUMMYFUNCTION("""COMPUTED_VALUE"""),14600)</f>
        <v>14600</v>
      </c>
      <c r="F46" s="2">
        <f ca="1">IFERROR(__xludf.DUMMYFUNCTION("""COMPUTED_VALUE"""),16944400)</f>
        <v>16944400</v>
      </c>
    </row>
    <row r="47" spans="1:6">
      <c r="A47" s="5">
        <f ca="1">IFERROR(__xludf.DUMMYFUNCTION("""COMPUTED_VALUE"""),42072.625)</f>
        <v>42072.625</v>
      </c>
      <c r="B47" s="2">
        <f ca="1">IFERROR(__xludf.DUMMYFUNCTION("""COMPUTED_VALUE"""),14400)</f>
        <v>14400</v>
      </c>
      <c r="C47" s="2">
        <f ca="1">IFERROR(__xludf.DUMMYFUNCTION("""COMPUTED_VALUE"""),14475)</f>
        <v>14475</v>
      </c>
      <c r="D47" s="2">
        <f ca="1">IFERROR(__xludf.DUMMYFUNCTION("""COMPUTED_VALUE"""),14100)</f>
        <v>14100</v>
      </c>
      <c r="E47" s="2">
        <f ca="1">IFERROR(__xludf.DUMMYFUNCTION("""COMPUTED_VALUE"""),14375)</f>
        <v>14375</v>
      </c>
      <c r="F47" s="2">
        <f ca="1">IFERROR(__xludf.DUMMYFUNCTION("""COMPUTED_VALUE"""),15167500)</f>
        <v>15167500</v>
      </c>
    </row>
    <row r="48" spans="1:6">
      <c r="A48" s="5">
        <f ca="1">IFERROR(__xludf.DUMMYFUNCTION("""COMPUTED_VALUE"""),42073.625)</f>
        <v>42073.625</v>
      </c>
      <c r="B48" s="2">
        <f ca="1">IFERROR(__xludf.DUMMYFUNCTION("""COMPUTED_VALUE"""),14400)</f>
        <v>14400</v>
      </c>
      <c r="C48" s="2">
        <f ca="1">IFERROR(__xludf.DUMMYFUNCTION("""COMPUTED_VALUE"""),14525)</f>
        <v>14525</v>
      </c>
      <c r="D48" s="2">
        <f ca="1">IFERROR(__xludf.DUMMYFUNCTION("""COMPUTED_VALUE"""),14250)</f>
        <v>14250</v>
      </c>
      <c r="E48" s="2">
        <f ca="1">IFERROR(__xludf.DUMMYFUNCTION("""COMPUTED_VALUE"""),14425)</f>
        <v>14425</v>
      </c>
      <c r="F48" s="2">
        <f ca="1">IFERROR(__xludf.DUMMYFUNCTION("""COMPUTED_VALUE"""),11281100)</f>
        <v>11281100</v>
      </c>
    </row>
    <row r="49" spans="1:6">
      <c r="A49" s="5">
        <f ca="1">IFERROR(__xludf.DUMMYFUNCTION("""COMPUTED_VALUE"""),42074.625)</f>
        <v>42074.625</v>
      </c>
      <c r="B49" s="2">
        <f ca="1">IFERROR(__xludf.DUMMYFUNCTION("""COMPUTED_VALUE"""),14250)</f>
        <v>14250</v>
      </c>
      <c r="C49" s="2">
        <f ca="1">IFERROR(__xludf.DUMMYFUNCTION("""COMPUTED_VALUE"""),14375)</f>
        <v>14375</v>
      </c>
      <c r="D49" s="2">
        <f ca="1">IFERROR(__xludf.DUMMYFUNCTION("""COMPUTED_VALUE"""),14225)</f>
        <v>14225</v>
      </c>
      <c r="E49" s="2">
        <f ca="1">IFERROR(__xludf.DUMMYFUNCTION("""COMPUTED_VALUE"""),14275)</f>
        <v>14275</v>
      </c>
      <c r="F49" s="2">
        <f ca="1">IFERROR(__xludf.DUMMYFUNCTION("""COMPUTED_VALUE"""),17254100)</f>
        <v>17254100</v>
      </c>
    </row>
    <row r="50" spans="1:6">
      <c r="A50" s="5">
        <f ca="1">IFERROR(__xludf.DUMMYFUNCTION("""COMPUTED_VALUE"""),42075.625)</f>
        <v>42075.625</v>
      </c>
      <c r="B50" s="2">
        <f ca="1">IFERROR(__xludf.DUMMYFUNCTION("""COMPUTED_VALUE"""),14225)</f>
        <v>14225</v>
      </c>
      <c r="C50" s="2">
        <f ca="1">IFERROR(__xludf.DUMMYFUNCTION("""COMPUTED_VALUE"""),14275)</f>
        <v>14275</v>
      </c>
      <c r="D50" s="2">
        <f ca="1">IFERROR(__xludf.DUMMYFUNCTION("""COMPUTED_VALUE"""),14150)</f>
        <v>14150</v>
      </c>
      <c r="E50" s="2">
        <f ca="1">IFERROR(__xludf.DUMMYFUNCTION("""COMPUTED_VALUE"""),14200)</f>
        <v>14200</v>
      </c>
      <c r="F50" s="2">
        <f ca="1">IFERROR(__xludf.DUMMYFUNCTION("""COMPUTED_VALUE"""),11499300)</f>
        <v>11499300</v>
      </c>
    </row>
    <row r="51" spans="1:6">
      <c r="A51" s="5">
        <f ca="1">IFERROR(__xludf.DUMMYFUNCTION("""COMPUTED_VALUE"""),42076.625)</f>
        <v>42076.625</v>
      </c>
      <c r="B51" s="2">
        <f ca="1">IFERROR(__xludf.DUMMYFUNCTION("""COMPUTED_VALUE"""),14200)</f>
        <v>14200</v>
      </c>
      <c r="C51" s="2">
        <f ca="1">IFERROR(__xludf.DUMMYFUNCTION("""COMPUTED_VALUE"""),14275)</f>
        <v>14275</v>
      </c>
      <c r="D51" s="2">
        <f ca="1">IFERROR(__xludf.DUMMYFUNCTION("""COMPUTED_VALUE"""),14050)</f>
        <v>14050</v>
      </c>
      <c r="E51" s="2">
        <f ca="1">IFERROR(__xludf.DUMMYFUNCTION("""COMPUTED_VALUE"""),14100)</f>
        <v>14100</v>
      </c>
      <c r="F51" s="2">
        <f ca="1">IFERROR(__xludf.DUMMYFUNCTION("""COMPUTED_VALUE"""),15980300)</f>
        <v>15980300</v>
      </c>
    </row>
    <row r="52" spans="1:6">
      <c r="A52" s="5">
        <f ca="1">IFERROR(__xludf.DUMMYFUNCTION("""COMPUTED_VALUE"""),42079.625)</f>
        <v>42079.625</v>
      </c>
      <c r="B52" s="2">
        <f ca="1">IFERROR(__xludf.DUMMYFUNCTION("""COMPUTED_VALUE"""),14025)</f>
        <v>14025</v>
      </c>
      <c r="C52" s="2">
        <f ca="1">IFERROR(__xludf.DUMMYFUNCTION("""COMPUTED_VALUE"""),14325)</f>
        <v>14325</v>
      </c>
      <c r="D52" s="2">
        <f ca="1">IFERROR(__xludf.DUMMYFUNCTION("""COMPUTED_VALUE"""),14025)</f>
        <v>14025</v>
      </c>
      <c r="E52" s="2">
        <f ca="1">IFERROR(__xludf.DUMMYFUNCTION("""COMPUTED_VALUE"""),14150)</f>
        <v>14150</v>
      </c>
      <c r="F52" s="2">
        <f ca="1">IFERROR(__xludf.DUMMYFUNCTION("""COMPUTED_VALUE"""),12070700)</f>
        <v>12070700</v>
      </c>
    </row>
    <row r="53" spans="1:6">
      <c r="A53" s="5">
        <f ca="1">IFERROR(__xludf.DUMMYFUNCTION("""COMPUTED_VALUE"""),42080.625)</f>
        <v>42080.625</v>
      </c>
      <c r="B53" s="2">
        <f ca="1">IFERROR(__xludf.DUMMYFUNCTION("""COMPUTED_VALUE"""),14275)</f>
        <v>14275</v>
      </c>
      <c r="C53" s="2">
        <f ca="1">IFERROR(__xludf.DUMMYFUNCTION("""COMPUTED_VALUE"""),14300)</f>
        <v>14300</v>
      </c>
      <c r="D53" s="2">
        <f ca="1">IFERROR(__xludf.DUMMYFUNCTION("""COMPUTED_VALUE"""),14100)</f>
        <v>14100</v>
      </c>
      <c r="E53" s="2">
        <f ca="1">IFERROR(__xludf.DUMMYFUNCTION("""COMPUTED_VALUE"""),14100)</f>
        <v>14100</v>
      </c>
      <c r="F53" s="2">
        <f ca="1">IFERROR(__xludf.DUMMYFUNCTION("""COMPUTED_VALUE"""),10145900)</f>
        <v>10145900</v>
      </c>
    </row>
    <row r="54" spans="1:6">
      <c r="A54" s="5">
        <f ca="1">IFERROR(__xludf.DUMMYFUNCTION("""COMPUTED_VALUE"""),42081.625)</f>
        <v>42081.625</v>
      </c>
      <c r="B54" s="2">
        <f ca="1">IFERROR(__xludf.DUMMYFUNCTION("""COMPUTED_VALUE"""),14100)</f>
        <v>14100</v>
      </c>
      <c r="C54" s="2">
        <f ca="1">IFERROR(__xludf.DUMMYFUNCTION("""COMPUTED_VALUE"""),14250)</f>
        <v>14250</v>
      </c>
      <c r="D54" s="2">
        <f ca="1">IFERROR(__xludf.DUMMYFUNCTION("""COMPUTED_VALUE"""),14100)</f>
        <v>14100</v>
      </c>
      <c r="E54" s="2">
        <f ca="1">IFERROR(__xludf.DUMMYFUNCTION("""COMPUTED_VALUE"""),14225)</f>
        <v>14225</v>
      </c>
      <c r="F54" s="2">
        <f ca="1">IFERROR(__xludf.DUMMYFUNCTION("""COMPUTED_VALUE"""),10469300)</f>
        <v>10469300</v>
      </c>
    </row>
    <row r="55" spans="1:6">
      <c r="A55" s="5">
        <f ca="1">IFERROR(__xludf.DUMMYFUNCTION("""COMPUTED_VALUE"""),42082.625)</f>
        <v>42082.625</v>
      </c>
      <c r="B55" s="2">
        <f ca="1">IFERROR(__xludf.DUMMYFUNCTION("""COMPUTED_VALUE"""),14300)</f>
        <v>14300</v>
      </c>
      <c r="C55" s="2">
        <f ca="1">IFERROR(__xludf.DUMMYFUNCTION("""COMPUTED_VALUE"""),14350)</f>
        <v>14350</v>
      </c>
      <c r="D55" s="2">
        <f ca="1">IFERROR(__xludf.DUMMYFUNCTION("""COMPUTED_VALUE"""),14175)</f>
        <v>14175</v>
      </c>
      <c r="E55" s="2">
        <f ca="1">IFERROR(__xludf.DUMMYFUNCTION("""COMPUTED_VALUE"""),14250)</f>
        <v>14250</v>
      </c>
      <c r="F55" s="2">
        <f ca="1">IFERROR(__xludf.DUMMYFUNCTION("""COMPUTED_VALUE"""),11714700)</f>
        <v>11714700</v>
      </c>
    </row>
    <row r="56" spans="1:6">
      <c r="A56" s="5">
        <f ca="1">IFERROR(__xludf.DUMMYFUNCTION("""COMPUTED_VALUE"""),42083.625)</f>
        <v>42083.625</v>
      </c>
      <c r="B56" s="2">
        <f ca="1">IFERROR(__xludf.DUMMYFUNCTION("""COMPUTED_VALUE"""),14175)</f>
        <v>14175</v>
      </c>
      <c r="C56" s="2">
        <f ca="1">IFERROR(__xludf.DUMMYFUNCTION("""COMPUTED_VALUE"""),14475)</f>
        <v>14475</v>
      </c>
      <c r="D56" s="2">
        <f ca="1">IFERROR(__xludf.DUMMYFUNCTION("""COMPUTED_VALUE"""),14175)</f>
        <v>14175</v>
      </c>
      <c r="E56" s="2">
        <f ca="1">IFERROR(__xludf.DUMMYFUNCTION("""COMPUTED_VALUE"""),14325)</f>
        <v>14325</v>
      </c>
      <c r="F56" s="2">
        <f ca="1">IFERROR(__xludf.DUMMYFUNCTION("""COMPUTED_VALUE"""),20868600)</f>
        <v>20868600</v>
      </c>
    </row>
    <row r="57" spans="1:6">
      <c r="A57" s="5">
        <f ca="1">IFERROR(__xludf.DUMMYFUNCTION("""COMPUTED_VALUE"""),42086.625)</f>
        <v>42086.625</v>
      </c>
      <c r="B57" s="2">
        <f ca="1">IFERROR(__xludf.DUMMYFUNCTION("""COMPUTED_VALUE"""),14400)</f>
        <v>14400</v>
      </c>
      <c r="C57" s="2">
        <f ca="1">IFERROR(__xludf.DUMMYFUNCTION("""COMPUTED_VALUE"""),14550)</f>
        <v>14550</v>
      </c>
      <c r="D57" s="2">
        <f ca="1">IFERROR(__xludf.DUMMYFUNCTION("""COMPUTED_VALUE"""),14400)</f>
        <v>14400</v>
      </c>
      <c r="E57" s="2">
        <f ca="1">IFERROR(__xludf.DUMMYFUNCTION("""COMPUTED_VALUE"""),14450)</f>
        <v>14450</v>
      </c>
      <c r="F57" s="2">
        <f ca="1">IFERROR(__xludf.DUMMYFUNCTION("""COMPUTED_VALUE"""),8859500)</f>
        <v>8859500</v>
      </c>
    </row>
    <row r="58" spans="1:6">
      <c r="A58" s="5">
        <f ca="1">IFERROR(__xludf.DUMMYFUNCTION("""COMPUTED_VALUE"""),42087.625)</f>
        <v>42087.625</v>
      </c>
      <c r="B58" s="2">
        <f ca="1">IFERROR(__xludf.DUMMYFUNCTION("""COMPUTED_VALUE"""),14550)</f>
        <v>14550</v>
      </c>
      <c r="C58" s="2">
        <f ca="1">IFERROR(__xludf.DUMMYFUNCTION("""COMPUTED_VALUE"""),14675)</f>
        <v>14675</v>
      </c>
      <c r="D58" s="2">
        <f ca="1">IFERROR(__xludf.DUMMYFUNCTION("""COMPUTED_VALUE"""),14500)</f>
        <v>14500</v>
      </c>
      <c r="E58" s="2">
        <f ca="1">IFERROR(__xludf.DUMMYFUNCTION("""COMPUTED_VALUE"""),14550)</f>
        <v>14550</v>
      </c>
      <c r="F58" s="2">
        <f ca="1">IFERROR(__xludf.DUMMYFUNCTION("""COMPUTED_VALUE"""),12999200)</f>
        <v>12999200</v>
      </c>
    </row>
    <row r="59" spans="1:6">
      <c r="A59" s="5">
        <f ca="1">IFERROR(__xludf.DUMMYFUNCTION("""COMPUTED_VALUE"""),42088.625)</f>
        <v>42088.625</v>
      </c>
      <c r="B59" s="2">
        <f ca="1">IFERROR(__xludf.DUMMYFUNCTION("""COMPUTED_VALUE"""),14550)</f>
        <v>14550</v>
      </c>
      <c r="C59" s="2">
        <f ca="1">IFERROR(__xludf.DUMMYFUNCTION("""COMPUTED_VALUE"""),14750)</f>
        <v>14750</v>
      </c>
      <c r="D59" s="2">
        <f ca="1">IFERROR(__xludf.DUMMYFUNCTION("""COMPUTED_VALUE"""),14500)</f>
        <v>14500</v>
      </c>
      <c r="E59" s="2">
        <f ca="1">IFERROR(__xludf.DUMMYFUNCTION("""COMPUTED_VALUE"""),14625)</f>
        <v>14625</v>
      </c>
      <c r="F59" s="2">
        <f ca="1">IFERROR(__xludf.DUMMYFUNCTION("""COMPUTED_VALUE"""),7362200)</f>
        <v>7362200</v>
      </c>
    </row>
    <row r="60" spans="1:6">
      <c r="A60" s="5">
        <f ca="1">IFERROR(__xludf.DUMMYFUNCTION("""COMPUTED_VALUE"""),42089.625)</f>
        <v>42089.625</v>
      </c>
      <c r="B60" s="2">
        <f ca="1">IFERROR(__xludf.DUMMYFUNCTION("""COMPUTED_VALUE"""),14500)</f>
        <v>14500</v>
      </c>
      <c r="C60" s="2">
        <f ca="1">IFERROR(__xludf.DUMMYFUNCTION("""COMPUTED_VALUE"""),14725)</f>
        <v>14725</v>
      </c>
      <c r="D60" s="2">
        <f ca="1">IFERROR(__xludf.DUMMYFUNCTION("""COMPUTED_VALUE"""),14475)</f>
        <v>14475</v>
      </c>
      <c r="E60" s="2">
        <f ca="1">IFERROR(__xludf.DUMMYFUNCTION("""COMPUTED_VALUE"""),14525)</f>
        <v>14525</v>
      </c>
      <c r="F60" s="2">
        <f ca="1">IFERROR(__xludf.DUMMYFUNCTION("""COMPUTED_VALUE"""),14394500)</f>
        <v>14394500</v>
      </c>
    </row>
    <row r="61" spans="1:6">
      <c r="A61" s="5">
        <f ca="1">IFERROR(__xludf.DUMMYFUNCTION("""COMPUTED_VALUE"""),42090.625)</f>
        <v>42090.625</v>
      </c>
      <c r="B61" s="2">
        <f ca="1">IFERROR(__xludf.DUMMYFUNCTION("""COMPUTED_VALUE"""),14475)</f>
        <v>14475</v>
      </c>
      <c r="C61" s="2">
        <f ca="1">IFERROR(__xludf.DUMMYFUNCTION("""COMPUTED_VALUE"""),14525)</f>
        <v>14525</v>
      </c>
      <c r="D61" s="2">
        <f ca="1">IFERROR(__xludf.DUMMYFUNCTION("""COMPUTED_VALUE"""),14375)</f>
        <v>14375</v>
      </c>
      <c r="E61" s="2">
        <f ca="1">IFERROR(__xludf.DUMMYFUNCTION("""COMPUTED_VALUE"""),14450)</f>
        <v>14450</v>
      </c>
      <c r="F61" s="2">
        <f ca="1">IFERROR(__xludf.DUMMYFUNCTION("""COMPUTED_VALUE"""),13998600)</f>
        <v>13998600</v>
      </c>
    </row>
    <row r="62" spans="1:6">
      <c r="A62" s="5">
        <f ca="1">IFERROR(__xludf.DUMMYFUNCTION("""COMPUTED_VALUE"""),42093.625)</f>
        <v>42093.625</v>
      </c>
      <c r="B62" s="2">
        <f ca="1">IFERROR(__xludf.DUMMYFUNCTION("""COMPUTED_VALUE"""),14450)</f>
        <v>14450</v>
      </c>
      <c r="C62" s="2">
        <f ca="1">IFERROR(__xludf.DUMMYFUNCTION("""COMPUTED_VALUE"""),14650)</f>
        <v>14650</v>
      </c>
      <c r="D62" s="2">
        <f ca="1">IFERROR(__xludf.DUMMYFUNCTION("""COMPUTED_VALUE"""),14450)</f>
        <v>14450</v>
      </c>
      <c r="E62" s="2">
        <f ca="1">IFERROR(__xludf.DUMMYFUNCTION("""COMPUTED_VALUE"""),14500)</f>
        <v>14500</v>
      </c>
      <c r="F62" s="2">
        <f ca="1">IFERROR(__xludf.DUMMYFUNCTION("""COMPUTED_VALUE"""),10197100)</f>
        <v>10197100</v>
      </c>
    </row>
    <row r="63" spans="1:6">
      <c r="A63" s="5">
        <f ca="1">IFERROR(__xludf.DUMMYFUNCTION("""COMPUTED_VALUE"""),42094.625)</f>
        <v>42094.625</v>
      </c>
      <c r="B63" s="2">
        <f ca="1">IFERROR(__xludf.DUMMYFUNCTION("""COMPUTED_VALUE"""),14800)</f>
        <v>14800</v>
      </c>
      <c r="C63" s="2">
        <f ca="1">IFERROR(__xludf.DUMMYFUNCTION("""COMPUTED_VALUE"""),14825)</f>
        <v>14825</v>
      </c>
      <c r="D63" s="2">
        <f ca="1">IFERROR(__xludf.DUMMYFUNCTION("""COMPUTED_VALUE"""),14675)</f>
        <v>14675</v>
      </c>
      <c r="E63" s="2">
        <f ca="1">IFERROR(__xludf.DUMMYFUNCTION("""COMPUTED_VALUE"""),14825)</f>
        <v>14825</v>
      </c>
      <c r="F63" s="2">
        <f ca="1">IFERROR(__xludf.DUMMYFUNCTION("""COMPUTED_VALUE"""),17119600)</f>
        <v>17119600</v>
      </c>
    </row>
    <row r="64" spans="1:6">
      <c r="A64" s="5">
        <f ca="1">IFERROR(__xludf.DUMMYFUNCTION("""COMPUTED_VALUE"""),42095.625)</f>
        <v>42095.625</v>
      </c>
      <c r="B64" s="2">
        <f ca="1">IFERROR(__xludf.DUMMYFUNCTION("""COMPUTED_VALUE"""),14875)</f>
        <v>14875</v>
      </c>
      <c r="C64" s="2">
        <f ca="1">IFERROR(__xludf.DUMMYFUNCTION("""COMPUTED_VALUE"""),14925)</f>
        <v>14925</v>
      </c>
      <c r="D64" s="2">
        <f ca="1">IFERROR(__xludf.DUMMYFUNCTION("""COMPUTED_VALUE"""),14775)</f>
        <v>14775</v>
      </c>
      <c r="E64" s="2">
        <f ca="1">IFERROR(__xludf.DUMMYFUNCTION("""COMPUTED_VALUE"""),14825)</f>
        <v>14825</v>
      </c>
      <c r="F64" s="2">
        <f ca="1">IFERROR(__xludf.DUMMYFUNCTION("""COMPUTED_VALUE"""),8418700)</f>
        <v>8418700</v>
      </c>
    </row>
    <row r="65" spans="1:6">
      <c r="A65" s="5">
        <f ca="1">IFERROR(__xludf.DUMMYFUNCTION("""COMPUTED_VALUE"""),42096.625)</f>
        <v>42096.625</v>
      </c>
      <c r="B65" s="2">
        <f ca="1">IFERROR(__xludf.DUMMYFUNCTION("""COMPUTED_VALUE"""),14925)</f>
        <v>14925</v>
      </c>
      <c r="C65" s="2">
        <f ca="1">IFERROR(__xludf.DUMMYFUNCTION("""COMPUTED_VALUE"""),14925)</f>
        <v>14925</v>
      </c>
      <c r="D65" s="2">
        <f ca="1">IFERROR(__xludf.DUMMYFUNCTION("""COMPUTED_VALUE"""),14725)</f>
        <v>14725</v>
      </c>
      <c r="E65" s="2">
        <f ca="1">IFERROR(__xludf.DUMMYFUNCTION("""COMPUTED_VALUE"""),14800)</f>
        <v>14800</v>
      </c>
      <c r="F65" s="2">
        <f ca="1">IFERROR(__xludf.DUMMYFUNCTION("""COMPUTED_VALUE"""),8484800)</f>
        <v>8484800</v>
      </c>
    </row>
    <row r="66" spans="1:6">
      <c r="A66" s="5">
        <f ca="1">IFERROR(__xludf.DUMMYFUNCTION("""COMPUTED_VALUE"""),42100.625)</f>
        <v>42100.625</v>
      </c>
      <c r="B66" s="2">
        <f ca="1">IFERROR(__xludf.DUMMYFUNCTION("""COMPUTED_VALUE"""),14800)</f>
        <v>14800</v>
      </c>
      <c r="C66" s="2">
        <f ca="1">IFERROR(__xludf.DUMMYFUNCTION("""COMPUTED_VALUE"""),15450)</f>
        <v>15450</v>
      </c>
      <c r="D66" s="2">
        <f ca="1">IFERROR(__xludf.DUMMYFUNCTION("""COMPUTED_VALUE"""),14775)</f>
        <v>14775</v>
      </c>
      <c r="E66" s="2">
        <f ca="1">IFERROR(__xludf.DUMMYFUNCTION("""COMPUTED_VALUE"""),15175)</f>
        <v>15175</v>
      </c>
      <c r="F66" s="2">
        <f ca="1">IFERROR(__xludf.DUMMYFUNCTION("""COMPUTED_VALUE"""),14246500)</f>
        <v>14246500</v>
      </c>
    </row>
    <row r="67" spans="1:6">
      <c r="A67" s="5">
        <f ca="1">IFERROR(__xludf.DUMMYFUNCTION("""COMPUTED_VALUE"""),42101.625)</f>
        <v>42101.625</v>
      </c>
      <c r="B67" s="2">
        <f ca="1">IFERROR(__xludf.DUMMYFUNCTION("""COMPUTED_VALUE"""),15475)</f>
        <v>15475</v>
      </c>
      <c r="C67" s="2">
        <f ca="1">IFERROR(__xludf.DUMMYFUNCTION("""COMPUTED_VALUE"""),15600)</f>
        <v>15600</v>
      </c>
      <c r="D67" s="2">
        <f ca="1">IFERROR(__xludf.DUMMYFUNCTION("""COMPUTED_VALUE"""),15275)</f>
        <v>15275</v>
      </c>
      <c r="E67" s="2">
        <f ca="1">IFERROR(__xludf.DUMMYFUNCTION("""COMPUTED_VALUE"""),15300)</f>
        <v>15300</v>
      </c>
      <c r="F67" s="2">
        <f ca="1">IFERROR(__xludf.DUMMYFUNCTION("""COMPUTED_VALUE"""),11768800)</f>
        <v>11768800</v>
      </c>
    </row>
    <row r="68" spans="1:6">
      <c r="A68" s="5">
        <f ca="1">IFERROR(__xludf.DUMMYFUNCTION("""COMPUTED_VALUE"""),42102.625)</f>
        <v>42102.625</v>
      </c>
      <c r="B68" s="2">
        <f ca="1">IFERROR(__xludf.DUMMYFUNCTION("""COMPUTED_VALUE"""),15075)</f>
        <v>15075</v>
      </c>
      <c r="C68" s="2">
        <f ca="1">IFERROR(__xludf.DUMMYFUNCTION("""COMPUTED_VALUE"""),15150)</f>
        <v>15150</v>
      </c>
      <c r="D68" s="2">
        <f ca="1">IFERROR(__xludf.DUMMYFUNCTION("""COMPUTED_VALUE"""),14900)</f>
        <v>14900</v>
      </c>
      <c r="E68" s="2">
        <f ca="1">IFERROR(__xludf.DUMMYFUNCTION("""COMPUTED_VALUE"""),15025)</f>
        <v>15025</v>
      </c>
      <c r="F68" s="2">
        <f ca="1">IFERROR(__xludf.DUMMYFUNCTION("""COMPUTED_VALUE"""),17383200)</f>
        <v>17383200</v>
      </c>
    </row>
    <row r="69" spans="1:6">
      <c r="A69" s="5">
        <f ca="1">IFERROR(__xludf.DUMMYFUNCTION("""COMPUTED_VALUE"""),42103.625)</f>
        <v>42103.625</v>
      </c>
      <c r="B69" s="2">
        <f ca="1">IFERROR(__xludf.DUMMYFUNCTION("""COMPUTED_VALUE"""),15075)</f>
        <v>15075</v>
      </c>
      <c r="C69" s="2">
        <f ca="1">IFERROR(__xludf.DUMMYFUNCTION("""COMPUTED_VALUE"""),15200)</f>
        <v>15200</v>
      </c>
      <c r="D69" s="2">
        <f ca="1">IFERROR(__xludf.DUMMYFUNCTION("""COMPUTED_VALUE"""),14950)</f>
        <v>14950</v>
      </c>
      <c r="E69" s="2">
        <f ca="1">IFERROR(__xludf.DUMMYFUNCTION("""COMPUTED_VALUE"""),15075)</f>
        <v>15075</v>
      </c>
      <c r="F69" s="2">
        <f ca="1">IFERROR(__xludf.DUMMYFUNCTION("""COMPUTED_VALUE"""),13741600)</f>
        <v>13741600</v>
      </c>
    </row>
    <row r="70" spans="1:6">
      <c r="A70" s="5">
        <f ca="1">IFERROR(__xludf.DUMMYFUNCTION("""COMPUTED_VALUE"""),42104.625)</f>
        <v>42104.625</v>
      </c>
      <c r="B70" s="2">
        <f ca="1">IFERROR(__xludf.DUMMYFUNCTION("""COMPUTED_VALUE"""),15200)</f>
        <v>15200</v>
      </c>
      <c r="C70" s="2">
        <f ca="1">IFERROR(__xludf.DUMMYFUNCTION("""COMPUTED_VALUE"""),15225)</f>
        <v>15225</v>
      </c>
      <c r="D70" s="2">
        <f ca="1">IFERROR(__xludf.DUMMYFUNCTION("""COMPUTED_VALUE"""),14950)</f>
        <v>14950</v>
      </c>
      <c r="E70" s="2">
        <f ca="1">IFERROR(__xludf.DUMMYFUNCTION("""COMPUTED_VALUE"""),15050)</f>
        <v>15050</v>
      </c>
      <c r="F70" s="2">
        <f ca="1">IFERROR(__xludf.DUMMYFUNCTION("""COMPUTED_VALUE"""),11341200)</f>
        <v>11341200</v>
      </c>
    </row>
    <row r="71" spans="1:6">
      <c r="A71" s="5">
        <f ca="1">IFERROR(__xludf.DUMMYFUNCTION("""COMPUTED_VALUE"""),42107.625)</f>
        <v>42107.625</v>
      </c>
      <c r="B71" s="2">
        <f ca="1">IFERROR(__xludf.DUMMYFUNCTION("""COMPUTED_VALUE"""),15025)</f>
        <v>15025</v>
      </c>
      <c r="C71" s="2">
        <f ca="1">IFERROR(__xludf.DUMMYFUNCTION("""COMPUTED_VALUE"""),15075)</f>
        <v>15075</v>
      </c>
      <c r="D71" s="2">
        <f ca="1">IFERROR(__xludf.DUMMYFUNCTION("""COMPUTED_VALUE"""),14975)</f>
        <v>14975</v>
      </c>
      <c r="E71" s="2">
        <f ca="1">IFERROR(__xludf.DUMMYFUNCTION("""COMPUTED_VALUE"""),15025)</f>
        <v>15025</v>
      </c>
      <c r="F71" s="2">
        <f ca="1">IFERROR(__xludf.DUMMYFUNCTION("""COMPUTED_VALUE"""),8327100)</f>
        <v>8327100</v>
      </c>
    </row>
    <row r="72" spans="1:6">
      <c r="A72" s="5">
        <f ca="1">IFERROR(__xludf.DUMMYFUNCTION("""COMPUTED_VALUE"""),42108.625)</f>
        <v>42108.625</v>
      </c>
      <c r="B72" s="2">
        <f ca="1">IFERROR(__xludf.DUMMYFUNCTION("""COMPUTED_VALUE"""),15000)</f>
        <v>15000</v>
      </c>
      <c r="C72" s="2">
        <f ca="1">IFERROR(__xludf.DUMMYFUNCTION("""COMPUTED_VALUE"""),15125)</f>
        <v>15125</v>
      </c>
      <c r="D72" s="2">
        <f ca="1">IFERROR(__xludf.DUMMYFUNCTION("""COMPUTED_VALUE"""),14925)</f>
        <v>14925</v>
      </c>
      <c r="E72" s="2">
        <f ca="1">IFERROR(__xludf.DUMMYFUNCTION("""COMPUTED_VALUE"""),14950)</f>
        <v>14950</v>
      </c>
      <c r="F72" s="2">
        <f ca="1">IFERROR(__xludf.DUMMYFUNCTION("""COMPUTED_VALUE"""),16022500)</f>
        <v>16022500</v>
      </c>
    </row>
    <row r="73" spans="1:6">
      <c r="A73" s="5">
        <f ca="1">IFERROR(__xludf.DUMMYFUNCTION("""COMPUTED_VALUE"""),42109.625)</f>
        <v>42109.625</v>
      </c>
      <c r="B73" s="2">
        <f ca="1">IFERROR(__xludf.DUMMYFUNCTION("""COMPUTED_VALUE"""),14900)</f>
        <v>14900</v>
      </c>
      <c r="C73" s="2">
        <f ca="1">IFERROR(__xludf.DUMMYFUNCTION("""COMPUTED_VALUE"""),14950)</f>
        <v>14950</v>
      </c>
      <c r="D73" s="2">
        <f ca="1">IFERROR(__xludf.DUMMYFUNCTION("""COMPUTED_VALUE"""),14650)</f>
        <v>14650</v>
      </c>
      <c r="E73" s="2">
        <f ca="1">IFERROR(__xludf.DUMMYFUNCTION("""COMPUTED_VALUE"""),14750)</f>
        <v>14750</v>
      </c>
      <c r="F73" s="2">
        <f ca="1">IFERROR(__xludf.DUMMYFUNCTION("""COMPUTED_VALUE"""),21675400)</f>
        <v>21675400</v>
      </c>
    </row>
    <row r="74" spans="1:6">
      <c r="A74" s="5">
        <f ca="1">IFERROR(__xludf.DUMMYFUNCTION("""COMPUTED_VALUE"""),42110.625)</f>
        <v>42110.625</v>
      </c>
      <c r="B74" s="2">
        <f ca="1">IFERROR(__xludf.DUMMYFUNCTION("""COMPUTED_VALUE"""),14800)</f>
        <v>14800</v>
      </c>
      <c r="C74" s="2">
        <f ca="1">IFERROR(__xludf.DUMMYFUNCTION("""COMPUTED_VALUE"""),14925)</f>
        <v>14925</v>
      </c>
      <c r="D74" s="2">
        <f ca="1">IFERROR(__xludf.DUMMYFUNCTION("""COMPUTED_VALUE"""),14675)</f>
        <v>14675</v>
      </c>
      <c r="E74" s="2">
        <f ca="1">IFERROR(__xludf.DUMMYFUNCTION("""COMPUTED_VALUE"""),14900)</f>
        <v>14900</v>
      </c>
      <c r="F74" s="2">
        <f ca="1">IFERROR(__xludf.DUMMYFUNCTION("""COMPUTED_VALUE"""),18720300)</f>
        <v>18720300</v>
      </c>
    </row>
    <row r="75" spans="1:6">
      <c r="A75" s="5">
        <f ca="1">IFERROR(__xludf.DUMMYFUNCTION("""COMPUTED_VALUE"""),42111.625)</f>
        <v>42111.625</v>
      </c>
      <c r="B75" s="2">
        <f ca="1">IFERROR(__xludf.DUMMYFUNCTION("""COMPUTED_VALUE"""),14900)</f>
        <v>14900</v>
      </c>
      <c r="C75" s="2">
        <f ca="1">IFERROR(__xludf.DUMMYFUNCTION("""COMPUTED_VALUE"""),14900)</f>
        <v>14900</v>
      </c>
      <c r="D75" s="2">
        <f ca="1">IFERROR(__xludf.DUMMYFUNCTION("""COMPUTED_VALUE"""),14750)</f>
        <v>14750</v>
      </c>
      <c r="E75" s="2">
        <f ca="1">IFERROR(__xludf.DUMMYFUNCTION("""COMPUTED_VALUE"""),14750)</f>
        <v>14750</v>
      </c>
      <c r="F75" s="2">
        <f ca="1">IFERROR(__xludf.DUMMYFUNCTION("""COMPUTED_VALUE"""),25866300)</f>
        <v>25866300</v>
      </c>
    </row>
    <row r="76" spans="1:6">
      <c r="A76" s="5">
        <f ca="1">IFERROR(__xludf.DUMMYFUNCTION("""COMPUTED_VALUE"""),42114.625)</f>
        <v>42114.625</v>
      </c>
      <c r="B76" s="2">
        <f ca="1">IFERROR(__xludf.DUMMYFUNCTION("""COMPUTED_VALUE"""),14700)</f>
        <v>14700</v>
      </c>
      <c r="C76" s="2">
        <f ca="1">IFERROR(__xludf.DUMMYFUNCTION("""COMPUTED_VALUE"""),14900)</f>
        <v>14900</v>
      </c>
      <c r="D76" s="2">
        <f ca="1">IFERROR(__xludf.DUMMYFUNCTION("""COMPUTED_VALUE"""),14625)</f>
        <v>14625</v>
      </c>
      <c r="E76" s="2">
        <f ca="1">IFERROR(__xludf.DUMMYFUNCTION("""COMPUTED_VALUE"""),14700)</f>
        <v>14700</v>
      </c>
      <c r="F76" s="2">
        <f ca="1">IFERROR(__xludf.DUMMYFUNCTION("""COMPUTED_VALUE"""),11410300)</f>
        <v>11410300</v>
      </c>
    </row>
    <row r="77" spans="1:6">
      <c r="A77" s="5">
        <f ca="1">IFERROR(__xludf.DUMMYFUNCTION("""COMPUTED_VALUE"""),42115.625)</f>
        <v>42115.625</v>
      </c>
      <c r="B77" s="2">
        <f ca="1">IFERROR(__xludf.DUMMYFUNCTION("""COMPUTED_VALUE"""),14725)</f>
        <v>14725</v>
      </c>
      <c r="C77" s="2">
        <f ca="1">IFERROR(__xludf.DUMMYFUNCTION("""COMPUTED_VALUE"""),15000)</f>
        <v>15000</v>
      </c>
      <c r="D77" s="2">
        <f ca="1">IFERROR(__xludf.DUMMYFUNCTION("""COMPUTED_VALUE"""),14700)</f>
        <v>14700</v>
      </c>
      <c r="E77" s="2">
        <f ca="1">IFERROR(__xludf.DUMMYFUNCTION("""COMPUTED_VALUE"""),14900)</f>
        <v>14900</v>
      </c>
      <c r="F77" s="2">
        <f ca="1">IFERROR(__xludf.DUMMYFUNCTION("""COMPUTED_VALUE"""),20386900)</f>
        <v>20386900</v>
      </c>
    </row>
    <row r="78" spans="1:6">
      <c r="A78" s="5">
        <f ca="1">IFERROR(__xludf.DUMMYFUNCTION("""COMPUTED_VALUE"""),42116.625)</f>
        <v>42116.625</v>
      </c>
      <c r="B78" s="2">
        <f ca="1">IFERROR(__xludf.DUMMYFUNCTION("""COMPUTED_VALUE"""),14950)</f>
        <v>14950</v>
      </c>
      <c r="C78" s="2">
        <f ca="1">IFERROR(__xludf.DUMMYFUNCTION("""COMPUTED_VALUE"""),14950)</f>
        <v>14950</v>
      </c>
      <c r="D78" s="2">
        <f ca="1">IFERROR(__xludf.DUMMYFUNCTION("""COMPUTED_VALUE"""),14825)</f>
        <v>14825</v>
      </c>
      <c r="E78" s="2">
        <f ca="1">IFERROR(__xludf.DUMMYFUNCTION("""COMPUTED_VALUE"""),14875)</f>
        <v>14875</v>
      </c>
      <c r="F78" s="2">
        <f ca="1">IFERROR(__xludf.DUMMYFUNCTION("""COMPUTED_VALUE"""),16084900)</f>
        <v>16084900</v>
      </c>
    </row>
    <row r="79" spans="1:6">
      <c r="A79" s="5">
        <f ca="1">IFERROR(__xludf.DUMMYFUNCTION("""COMPUTED_VALUE"""),42117.625)</f>
        <v>42117.625</v>
      </c>
      <c r="B79" s="2">
        <f ca="1">IFERROR(__xludf.DUMMYFUNCTION("""COMPUTED_VALUE"""),14950)</f>
        <v>14950</v>
      </c>
      <c r="C79" s="2">
        <f ca="1">IFERROR(__xludf.DUMMYFUNCTION("""COMPUTED_VALUE"""),15000)</f>
        <v>15000</v>
      </c>
      <c r="D79" s="2">
        <f ca="1">IFERROR(__xludf.DUMMYFUNCTION("""COMPUTED_VALUE"""),14875)</f>
        <v>14875</v>
      </c>
      <c r="E79" s="2">
        <f ca="1">IFERROR(__xludf.DUMMYFUNCTION("""COMPUTED_VALUE"""),14900)</f>
        <v>14900</v>
      </c>
      <c r="F79" s="2">
        <f ca="1">IFERROR(__xludf.DUMMYFUNCTION("""COMPUTED_VALUE"""),9183300)</f>
        <v>9183300</v>
      </c>
    </row>
    <row r="80" spans="1:6">
      <c r="A80" s="5">
        <f ca="1">IFERROR(__xludf.DUMMYFUNCTION("""COMPUTED_VALUE"""),42118.625)</f>
        <v>42118.625</v>
      </c>
      <c r="B80" s="2">
        <f ca="1">IFERROR(__xludf.DUMMYFUNCTION("""COMPUTED_VALUE"""),14900)</f>
        <v>14900</v>
      </c>
      <c r="C80" s="2">
        <f ca="1">IFERROR(__xludf.DUMMYFUNCTION("""COMPUTED_VALUE"""),15000)</f>
        <v>15000</v>
      </c>
      <c r="D80" s="2">
        <f ca="1">IFERROR(__xludf.DUMMYFUNCTION("""COMPUTED_VALUE"""),14850)</f>
        <v>14850</v>
      </c>
      <c r="E80" s="2">
        <f ca="1">IFERROR(__xludf.DUMMYFUNCTION("""COMPUTED_VALUE"""),14900)</f>
        <v>14900</v>
      </c>
      <c r="F80" s="2">
        <f ca="1">IFERROR(__xludf.DUMMYFUNCTION("""COMPUTED_VALUE"""),10309800)</f>
        <v>10309800</v>
      </c>
    </row>
    <row r="81" spans="1:6">
      <c r="A81" s="5">
        <f ca="1">IFERROR(__xludf.DUMMYFUNCTION("""COMPUTED_VALUE"""),42121.625)</f>
        <v>42121.625</v>
      </c>
      <c r="B81" s="2">
        <f ca="1">IFERROR(__xludf.DUMMYFUNCTION("""COMPUTED_VALUE"""),14800)</f>
        <v>14800</v>
      </c>
      <c r="C81" s="2">
        <f ca="1">IFERROR(__xludf.DUMMYFUNCTION("""COMPUTED_VALUE"""),14850)</f>
        <v>14850</v>
      </c>
      <c r="D81" s="2">
        <f ca="1">IFERROR(__xludf.DUMMYFUNCTION("""COMPUTED_VALUE"""),14025)</f>
        <v>14025</v>
      </c>
      <c r="E81" s="2">
        <f ca="1">IFERROR(__xludf.DUMMYFUNCTION("""COMPUTED_VALUE"""),14200)</f>
        <v>14200</v>
      </c>
      <c r="F81" s="2">
        <f ca="1">IFERROR(__xludf.DUMMYFUNCTION("""COMPUTED_VALUE"""),42938700)</f>
        <v>42938700</v>
      </c>
    </row>
    <row r="82" spans="1:6">
      <c r="A82" s="5">
        <f ca="1">IFERROR(__xludf.DUMMYFUNCTION("""COMPUTED_VALUE"""),42122.625)</f>
        <v>42122.625</v>
      </c>
      <c r="B82" s="2">
        <f ca="1">IFERROR(__xludf.DUMMYFUNCTION("""COMPUTED_VALUE"""),14100)</f>
        <v>14100</v>
      </c>
      <c r="C82" s="2">
        <f ca="1">IFERROR(__xludf.DUMMYFUNCTION("""COMPUTED_VALUE"""),14200)</f>
        <v>14200</v>
      </c>
      <c r="D82" s="2">
        <f ca="1">IFERROR(__xludf.DUMMYFUNCTION("""COMPUTED_VALUE"""),13900)</f>
        <v>13900</v>
      </c>
      <c r="E82" s="2">
        <f ca="1">IFERROR(__xludf.DUMMYFUNCTION("""COMPUTED_VALUE"""),14050)</f>
        <v>14050</v>
      </c>
      <c r="F82" s="2">
        <f ca="1">IFERROR(__xludf.DUMMYFUNCTION("""COMPUTED_VALUE"""),29198800)</f>
        <v>29198800</v>
      </c>
    </row>
    <row r="83" spans="1:6">
      <c r="A83" s="5">
        <f ca="1">IFERROR(__xludf.DUMMYFUNCTION("""COMPUTED_VALUE"""),42123.625)</f>
        <v>42123.625</v>
      </c>
      <c r="B83" s="2">
        <f ca="1">IFERROR(__xludf.DUMMYFUNCTION("""COMPUTED_VALUE"""),14000)</f>
        <v>14000</v>
      </c>
      <c r="C83" s="2">
        <f ca="1">IFERROR(__xludf.DUMMYFUNCTION("""COMPUTED_VALUE"""),14000)</f>
        <v>14000</v>
      </c>
      <c r="D83" s="2">
        <f ca="1">IFERROR(__xludf.DUMMYFUNCTION("""COMPUTED_VALUE"""),13200)</f>
        <v>13200</v>
      </c>
      <c r="E83" s="2">
        <f ca="1">IFERROR(__xludf.DUMMYFUNCTION("""COMPUTED_VALUE"""),13500)</f>
        <v>13500</v>
      </c>
      <c r="F83" s="2">
        <f ca="1">IFERROR(__xludf.DUMMYFUNCTION("""COMPUTED_VALUE"""),57820700)</f>
        <v>57820700</v>
      </c>
    </row>
    <row r="84" spans="1:6">
      <c r="A84" s="5">
        <f ca="1">IFERROR(__xludf.DUMMYFUNCTION("""COMPUTED_VALUE"""),42124.625)</f>
        <v>42124.625</v>
      </c>
      <c r="B84" s="2">
        <f ca="1">IFERROR(__xludf.DUMMYFUNCTION("""COMPUTED_VALUE"""),13300)</f>
        <v>13300</v>
      </c>
      <c r="C84" s="2">
        <f ca="1">IFERROR(__xludf.DUMMYFUNCTION("""COMPUTED_VALUE"""),13700)</f>
        <v>13700</v>
      </c>
      <c r="D84" s="2">
        <f ca="1">IFERROR(__xludf.DUMMYFUNCTION("""COMPUTED_VALUE"""),12900)</f>
        <v>12900</v>
      </c>
      <c r="E84" s="2">
        <f ca="1">IFERROR(__xludf.DUMMYFUNCTION("""COMPUTED_VALUE"""),13475)</f>
        <v>13475</v>
      </c>
      <c r="F84" s="2">
        <f ca="1">IFERROR(__xludf.DUMMYFUNCTION("""COMPUTED_VALUE"""),40373900)</f>
        <v>40373900</v>
      </c>
    </row>
    <row r="85" spans="1:6">
      <c r="A85" s="5">
        <f ca="1">IFERROR(__xludf.DUMMYFUNCTION("""COMPUTED_VALUE"""),42128.625)</f>
        <v>42128.625</v>
      </c>
      <c r="B85" s="2">
        <f ca="1">IFERROR(__xludf.DUMMYFUNCTION("""COMPUTED_VALUE"""),13475)</f>
        <v>13475</v>
      </c>
      <c r="C85" s="2">
        <f ca="1">IFERROR(__xludf.DUMMYFUNCTION("""COMPUTED_VALUE"""),13850)</f>
        <v>13850</v>
      </c>
      <c r="D85" s="2">
        <f ca="1">IFERROR(__xludf.DUMMYFUNCTION("""COMPUTED_VALUE"""),13450)</f>
        <v>13450</v>
      </c>
      <c r="E85" s="2">
        <f ca="1">IFERROR(__xludf.DUMMYFUNCTION("""COMPUTED_VALUE"""),13725)</f>
        <v>13725</v>
      </c>
      <c r="F85" s="2">
        <f ca="1">IFERROR(__xludf.DUMMYFUNCTION("""COMPUTED_VALUE"""),17541000)</f>
        <v>17541000</v>
      </c>
    </row>
    <row r="86" spans="1:6">
      <c r="A86" s="5">
        <f ca="1">IFERROR(__xludf.DUMMYFUNCTION("""COMPUTED_VALUE"""),42129.625)</f>
        <v>42129.625</v>
      </c>
      <c r="B86" s="2">
        <f ca="1">IFERROR(__xludf.DUMMYFUNCTION("""COMPUTED_VALUE"""),13750)</f>
        <v>13750</v>
      </c>
      <c r="C86" s="2">
        <f ca="1">IFERROR(__xludf.DUMMYFUNCTION("""COMPUTED_VALUE"""),13925)</f>
        <v>13925</v>
      </c>
      <c r="D86" s="2">
        <f ca="1">IFERROR(__xludf.DUMMYFUNCTION("""COMPUTED_VALUE"""),13675)</f>
        <v>13675</v>
      </c>
      <c r="E86" s="2">
        <f ca="1">IFERROR(__xludf.DUMMYFUNCTION("""COMPUTED_VALUE"""),13850)</f>
        <v>13850</v>
      </c>
      <c r="F86" s="2">
        <f ca="1">IFERROR(__xludf.DUMMYFUNCTION("""COMPUTED_VALUE"""),18028300)</f>
        <v>18028300</v>
      </c>
    </row>
    <row r="87" spans="1:6">
      <c r="A87" s="5">
        <f ca="1">IFERROR(__xludf.DUMMYFUNCTION("""COMPUTED_VALUE"""),42130.625)</f>
        <v>42130.625</v>
      </c>
      <c r="B87" s="2">
        <f ca="1">IFERROR(__xludf.DUMMYFUNCTION("""COMPUTED_VALUE"""),13750)</f>
        <v>13750</v>
      </c>
      <c r="C87" s="2">
        <f ca="1">IFERROR(__xludf.DUMMYFUNCTION("""COMPUTED_VALUE"""),13775)</f>
        <v>13775</v>
      </c>
      <c r="D87" s="2">
        <f ca="1">IFERROR(__xludf.DUMMYFUNCTION("""COMPUTED_VALUE"""),13575)</f>
        <v>13575</v>
      </c>
      <c r="E87" s="2">
        <f ca="1">IFERROR(__xludf.DUMMYFUNCTION("""COMPUTED_VALUE"""),13700)</f>
        <v>13700</v>
      </c>
      <c r="F87" s="2">
        <f ca="1">IFERROR(__xludf.DUMMYFUNCTION("""COMPUTED_VALUE"""),30023800)</f>
        <v>30023800</v>
      </c>
    </row>
    <row r="88" spans="1:6">
      <c r="A88" s="5">
        <f ca="1">IFERROR(__xludf.DUMMYFUNCTION("""COMPUTED_VALUE"""),42131.625)</f>
        <v>42131.625</v>
      </c>
      <c r="B88" s="2">
        <f ca="1">IFERROR(__xludf.DUMMYFUNCTION("""COMPUTED_VALUE"""),13600)</f>
        <v>13600</v>
      </c>
      <c r="C88" s="2">
        <f ca="1">IFERROR(__xludf.DUMMYFUNCTION("""COMPUTED_VALUE"""),13775)</f>
        <v>13775</v>
      </c>
      <c r="D88" s="2">
        <f ca="1">IFERROR(__xludf.DUMMYFUNCTION("""COMPUTED_VALUE"""),13575)</f>
        <v>13575</v>
      </c>
      <c r="E88" s="2">
        <f ca="1">IFERROR(__xludf.DUMMYFUNCTION("""COMPUTED_VALUE"""),13700)</f>
        <v>13700</v>
      </c>
      <c r="F88" s="2">
        <f ca="1">IFERROR(__xludf.DUMMYFUNCTION("""COMPUTED_VALUE"""),11017400)</f>
        <v>11017400</v>
      </c>
    </row>
    <row r="89" spans="1:6">
      <c r="A89" s="5">
        <f ca="1">IFERROR(__xludf.DUMMYFUNCTION("""COMPUTED_VALUE"""),42132.625)</f>
        <v>42132.625</v>
      </c>
      <c r="B89" s="2">
        <f ca="1">IFERROR(__xludf.DUMMYFUNCTION("""COMPUTED_VALUE"""),13750)</f>
        <v>13750</v>
      </c>
      <c r="C89" s="2">
        <f ca="1">IFERROR(__xludf.DUMMYFUNCTION("""COMPUTED_VALUE"""),13875)</f>
        <v>13875</v>
      </c>
      <c r="D89" s="2">
        <f ca="1">IFERROR(__xludf.DUMMYFUNCTION("""COMPUTED_VALUE"""),13675)</f>
        <v>13675</v>
      </c>
      <c r="E89" s="2">
        <f ca="1">IFERROR(__xludf.DUMMYFUNCTION("""COMPUTED_VALUE"""),13775)</f>
        <v>13775</v>
      </c>
      <c r="F89" s="2">
        <f ca="1">IFERROR(__xludf.DUMMYFUNCTION("""COMPUTED_VALUE"""),11339600)</f>
        <v>11339600</v>
      </c>
    </row>
    <row r="90" spans="1:6">
      <c r="A90" s="5">
        <f ca="1">IFERROR(__xludf.DUMMYFUNCTION("""COMPUTED_VALUE"""),42135.625)</f>
        <v>42135.625</v>
      </c>
      <c r="B90" s="2">
        <f ca="1">IFERROR(__xludf.DUMMYFUNCTION("""COMPUTED_VALUE"""),13800)</f>
        <v>13800</v>
      </c>
      <c r="C90" s="2">
        <f ca="1">IFERROR(__xludf.DUMMYFUNCTION("""COMPUTED_VALUE"""),13825)</f>
        <v>13825</v>
      </c>
      <c r="D90" s="2">
        <f ca="1">IFERROR(__xludf.DUMMYFUNCTION("""COMPUTED_VALUE"""),13625)</f>
        <v>13625</v>
      </c>
      <c r="E90" s="2">
        <f ca="1">IFERROR(__xludf.DUMMYFUNCTION("""COMPUTED_VALUE"""),13700)</f>
        <v>13700</v>
      </c>
      <c r="F90" s="2">
        <f ca="1">IFERROR(__xludf.DUMMYFUNCTION("""COMPUTED_VALUE"""),13507400)</f>
        <v>13507400</v>
      </c>
    </row>
    <row r="91" spans="1:6">
      <c r="A91" s="5">
        <f ca="1">IFERROR(__xludf.DUMMYFUNCTION("""COMPUTED_VALUE"""),42136.625)</f>
        <v>42136.625</v>
      </c>
      <c r="B91" s="2">
        <f ca="1">IFERROR(__xludf.DUMMYFUNCTION("""COMPUTED_VALUE"""),13625)</f>
        <v>13625</v>
      </c>
      <c r="C91" s="2">
        <f ca="1">IFERROR(__xludf.DUMMYFUNCTION("""COMPUTED_VALUE"""),13825)</f>
        <v>13825</v>
      </c>
      <c r="D91" s="2">
        <f ca="1">IFERROR(__xludf.DUMMYFUNCTION("""COMPUTED_VALUE"""),13600)</f>
        <v>13600</v>
      </c>
      <c r="E91" s="2">
        <f ca="1">IFERROR(__xludf.DUMMYFUNCTION("""COMPUTED_VALUE"""),13725)</f>
        <v>13725</v>
      </c>
      <c r="F91" s="2">
        <f ca="1">IFERROR(__xludf.DUMMYFUNCTION("""COMPUTED_VALUE"""),10884900)</f>
        <v>10884900</v>
      </c>
    </row>
    <row r="92" spans="1:6">
      <c r="A92" s="5">
        <f ca="1">IFERROR(__xludf.DUMMYFUNCTION("""COMPUTED_VALUE"""),42137.625)</f>
        <v>42137.625</v>
      </c>
      <c r="B92" s="2">
        <f ca="1">IFERROR(__xludf.DUMMYFUNCTION("""COMPUTED_VALUE"""),13650)</f>
        <v>13650</v>
      </c>
      <c r="C92" s="2">
        <f ca="1">IFERROR(__xludf.DUMMYFUNCTION("""COMPUTED_VALUE"""),13800)</f>
        <v>13800</v>
      </c>
      <c r="D92" s="2">
        <f ca="1">IFERROR(__xludf.DUMMYFUNCTION("""COMPUTED_VALUE"""),13650)</f>
        <v>13650</v>
      </c>
      <c r="E92" s="2">
        <f ca="1">IFERROR(__xludf.DUMMYFUNCTION("""COMPUTED_VALUE"""),13725)</f>
        <v>13725</v>
      </c>
      <c r="F92" s="2">
        <f ca="1">IFERROR(__xludf.DUMMYFUNCTION("""COMPUTED_VALUE"""),13786000)</f>
        <v>13786000</v>
      </c>
    </row>
    <row r="93" spans="1:6">
      <c r="A93" s="5">
        <f ca="1">IFERROR(__xludf.DUMMYFUNCTION("""COMPUTED_VALUE"""),42139.625)</f>
        <v>42139.625</v>
      </c>
      <c r="B93" s="2">
        <f ca="1">IFERROR(__xludf.DUMMYFUNCTION("""COMPUTED_VALUE"""),13725)</f>
        <v>13725</v>
      </c>
      <c r="C93" s="2">
        <f ca="1">IFERROR(__xludf.DUMMYFUNCTION("""COMPUTED_VALUE"""),13775)</f>
        <v>13775</v>
      </c>
      <c r="D93" s="2">
        <f ca="1">IFERROR(__xludf.DUMMYFUNCTION("""COMPUTED_VALUE"""),13400)</f>
        <v>13400</v>
      </c>
      <c r="E93" s="2">
        <f ca="1">IFERROR(__xludf.DUMMYFUNCTION("""COMPUTED_VALUE"""),13525)</f>
        <v>13525</v>
      </c>
      <c r="F93" s="2">
        <f ca="1">IFERROR(__xludf.DUMMYFUNCTION("""COMPUTED_VALUE"""),20493800)</f>
        <v>20493800</v>
      </c>
    </row>
    <row r="94" spans="1:6">
      <c r="A94" s="5">
        <f ca="1">IFERROR(__xludf.DUMMYFUNCTION("""COMPUTED_VALUE"""),42142.625)</f>
        <v>42142.625</v>
      </c>
      <c r="B94" s="2">
        <f ca="1">IFERROR(__xludf.DUMMYFUNCTION("""COMPUTED_VALUE"""),13600)</f>
        <v>13600</v>
      </c>
      <c r="C94" s="2">
        <f ca="1">IFERROR(__xludf.DUMMYFUNCTION("""COMPUTED_VALUE"""),13625)</f>
        <v>13625</v>
      </c>
      <c r="D94" s="2">
        <f ca="1">IFERROR(__xludf.DUMMYFUNCTION("""COMPUTED_VALUE"""),13525)</f>
        <v>13525</v>
      </c>
      <c r="E94" s="2">
        <f ca="1">IFERROR(__xludf.DUMMYFUNCTION("""COMPUTED_VALUE"""),13600)</f>
        <v>13600</v>
      </c>
      <c r="F94" s="2">
        <f ca="1">IFERROR(__xludf.DUMMYFUNCTION("""COMPUTED_VALUE"""),8765400)</f>
        <v>8765400</v>
      </c>
    </row>
    <row r="95" spans="1:6">
      <c r="A95" s="5">
        <f ca="1">IFERROR(__xludf.DUMMYFUNCTION("""COMPUTED_VALUE"""),42143.625)</f>
        <v>42143.625</v>
      </c>
      <c r="B95" s="2">
        <f ca="1">IFERROR(__xludf.DUMMYFUNCTION("""COMPUTED_VALUE"""),13625)</f>
        <v>13625</v>
      </c>
      <c r="C95" s="2">
        <f ca="1">IFERROR(__xludf.DUMMYFUNCTION("""COMPUTED_VALUE"""),13850)</f>
        <v>13850</v>
      </c>
      <c r="D95" s="2">
        <f ca="1">IFERROR(__xludf.DUMMYFUNCTION("""COMPUTED_VALUE"""),13550)</f>
        <v>13550</v>
      </c>
      <c r="E95" s="2">
        <f ca="1">IFERROR(__xludf.DUMMYFUNCTION("""COMPUTED_VALUE"""),13650)</f>
        <v>13650</v>
      </c>
      <c r="F95" s="2">
        <f ca="1">IFERROR(__xludf.DUMMYFUNCTION("""COMPUTED_VALUE"""),10421400)</f>
        <v>10421400</v>
      </c>
    </row>
    <row r="96" spans="1:6">
      <c r="A96" s="5">
        <f ca="1">IFERROR(__xludf.DUMMYFUNCTION("""COMPUTED_VALUE"""),42144.625)</f>
        <v>42144.625</v>
      </c>
      <c r="B96" s="2">
        <f ca="1">IFERROR(__xludf.DUMMYFUNCTION("""COMPUTED_VALUE"""),13775)</f>
        <v>13775</v>
      </c>
      <c r="C96" s="2">
        <f ca="1">IFERROR(__xludf.DUMMYFUNCTION("""COMPUTED_VALUE"""),14025)</f>
        <v>14025</v>
      </c>
      <c r="D96" s="2">
        <f ca="1">IFERROR(__xludf.DUMMYFUNCTION("""COMPUTED_VALUE"""),13700)</f>
        <v>13700</v>
      </c>
      <c r="E96" s="2">
        <f ca="1">IFERROR(__xludf.DUMMYFUNCTION("""COMPUTED_VALUE"""),13875)</f>
        <v>13875</v>
      </c>
      <c r="F96" s="2">
        <f ca="1">IFERROR(__xludf.DUMMYFUNCTION("""COMPUTED_VALUE"""),11696500)</f>
        <v>11696500</v>
      </c>
    </row>
    <row r="97" spans="1:6">
      <c r="A97" s="5">
        <f ca="1">IFERROR(__xludf.DUMMYFUNCTION("""COMPUTED_VALUE"""),42145.625)</f>
        <v>42145.625</v>
      </c>
      <c r="B97" s="2">
        <f ca="1">IFERROR(__xludf.DUMMYFUNCTION("""COMPUTED_VALUE"""),13950)</f>
        <v>13950</v>
      </c>
      <c r="C97" s="2">
        <f ca="1">IFERROR(__xludf.DUMMYFUNCTION("""COMPUTED_VALUE"""),14375)</f>
        <v>14375</v>
      </c>
      <c r="D97" s="2">
        <f ca="1">IFERROR(__xludf.DUMMYFUNCTION("""COMPUTED_VALUE"""),13900)</f>
        <v>13900</v>
      </c>
      <c r="E97" s="2">
        <f ca="1">IFERROR(__xludf.DUMMYFUNCTION("""COMPUTED_VALUE"""),14125)</f>
        <v>14125</v>
      </c>
      <c r="F97" s="2">
        <f ca="1">IFERROR(__xludf.DUMMYFUNCTION("""COMPUTED_VALUE"""),12730000)</f>
        <v>12730000</v>
      </c>
    </row>
    <row r="98" spans="1:6">
      <c r="A98" s="5">
        <f ca="1">IFERROR(__xludf.DUMMYFUNCTION("""COMPUTED_VALUE"""),42146.625)</f>
        <v>42146.625</v>
      </c>
      <c r="B98" s="2">
        <f ca="1">IFERROR(__xludf.DUMMYFUNCTION("""COMPUTED_VALUE"""),14250)</f>
        <v>14250</v>
      </c>
      <c r="C98" s="2">
        <f ca="1">IFERROR(__xludf.DUMMYFUNCTION("""COMPUTED_VALUE"""),14500)</f>
        <v>14500</v>
      </c>
      <c r="D98" s="2">
        <f ca="1">IFERROR(__xludf.DUMMYFUNCTION("""COMPUTED_VALUE"""),14100)</f>
        <v>14100</v>
      </c>
      <c r="E98" s="2">
        <f ca="1">IFERROR(__xludf.DUMMYFUNCTION("""COMPUTED_VALUE"""),14350)</f>
        <v>14350</v>
      </c>
      <c r="F98" s="2">
        <f ca="1">IFERROR(__xludf.DUMMYFUNCTION("""COMPUTED_VALUE"""),12780500)</f>
        <v>12780500</v>
      </c>
    </row>
    <row r="99" spans="1:6">
      <c r="A99" s="5">
        <f ca="1">IFERROR(__xludf.DUMMYFUNCTION("""COMPUTED_VALUE"""),42149.625)</f>
        <v>42149.625</v>
      </c>
      <c r="B99" s="2">
        <f ca="1">IFERROR(__xludf.DUMMYFUNCTION("""COMPUTED_VALUE"""),14350)</f>
        <v>14350</v>
      </c>
      <c r="C99" s="2">
        <f ca="1">IFERROR(__xludf.DUMMYFUNCTION("""COMPUTED_VALUE"""),14375)</f>
        <v>14375</v>
      </c>
      <c r="D99" s="2">
        <f ca="1">IFERROR(__xludf.DUMMYFUNCTION("""COMPUTED_VALUE"""),14250)</f>
        <v>14250</v>
      </c>
      <c r="E99" s="2">
        <f ca="1">IFERROR(__xludf.DUMMYFUNCTION("""COMPUTED_VALUE"""),14300)</f>
        <v>14300</v>
      </c>
      <c r="F99" s="2">
        <f ca="1">IFERROR(__xludf.DUMMYFUNCTION("""COMPUTED_VALUE"""),7885000)</f>
        <v>7885000</v>
      </c>
    </row>
    <row r="100" spans="1:6">
      <c r="A100" s="5">
        <f ca="1">IFERROR(__xludf.DUMMYFUNCTION("""COMPUTED_VALUE"""),42150.625)</f>
        <v>42150.625</v>
      </c>
      <c r="B100" s="2">
        <f ca="1">IFERROR(__xludf.DUMMYFUNCTION("""COMPUTED_VALUE"""),14200)</f>
        <v>14200</v>
      </c>
      <c r="C100" s="2">
        <f ca="1">IFERROR(__xludf.DUMMYFUNCTION("""COMPUTED_VALUE"""),14500)</f>
        <v>14500</v>
      </c>
      <c r="D100" s="2">
        <f ca="1">IFERROR(__xludf.DUMMYFUNCTION("""COMPUTED_VALUE"""),14150)</f>
        <v>14150</v>
      </c>
      <c r="E100" s="2">
        <f ca="1">IFERROR(__xludf.DUMMYFUNCTION("""COMPUTED_VALUE"""),14350)</f>
        <v>14350</v>
      </c>
      <c r="F100" s="2">
        <f ca="1">IFERROR(__xludf.DUMMYFUNCTION("""COMPUTED_VALUE"""),23547700)</f>
        <v>23547700</v>
      </c>
    </row>
    <row r="101" spans="1:6">
      <c r="A101" s="5">
        <f ca="1">IFERROR(__xludf.DUMMYFUNCTION("""COMPUTED_VALUE"""),42151.625)</f>
        <v>42151.625</v>
      </c>
      <c r="B101" s="2">
        <f ca="1">IFERROR(__xludf.DUMMYFUNCTION("""COMPUTED_VALUE"""),14350)</f>
        <v>14350</v>
      </c>
      <c r="C101" s="2">
        <f ca="1">IFERROR(__xludf.DUMMYFUNCTION("""COMPUTED_VALUE"""),14400)</f>
        <v>14400</v>
      </c>
      <c r="D101" s="2">
        <f ca="1">IFERROR(__xludf.DUMMYFUNCTION("""COMPUTED_VALUE"""),14250)</f>
        <v>14250</v>
      </c>
      <c r="E101" s="2">
        <f ca="1">IFERROR(__xludf.DUMMYFUNCTION("""COMPUTED_VALUE"""),14250)</f>
        <v>14250</v>
      </c>
      <c r="F101" s="2">
        <f ca="1">IFERROR(__xludf.DUMMYFUNCTION("""COMPUTED_VALUE"""),15876800)</f>
        <v>15876800</v>
      </c>
    </row>
    <row r="102" spans="1:6">
      <c r="A102" s="5">
        <f ca="1">IFERROR(__xludf.DUMMYFUNCTION("""COMPUTED_VALUE"""),42152.625)</f>
        <v>42152.625</v>
      </c>
      <c r="B102" s="2">
        <f ca="1">IFERROR(__xludf.DUMMYFUNCTION("""COMPUTED_VALUE"""),14100)</f>
        <v>14100</v>
      </c>
      <c r="C102" s="2">
        <f ca="1">IFERROR(__xludf.DUMMYFUNCTION("""COMPUTED_VALUE"""),14250)</f>
        <v>14250</v>
      </c>
      <c r="D102" s="2">
        <f ca="1">IFERROR(__xludf.DUMMYFUNCTION("""COMPUTED_VALUE"""),14050)</f>
        <v>14050</v>
      </c>
      <c r="E102" s="2">
        <f ca="1">IFERROR(__xludf.DUMMYFUNCTION("""COMPUTED_VALUE"""),14150)</f>
        <v>14150</v>
      </c>
      <c r="F102" s="2">
        <f ca="1">IFERROR(__xludf.DUMMYFUNCTION("""COMPUTED_VALUE"""),7388000)</f>
        <v>7388000</v>
      </c>
    </row>
    <row r="103" spans="1:6">
      <c r="A103" s="5">
        <f ca="1">IFERROR(__xludf.DUMMYFUNCTION("""COMPUTED_VALUE"""),42153.625)</f>
        <v>42153.625</v>
      </c>
      <c r="B103" s="2">
        <f ca="1">IFERROR(__xludf.DUMMYFUNCTION("""COMPUTED_VALUE"""),14225)</f>
        <v>14225</v>
      </c>
      <c r="C103" s="2">
        <f ca="1">IFERROR(__xludf.DUMMYFUNCTION("""COMPUTED_VALUE"""),14300)</f>
        <v>14300</v>
      </c>
      <c r="D103" s="2">
        <f ca="1">IFERROR(__xludf.DUMMYFUNCTION("""COMPUTED_VALUE"""),14075)</f>
        <v>14075</v>
      </c>
      <c r="E103" s="2">
        <f ca="1">IFERROR(__xludf.DUMMYFUNCTION("""COMPUTED_VALUE"""),14125)</f>
        <v>14125</v>
      </c>
      <c r="F103" s="2">
        <f ca="1">IFERROR(__xludf.DUMMYFUNCTION("""COMPUTED_VALUE"""),22257500)</f>
        <v>22257500</v>
      </c>
    </row>
    <row r="104" spans="1:6">
      <c r="A104" s="5">
        <f ca="1">IFERROR(__xludf.DUMMYFUNCTION("""COMPUTED_VALUE"""),42156.625)</f>
        <v>42156.625</v>
      </c>
      <c r="B104" s="2">
        <f ca="1">IFERROR(__xludf.DUMMYFUNCTION("""COMPUTED_VALUE"""),14000)</f>
        <v>14000</v>
      </c>
      <c r="C104" s="2">
        <f ca="1">IFERROR(__xludf.DUMMYFUNCTION("""COMPUTED_VALUE"""),14125)</f>
        <v>14125</v>
      </c>
      <c r="D104" s="2">
        <f ca="1">IFERROR(__xludf.DUMMYFUNCTION("""COMPUTED_VALUE"""),13950)</f>
        <v>13950</v>
      </c>
      <c r="E104" s="2">
        <f ca="1">IFERROR(__xludf.DUMMYFUNCTION("""COMPUTED_VALUE"""),14125)</f>
        <v>14125</v>
      </c>
      <c r="F104" s="2">
        <f ca="1">IFERROR(__xludf.DUMMYFUNCTION("""COMPUTED_VALUE"""),4863400)</f>
        <v>4863400</v>
      </c>
    </row>
    <row r="105" spans="1:6">
      <c r="A105" s="5">
        <f ca="1">IFERROR(__xludf.DUMMYFUNCTION("""COMPUTED_VALUE"""),42158.625)</f>
        <v>42158.625</v>
      </c>
      <c r="B105" s="2">
        <f ca="1">IFERROR(__xludf.DUMMYFUNCTION("""COMPUTED_VALUE"""),14000)</f>
        <v>14000</v>
      </c>
      <c r="C105" s="2">
        <f ca="1">IFERROR(__xludf.DUMMYFUNCTION("""COMPUTED_VALUE"""),14025)</f>
        <v>14025</v>
      </c>
      <c r="D105" s="2">
        <f ca="1">IFERROR(__xludf.DUMMYFUNCTION("""COMPUTED_VALUE"""),13475)</f>
        <v>13475</v>
      </c>
      <c r="E105" s="2">
        <f ca="1">IFERROR(__xludf.DUMMYFUNCTION("""COMPUTED_VALUE"""),13600)</f>
        <v>13600</v>
      </c>
      <c r="F105" s="2">
        <f ca="1">IFERROR(__xludf.DUMMYFUNCTION("""COMPUTED_VALUE"""),31835000)</f>
        <v>31835000</v>
      </c>
    </row>
    <row r="106" spans="1:6">
      <c r="A106" s="5">
        <f ca="1">IFERROR(__xludf.DUMMYFUNCTION("""COMPUTED_VALUE"""),42159.625)</f>
        <v>42159.625</v>
      </c>
      <c r="B106" s="2">
        <f ca="1">IFERROR(__xludf.DUMMYFUNCTION("""COMPUTED_VALUE"""),13500)</f>
        <v>13500</v>
      </c>
      <c r="C106" s="2">
        <f ca="1">IFERROR(__xludf.DUMMYFUNCTION("""COMPUTED_VALUE"""),13750)</f>
        <v>13750</v>
      </c>
      <c r="D106" s="2">
        <f ca="1">IFERROR(__xludf.DUMMYFUNCTION("""COMPUTED_VALUE"""),13500)</f>
        <v>13500</v>
      </c>
      <c r="E106" s="2">
        <f ca="1">IFERROR(__xludf.DUMMYFUNCTION("""COMPUTED_VALUE"""),13625)</f>
        <v>13625</v>
      </c>
      <c r="F106" s="2">
        <f ca="1">IFERROR(__xludf.DUMMYFUNCTION("""COMPUTED_VALUE"""),11663900)</f>
        <v>11663900</v>
      </c>
    </row>
    <row r="107" spans="1:6">
      <c r="A107" s="5">
        <f ca="1">IFERROR(__xludf.DUMMYFUNCTION("""COMPUTED_VALUE"""),42160.625)</f>
        <v>42160.625</v>
      </c>
      <c r="B107" s="2">
        <f ca="1">IFERROR(__xludf.DUMMYFUNCTION("""COMPUTED_VALUE"""),13450)</f>
        <v>13450</v>
      </c>
      <c r="C107" s="2">
        <f ca="1">IFERROR(__xludf.DUMMYFUNCTION("""COMPUTED_VALUE"""),13700)</f>
        <v>13700</v>
      </c>
      <c r="D107" s="2">
        <f ca="1">IFERROR(__xludf.DUMMYFUNCTION("""COMPUTED_VALUE"""),13450)</f>
        <v>13450</v>
      </c>
      <c r="E107" s="2">
        <f ca="1">IFERROR(__xludf.DUMMYFUNCTION("""COMPUTED_VALUE"""),13650)</f>
        <v>13650</v>
      </c>
      <c r="F107" s="2">
        <f ca="1">IFERROR(__xludf.DUMMYFUNCTION("""COMPUTED_VALUE"""),9654400)</f>
        <v>9654400</v>
      </c>
    </row>
    <row r="108" spans="1:6">
      <c r="A108" s="5">
        <f ca="1">IFERROR(__xludf.DUMMYFUNCTION("""COMPUTED_VALUE"""),42163.625)</f>
        <v>42163.625</v>
      </c>
      <c r="B108" s="2">
        <f ca="1">IFERROR(__xludf.DUMMYFUNCTION("""COMPUTED_VALUE"""),13500)</f>
        <v>13500</v>
      </c>
      <c r="C108" s="2">
        <f ca="1">IFERROR(__xludf.DUMMYFUNCTION("""COMPUTED_VALUE"""),13600)</f>
        <v>13600</v>
      </c>
      <c r="D108" s="2">
        <f ca="1">IFERROR(__xludf.DUMMYFUNCTION("""COMPUTED_VALUE"""),13400)</f>
        <v>13400</v>
      </c>
      <c r="E108" s="2">
        <f ca="1">IFERROR(__xludf.DUMMYFUNCTION("""COMPUTED_VALUE"""),13575)</f>
        <v>13575</v>
      </c>
      <c r="F108" s="2">
        <f ca="1">IFERROR(__xludf.DUMMYFUNCTION("""COMPUTED_VALUE"""),17377600)</f>
        <v>17377600</v>
      </c>
    </row>
    <row r="109" spans="1:6">
      <c r="A109" s="5">
        <f ca="1">IFERROR(__xludf.DUMMYFUNCTION("""COMPUTED_VALUE"""),42164.625)</f>
        <v>42164.625</v>
      </c>
      <c r="B109" s="2">
        <f ca="1">IFERROR(__xludf.DUMMYFUNCTION("""COMPUTED_VALUE"""),13400)</f>
        <v>13400</v>
      </c>
      <c r="C109" s="2">
        <f ca="1">IFERROR(__xludf.DUMMYFUNCTION("""COMPUTED_VALUE"""),13525)</f>
        <v>13525</v>
      </c>
      <c r="D109" s="2">
        <f ca="1">IFERROR(__xludf.DUMMYFUNCTION("""COMPUTED_VALUE"""),13050)</f>
        <v>13050</v>
      </c>
      <c r="E109" s="2">
        <f ca="1">IFERROR(__xludf.DUMMYFUNCTION("""COMPUTED_VALUE"""),13300)</f>
        <v>13300</v>
      </c>
      <c r="F109" s="2">
        <f ca="1">IFERROR(__xludf.DUMMYFUNCTION("""COMPUTED_VALUE"""),26388300)</f>
        <v>26388300</v>
      </c>
    </row>
    <row r="110" spans="1:6">
      <c r="A110" s="5">
        <f ca="1">IFERROR(__xludf.DUMMYFUNCTION("""COMPUTED_VALUE"""),42165.625)</f>
        <v>42165.625</v>
      </c>
      <c r="B110" s="2">
        <f ca="1">IFERROR(__xludf.DUMMYFUNCTION("""COMPUTED_VALUE"""),13300)</f>
        <v>13300</v>
      </c>
      <c r="C110" s="2">
        <f ca="1">IFERROR(__xludf.DUMMYFUNCTION("""COMPUTED_VALUE"""),13600)</f>
        <v>13600</v>
      </c>
      <c r="D110" s="2">
        <f ca="1">IFERROR(__xludf.DUMMYFUNCTION("""COMPUTED_VALUE"""),13050)</f>
        <v>13050</v>
      </c>
      <c r="E110" s="2">
        <f ca="1">IFERROR(__xludf.DUMMYFUNCTION("""COMPUTED_VALUE"""),13325)</f>
        <v>13325</v>
      </c>
      <c r="F110" s="2">
        <f ca="1">IFERROR(__xludf.DUMMYFUNCTION("""COMPUTED_VALUE"""),16443600)</f>
        <v>16443600</v>
      </c>
    </row>
    <row r="111" spans="1:6">
      <c r="A111" s="5">
        <f ca="1">IFERROR(__xludf.DUMMYFUNCTION("""COMPUTED_VALUE"""),42166.625)</f>
        <v>42166.625</v>
      </c>
      <c r="B111" s="2">
        <f ca="1">IFERROR(__xludf.DUMMYFUNCTION("""COMPUTED_VALUE"""),13400)</f>
        <v>13400</v>
      </c>
      <c r="C111" s="2">
        <f ca="1">IFERROR(__xludf.DUMMYFUNCTION("""COMPUTED_VALUE"""),13475)</f>
        <v>13475</v>
      </c>
      <c r="D111" s="2">
        <f ca="1">IFERROR(__xludf.DUMMYFUNCTION("""COMPUTED_VALUE"""),13150)</f>
        <v>13150</v>
      </c>
      <c r="E111" s="2">
        <f ca="1">IFERROR(__xludf.DUMMYFUNCTION("""COMPUTED_VALUE"""),13350)</f>
        <v>13350</v>
      </c>
      <c r="F111" s="2">
        <f ca="1">IFERROR(__xludf.DUMMYFUNCTION("""COMPUTED_VALUE"""),12842100)</f>
        <v>12842100</v>
      </c>
    </row>
    <row r="112" spans="1:6">
      <c r="A112" s="5">
        <f ca="1">IFERROR(__xludf.DUMMYFUNCTION("""COMPUTED_VALUE"""),42167.625)</f>
        <v>42167.625</v>
      </c>
      <c r="B112" s="2">
        <f ca="1">IFERROR(__xludf.DUMMYFUNCTION("""COMPUTED_VALUE"""),13175)</f>
        <v>13175</v>
      </c>
      <c r="C112" s="2">
        <f ca="1">IFERROR(__xludf.DUMMYFUNCTION("""COMPUTED_VALUE"""),13300)</f>
        <v>13300</v>
      </c>
      <c r="D112" s="2">
        <f ca="1">IFERROR(__xludf.DUMMYFUNCTION("""COMPUTED_VALUE"""),13125)</f>
        <v>13125</v>
      </c>
      <c r="E112" s="2">
        <f ca="1">IFERROR(__xludf.DUMMYFUNCTION("""COMPUTED_VALUE"""),13250)</f>
        <v>13250</v>
      </c>
      <c r="F112" s="2">
        <f ca="1">IFERROR(__xludf.DUMMYFUNCTION("""COMPUTED_VALUE"""),15485500)</f>
        <v>15485500</v>
      </c>
    </row>
    <row r="113" spans="1:6">
      <c r="A113" s="5">
        <f ca="1">IFERROR(__xludf.DUMMYFUNCTION("""COMPUTED_VALUE"""),42170.625)</f>
        <v>42170.625</v>
      </c>
      <c r="B113" s="2">
        <f ca="1">IFERROR(__xludf.DUMMYFUNCTION("""COMPUTED_VALUE"""),13300)</f>
        <v>13300</v>
      </c>
      <c r="C113" s="2">
        <f ca="1">IFERROR(__xludf.DUMMYFUNCTION("""COMPUTED_VALUE"""),13325)</f>
        <v>13325</v>
      </c>
      <c r="D113" s="2">
        <f ca="1">IFERROR(__xludf.DUMMYFUNCTION("""COMPUTED_VALUE"""),13225)</f>
        <v>13225</v>
      </c>
      <c r="E113" s="2">
        <f ca="1">IFERROR(__xludf.DUMMYFUNCTION("""COMPUTED_VALUE"""),13300)</f>
        <v>13300</v>
      </c>
      <c r="F113" s="2">
        <f ca="1">IFERROR(__xludf.DUMMYFUNCTION("""COMPUTED_VALUE"""),8969800)</f>
        <v>8969800</v>
      </c>
    </row>
    <row r="114" spans="1:6">
      <c r="A114" s="5">
        <f ca="1">IFERROR(__xludf.DUMMYFUNCTION("""COMPUTED_VALUE"""),42171.625)</f>
        <v>42171.625</v>
      </c>
      <c r="B114" s="2">
        <f ca="1">IFERROR(__xludf.DUMMYFUNCTION("""COMPUTED_VALUE"""),13275)</f>
        <v>13275</v>
      </c>
      <c r="C114" s="2">
        <f ca="1">IFERROR(__xludf.DUMMYFUNCTION("""COMPUTED_VALUE"""),13475)</f>
        <v>13475</v>
      </c>
      <c r="D114" s="2">
        <f ca="1">IFERROR(__xludf.DUMMYFUNCTION("""COMPUTED_VALUE"""),13150)</f>
        <v>13150</v>
      </c>
      <c r="E114" s="2">
        <f ca="1">IFERROR(__xludf.DUMMYFUNCTION("""COMPUTED_VALUE"""),13350)</f>
        <v>13350</v>
      </c>
      <c r="F114" s="2">
        <f ca="1">IFERROR(__xludf.DUMMYFUNCTION("""COMPUTED_VALUE"""),13478800)</f>
        <v>13478800</v>
      </c>
    </row>
    <row r="115" spans="1:6">
      <c r="A115" s="5">
        <f ca="1">IFERROR(__xludf.DUMMYFUNCTION("""COMPUTED_VALUE"""),42172.625)</f>
        <v>42172.625</v>
      </c>
      <c r="B115" s="2">
        <f ca="1">IFERROR(__xludf.DUMMYFUNCTION("""COMPUTED_VALUE"""),13500)</f>
        <v>13500</v>
      </c>
      <c r="C115" s="2">
        <f ca="1">IFERROR(__xludf.DUMMYFUNCTION("""COMPUTED_VALUE"""),13825)</f>
        <v>13825</v>
      </c>
      <c r="D115" s="2">
        <f ca="1">IFERROR(__xludf.DUMMYFUNCTION("""COMPUTED_VALUE"""),13450)</f>
        <v>13450</v>
      </c>
      <c r="E115" s="2">
        <f ca="1">IFERROR(__xludf.DUMMYFUNCTION("""COMPUTED_VALUE"""),13725)</f>
        <v>13725</v>
      </c>
      <c r="F115" s="2">
        <f ca="1">IFERROR(__xludf.DUMMYFUNCTION("""COMPUTED_VALUE"""),13846000)</f>
        <v>13846000</v>
      </c>
    </row>
    <row r="116" spans="1:6">
      <c r="A116" s="5">
        <f ca="1">IFERROR(__xludf.DUMMYFUNCTION("""COMPUTED_VALUE"""),42173.625)</f>
        <v>42173.625</v>
      </c>
      <c r="B116" s="2">
        <f ca="1">IFERROR(__xludf.DUMMYFUNCTION("""COMPUTED_VALUE"""),13700)</f>
        <v>13700</v>
      </c>
      <c r="C116" s="2">
        <f ca="1">IFERROR(__xludf.DUMMYFUNCTION("""COMPUTED_VALUE"""),13700)</f>
        <v>13700</v>
      </c>
      <c r="D116" s="2">
        <f ca="1">IFERROR(__xludf.DUMMYFUNCTION("""COMPUTED_VALUE"""),13500)</f>
        <v>13500</v>
      </c>
      <c r="E116" s="2">
        <f ca="1">IFERROR(__xludf.DUMMYFUNCTION("""COMPUTED_VALUE"""),13625)</f>
        <v>13625</v>
      </c>
      <c r="F116" s="2">
        <f ca="1">IFERROR(__xludf.DUMMYFUNCTION("""COMPUTED_VALUE"""),5909300)</f>
        <v>5909300</v>
      </c>
    </row>
    <row r="117" spans="1:6">
      <c r="A117" s="5">
        <f ca="1">IFERROR(__xludf.DUMMYFUNCTION("""COMPUTED_VALUE"""),42174.625)</f>
        <v>42174.625</v>
      </c>
      <c r="B117" s="2">
        <f ca="1">IFERROR(__xludf.DUMMYFUNCTION("""COMPUTED_VALUE"""),13625)</f>
        <v>13625</v>
      </c>
      <c r="C117" s="2">
        <f ca="1">IFERROR(__xludf.DUMMYFUNCTION("""COMPUTED_VALUE"""),13825)</f>
        <v>13825</v>
      </c>
      <c r="D117" s="2">
        <f ca="1">IFERROR(__xludf.DUMMYFUNCTION("""COMPUTED_VALUE"""),13625)</f>
        <v>13625</v>
      </c>
      <c r="E117" s="2">
        <f ca="1">IFERROR(__xludf.DUMMYFUNCTION("""COMPUTED_VALUE"""),13700)</f>
        <v>13700</v>
      </c>
      <c r="F117" s="2">
        <f ca="1">IFERROR(__xludf.DUMMYFUNCTION("""COMPUTED_VALUE"""),14179100)</f>
        <v>14179100</v>
      </c>
    </row>
    <row r="118" spans="1:6">
      <c r="A118" s="5">
        <f ca="1">IFERROR(__xludf.DUMMYFUNCTION("""COMPUTED_VALUE"""),42177.625)</f>
        <v>42177.625</v>
      </c>
      <c r="B118" s="2">
        <f ca="1">IFERROR(__xludf.DUMMYFUNCTION("""COMPUTED_VALUE"""),13700)</f>
        <v>13700</v>
      </c>
      <c r="C118" s="2">
        <f ca="1">IFERROR(__xludf.DUMMYFUNCTION("""COMPUTED_VALUE"""),13800)</f>
        <v>13800</v>
      </c>
      <c r="D118" s="2">
        <f ca="1">IFERROR(__xludf.DUMMYFUNCTION("""COMPUTED_VALUE"""),13650)</f>
        <v>13650</v>
      </c>
      <c r="E118" s="2">
        <f ca="1">IFERROR(__xludf.DUMMYFUNCTION("""COMPUTED_VALUE"""),13725)</f>
        <v>13725</v>
      </c>
      <c r="F118" s="2">
        <f ca="1">IFERROR(__xludf.DUMMYFUNCTION("""COMPUTED_VALUE"""),7375600)</f>
        <v>7375600</v>
      </c>
    </row>
    <row r="119" spans="1:6">
      <c r="A119" s="5">
        <f ca="1">IFERROR(__xludf.DUMMYFUNCTION("""COMPUTED_VALUE"""),42178.625)</f>
        <v>42178.625</v>
      </c>
      <c r="B119" s="2">
        <f ca="1">IFERROR(__xludf.DUMMYFUNCTION("""COMPUTED_VALUE"""),13725)</f>
        <v>13725</v>
      </c>
      <c r="C119" s="2">
        <f ca="1">IFERROR(__xludf.DUMMYFUNCTION("""COMPUTED_VALUE"""),13750)</f>
        <v>13750</v>
      </c>
      <c r="D119" s="2">
        <f ca="1">IFERROR(__xludf.DUMMYFUNCTION("""COMPUTED_VALUE"""),13675)</f>
        <v>13675</v>
      </c>
      <c r="E119" s="2">
        <f ca="1">IFERROR(__xludf.DUMMYFUNCTION("""COMPUTED_VALUE"""),13675)</f>
        <v>13675</v>
      </c>
      <c r="F119" s="2">
        <f ca="1">IFERROR(__xludf.DUMMYFUNCTION("""COMPUTED_VALUE"""),8233100)</f>
        <v>8233100</v>
      </c>
    </row>
    <row r="120" spans="1:6">
      <c r="A120" s="5">
        <f ca="1">IFERROR(__xludf.DUMMYFUNCTION("""COMPUTED_VALUE"""),42179.625)</f>
        <v>42179.625</v>
      </c>
      <c r="B120" s="2">
        <f ca="1">IFERROR(__xludf.DUMMYFUNCTION("""COMPUTED_VALUE"""),13650)</f>
        <v>13650</v>
      </c>
      <c r="C120" s="2">
        <f ca="1">IFERROR(__xludf.DUMMYFUNCTION("""COMPUTED_VALUE"""),13775)</f>
        <v>13775</v>
      </c>
      <c r="D120" s="2">
        <f ca="1">IFERROR(__xludf.DUMMYFUNCTION("""COMPUTED_VALUE"""),13625)</f>
        <v>13625</v>
      </c>
      <c r="E120" s="2">
        <f ca="1">IFERROR(__xludf.DUMMYFUNCTION("""COMPUTED_VALUE"""),13625)</f>
        <v>13625</v>
      </c>
      <c r="F120" s="2">
        <f ca="1">IFERROR(__xludf.DUMMYFUNCTION("""COMPUTED_VALUE"""),11761900)</f>
        <v>11761900</v>
      </c>
    </row>
    <row r="121" spans="1:6">
      <c r="A121" s="5">
        <f ca="1">IFERROR(__xludf.DUMMYFUNCTION("""COMPUTED_VALUE"""),42180.625)</f>
        <v>42180.625</v>
      </c>
      <c r="B121" s="2">
        <f ca="1">IFERROR(__xludf.DUMMYFUNCTION("""COMPUTED_VALUE"""),13625)</f>
        <v>13625</v>
      </c>
      <c r="C121" s="2">
        <f ca="1">IFERROR(__xludf.DUMMYFUNCTION("""COMPUTED_VALUE"""),13700)</f>
        <v>13700</v>
      </c>
      <c r="D121" s="2">
        <f ca="1">IFERROR(__xludf.DUMMYFUNCTION("""COMPUTED_VALUE"""),13350)</f>
        <v>13350</v>
      </c>
      <c r="E121" s="2">
        <f ca="1">IFERROR(__xludf.DUMMYFUNCTION("""COMPUTED_VALUE"""),13475)</f>
        <v>13475</v>
      </c>
      <c r="F121" s="2">
        <f ca="1">IFERROR(__xludf.DUMMYFUNCTION("""COMPUTED_VALUE"""),16420200)</f>
        <v>16420200</v>
      </c>
    </row>
    <row r="122" spans="1:6">
      <c r="A122" s="5">
        <f ca="1">IFERROR(__xludf.DUMMYFUNCTION("""COMPUTED_VALUE"""),42181.625)</f>
        <v>42181.625</v>
      </c>
      <c r="B122" s="2">
        <f ca="1">IFERROR(__xludf.DUMMYFUNCTION("""COMPUTED_VALUE"""),13450)</f>
        <v>13450</v>
      </c>
      <c r="C122" s="2">
        <f ca="1">IFERROR(__xludf.DUMMYFUNCTION("""COMPUTED_VALUE"""),13750)</f>
        <v>13750</v>
      </c>
      <c r="D122" s="2">
        <f ca="1">IFERROR(__xludf.DUMMYFUNCTION("""COMPUTED_VALUE"""),13300)</f>
        <v>13300</v>
      </c>
      <c r="E122" s="2">
        <f ca="1">IFERROR(__xludf.DUMMYFUNCTION("""COMPUTED_VALUE"""),13550)</f>
        <v>13550</v>
      </c>
      <c r="F122" s="2">
        <f ca="1">IFERROR(__xludf.DUMMYFUNCTION("""COMPUTED_VALUE"""),13000700)</f>
        <v>13000700</v>
      </c>
    </row>
    <row r="123" spans="1:6">
      <c r="A123" s="5">
        <f ca="1">IFERROR(__xludf.DUMMYFUNCTION("""COMPUTED_VALUE"""),42184.625)</f>
        <v>42184.625</v>
      </c>
      <c r="B123" s="2">
        <f ca="1">IFERROR(__xludf.DUMMYFUNCTION("""COMPUTED_VALUE"""),13400)</f>
        <v>13400</v>
      </c>
      <c r="C123" s="2">
        <f ca="1">IFERROR(__xludf.DUMMYFUNCTION("""COMPUTED_VALUE"""),13550)</f>
        <v>13550</v>
      </c>
      <c r="D123" s="2">
        <f ca="1">IFERROR(__xludf.DUMMYFUNCTION("""COMPUTED_VALUE"""),13325)</f>
        <v>13325</v>
      </c>
      <c r="E123" s="2">
        <f ca="1">IFERROR(__xludf.DUMMYFUNCTION("""COMPUTED_VALUE"""),13500)</f>
        <v>13500</v>
      </c>
      <c r="F123" s="2">
        <f ca="1">IFERROR(__xludf.DUMMYFUNCTION("""COMPUTED_VALUE"""),10037400)</f>
        <v>10037400</v>
      </c>
    </row>
    <row r="124" spans="1:6">
      <c r="A124" s="5">
        <f ca="1">IFERROR(__xludf.DUMMYFUNCTION("""COMPUTED_VALUE"""),42185.625)</f>
        <v>42185.625</v>
      </c>
      <c r="B124" s="2">
        <f ca="1">IFERROR(__xludf.DUMMYFUNCTION("""COMPUTED_VALUE"""),13625)</f>
        <v>13625</v>
      </c>
      <c r="C124" s="2">
        <f ca="1">IFERROR(__xludf.DUMMYFUNCTION("""COMPUTED_VALUE"""),13750)</f>
        <v>13750</v>
      </c>
      <c r="D124" s="2">
        <f ca="1">IFERROR(__xludf.DUMMYFUNCTION("""COMPUTED_VALUE"""),13500)</f>
        <v>13500</v>
      </c>
      <c r="E124" s="2">
        <f ca="1">IFERROR(__xludf.DUMMYFUNCTION("""COMPUTED_VALUE"""),13500)</f>
        <v>13500</v>
      </c>
      <c r="F124" s="2">
        <f ca="1">IFERROR(__xludf.DUMMYFUNCTION("""COMPUTED_VALUE"""),13829000)</f>
        <v>13829000</v>
      </c>
    </row>
    <row r="125" spans="1:6">
      <c r="A125" s="5">
        <f ca="1">IFERROR(__xludf.DUMMYFUNCTION("""COMPUTED_VALUE"""),42186.625)</f>
        <v>42186.625</v>
      </c>
      <c r="B125" s="2">
        <f ca="1">IFERROR(__xludf.DUMMYFUNCTION("""COMPUTED_VALUE"""),13600)</f>
        <v>13600</v>
      </c>
      <c r="C125" s="2">
        <f ca="1">IFERROR(__xludf.DUMMYFUNCTION("""COMPUTED_VALUE"""),13650)</f>
        <v>13650</v>
      </c>
      <c r="D125" s="2">
        <f ca="1">IFERROR(__xludf.DUMMYFUNCTION("""COMPUTED_VALUE"""),13500)</f>
        <v>13500</v>
      </c>
      <c r="E125" s="2">
        <f ca="1">IFERROR(__xludf.DUMMYFUNCTION("""COMPUTED_VALUE"""),13500)</f>
        <v>13500</v>
      </c>
      <c r="F125" s="2">
        <f ca="1">IFERROR(__xludf.DUMMYFUNCTION("""COMPUTED_VALUE"""),7197500)</f>
        <v>7197500</v>
      </c>
    </row>
    <row r="126" spans="1:6">
      <c r="A126" s="5">
        <f ca="1">IFERROR(__xludf.DUMMYFUNCTION("""COMPUTED_VALUE"""),42187.625)</f>
        <v>42187.625</v>
      </c>
      <c r="B126" s="2">
        <f ca="1">IFERROR(__xludf.DUMMYFUNCTION("""COMPUTED_VALUE"""),13475)</f>
        <v>13475</v>
      </c>
      <c r="C126" s="2">
        <f ca="1">IFERROR(__xludf.DUMMYFUNCTION("""COMPUTED_VALUE"""),13725)</f>
        <v>13725</v>
      </c>
      <c r="D126" s="2">
        <f ca="1">IFERROR(__xludf.DUMMYFUNCTION("""COMPUTED_VALUE"""),13350)</f>
        <v>13350</v>
      </c>
      <c r="E126" s="2">
        <f ca="1">IFERROR(__xludf.DUMMYFUNCTION("""COMPUTED_VALUE"""),13600)</f>
        <v>13600</v>
      </c>
      <c r="F126" s="2">
        <f ca="1">IFERROR(__xludf.DUMMYFUNCTION("""COMPUTED_VALUE"""),10909700)</f>
        <v>10909700</v>
      </c>
    </row>
    <row r="127" spans="1:6">
      <c r="A127" s="5">
        <f ca="1">IFERROR(__xludf.DUMMYFUNCTION("""COMPUTED_VALUE"""),42188.625)</f>
        <v>42188.625</v>
      </c>
      <c r="B127" s="2">
        <f ca="1">IFERROR(__xludf.DUMMYFUNCTION("""COMPUTED_VALUE"""),13500)</f>
        <v>13500</v>
      </c>
      <c r="C127" s="2">
        <f ca="1">IFERROR(__xludf.DUMMYFUNCTION("""COMPUTED_VALUE"""),13650)</f>
        <v>13650</v>
      </c>
      <c r="D127" s="2">
        <f ca="1">IFERROR(__xludf.DUMMYFUNCTION("""COMPUTED_VALUE"""),13500)</f>
        <v>13500</v>
      </c>
      <c r="E127" s="2">
        <f ca="1">IFERROR(__xludf.DUMMYFUNCTION("""COMPUTED_VALUE"""),13625)</f>
        <v>13625</v>
      </c>
      <c r="F127" s="2">
        <f ca="1">IFERROR(__xludf.DUMMYFUNCTION("""COMPUTED_VALUE"""),4569100)</f>
        <v>4569100</v>
      </c>
    </row>
    <row r="128" spans="1:6">
      <c r="A128" s="5">
        <f ca="1">IFERROR(__xludf.DUMMYFUNCTION("""COMPUTED_VALUE"""),42191.625)</f>
        <v>42191.625</v>
      </c>
      <c r="B128" s="2">
        <f ca="1">IFERROR(__xludf.DUMMYFUNCTION("""COMPUTED_VALUE"""),13575)</f>
        <v>13575</v>
      </c>
      <c r="C128" s="2">
        <f ca="1">IFERROR(__xludf.DUMMYFUNCTION("""COMPUTED_VALUE"""),13650)</f>
        <v>13650</v>
      </c>
      <c r="D128" s="2">
        <f ca="1">IFERROR(__xludf.DUMMYFUNCTION("""COMPUTED_VALUE"""),13500)</f>
        <v>13500</v>
      </c>
      <c r="E128" s="2">
        <f ca="1">IFERROR(__xludf.DUMMYFUNCTION("""COMPUTED_VALUE"""),13600)</f>
        <v>13600</v>
      </c>
      <c r="F128" s="2">
        <f ca="1">IFERROR(__xludf.DUMMYFUNCTION("""COMPUTED_VALUE"""),9000600)</f>
        <v>9000600</v>
      </c>
    </row>
    <row r="129" spans="1:6">
      <c r="A129" s="5">
        <f ca="1">IFERROR(__xludf.DUMMYFUNCTION("""COMPUTED_VALUE"""),42192.625)</f>
        <v>42192.625</v>
      </c>
      <c r="B129" s="2">
        <f ca="1">IFERROR(__xludf.DUMMYFUNCTION("""COMPUTED_VALUE"""),13525)</f>
        <v>13525</v>
      </c>
      <c r="C129" s="2">
        <f ca="1">IFERROR(__xludf.DUMMYFUNCTION("""COMPUTED_VALUE"""),13625)</f>
        <v>13625</v>
      </c>
      <c r="D129" s="2">
        <f ca="1">IFERROR(__xludf.DUMMYFUNCTION("""COMPUTED_VALUE"""),13200)</f>
        <v>13200</v>
      </c>
      <c r="E129" s="2">
        <f ca="1">IFERROR(__xludf.DUMMYFUNCTION("""COMPUTED_VALUE"""),13200)</f>
        <v>13200</v>
      </c>
      <c r="F129" s="2">
        <f ca="1">IFERROR(__xludf.DUMMYFUNCTION("""COMPUTED_VALUE"""),12993700)</f>
        <v>12993700</v>
      </c>
    </row>
    <row r="130" spans="1:6">
      <c r="A130" s="5">
        <f ca="1">IFERROR(__xludf.DUMMYFUNCTION("""COMPUTED_VALUE"""),42193.625)</f>
        <v>42193.625</v>
      </c>
      <c r="B130" s="2">
        <f ca="1">IFERROR(__xludf.DUMMYFUNCTION("""COMPUTED_VALUE"""),13400)</f>
        <v>13400</v>
      </c>
      <c r="C130" s="2">
        <f ca="1">IFERROR(__xludf.DUMMYFUNCTION("""COMPUTED_VALUE"""),13450)</f>
        <v>13450</v>
      </c>
      <c r="D130" s="2">
        <f ca="1">IFERROR(__xludf.DUMMYFUNCTION("""COMPUTED_VALUE"""),13100)</f>
        <v>13100</v>
      </c>
      <c r="E130" s="2">
        <f ca="1">IFERROR(__xludf.DUMMYFUNCTION("""COMPUTED_VALUE"""),13325)</f>
        <v>13325</v>
      </c>
      <c r="F130" s="2">
        <f ca="1">IFERROR(__xludf.DUMMYFUNCTION("""COMPUTED_VALUE"""),14994000)</f>
        <v>14994000</v>
      </c>
    </row>
    <row r="131" spans="1:6">
      <c r="A131" s="5">
        <f ca="1">IFERROR(__xludf.DUMMYFUNCTION("""COMPUTED_VALUE"""),42194.625)</f>
        <v>42194.625</v>
      </c>
      <c r="B131" s="2">
        <f ca="1">IFERROR(__xludf.DUMMYFUNCTION("""COMPUTED_VALUE"""),13150)</f>
        <v>13150</v>
      </c>
      <c r="C131" s="2">
        <f ca="1">IFERROR(__xludf.DUMMYFUNCTION("""COMPUTED_VALUE"""),13250)</f>
        <v>13250</v>
      </c>
      <c r="D131" s="2">
        <f ca="1">IFERROR(__xludf.DUMMYFUNCTION("""COMPUTED_VALUE"""),13050)</f>
        <v>13050</v>
      </c>
      <c r="E131" s="2">
        <f ca="1">IFERROR(__xludf.DUMMYFUNCTION("""COMPUTED_VALUE"""),13250)</f>
        <v>13250</v>
      </c>
      <c r="F131" s="2">
        <f ca="1">IFERROR(__xludf.DUMMYFUNCTION("""COMPUTED_VALUE"""),11722200)</f>
        <v>11722200</v>
      </c>
    </row>
    <row r="132" spans="1:6">
      <c r="A132" s="5">
        <f ca="1">IFERROR(__xludf.DUMMYFUNCTION("""COMPUTED_VALUE"""),42195.625)</f>
        <v>42195.625</v>
      </c>
      <c r="B132" s="2">
        <f ca="1">IFERROR(__xludf.DUMMYFUNCTION("""COMPUTED_VALUE"""),13250)</f>
        <v>13250</v>
      </c>
      <c r="C132" s="2">
        <f ca="1">IFERROR(__xludf.DUMMYFUNCTION("""COMPUTED_VALUE"""),13400)</f>
        <v>13400</v>
      </c>
      <c r="D132" s="2">
        <f ca="1">IFERROR(__xludf.DUMMYFUNCTION("""COMPUTED_VALUE"""),13250)</f>
        <v>13250</v>
      </c>
      <c r="E132" s="2">
        <f ca="1">IFERROR(__xludf.DUMMYFUNCTION("""COMPUTED_VALUE"""),13300)</f>
        <v>13300</v>
      </c>
      <c r="F132" s="2">
        <f ca="1">IFERROR(__xludf.DUMMYFUNCTION("""COMPUTED_VALUE"""),8567300)</f>
        <v>8567300</v>
      </c>
    </row>
    <row r="133" spans="1:6">
      <c r="A133" s="5">
        <f ca="1">IFERROR(__xludf.DUMMYFUNCTION("""COMPUTED_VALUE"""),42198.625)</f>
        <v>42198.625</v>
      </c>
      <c r="B133" s="2">
        <f ca="1">IFERROR(__xludf.DUMMYFUNCTION("""COMPUTED_VALUE"""),13300)</f>
        <v>13300</v>
      </c>
      <c r="C133" s="2">
        <f ca="1">IFERROR(__xludf.DUMMYFUNCTION("""COMPUTED_VALUE"""),13550)</f>
        <v>13550</v>
      </c>
      <c r="D133" s="2">
        <f ca="1">IFERROR(__xludf.DUMMYFUNCTION("""COMPUTED_VALUE"""),13300)</f>
        <v>13300</v>
      </c>
      <c r="E133" s="2">
        <f ca="1">IFERROR(__xludf.DUMMYFUNCTION("""COMPUTED_VALUE"""),13500)</f>
        <v>13500</v>
      </c>
      <c r="F133" s="2">
        <f ca="1">IFERROR(__xludf.DUMMYFUNCTION("""COMPUTED_VALUE"""),10608100)</f>
        <v>10608100</v>
      </c>
    </row>
    <row r="134" spans="1:6">
      <c r="A134" s="5">
        <f ca="1">IFERROR(__xludf.DUMMYFUNCTION("""COMPUTED_VALUE"""),42199.625)</f>
        <v>42199.625</v>
      </c>
      <c r="B134" s="2">
        <f ca="1">IFERROR(__xludf.DUMMYFUNCTION("""COMPUTED_VALUE"""),13550)</f>
        <v>13550</v>
      </c>
      <c r="C134" s="2">
        <f ca="1">IFERROR(__xludf.DUMMYFUNCTION("""COMPUTED_VALUE"""),13650)</f>
        <v>13650</v>
      </c>
      <c r="D134" s="2">
        <f ca="1">IFERROR(__xludf.DUMMYFUNCTION("""COMPUTED_VALUE"""),13500)</f>
        <v>13500</v>
      </c>
      <c r="E134" s="2">
        <f ca="1">IFERROR(__xludf.DUMMYFUNCTION("""COMPUTED_VALUE"""),13600)</f>
        <v>13600</v>
      </c>
      <c r="F134" s="2">
        <f ca="1">IFERROR(__xludf.DUMMYFUNCTION("""COMPUTED_VALUE"""),8366700)</f>
        <v>8366700</v>
      </c>
    </row>
    <row r="135" spans="1:6">
      <c r="A135" s="5">
        <f ca="1">IFERROR(__xludf.DUMMYFUNCTION("""COMPUTED_VALUE"""),42200.625)</f>
        <v>42200.625</v>
      </c>
      <c r="B135" s="2">
        <f ca="1">IFERROR(__xludf.DUMMYFUNCTION("""COMPUTED_VALUE"""),13475)</f>
        <v>13475</v>
      </c>
      <c r="C135" s="2">
        <f ca="1">IFERROR(__xludf.DUMMYFUNCTION("""COMPUTED_VALUE"""),13500)</f>
        <v>13500</v>
      </c>
      <c r="D135" s="2">
        <f ca="1">IFERROR(__xludf.DUMMYFUNCTION("""COMPUTED_VALUE"""),13400)</f>
        <v>13400</v>
      </c>
      <c r="E135" s="2">
        <f ca="1">IFERROR(__xludf.DUMMYFUNCTION("""COMPUTED_VALUE"""),13500)</f>
        <v>13500</v>
      </c>
      <c r="F135" s="2">
        <f ca="1">IFERROR(__xludf.DUMMYFUNCTION("""COMPUTED_VALUE"""),12289000)</f>
        <v>12289000</v>
      </c>
    </row>
    <row r="136" spans="1:6">
      <c r="A136" s="5">
        <f ca="1">IFERROR(__xludf.DUMMYFUNCTION("""COMPUTED_VALUE"""),42207.625)</f>
        <v>42207.625</v>
      </c>
      <c r="B136" s="2">
        <f ca="1">IFERROR(__xludf.DUMMYFUNCTION("""COMPUTED_VALUE"""),13575)</f>
        <v>13575</v>
      </c>
      <c r="C136" s="2">
        <f ca="1">IFERROR(__xludf.DUMMYFUNCTION("""COMPUTED_VALUE"""),13575)</f>
        <v>13575</v>
      </c>
      <c r="D136" s="2">
        <f ca="1">IFERROR(__xludf.DUMMYFUNCTION("""COMPUTED_VALUE"""),13275)</f>
        <v>13275</v>
      </c>
      <c r="E136" s="2">
        <f ca="1">IFERROR(__xludf.DUMMYFUNCTION("""COMPUTED_VALUE"""),13550)</f>
        <v>13550</v>
      </c>
      <c r="F136" s="2">
        <f ca="1">IFERROR(__xludf.DUMMYFUNCTION("""COMPUTED_VALUE"""),17995100)</f>
        <v>17995100</v>
      </c>
    </row>
    <row r="137" spans="1:6">
      <c r="A137" s="5">
        <f ca="1">IFERROR(__xludf.DUMMYFUNCTION("""COMPUTED_VALUE"""),42208.625)</f>
        <v>42208.625</v>
      </c>
      <c r="B137" s="2">
        <f ca="1">IFERROR(__xludf.DUMMYFUNCTION("""COMPUTED_VALUE"""),13600)</f>
        <v>13600</v>
      </c>
      <c r="C137" s="2">
        <f ca="1">IFERROR(__xludf.DUMMYFUNCTION("""COMPUTED_VALUE"""),13900)</f>
        <v>13900</v>
      </c>
      <c r="D137" s="2">
        <f ca="1">IFERROR(__xludf.DUMMYFUNCTION("""COMPUTED_VALUE"""),13525)</f>
        <v>13525</v>
      </c>
      <c r="E137" s="2">
        <f ca="1">IFERROR(__xludf.DUMMYFUNCTION("""COMPUTED_VALUE"""),13750)</f>
        <v>13750</v>
      </c>
      <c r="F137" s="2">
        <f ca="1">IFERROR(__xludf.DUMMYFUNCTION("""COMPUTED_VALUE"""),7425900)</f>
        <v>7425900</v>
      </c>
    </row>
    <row r="138" spans="1:6">
      <c r="A138" s="5">
        <f ca="1">IFERROR(__xludf.DUMMYFUNCTION("""COMPUTED_VALUE"""),42209.625)</f>
        <v>42209.625</v>
      </c>
      <c r="B138" s="2">
        <f ca="1">IFERROR(__xludf.DUMMYFUNCTION("""COMPUTED_VALUE"""),13775)</f>
        <v>13775</v>
      </c>
      <c r="C138" s="2">
        <f ca="1">IFERROR(__xludf.DUMMYFUNCTION("""COMPUTED_VALUE"""),13775)</f>
        <v>13775</v>
      </c>
      <c r="D138" s="2">
        <f ca="1">IFERROR(__xludf.DUMMYFUNCTION("""COMPUTED_VALUE"""),13600)</f>
        <v>13600</v>
      </c>
      <c r="E138" s="2">
        <f ca="1">IFERROR(__xludf.DUMMYFUNCTION("""COMPUTED_VALUE"""),13725)</f>
        <v>13725</v>
      </c>
      <c r="F138" s="2">
        <f ca="1">IFERROR(__xludf.DUMMYFUNCTION("""COMPUTED_VALUE"""),3805200)</f>
        <v>3805200</v>
      </c>
    </row>
    <row r="139" spans="1:6">
      <c r="A139" s="5">
        <f ca="1">IFERROR(__xludf.DUMMYFUNCTION("""COMPUTED_VALUE"""),42212.625)</f>
        <v>42212.625</v>
      </c>
      <c r="B139" s="2">
        <f ca="1">IFERROR(__xludf.DUMMYFUNCTION("""COMPUTED_VALUE"""),13500)</f>
        <v>13500</v>
      </c>
      <c r="C139" s="2">
        <f ca="1">IFERROR(__xludf.DUMMYFUNCTION("""COMPUTED_VALUE"""),13525)</f>
        <v>13525</v>
      </c>
      <c r="D139" s="2">
        <f ca="1">IFERROR(__xludf.DUMMYFUNCTION("""COMPUTED_VALUE"""),13200)</f>
        <v>13200</v>
      </c>
      <c r="E139" s="2">
        <f ca="1">IFERROR(__xludf.DUMMYFUNCTION("""COMPUTED_VALUE"""),13450)</f>
        <v>13450</v>
      </c>
      <c r="F139" s="2">
        <f ca="1">IFERROR(__xludf.DUMMYFUNCTION("""COMPUTED_VALUE"""),12803100)</f>
        <v>12803100</v>
      </c>
    </row>
    <row r="140" spans="1:6">
      <c r="A140" s="5">
        <f ca="1">IFERROR(__xludf.DUMMYFUNCTION("""COMPUTED_VALUE"""),42213.625)</f>
        <v>42213.625</v>
      </c>
      <c r="B140" s="2">
        <f ca="1">IFERROR(__xludf.DUMMYFUNCTION("""COMPUTED_VALUE"""),13200)</f>
        <v>13200</v>
      </c>
      <c r="C140" s="2">
        <f ca="1">IFERROR(__xludf.DUMMYFUNCTION("""COMPUTED_VALUE"""),13225)</f>
        <v>13225</v>
      </c>
      <c r="D140" s="2">
        <f ca="1">IFERROR(__xludf.DUMMYFUNCTION("""COMPUTED_VALUE"""),12900)</f>
        <v>12900</v>
      </c>
      <c r="E140" s="2">
        <f ca="1">IFERROR(__xludf.DUMMYFUNCTION("""COMPUTED_VALUE"""),13000)</f>
        <v>13000</v>
      </c>
      <c r="F140" s="2">
        <f ca="1">IFERROR(__xludf.DUMMYFUNCTION("""COMPUTED_VALUE"""),22592700)</f>
        <v>22592700</v>
      </c>
    </row>
    <row r="141" spans="1:6">
      <c r="A141" s="5">
        <f ca="1">IFERROR(__xludf.DUMMYFUNCTION("""COMPUTED_VALUE"""),42214.625)</f>
        <v>42214.625</v>
      </c>
      <c r="B141" s="2">
        <f ca="1">IFERROR(__xludf.DUMMYFUNCTION("""COMPUTED_VALUE"""),13000)</f>
        <v>13000</v>
      </c>
      <c r="C141" s="2">
        <f ca="1">IFERROR(__xludf.DUMMYFUNCTION("""COMPUTED_VALUE"""),13150)</f>
        <v>13150</v>
      </c>
      <c r="D141" s="2">
        <f ca="1">IFERROR(__xludf.DUMMYFUNCTION("""COMPUTED_VALUE"""),12650)</f>
        <v>12650</v>
      </c>
      <c r="E141" s="2">
        <f ca="1">IFERROR(__xludf.DUMMYFUNCTION("""COMPUTED_VALUE"""),12850)</f>
        <v>12850</v>
      </c>
      <c r="F141" s="2">
        <f ca="1">IFERROR(__xludf.DUMMYFUNCTION("""COMPUTED_VALUE"""),16387500)</f>
        <v>16387500</v>
      </c>
    </row>
    <row r="142" spans="1:6">
      <c r="A142" s="5">
        <f ca="1">IFERROR(__xludf.DUMMYFUNCTION("""COMPUTED_VALUE"""),42215.625)</f>
        <v>42215.625</v>
      </c>
      <c r="B142" s="2">
        <f ca="1">IFERROR(__xludf.DUMMYFUNCTION("""COMPUTED_VALUE"""),12875)</f>
        <v>12875</v>
      </c>
      <c r="C142" s="2">
        <f ca="1">IFERROR(__xludf.DUMMYFUNCTION("""COMPUTED_VALUE"""),13125)</f>
        <v>13125</v>
      </c>
      <c r="D142" s="2">
        <f ca="1">IFERROR(__xludf.DUMMYFUNCTION("""COMPUTED_VALUE"""),12800)</f>
        <v>12800</v>
      </c>
      <c r="E142" s="2">
        <f ca="1">IFERROR(__xludf.DUMMYFUNCTION("""COMPUTED_VALUE"""),12800)</f>
        <v>12800</v>
      </c>
      <c r="F142" s="2">
        <f ca="1">IFERROR(__xludf.DUMMYFUNCTION("""COMPUTED_VALUE"""),9360200)</f>
        <v>9360200</v>
      </c>
    </row>
    <row r="143" spans="1:6">
      <c r="A143" s="5">
        <f ca="1">IFERROR(__xludf.DUMMYFUNCTION("""COMPUTED_VALUE"""),42216.625)</f>
        <v>42216.625</v>
      </c>
      <c r="B143" s="2">
        <f ca="1">IFERROR(__xludf.DUMMYFUNCTION("""COMPUTED_VALUE"""),12950)</f>
        <v>12950</v>
      </c>
      <c r="C143" s="2">
        <f ca="1">IFERROR(__xludf.DUMMYFUNCTION("""COMPUTED_VALUE"""),13150)</f>
        <v>13150</v>
      </c>
      <c r="D143" s="2">
        <f ca="1">IFERROR(__xludf.DUMMYFUNCTION("""COMPUTED_VALUE"""),12850)</f>
        <v>12850</v>
      </c>
      <c r="E143" s="2">
        <f ca="1">IFERROR(__xludf.DUMMYFUNCTION("""COMPUTED_VALUE"""),13100)</f>
        <v>13100</v>
      </c>
      <c r="F143" s="2">
        <f ca="1">IFERROR(__xludf.DUMMYFUNCTION("""COMPUTED_VALUE"""),23175300)</f>
        <v>23175300</v>
      </c>
    </row>
    <row r="144" spans="1:6">
      <c r="A144" s="5">
        <f ca="1">IFERROR(__xludf.DUMMYFUNCTION("""COMPUTED_VALUE"""),42219.625)</f>
        <v>42219.625</v>
      </c>
      <c r="B144" s="2">
        <f ca="1">IFERROR(__xludf.DUMMYFUNCTION("""COMPUTED_VALUE"""),12925)</f>
        <v>12925</v>
      </c>
      <c r="C144" s="2">
        <f ca="1">IFERROR(__xludf.DUMMYFUNCTION("""COMPUTED_VALUE"""),13250)</f>
        <v>13250</v>
      </c>
      <c r="D144" s="2">
        <f ca="1">IFERROR(__xludf.DUMMYFUNCTION("""COMPUTED_VALUE"""),12925)</f>
        <v>12925</v>
      </c>
      <c r="E144" s="2">
        <f ca="1">IFERROR(__xludf.DUMMYFUNCTION("""COMPUTED_VALUE"""),13250)</f>
        <v>13250</v>
      </c>
      <c r="F144" s="2">
        <f ca="1">IFERROR(__xludf.DUMMYFUNCTION("""COMPUTED_VALUE"""),12242600)</f>
        <v>12242600</v>
      </c>
    </row>
    <row r="145" spans="1:6">
      <c r="A145" s="5">
        <f ca="1">IFERROR(__xludf.DUMMYFUNCTION("""COMPUTED_VALUE"""),42220.625)</f>
        <v>42220.625</v>
      </c>
      <c r="B145" s="2">
        <f ca="1">IFERROR(__xludf.DUMMYFUNCTION("""COMPUTED_VALUE"""),13300)</f>
        <v>13300</v>
      </c>
      <c r="C145" s="2">
        <f ca="1">IFERROR(__xludf.DUMMYFUNCTION("""COMPUTED_VALUE"""),13400)</f>
        <v>13400</v>
      </c>
      <c r="D145" s="2">
        <f ca="1">IFERROR(__xludf.DUMMYFUNCTION("""COMPUTED_VALUE"""),13125)</f>
        <v>13125</v>
      </c>
      <c r="E145" s="2">
        <f ca="1">IFERROR(__xludf.DUMMYFUNCTION("""COMPUTED_VALUE"""),13300)</f>
        <v>13300</v>
      </c>
      <c r="F145" s="2">
        <f ca="1">IFERROR(__xludf.DUMMYFUNCTION("""COMPUTED_VALUE"""),8942500)</f>
        <v>8942500</v>
      </c>
    </row>
    <row r="146" spans="1:6">
      <c r="A146" s="5">
        <f ca="1">IFERROR(__xludf.DUMMYFUNCTION("""COMPUTED_VALUE"""),42221.625)</f>
        <v>42221.625</v>
      </c>
      <c r="B146" s="2">
        <f ca="1">IFERROR(__xludf.DUMMYFUNCTION("""COMPUTED_VALUE"""),13300)</f>
        <v>13300</v>
      </c>
      <c r="C146" s="2">
        <f ca="1">IFERROR(__xludf.DUMMYFUNCTION("""COMPUTED_VALUE"""),13850)</f>
        <v>13850</v>
      </c>
      <c r="D146" s="2">
        <f ca="1">IFERROR(__xludf.DUMMYFUNCTION("""COMPUTED_VALUE"""),13225)</f>
        <v>13225</v>
      </c>
      <c r="E146" s="2">
        <f ca="1">IFERROR(__xludf.DUMMYFUNCTION("""COMPUTED_VALUE"""),13700)</f>
        <v>13700</v>
      </c>
      <c r="F146" s="2">
        <f ca="1">IFERROR(__xludf.DUMMYFUNCTION("""COMPUTED_VALUE"""),14796900)</f>
        <v>14796900</v>
      </c>
    </row>
    <row r="147" spans="1:6">
      <c r="A147" s="5">
        <f ca="1">IFERROR(__xludf.DUMMYFUNCTION("""COMPUTED_VALUE"""),42222.625)</f>
        <v>42222.625</v>
      </c>
      <c r="B147" s="2">
        <f ca="1">IFERROR(__xludf.DUMMYFUNCTION("""COMPUTED_VALUE"""),13700)</f>
        <v>13700</v>
      </c>
      <c r="C147" s="2">
        <f ca="1">IFERROR(__xludf.DUMMYFUNCTION("""COMPUTED_VALUE"""),13900)</f>
        <v>13900</v>
      </c>
      <c r="D147" s="2">
        <f ca="1">IFERROR(__xludf.DUMMYFUNCTION("""COMPUTED_VALUE"""),13700)</f>
        <v>13700</v>
      </c>
      <c r="E147" s="2">
        <f ca="1">IFERROR(__xludf.DUMMYFUNCTION("""COMPUTED_VALUE"""),13800)</f>
        <v>13800</v>
      </c>
      <c r="F147" s="2">
        <f ca="1">IFERROR(__xludf.DUMMYFUNCTION("""COMPUTED_VALUE"""),13285200)</f>
        <v>13285200</v>
      </c>
    </row>
    <row r="148" spans="1:6">
      <c r="A148" s="5">
        <f ca="1">IFERROR(__xludf.DUMMYFUNCTION("""COMPUTED_VALUE"""),42223.625)</f>
        <v>42223.625</v>
      </c>
      <c r="B148" s="2">
        <f ca="1">IFERROR(__xludf.DUMMYFUNCTION("""COMPUTED_VALUE"""),13700)</f>
        <v>13700</v>
      </c>
      <c r="C148" s="2">
        <f ca="1">IFERROR(__xludf.DUMMYFUNCTION("""COMPUTED_VALUE"""),13800)</f>
        <v>13800</v>
      </c>
      <c r="D148" s="2">
        <f ca="1">IFERROR(__xludf.DUMMYFUNCTION("""COMPUTED_VALUE"""),13575)</f>
        <v>13575</v>
      </c>
      <c r="E148" s="2">
        <f ca="1">IFERROR(__xludf.DUMMYFUNCTION("""COMPUTED_VALUE"""),13750)</f>
        <v>13750</v>
      </c>
      <c r="F148" s="2">
        <f ca="1">IFERROR(__xludf.DUMMYFUNCTION("""COMPUTED_VALUE"""),5452400)</f>
        <v>5452400</v>
      </c>
    </row>
    <row r="149" spans="1:6">
      <c r="A149" s="5">
        <f ca="1">IFERROR(__xludf.DUMMYFUNCTION("""COMPUTED_VALUE"""),42226.625)</f>
        <v>42226.625</v>
      </c>
      <c r="B149" s="2">
        <f ca="1">IFERROR(__xludf.DUMMYFUNCTION("""COMPUTED_VALUE"""),13650)</f>
        <v>13650</v>
      </c>
      <c r="C149" s="2">
        <f ca="1">IFERROR(__xludf.DUMMYFUNCTION("""COMPUTED_VALUE"""),13850)</f>
        <v>13850</v>
      </c>
      <c r="D149" s="2">
        <f ca="1">IFERROR(__xludf.DUMMYFUNCTION("""COMPUTED_VALUE"""),13575)</f>
        <v>13575</v>
      </c>
      <c r="E149" s="2">
        <f ca="1">IFERROR(__xludf.DUMMYFUNCTION("""COMPUTED_VALUE"""),13850)</f>
        <v>13850</v>
      </c>
      <c r="F149" s="2">
        <f ca="1">IFERROR(__xludf.DUMMYFUNCTION("""COMPUTED_VALUE"""),5126700)</f>
        <v>5126700</v>
      </c>
    </row>
    <row r="150" spans="1:6">
      <c r="A150" s="5">
        <f ca="1">IFERROR(__xludf.DUMMYFUNCTION("""COMPUTED_VALUE"""),42227.625)</f>
        <v>42227.625</v>
      </c>
      <c r="B150" s="2">
        <f ca="1">IFERROR(__xludf.DUMMYFUNCTION("""COMPUTED_VALUE"""),13850)</f>
        <v>13850</v>
      </c>
      <c r="C150" s="2">
        <f ca="1">IFERROR(__xludf.DUMMYFUNCTION("""COMPUTED_VALUE"""),13900)</f>
        <v>13900</v>
      </c>
      <c r="D150" s="2">
        <f ca="1">IFERROR(__xludf.DUMMYFUNCTION("""COMPUTED_VALUE"""),13350)</f>
        <v>13350</v>
      </c>
      <c r="E150" s="2">
        <f ca="1">IFERROR(__xludf.DUMMYFUNCTION("""COMPUTED_VALUE"""),13550)</f>
        <v>13550</v>
      </c>
      <c r="F150" s="2">
        <f ca="1">IFERROR(__xludf.DUMMYFUNCTION("""COMPUTED_VALUE"""),10523800)</f>
        <v>10523800</v>
      </c>
    </row>
    <row r="151" spans="1:6">
      <c r="A151" s="5">
        <f ca="1">IFERROR(__xludf.DUMMYFUNCTION("""COMPUTED_VALUE"""),42228.625)</f>
        <v>42228.625</v>
      </c>
      <c r="B151" s="2">
        <f ca="1">IFERROR(__xludf.DUMMYFUNCTION("""COMPUTED_VALUE"""),13200)</f>
        <v>13200</v>
      </c>
      <c r="C151" s="2">
        <f ca="1">IFERROR(__xludf.DUMMYFUNCTION("""COMPUTED_VALUE"""),13250)</f>
        <v>13250</v>
      </c>
      <c r="D151" s="2">
        <f ca="1">IFERROR(__xludf.DUMMYFUNCTION("""COMPUTED_VALUE"""),12975)</f>
        <v>12975</v>
      </c>
      <c r="E151" s="2">
        <f ca="1">IFERROR(__xludf.DUMMYFUNCTION("""COMPUTED_VALUE"""),13150)</f>
        <v>13150</v>
      </c>
      <c r="F151" s="2">
        <f ca="1">IFERROR(__xludf.DUMMYFUNCTION("""COMPUTED_VALUE"""),29759000)</f>
        <v>29759000</v>
      </c>
    </row>
    <row r="152" spans="1:6">
      <c r="A152" s="5">
        <f ca="1">IFERROR(__xludf.DUMMYFUNCTION("""COMPUTED_VALUE"""),42229.625)</f>
        <v>42229.625</v>
      </c>
      <c r="B152" s="2">
        <f ca="1">IFERROR(__xludf.DUMMYFUNCTION("""COMPUTED_VALUE"""),12850)</f>
        <v>12850</v>
      </c>
      <c r="C152" s="2">
        <f ca="1">IFERROR(__xludf.DUMMYFUNCTION("""COMPUTED_VALUE"""),13225)</f>
        <v>13225</v>
      </c>
      <c r="D152" s="2">
        <f ca="1">IFERROR(__xludf.DUMMYFUNCTION("""COMPUTED_VALUE"""),12850)</f>
        <v>12850</v>
      </c>
      <c r="E152" s="2">
        <f ca="1">IFERROR(__xludf.DUMMYFUNCTION("""COMPUTED_VALUE"""),13200)</f>
        <v>13200</v>
      </c>
      <c r="F152" s="2">
        <f ca="1">IFERROR(__xludf.DUMMYFUNCTION("""COMPUTED_VALUE"""),20467800)</f>
        <v>20467800</v>
      </c>
    </row>
    <row r="153" spans="1:6">
      <c r="A153" s="5">
        <f ca="1">IFERROR(__xludf.DUMMYFUNCTION("""COMPUTED_VALUE"""),42230.625)</f>
        <v>42230.625</v>
      </c>
      <c r="B153" s="2">
        <f ca="1">IFERROR(__xludf.DUMMYFUNCTION("""COMPUTED_VALUE"""),13250)</f>
        <v>13250</v>
      </c>
      <c r="C153" s="2">
        <f ca="1">IFERROR(__xludf.DUMMYFUNCTION("""COMPUTED_VALUE"""),13275)</f>
        <v>13275</v>
      </c>
      <c r="D153" s="2">
        <f ca="1">IFERROR(__xludf.DUMMYFUNCTION("""COMPUTED_VALUE"""),13175)</f>
        <v>13175</v>
      </c>
      <c r="E153" s="2">
        <f ca="1">IFERROR(__xludf.DUMMYFUNCTION("""COMPUTED_VALUE"""),13250)</f>
        <v>13250</v>
      </c>
      <c r="F153" s="2">
        <f ca="1">IFERROR(__xludf.DUMMYFUNCTION("""COMPUTED_VALUE"""),6372000)</f>
        <v>6372000</v>
      </c>
    </row>
    <row r="154" spans="1:6">
      <c r="A154" s="5">
        <f ca="1">IFERROR(__xludf.DUMMYFUNCTION("""COMPUTED_VALUE"""),42234.625)</f>
        <v>42234.625</v>
      </c>
      <c r="B154" s="2">
        <f ca="1">IFERROR(__xludf.DUMMYFUNCTION("""COMPUTED_VALUE"""),13250)</f>
        <v>13250</v>
      </c>
      <c r="C154" s="2">
        <f ca="1">IFERROR(__xludf.DUMMYFUNCTION("""COMPUTED_VALUE"""),13325)</f>
        <v>13325</v>
      </c>
      <c r="D154" s="2">
        <f ca="1">IFERROR(__xludf.DUMMYFUNCTION("""COMPUTED_VALUE"""),12925)</f>
        <v>12925</v>
      </c>
      <c r="E154" s="2">
        <f ca="1">IFERROR(__xludf.DUMMYFUNCTION("""COMPUTED_VALUE"""),12975)</f>
        <v>12975</v>
      </c>
      <c r="F154" s="2">
        <f ca="1">IFERROR(__xludf.DUMMYFUNCTION("""COMPUTED_VALUE"""),20440900)</f>
        <v>20440900</v>
      </c>
    </row>
    <row r="155" spans="1:6">
      <c r="A155" s="5">
        <f ca="1">IFERROR(__xludf.DUMMYFUNCTION("""COMPUTED_VALUE"""),42235.625)</f>
        <v>42235.625</v>
      </c>
      <c r="B155" s="2">
        <f ca="1">IFERROR(__xludf.DUMMYFUNCTION("""COMPUTED_VALUE"""),12850)</f>
        <v>12850</v>
      </c>
      <c r="C155" s="2">
        <f ca="1">IFERROR(__xludf.DUMMYFUNCTION("""COMPUTED_VALUE"""),12950)</f>
        <v>12950</v>
      </c>
      <c r="D155" s="2">
        <f ca="1">IFERROR(__xludf.DUMMYFUNCTION("""COMPUTED_VALUE"""),12650)</f>
        <v>12650</v>
      </c>
      <c r="E155" s="2">
        <f ca="1">IFERROR(__xludf.DUMMYFUNCTION("""COMPUTED_VALUE"""),12700)</f>
        <v>12700</v>
      </c>
      <c r="F155" s="2">
        <f ca="1">IFERROR(__xludf.DUMMYFUNCTION("""COMPUTED_VALUE"""),16407000)</f>
        <v>16407000</v>
      </c>
    </row>
    <row r="156" spans="1:6">
      <c r="A156" s="5">
        <f ca="1">IFERROR(__xludf.DUMMYFUNCTION("""COMPUTED_VALUE"""),42236.625)</f>
        <v>42236.625</v>
      </c>
      <c r="B156" s="2">
        <f ca="1">IFERROR(__xludf.DUMMYFUNCTION("""COMPUTED_VALUE"""),12700)</f>
        <v>12700</v>
      </c>
      <c r="C156" s="2">
        <f ca="1">IFERROR(__xludf.DUMMYFUNCTION("""COMPUTED_VALUE"""),12700)</f>
        <v>12700</v>
      </c>
      <c r="D156" s="2">
        <f ca="1">IFERROR(__xludf.DUMMYFUNCTION("""COMPUTED_VALUE"""),12250)</f>
        <v>12250</v>
      </c>
      <c r="E156" s="2">
        <f ca="1">IFERROR(__xludf.DUMMYFUNCTION("""COMPUTED_VALUE"""),12275)</f>
        <v>12275</v>
      </c>
      <c r="F156" s="2">
        <f ca="1">IFERROR(__xludf.DUMMYFUNCTION("""COMPUTED_VALUE"""),25421100)</f>
        <v>25421100</v>
      </c>
    </row>
    <row r="157" spans="1:6">
      <c r="A157" s="5">
        <f ca="1">IFERROR(__xludf.DUMMYFUNCTION("""COMPUTED_VALUE"""),42237.625)</f>
        <v>42237.625</v>
      </c>
      <c r="B157" s="2">
        <f ca="1">IFERROR(__xludf.DUMMYFUNCTION("""COMPUTED_VALUE"""),12100)</f>
        <v>12100</v>
      </c>
      <c r="C157" s="2">
        <f ca="1">IFERROR(__xludf.DUMMYFUNCTION("""COMPUTED_VALUE"""),12200)</f>
        <v>12200</v>
      </c>
      <c r="D157" s="2">
        <f ca="1">IFERROR(__xludf.DUMMYFUNCTION("""COMPUTED_VALUE"""),11850)</f>
        <v>11850</v>
      </c>
      <c r="E157" s="2">
        <f ca="1">IFERROR(__xludf.DUMMYFUNCTION("""COMPUTED_VALUE"""),11875)</f>
        <v>11875</v>
      </c>
      <c r="F157" s="2">
        <f ca="1">IFERROR(__xludf.DUMMYFUNCTION("""COMPUTED_VALUE"""),21967600)</f>
        <v>21967600</v>
      </c>
    </row>
    <row r="158" spans="1:6">
      <c r="A158" s="5">
        <f ca="1">IFERROR(__xludf.DUMMYFUNCTION("""COMPUTED_VALUE"""),42240.625)</f>
        <v>42240.625</v>
      </c>
      <c r="B158" s="2">
        <f ca="1">IFERROR(__xludf.DUMMYFUNCTION("""COMPUTED_VALUE"""),11400)</f>
        <v>11400</v>
      </c>
      <c r="C158" s="2">
        <f ca="1">IFERROR(__xludf.DUMMYFUNCTION("""COMPUTED_VALUE"""),11850)</f>
        <v>11850</v>
      </c>
      <c r="D158" s="2">
        <f ca="1">IFERROR(__xludf.DUMMYFUNCTION("""COMPUTED_VALUE"""),11000)</f>
        <v>11000</v>
      </c>
      <c r="E158" s="2">
        <f ca="1">IFERROR(__xludf.DUMMYFUNCTION("""COMPUTED_VALUE"""),11300)</f>
        <v>11300</v>
      </c>
      <c r="F158" s="2">
        <f ca="1">IFERROR(__xludf.DUMMYFUNCTION("""COMPUTED_VALUE"""),34618800)</f>
        <v>34618800</v>
      </c>
    </row>
    <row r="159" spans="1:6">
      <c r="A159" s="5">
        <f ca="1">IFERROR(__xludf.DUMMYFUNCTION("""COMPUTED_VALUE"""),42241.625)</f>
        <v>42241.625</v>
      </c>
      <c r="B159" s="2">
        <f ca="1">IFERROR(__xludf.DUMMYFUNCTION("""COMPUTED_VALUE"""),11500)</f>
        <v>11500</v>
      </c>
      <c r="C159" s="2">
        <f ca="1">IFERROR(__xludf.DUMMYFUNCTION("""COMPUTED_VALUE"""),11975)</f>
        <v>11975</v>
      </c>
      <c r="D159" s="2">
        <f ca="1">IFERROR(__xludf.DUMMYFUNCTION("""COMPUTED_VALUE"""),11400)</f>
        <v>11400</v>
      </c>
      <c r="E159" s="2">
        <f ca="1">IFERROR(__xludf.DUMMYFUNCTION("""COMPUTED_VALUE"""),11625)</f>
        <v>11625</v>
      </c>
      <c r="F159" s="2">
        <f ca="1">IFERROR(__xludf.DUMMYFUNCTION("""COMPUTED_VALUE"""),36831200)</f>
        <v>36831200</v>
      </c>
    </row>
    <row r="160" spans="1:6">
      <c r="A160" s="5">
        <f ca="1">IFERROR(__xludf.DUMMYFUNCTION("""COMPUTED_VALUE"""),42242.625)</f>
        <v>42242.625</v>
      </c>
      <c r="B160" s="2">
        <f ca="1">IFERROR(__xludf.DUMMYFUNCTION("""COMPUTED_VALUE"""),11850)</f>
        <v>11850</v>
      </c>
      <c r="C160" s="2">
        <f ca="1">IFERROR(__xludf.DUMMYFUNCTION("""COMPUTED_VALUE"""),11900)</f>
        <v>11900</v>
      </c>
      <c r="D160" s="2">
        <f ca="1">IFERROR(__xludf.DUMMYFUNCTION("""COMPUTED_VALUE"""),11525)</f>
        <v>11525</v>
      </c>
      <c r="E160" s="2">
        <f ca="1">IFERROR(__xludf.DUMMYFUNCTION("""COMPUTED_VALUE"""),11850)</f>
        <v>11850</v>
      </c>
      <c r="F160" s="2">
        <f ca="1">IFERROR(__xludf.DUMMYFUNCTION("""COMPUTED_VALUE"""),20801300)</f>
        <v>20801300</v>
      </c>
    </row>
    <row r="161" spans="1:6">
      <c r="A161" s="5">
        <f ca="1">IFERROR(__xludf.DUMMYFUNCTION("""COMPUTED_VALUE"""),42243.625)</f>
        <v>42243.625</v>
      </c>
      <c r="B161" s="2">
        <f ca="1">IFERROR(__xludf.DUMMYFUNCTION("""COMPUTED_VALUE"""),12150)</f>
        <v>12150</v>
      </c>
      <c r="C161" s="2">
        <f ca="1">IFERROR(__xludf.DUMMYFUNCTION("""COMPUTED_VALUE"""),12750)</f>
        <v>12750</v>
      </c>
      <c r="D161" s="2">
        <f ca="1">IFERROR(__xludf.DUMMYFUNCTION("""COMPUTED_VALUE"""),12150)</f>
        <v>12150</v>
      </c>
      <c r="E161" s="2">
        <f ca="1">IFERROR(__xludf.DUMMYFUNCTION("""COMPUTED_VALUE"""),12600)</f>
        <v>12600</v>
      </c>
      <c r="F161" s="2">
        <f ca="1">IFERROR(__xludf.DUMMYFUNCTION("""COMPUTED_VALUE"""),22697700)</f>
        <v>22697700</v>
      </c>
    </row>
    <row r="162" spans="1:6">
      <c r="A162" s="5">
        <f ca="1">IFERROR(__xludf.DUMMYFUNCTION("""COMPUTED_VALUE"""),42244.625)</f>
        <v>42244.625</v>
      </c>
      <c r="B162" s="2">
        <f ca="1">IFERROR(__xludf.DUMMYFUNCTION("""COMPUTED_VALUE"""),12850)</f>
        <v>12850</v>
      </c>
      <c r="C162" s="2">
        <f ca="1">IFERROR(__xludf.DUMMYFUNCTION("""COMPUTED_VALUE"""),12900)</f>
        <v>12900</v>
      </c>
      <c r="D162" s="2">
        <f ca="1">IFERROR(__xludf.DUMMYFUNCTION("""COMPUTED_VALUE"""),12750)</f>
        <v>12750</v>
      </c>
      <c r="E162" s="2">
        <f ca="1">IFERROR(__xludf.DUMMYFUNCTION("""COMPUTED_VALUE"""),12850)</f>
        <v>12850</v>
      </c>
      <c r="F162" s="2">
        <f ca="1">IFERROR(__xludf.DUMMYFUNCTION("""COMPUTED_VALUE"""),21706200)</f>
        <v>21706200</v>
      </c>
    </row>
    <row r="163" spans="1:6">
      <c r="A163" s="5">
        <f ca="1">IFERROR(__xludf.DUMMYFUNCTION("""COMPUTED_VALUE"""),42247.625)</f>
        <v>42247.625</v>
      </c>
      <c r="B163" s="2">
        <f ca="1">IFERROR(__xludf.DUMMYFUNCTION("""COMPUTED_VALUE"""),12850)</f>
        <v>12850</v>
      </c>
      <c r="C163" s="2">
        <f ca="1">IFERROR(__xludf.DUMMYFUNCTION("""COMPUTED_VALUE"""),12900)</f>
        <v>12900</v>
      </c>
      <c r="D163" s="2">
        <f ca="1">IFERROR(__xludf.DUMMYFUNCTION("""COMPUTED_VALUE"""),12725)</f>
        <v>12725</v>
      </c>
      <c r="E163" s="2">
        <f ca="1">IFERROR(__xludf.DUMMYFUNCTION("""COMPUTED_VALUE"""),12900)</f>
        <v>12900</v>
      </c>
      <c r="F163" s="2">
        <f ca="1">IFERROR(__xludf.DUMMYFUNCTION("""COMPUTED_VALUE"""),19665400)</f>
        <v>19665400</v>
      </c>
    </row>
    <row r="164" spans="1:6">
      <c r="A164" s="5">
        <f ca="1">IFERROR(__xludf.DUMMYFUNCTION("""COMPUTED_VALUE"""),42248.625)</f>
        <v>42248.625</v>
      </c>
      <c r="B164" s="2">
        <f ca="1">IFERROR(__xludf.DUMMYFUNCTION("""COMPUTED_VALUE"""),12850)</f>
        <v>12850</v>
      </c>
      <c r="C164" s="2">
        <f ca="1">IFERROR(__xludf.DUMMYFUNCTION("""COMPUTED_VALUE"""),12850)</f>
        <v>12850</v>
      </c>
      <c r="D164" s="2">
        <f ca="1">IFERROR(__xludf.DUMMYFUNCTION("""COMPUTED_VALUE"""),12500)</f>
        <v>12500</v>
      </c>
      <c r="E164" s="2">
        <f ca="1">IFERROR(__xludf.DUMMYFUNCTION("""COMPUTED_VALUE"""),12575)</f>
        <v>12575</v>
      </c>
      <c r="F164" s="2">
        <f ca="1">IFERROR(__xludf.DUMMYFUNCTION("""COMPUTED_VALUE"""),10287300)</f>
        <v>10287300</v>
      </c>
    </row>
    <row r="165" spans="1:6">
      <c r="A165" s="5">
        <f ca="1">IFERROR(__xludf.DUMMYFUNCTION("""COMPUTED_VALUE"""),42249.625)</f>
        <v>42249.625</v>
      </c>
      <c r="B165" s="2">
        <f ca="1">IFERROR(__xludf.DUMMYFUNCTION("""COMPUTED_VALUE"""),12200)</f>
        <v>12200</v>
      </c>
      <c r="C165" s="2">
        <f ca="1">IFERROR(__xludf.DUMMYFUNCTION("""COMPUTED_VALUE"""),12450)</f>
        <v>12450</v>
      </c>
      <c r="D165" s="2">
        <f ca="1">IFERROR(__xludf.DUMMYFUNCTION("""COMPUTED_VALUE"""),12200)</f>
        <v>12200</v>
      </c>
      <c r="E165" s="2">
        <f ca="1">IFERROR(__xludf.DUMMYFUNCTION("""COMPUTED_VALUE"""),12275)</f>
        <v>12275</v>
      </c>
      <c r="F165" s="2">
        <f ca="1">IFERROR(__xludf.DUMMYFUNCTION("""COMPUTED_VALUE"""),21367400)</f>
        <v>21367400</v>
      </c>
    </row>
    <row r="166" spans="1:6">
      <c r="A166" s="5">
        <f ca="1">IFERROR(__xludf.DUMMYFUNCTION("""COMPUTED_VALUE"""),42250.625)</f>
        <v>42250.625</v>
      </c>
      <c r="B166" s="2">
        <f ca="1">IFERROR(__xludf.DUMMYFUNCTION("""COMPUTED_VALUE"""),12425)</f>
        <v>12425</v>
      </c>
      <c r="C166" s="2">
        <f ca="1">IFERROR(__xludf.DUMMYFUNCTION("""COMPUTED_VALUE"""),12450)</f>
        <v>12450</v>
      </c>
      <c r="D166" s="2">
        <f ca="1">IFERROR(__xludf.DUMMYFUNCTION("""COMPUTED_VALUE"""),12250)</f>
        <v>12250</v>
      </c>
      <c r="E166" s="2">
        <f ca="1">IFERROR(__xludf.DUMMYFUNCTION("""COMPUTED_VALUE"""),12300)</f>
        <v>12300</v>
      </c>
      <c r="F166" s="2">
        <f ca="1">IFERROR(__xludf.DUMMYFUNCTION("""COMPUTED_VALUE"""),8826100)</f>
        <v>8826100</v>
      </c>
    </row>
    <row r="167" spans="1:6">
      <c r="A167" s="5">
        <f ca="1">IFERROR(__xludf.DUMMYFUNCTION("""COMPUTED_VALUE"""),42251.625)</f>
        <v>42251.625</v>
      </c>
      <c r="B167" s="2">
        <f ca="1">IFERROR(__xludf.DUMMYFUNCTION("""COMPUTED_VALUE"""),12275)</f>
        <v>12275</v>
      </c>
      <c r="C167" s="2">
        <f ca="1">IFERROR(__xludf.DUMMYFUNCTION("""COMPUTED_VALUE"""),12275)</f>
        <v>12275</v>
      </c>
      <c r="D167" s="2">
        <f ca="1">IFERROR(__xludf.DUMMYFUNCTION("""COMPUTED_VALUE"""),12175)</f>
        <v>12175</v>
      </c>
      <c r="E167" s="2">
        <f ca="1">IFERROR(__xludf.DUMMYFUNCTION("""COMPUTED_VALUE"""),12250)</f>
        <v>12250</v>
      </c>
      <c r="F167" s="2">
        <f ca="1">IFERROR(__xludf.DUMMYFUNCTION("""COMPUTED_VALUE"""),10084800)</f>
        <v>10084800</v>
      </c>
    </row>
    <row r="168" spans="1:6">
      <c r="A168" s="5">
        <f ca="1">IFERROR(__xludf.DUMMYFUNCTION("""COMPUTED_VALUE"""),42254.625)</f>
        <v>42254.625</v>
      </c>
      <c r="B168" s="2">
        <f ca="1">IFERROR(__xludf.DUMMYFUNCTION("""COMPUTED_VALUE"""),12200)</f>
        <v>12200</v>
      </c>
      <c r="C168" s="2">
        <f ca="1">IFERROR(__xludf.DUMMYFUNCTION("""COMPUTED_VALUE"""),12200)</f>
        <v>12200</v>
      </c>
      <c r="D168" s="2">
        <f ca="1">IFERROR(__xludf.DUMMYFUNCTION("""COMPUTED_VALUE"""),11925)</f>
        <v>11925</v>
      </c>
      <c r="E168" s="2">
        <f ca="1">IFERROR(__xludf.DUMMYFUNCTION("""COMPUTED_VALUE"""),11925)</f>
        <v>11925</v>
      </c>
      <c r="F168" s="2">
        <f ca="1">IFERROR(__xludf.DUMMYFUNCTION("""COMPUTED_VALUE"""),7124000)</f>
        <v>7124000</v>
      </c>
    </row>
    <row r="169" spans="1:6">
      <c r="A169" s="5">
        <f ca="1">IFERROR(__xludf.DUMMYFUNCTION("""COMPUTED_VALUE"""),42255.625)</f>
        <v>42255.625</v>
      </c>
      <c r="B169" s="2">
        <f ca="1">IFERROR(__xludf.DUMMYFUNCTION("""COMPUTED_VALUE"""),11825)</f>
        <v>11825</v>
      </c>
      <c r="C169" s="2">
        <f ca="1">IFERROR(__xludf.DUMMYFUNCTION("""COMPUTED_VALUE"""),12000)</f>
        <v>12000</v>
      </c>
      <c r="D169" s="2">
        <f ca="1">IFERROR(__xludf.DUMMYFUNCTION("""COMPUTED_VALUE"""),11750)</f>
        <v>11750</v>
      </c>
      <c r="E169" s="2">
        <f ca="1">IFERROR(__xludf.DUMMYFUNCTION("""COMPUTED_VALUE"""),11800)</f>
        <v>11800</v>
      </c>
      <c r="F169" s="2">
        <f ca="1">IFERROR(__xludf.DUMMYFUNCTION("""COMPUTED_VALUE"""),13236700)</f>
        <v>13236700</v>
      </c>
    </row>
    <row r="170" spans="1:6">
      <c r="A170" s="5">
        <f ca="1">IFERROR(__xludf.DUMMYFUNCTION("""COMPUTED_VALUE"""),42256.625)</f>
        <v>42256.625</v>
      </c>
      <c r="B170" s="2">
        <f ca="1">IFERROR(__xludf.DUMMYFUNCTION("""COMPUTED_VALUE"""),11900)</f>
        <v>11900</v>
      </c>
      <c r="C170" s="2">
        <f ca="1">IFERROR(__xludf.DUMMYFUNCTION("""COMPUTED_VALUE"""),12025)</f>
        <v>12025</v>
      </c>
      <c r="D170" s="2">
        <f ca="1">IFERROR(__xludf.DUMMYFUNCTION("""COMPUTED_VALUE"""),11900)</f>
        <v>11900</v>
      </c>
      <c r="E170" s="2">
        <f ca="1">IFERROR(__xludf.DUMMYFUNCTION("""COMPUTED_VALUE"""),11925)</f>
        <v>11925</v>
      </c>
      <c r="F170" s="2">
        <f ca="1">IFERROR(__xludf.DUMMYFUNCTION("""COMPUTED_VALUE"""),10665500)</f>
        <v>10665500</v>
      </c>
    </row>
    <row r="171" spans="1:6">
      <c r="A171" s="5">
        <f ca="1">IFERROR(__xludf.DUMMYFUNCTION("""COMPUTED_VALUE"""),42257.625)</f>
        <v>42257.625</v>
      </c>
      <c r="B171" s="2">
        <f ca="1">IFERROR(__xludf.DUMMYFUNCTION("""COMPUTED_VALUE"""),11850)</f>
        <v>11850</v>
      </c>
      <c r="C171" s="2">
        <f ca="1">IFERROR(__xludf.DUMMYFUNCTION("""COMPUTED_VALUE"""),12025)</f>
        <v>12025</v>
      </c>
      <c r="D171" s="2">
        <f ca="1">IFERROR(__xludf.DUMMYFUNCTION("""COMPUTED_VALUE"""),11775)</f>
        <v>11775</v>
      </c>
      <c r="E171" s="2">
        <f ca="1">IFERROR(__xludf.DUMMYFUNCTION("""COMPUTED_VALUE"""),11925)</f>
        <v>11925</v>
      </c>
      <c r="F171" s="2">
        <f ca="1">IFERROR(__xludf.DUMMYFUNCTION("""COMPUTED_VALUE"""),12626100)</f>
        <v>12626100</v>
      </c>
    </row>
    <row r="172" spans="1:6">
      <c r="A172" s="5">
        <f ca="1">IFERROR(__xludf.DUMMYFUNCTION("""COMPUTED_VALUE"""),42258.625)</f>
        <v>42258.625</v>
      </c>
      <c r="B172" s="2">
        <f ca="1">IFERROR(__xludf.DUMMYFUNCTION("""COMPUTED_VALUE"""),12000)</f>
        <v>12000</v>
      </c>
      <c r="C172" s="2">
        <f ca="1">IFERROR(__xludf.DUMMYFUNCTION("""COMPUTED_VALUE"""),12000)</f>
        <v>12000</v>
      </c>
      <c r="D172" s="2">
        <f ca="1">IFERROR(__xludf.DUMMYFUNCTION("""COMPUTED_VALUE"""),11900)</f>
        <v>11900</v>
      </c>
      <c r="E172" s="2">
        <f ca="1">IFERROR(__xludf.DUMMYFUNCTION("""COMPUTED_VALUE"""),11925)</f>
        <v>11925</v>
      </c>
      <c r="F172" s="2">
        <f ca="1">IFERROR(__xludf.DUMMYFUNCTION("""COMPUTED_VALUE"""),9006500)</f>
        <v>9006500</v>
      </c>
    </row>
    <row r="173" spans="1:6">
      <c r="A173" s="5">
        <f ca="1">IFERROR(__xludf.DUMMYFUNCTION("""COMPUTED_VALUE"""),42261.625)</f>
        <v>42261.625</v>
      </c>
      <c r="B173" s="2">
        <f ca="1">IFERROR(__xludf.DUMMYFUNCTION("""COMPUTED_VALUE"""),12000)</f>
        <v>12000</v>
      </c>
      <c r="C173" s="2">
        <f ca="1">IFERROR(__xludf.DUMMYFUNCTION("""COMPUTED_VALUE"""),12125)</f>
        <v>12125</v>
      </c>
      <c r="D173" s="2">
        <f ca="1">IFERROR(__xludf.DUMMYFUNCTION("""COMPUTED_VALUE"""),11925)</f>
        <v>11925</v>
      </c>
      <c r="E173" s="2">
        <f ca="1">IFERROR(__xludf.DUMMYFUNCTION("""COMPUTED_VALUE"""),12100)</f>
        <v>12100</v>
      </c>
      <c r="F173" s="2">
        <f ca="1">IFERROR(__xludf.DUMMYFUNCTION("""COMPUTED_VALUE"""),7167200)</f>
        <v>7167200</v>
      </c>
    </row>
    <row r="174" spans="1:6">
      <c r="A174" s="5">
        <f ca="1">IFERROR(__xludf.DUMMYFUNCTION("""COMPUTED_VALUE"""),42262.625)</f>
        <v>42262.625</v>
      </c>
      <c r="B174" s="2">
        <f ca="1">IFERROR(__xludf.DUMMYFUNCTION("""COMPUTED_VALUE"""),12000)</f>
        <v>12000</v>
      </c>
      <c r="C174" s="2">
        <f ca="1">IFERROR(__xludf.DUMMYFUNCTION("""COMPUTED_VALUE"""),12100)</f>
        <v>12100</v>
      </c>
      <c r="D174" s="2">
        <f ca="1">IFERROR(__xludf.DUMMYFUNCTION("""COMPUTED_VALUE"""),11825)</f>
        <v>11825</v>
      </c>
      <c r="E174" s="2">
        <f ca="1">IFERROR(__xludf.DUMMYFUNCTION("""COMPUTED_VALUE"""),11950)</f>
        <v>11950</v>
      </c>
      <c r="F174" s="2">
        <f ca="1">IFERROR(__xludf.DUMMYFUNCTION("""COMPUTED_VALUE"""),7667000)</f>
        <v>7667000</v>
      </c>
    </row>
    <row r="175" spans="1:6">
      <c r="A175" s="5">
        <f ca="1">IFERROR(__xludf.DUMMYFUNCTION("""COMPUTED_VALUE"""),42263.625)</f>
        <v>42263.625</v>
      </c>
      <c r="B175" s="2">
        <f ca="1">IFERROR(__xludf.DUMMYFUNCTION("""COMPUTED_VALUE"""),11900)</f>
        <v>11900</v>
      </c>
      <c r="C175" s="2">
        <f ca="1">IFERROR(__xludf.DUMMYFUNCTION("""COMPUTED_VALUE"""),11925)</f>
        <v>11925</v>
      </c>
      <c r="D175" s="2">
        <f ca="1">IFERROR(__xludf.DUMMYFUNCTION("""COMPUTED_VALUE"""),11800)</f>
        <v>11800</v>
      </c>
      <c r="E175" s="2">
        <f ca="1">IFERROR(__xludf.DUMMYFUNCTION("""COMPUTED_VALUE"""),11850)</f>
        <v>11850</v>
      </c>
      <c r="F175" s="2">
        <f ca="1">IFERROR(__xludf.DUMMYFUNCTION("""COMPUTED_VALUE"""),13356400)</f>
        <v>13356400</v>
      </c>
    </row>
    <row r="176" spans="1:6">
      <c r="A176" s="5">
        <f ca="1">IFERROR(__xludf.DUMMYFUNCTION("""COMPUTED_VALUE"""),42264.625)</f>
        <v>42264.625</v>
      </c>
      <c r="B176" s="2">
        <f ca="1">IFERROR(__xludf.DUMMYFUNCTION("""COMPUTED_VALUE"""),11950)</f>
        <v>11950</v>
      </c>
      <c r="C176" s="2">
        <f ca="1">IFERROR(__xludf.DUMMYFUNCTION("""COMPUTED_VALUE"""),12225)</f>
        <v>12225</v>
      </c>
      <c r="D176" s="2">
        <f ca="1">IFERROR(__xludf.DUMMYFUNCTION("""COMPUTED_VALUE"""),11925)</f>
        <v>11925</v>
      </c>
      <c r="E176" s="2">
        <f ca="1">IFERROR(__xludf.DUMMYFUNCTION("""COMPUTED_VALUE"""),12225)</f>
        <v>12225</v>
      </c>
      <c r="F176" s="2">
        <f ca="1">IFERROR(__xludf.DUMMYFUNCTION("""COMPUTED_VALUE"""),11539600)</f>
        <v>11539600</v>
      </c>
    </row>
    <row r="177" spans="1:6">
      <c r="A177" s="5">
        <f ca="1">IFERROR(__xludf.DUMMYFUNCTION("""COMPUTED_VALUE"""),42265.625)</f>
        <v>42265.625</v>
      </c>
      <c r="B177" s="2">
        <f ca="1">IFERROR(__xludf.DUMMYFUNCTION("""COMPUTED_VALUE"""),12100)</f>
        <v>12100</v>
      </c>
      <c r="C177" s="2">
        <f ca="1">IFERROR(__xludf.DUMMYFUNCTION("""COMPUTED_VALUE"""),12275)</f>
        <v>12275</v>
      </c>
      <c r="D177" s="2">
        <f ca="1">IFERROR(__xludf.DUMMYFUNCTION("""COMPUTED_VALUE"""),12050)</f>
        <v>12050</v>
      </c>
      <c r="E177" s="2">
        <f ca="1">IFERROR(__xludf.DUMMYFUNCTION("""COMPUTED_VALUE"""),12275)</f>
        <v>12275</v>
      </c>
      <c r="F177" s="2">
        <f ca="1">IFERROR(__xludf.DUMMYFUNCTION("""COMPUTED_VALUE"""),19887600)</f>
        <v>19887600</v>
      </c>
    </row>
    <row r="178" spans="1:6">
      <c r="A178" s="5">
        <f ca="1">IFERROR(__xludf.DUMMYFUNCTION("""COMPUTED_VALUE"""),42268.625)</f>
        <v>42268.625</v>
      </c>
      <c r="B178" s="2">
        <f ca="1">IFERROR(__xludf.DUMMYFUNCTION("""COMPUTED_VALUE"""),12100)</f>
        <v>12100</v>
      </c>
      <c r="C178" s="2">
        <f ca="1">IFERROR(__xludf.DUMMYFUNCTION("""COMPUTED_VALUE"""),12225)</f>
        <v>12225</v>
      </c>
      <c r="D178" s="2">
        <f ca="1">IFERROR(__xludf.DUMMYFUNCTION("""COMPUTED_VALUE"""),12025)</f>
        <v>12025</v>
      </c>
      <c r="E178" s="2">
        <f ca="1">IFERROR(__xludf.DUMMYFUNCTION("""COMPUTED_VALUE"""),12175)</f>
        <v>12175</v>
      </c>
      <c r="F178" s="2">
        <f ca="1">IFERROR(__xludf.DUMMYFUNCTION("""COMPUTED_VALUE"""),9442200)</f>
        <v>9442200</v>
      </c>
    </row>
    <row r="179" spans="1:6">
      <c r="A179" s="5">
        <f ca="1">IFERROR(__xludf.DUMMYFUNCTION("""COMPUTED_VALUE"""),42269.625)</f>
        <v>42269.625</v>
      </c>
      <c r="B179" s="2">
        <f ca="1">IFERROR(__xludf.DUMMYFUNCTION("""COMPUTED_VALUE"""),12050)</f>
        <v>12050</v>
      </c>
      <c r="C179" s="2">
        <f ca="1">IFERROR(__xludf.DUMMYFUNCTION("""COMPUTED_VALUE"""),12200)</f>
        <v>12200</v>
      </c>
      <c r="D179" s="2">
        <f ca="1">IFERROR(__xludf.DUMMYFUNCTION("""COMPUTED_VALUE"""),12050)</f>
        <v>12050</v>
      </c>
      <c r="E179" s="2">
        <f ca="1">IFERROR(__xludf.DUMMYFUNCTION("""COMPUTED_VALUE"""),12150)</f>
        <v>12150</v>
      </c>
      <c r="F179" s="2">
        <f ca="1">IFERROR(__xludf.DUMMYFUNCTION("""COMPUTED_VALUE"""),11774200)</f>
        <v>11774200</v>
      </c>
    </row>
    <row r="180" spans="1:6">
      <c r="A180" s="5">
        <f ca="1">IFERROR(__xludf.DUMMYFUNCTION("""COMPUTED_VALUE"""),42270.625)</f>
        <v>42270.625</v>
      </c>
      <c r="B180" s="2">
        <f ca="1">IFERROR(__xludf.DUMMYFUNCTION("""COMPUTED_VALUE"""),11925)</f>
        <v>11925</v>
      </c>
      <c r="C180" s="2">
        <f ca="1">IFERROR(__xludf.DUMMYFUNCTION("""COMPUTED_VALUE"""),12000)</f>
        <v>12000</v>
      </c>
      <c r="D180" s="2">
        <f ca="1">IFERROR(__xludf.DUMMYFUNCTION("""COMPUTED_VALUE"""),11850)</f>
        <v>11850</v>
      </c>
      <c r="E180" s="2">
        <f ca="1">IFERROR(__xludf.DUMMYFUNCTION("""COMPUTED_VALUE"""),11875)</f>
        <v>11875</v>
      </c>
      <c r="F180" s="2">
        <f ca="1">IFERROR(__xludf.DUMMYFUNCTION("""COMPUTED_VALUE"""),18146300)</f>
        <v>18146300</v>
      </c>
    </row>
    <row r="181" spans="1:6">
      <c r="A181" s="5">
        <f ca="1">IFERROR(__xludf.DUMMYFUNCTION("""COMPUTED_VALUE"""),42272.625)</f>
        <v>42272.625</v>
      </c>
      <c r="B181" s="2">
        <f ca="1">IFERROR(__xludf.DUMMYFUNCTION("""COMPUTED_VALUE"""),11925)</f>
        <v>11925</v>
      </c>
      <c r="C181" s="2">
        <f ca="1">IFERROR(__xludf.DUMMYFUNCTION("""COMPUTED_VALUE"""),11975)</f>
        <v>11975</v>
      </c>
      <c r="D181" s="2">
        <f ca="1">IFERROR(__xludf.DUMMYFUNCTION("""COMPUTED_VALUE"""),11725)</f>
        <v>11725</v>
      </c>
      <c r="E181" s="2">
        <f ca="1">IFERROR(__xludf.DUMMYFUNCTION("""COMPUTED_VALUE"""),11800)</f>
        <v>11800</v>
      </c>
      <c r="F181" s="2">
        <f ca="1">IFERROR(__xludf.DUMMYFUNCTION("""COMPUTED_VALUE"""),14249100)</f>
        <v>14249100</v>
      </c>
    </row>
    <row r="182" spans="1:6">
      <c r="A182" s="5">
        <f ca="1">IFERROR(__xludf.DUMMYFUNCTION("""COMPUTED_VALUE"""),42275.625)</f>
        <v>42275.625</v>
      </c>
      <c r="B182" s="2">
        <f ca="1">IFERROR(__xludf.DUMMYFUNCTION("""COMPUTED_VALUE"""),11750)</f>
        <v>11750</v>
      </c>
      <c r="C182" s="2">
        <f ca="1">IFERROR(__xludf.DUMMYFUNCTION("""COMPUTED_VALUE"""),11750)</f>
        <v>11750</v>
      </c>
      <c r="D182" s="2">
        <f ca="1">IFERROR(__xludf.DUMMYFUNCTION("""COMPUTED_VALUE"""),11450)</f>
        <v>11450</v>
      </c>
      <c r="E182" s="2">
        <f ca="1">IFERROR(__xludf.DUMMYFUNCTION("""COMPUTED_VALUE"""),11475)</f>
        <v>11475</v>
      </c>
      <c r="F182" s="2">
        <f ca="1">IFERROR(__xludf.DUMMYFUNCTION("""COMPUTED_VALUE"""),9888500)</f>
        <v>9888500</v>
      </c>
    </row>
    <row r="183" spans="1:6">
      <c r="A183" s="5">
        <f ca="1">IFERROR(__xludf.DUMMYFUNCTION("""COMPUTED_VALUE"""),42276.625)</f>
        <v>42276.625</v>
      </c>
      <c r="B183" s="2">
        <f ca="1">IFERROR(__xludf.DUMMYFUNCTION("""COMPUTED_VALUE"""),11375)</f>
        <v>11375</v>
      </c>
      <c r="C183" s="2">
        <f ca="1">IFERROR(__xludf.DUMMYFUNCTION("""COMPUTED_VALUE"""),11975)</f>
        <v>11975</v>
      </c>
      <c r="D183" s="2">
        <f ca="1">IFERROR(__xludf.DUMMYFUNCTION("""COMPUTED_VALUE"""),11300)</f>
        <v>11300</v>
      </c>
      <c r="E183" s="2">
        <f ca="1">IFERROR(__xludf.DUMMYFUNCTION("""COMPUTED_VALUE"""),11900)</f>
        <v>11900</v>
      </c>
      <c r="F183" s="2">
        <f ca="1">IFERROR(__xludf.DUMMYFUNCTION("""COMPUTED_VALUE"""),13611200)</f>
        <v>13611200</v>
      </c>
    </row>
    <row r="184" spans="1:6">
      <c r="A184" s="5">
        <f ca="1">IFERROR(__xludf.DUMMYFUNCTION("""COMPUTED_VALUE"""),42277.625)</f>
        <v>42277.625</v>
      </c>
      <c r="B184" s="2">
        <f ca="1">IFERROR(__xludf.DUMMYFUNCTION("""COMPUTED_VALUE"""),12000)</f>
        <v>12000</v>
      </c>
      <c r="C184" s="2">
        <f ca="1">IFERROR(__xludf.DUMMYFUNCTION("""COMPUTED_VALUE"""),12450)</f>
        <v>12450</v>
      </c>
      <c r="D184" s="2">
        <f ca="1">IFERROR(__xludf.DUMMYFUNCTION("""COMPUTED_VALUE"""),11900)</f>
        <v>11900</v>
      </c>
      <c r="E184" s="2">
        <f ca="1">IFERROR(__xludf.DUMMYFUNCTION("""COMPUTED_VALUE"""),12275)</f>
        <v>12275</v>
      </c>
      <c r="F184" s="2">
        <f ca="1">IFERROR(__xludf.DUMMYFUNCTION("""COMPUTED_VALUE"""),18258400)</f>
        <v>18258400</v>
      </c>
    </row>
    <row r="185" spans="1:6">
      <c r="A185" s="5">
        <f ca="1">IFERROR(__xludf.DUMMYFUNCTION("""COMPUTED_VALUE"""),42278.625)</f>
        <v>42278.625</v>
      </c>
      <c r="B185" s="2">
        <f ca="1">IFERROR(__xludf.DUMMYFUNCTION("""COMPUTED_VALUE"""),12300)</f>
        <v>12300</v>
      </c>
      <c r="C185" s="2">
        <f ca="1">IFERROR(__xludf.DUMMYFUNCTION("""COMPUTED_VALUE"""),12500)</f>
        <v>12500</v>
      </c>
      <c r="D185" s="2">
        <f ca="1">IFERROR(__xludf.DUMMYFUNCTION("""COMPUTED_VALUE"""),12000)</f>
        <v>12000</v>
      </c>
      <c r="E185" s="2">
        <f ca="1">IFERROR(__xludf.DUMMYFUNCTION("""COMPUTED_VALUE"""),12000)</f>
        <v>12000</v>
      </c>
      <c r="F185" s="2">
        <f ca="1">IFERROR(__xludf.DUMMYFUNCTION("""COMPUTED_VALUE"""),9973700)</f>
        <v>9973700</v>
      </c>
    </row>
    <row r="186" spans="1:6">
      <c r="A186" s="5">
        <f ca="1">IFERROR(__xludf.DUMMYFUNCTION("""COMPUTED_VALUE"""),42279.625)</f>
        <v>42279.625</v>
      </c>
      <c r="B186" s="2">
        <f ca="1">IFERROR(__xludf.DUMMYFUNCTION("""COMPUTED_VALUE"""),12000)</f>
        <v>12000</v>
      </c>
      <c r="C186" s="2">
        <f ca="1">IFERROR(__xludf.DUMMYFUNCTION("""COMPUTED_VALUE"""),12350)</f>
        <v>12350</v>
      </c>
      <c r="D186" s="2">
        <f ca="1">IFERROR(__xludf.DUMMYFUNCTION("""COMPUTED_VALUE"""),11875)</f>
        <v>11875</v>
      </c>
      <c r="E186" s="2">
        <f ca="1">IFERROR(__xludf.DUMMYFUNCTION("""COMPUTED_VALUE"""),11875)</f>
        <v>11875</v>
      </c>
      <c r="F186" s="2">
        <f ca="1">IFERROR(__xludf.DUMMYFUNCTION("""COMPUTED_VALUE"""),8669600)</f>
        <v>8669600</v>
      </c>
    </row>
    <row r="187" spans="1:6">
      <c r="A187" s="5">
        <f ca="1">IFERROR(__xludf.DUMMYFUNCTION("""COMPUTED_VALUE"""),42282.625)</f>
        <v>42282.625</v>
      </c>
      <c r="B187" s="2">
        <f ca="1">IFERROR(__xludf.DUMMYFUNCTION("""COMPUTED_VALUE"""),12300)</f>
        <v>12300</v>
      </c>
      <c r="C187" s="2">
        <f ca="1">IFERROR(__xludf.DUMMYFUNCTION("""COMPUTED_VALUE"""),12800)</f>
        <v>12800</v>
      </c>
      <c r="D187" s="2">
        <f ca="1">IFERROR(__xludf.DUMMYFUNCTION("""COMPUTED_VALUE"""),12175)</f>
        <v>12175</v>
      </c>
      <c r="E187" s="2">
        <f ca="1">IFERROR(__xludf.DUMMYFUNCTION("""COMPUTED_VALUE"""),12550)</f>
        <v>12550</v>
      </c>
      <c r="F187" s="2">
        <f ca="1">IFERROR(__xludf.DUMMYFUNCTION("""COMPUTED_VALUE"""),22151100)</f>
        <v>22151100</v>
      </c>
    </row>
    <row r="188" spans="1:6">
      <c r="A188" s="5">
        <f ca="1">IFERROR(__xludf.DUMMYFUNCTION("""COMPUTED_VALUE"""),42283.625)</f>
        <v>42283.625</v>
      </c>
      <c r="B188" s="2">
        <f ca="1">IFERROR(__xludf.DUMMYFUNCTION("""COMPUTED_VALUE"""),12600)</f>
        <v>12600</v>
      </c>
      <c r="C188" s="2">
        <f ca="1">IFERROR(__xludf.DUMMYFUNCTION("""COMPUTED_VALUE"""),13075)</f>
        <v>13075</v>
      </c>
      <c r="D188" s="2">
        <f ca="1">IFERROR(__xludf.DUMMYFUNCTION("""COMPUTED_VALUE"""),12600)</f>
        <v>12600</v>
      </c>
      <c r="E188" s="2">
        <f ca="1">IFERROR(__xludf.DUMMYFUNCTION("""COMPUTED_VALUE"""),12950)</f>
        <v>12950</v>
      </c>
      <c r="F188" s="2">
        <f ca="1">IFERROR(__xludf.DUMMYFUNCTION("""COMPUTED_VALUE"""),28286900)</f>
        <v>28286900</v>
      </c>
    </row>
    <row r="189" spans="1:6">
      <c r="A189" s="5">
        <f ca="1">IFERROR(__xludf.DUMMYFUNCTION("""COMPUTED_VALUE"""),42284.625)</f>
        <v>42284.625</v>
      </c>
      <c r="B189" s="2">
        <f ca="1">IFERROR(__xludf.DUMMYFUNCTION("""COMPUTED_VALUE"""),13000)</f>
        <v>13000</v>
      </c>
      <c r="C189" s="2">
        <f ca="1">IFERROR(__xludf.DUMMYFUNCTION("""COMPUTED_VALUE"""),13200)</f>
        <v>13200</v>
      </c>
      <c r="D189" s="2">
        <f ca="1">IFERROR(__xludf.DUMMYFUNCTION("""COMPUTED_VALUE"""),12950)</f>
        <v>12950</v>
      </c>
      <c r="E189" s="2">
        <f ca="1">IFERROR(__xludf.DUMMYFUNCTION("""COMPUTED_VALUE"""),13000)</f>
        <v>13000</v>
      </c>
      <c r="F189" s="2">
        <f ca="1">IFERROR(__xludf.DUMMYFUNCTION("""COMPUTED_VALUE"""),24375100)</f>
        <v>24375100</v>
      </c>
    </row>
    <row r="190" spans="1:6">
      <c r="A190" s="5">
        <f ca="1">IFERROR(__xludf.DUMMYFUNCTION("""COMPUTED_VALUE"""),42285.625)</f>
        <v>42285.625</v>
      </c>
      <c r="B190" s="2">
        <f ca="1">IFERROR(__xludf.DUMMYFUNCTION("""COMPUTED_VALUE"""),13100)</f>
        <v>13100</v>
      </c>
      <c r="C190" s="2">
        <f ca="1">IFERROR(__xludf.DUMMYFUNCTION("""COMPUTED_VALUE"""),13350)</f>
        <v>13350</v>
      </c>
      <c r="D190" s="2">
        <f ca="1">IFERROR(__xludf.DUMMYFUNCTION("""COMPUTED_VALUE"""),13025)</f>
        <v>13025</v>
      </c>
      <c r="E190" s="2">
        <f ca="1">IFERROR(__xludf.DUMMYFUNCTION("""COMPUTED_VALUE"""),13100)</f>
        <v>13100</v>
      </c>
      <c r="F190" s="2">
        <f ca="1">IFERROR(__xludf.DUMMYFUNCTION("""COMPUTED_VALUE"""),16126200)</f>
        <v>16126200</v>
      </c>
    </row>
    <row r="191" spans="1:6">
      <c r="A191" s="5">
        <f ca="1">IFERROR(__xludf.DUMMYFUNCTION("""COMPUTED_VALUE"""),42286.625)</f>
        <v>42286.625</v>
      </c>
      <c r="B191" s="2">
        <f ca="1">IFERROR(__xludf.DUMMYFUNCTION("""COMPUTED_VALUE"""),13325)</f>
        <v>13325</v>
      </c>
      <c r="C191" s="2">
        <f ca="1">IFERROR(__xludf.DUMMYFUNCTION("""COMPUTED_VALUE"""),13425)</f>
        <v>13425</v>
      </c>
      <c r="D191" s="2">
        <f ca="1">IFERROR(__xludf.DUMMYFUNCTION("""COMPUTED_VALUE"""),13200)</f>
        <v>13200</v>
      </c>
      <c r="E191" s="2">
        <f ca="1">IFERROR(__xludf.DUMMYFUNCTION("""COMPUTED_VALUE"""),13200)</f>
        <v>13200</v>
      </c>
      <c r="F191" s="2">
        <f ca="1">IFERROR(__xludf.DUMMYFUNCTION("""COMPUTED_VALUE"""),29640800)</f>
        <v>29640800</v>
      </c>
    </row>
    <row r="192" spans="1:6">
      <c r="A192" s="5">
        <f ca="1">IFERROR(__xludf.DUMMYFUNCTION("""COMPUTED_VALUE"""),42289.625)</f>
        <v>42289.625</v>
      </c>
      <c r="B192" s="2">
        <f ca="1">IFERROR(__xludf.DUMMYFUNCTION("""COMPUTED_VALUE"""),13250)</f>
        <v>13250</v>
      </c>
      <c r="C192" s="2">
        <f ca="1">IFERROR(__xludf.DUMMYFUNCTION("""COMPUTED_VALUE"""),13600)</f>
        <v>13600</v>
      </c>
      <c r="D192" s="2">
        <f ca="1">IFERROR(__xludf.DUMMYFUNCTION("""COMPUTED_VALUE"""),13250)</f>
        <v>13250</v>
      </c>
      <c r="E192" s="2">
        <f ca="1">IFERROR(__xludf.DUMMYFUNCTION("""COMPUTED_VALUE"""),13375)</f>
        <v>13375</v>
      </c>
      <c r="F192" s="2">
        <f ca="1">IFERROR(__xludf.DUMMYFUNCTION("""COMPUTED_VALUE"""),30982700)</f>
        <v>30982700</v>
      </c>
    </row>
    <row r="193" spans="1:6">
      <c r="A193" s="5">
        <f ca="1">IFERROR(__xludf.DUMMYFUNCTION("""COMPUTED_VALUE"""),42290.625)</f>
        <v>42290.625</v>
      </c>
      <c r="B193" s="2">
        <f ca="1">IFERROR(__xludf.DUMMYFUNCTION("""COMPUTED_VALUE"""),13400)</f>
        <v>13400</v>
      </c>
      <c r="C193" s="2">
        <f ca="1">IFERROR(__xludf.DUMMYFUNCTION("""COMPUTED_VALUE"""),13400)</f>
        <v>13400</v>
      </c>
      <c r="D193" s="2">
        <f ca="1">IFERROR(__xludf.DUMMYFUNCTION("""COMPUTED_VALUE"""),12925)</f>
        <v>12925</v>
      </c>
      <c r="E193" s="2">
        <f ca="1">IFERROR(__xludf.DUMMYFUNCTION("""COMPUTED_VALUE"""),12950)</f>
        <v>12950</v>
      </c>
      <c r="F193" s="2">
        <f ca="1">IFERROR(__xludf.DUMMYFUNCTION("""COMPUTED_VALUE"""),17232400)</f>
        <v>17232400</v>
      </c>
    </row>
    <row r="194" spans="1:6">
      <c r="A194" s="5">
        <f ca="1">IFERROR(__xludf.DUMMYFUNCTION("""COMPUTED_VALUE"""),42292.625)</f>
        <v>42292.625</v>
      </c>
      <c r="B194" s="2">
        <f ca="1">IFERROR(__xludf.DUMMYFUNCTION("""COMPUTED_VALUE"""),13000)</f>
        <v>13000</v>
      </c>
      <c r="C194" s="2">
        <f ca="1">IFERROR(__xludf.DUMMYFUNCTION("""COMPUTED_VALUE"""),13150)</f>
        <v>13150</v>
      </c>
      <c r="D194" s="2">
        <f ca="1">IFERROR(__xludf.DUMMYFUNCTION("""COMPUTED_VALUE"""),12925)</f>
        <v>12925</v>
      </c>
      <c r="E194" s="2">
        <f ca="1">IFERROR(__xludf.DUMMYFUNCTION("""COMPUTED_VALUE"""),12975)</f>
        <v>12975</v>
      </c>
      <c r="F194" s="2">
        <f ca="1">IFERROR(__xludf.DUMMYFUNCTION("""COMPUTED_VALUE"""),22448700)</f>
        <v>22448700</v>
      </c>
    </row>
    <row r="195" spans="1:6">
      <c r="A195" s="5">
        <f ca="1">IFERROR(__xludf.DUMMYFUNCTION("""COMPUTED_VALUE"""),42293.625)</f>
        <v>42293.625</v>
      </c>
      <c r="B195" s="2">
        <f ca="1">IFERROR(__xludf.DUMMYFUNCTION("""COMPUTED_VALUE"""),13000)</f>
        <v>13000</v>
      </c>
      <c r="C195" s="2">
        <f ca="1">IFERROR(__xludf.DUMMYFUNCTION("""COMPUTED_VALUE"""),13000)</f>
        <v>13000</v>
      </c>
      <c r="D195" s="2">
        <f ca="1">IFERROR(__xludf.DUMMYFUNCTION("""COMPUTED_VALUE"""),12750)</f>
        <v>12750</v>
      </c>
      <c r="E195" s="2">
        <f ca="1">IFERROR(__xludf.DUMMYFUNCTION("""COMPUTED_VALUE"""),12800)</f>
        <v>12800</v>
      </c>
      <c r="F195" s="2">
        <f ca="1">IFERROR(__xludf.DUMMYFUNCTION("""COMPUTED_VALUE"""),16148300)</f>
        <v>16148300</v>
      </c>
    </row>
    <row r="196" spans="1:6">
      <c r="A196" s="5">
        <f ca="1">IFERROR(__xludf.DUMMYFUNCTION("""COMPUTED_VALUE"""),42296.625)</f>
        <v>42296.625</v>
      </c>
      <c r="B196" s="2">
        <f ca="1">IFERROR(__xludf.DUMMYFUNCTION("""COMPUTED_VALUE"""),12800)</f>
        <v>12800</v>
      </c>
      <c r="C196" s="2">
        <f ca="1">IFERROR(__xludf.DUMMYFUNCTION("""COMPUTED_VALUE"""),13275)</f>
        <v>13275</v>
      </c>
      <c r="D196" s="2">
        <f ca="1">IFERROR(__xludf.DUMMYFUNCTION("""COMPUTED_VALUE"""),12800)</f>
        <v>12800</v>
      </c>
      <c r="E196" s="2">
        <f ca="1">IFERROR(__xludf.DUMMYFUNCTION("""COMPUTED_VALUE"""),13125)</f>
        <v>13125</v>
      </c>
      <c r="F196" s="2">
        <f ca="1">IFERROR(__xludf.DUMMYFUNCTION("""COMPUTED_VALUE"""),15137600)</f>
        <v>15137600</v>
      </c>
    </row>
    <row r="197" spans="1:6">
      <c r="A197" s="5">
        <f ca="1">IFERROR(__xludf.DUMMYFUNCTION("""COMPUTED_VALUE"""),42297.625)</f>
        <v>42297.625</v>
      </c>
      <c r="B197" s="2">
        <f ca="1">IFERROR(__xludf.DUMMYFUNCTION("""COMPUTED_VALUE"""),13275)</f>
        <v>13275</v>
      </c>
      <c r="C197" s="2">
        <f ca="1">IFERROR(__xludf.DUMMYFUNCTION("""COMPUTED_VALUE"""),13300)</f>
        <v>13300</v>
      </c>
      <c r="D197" s="2">
        <f ca="1">IFERROR(__xludf.DUMMYFUNCTION("""COMPUTED_VALUE"""),13150)</f>
        <v>13150</v>
      </c>
      <c r="E197" s="2">
        <f ca="1">IFERROR(__xludf.DUMMYFUNCTION("""COMPUTED_VALUE"""),13200)</f>
        <v>13200</v>
      </c>
      <c r="F197" s="2">
        <f ca="1">IFERROR(__xludf.DUMMYFUNCTION("""COMPUTED_VALUE"""),15303900)</f>
        <v>15303900</v>
      </c>
    </row>
    <row r="198" spans="1:6">
      <c r="A198" s="5">
        <f ca="1">IFERROR(__xludf.DUMMYFUNCTION("""COMPUTED_VALUE"""),42298.625)</f>
        <v>42298.625</v>
      </c>
      <c r="B198" s="2">
        <f ca="1">IFERROR(__xludf.DUMMYFUNCTION("""COMPUTED_VALUE"""),13300)</f>
        <v>13300</v>
      </c>
      <c r="C198" s="2">
        <f ca="1">IFERROR(__xludf.DUMMYFUNCTION("""COMPUTED_VALUE"""),13500)</f>
        <v>13500</v>
      </c>
      <c r="D198" s="2">
        <f ca="1">IFERROR(__xludf.DUMMYFUNCTION("""COMPUTED_VALUE"""),13300)</f>
        <v>13300</v>
      </c>
      <c r="E198" s="2">
        <f ca="1">IFERROR(__xludf.DUMMYFUNCTION("""COMPUTED_VALUE"""),13325)</f>
        <v>13325</v>
      </c>
      <c r="F198" s="2">
        <f ca="1">IFERROR(__xludf.DUMMYFUNCTION("""COMPUTED_VALUE"""),9700100)</f>
        <v>9700100</v>
      </c>
    </row>
    <row r="199" spans="1:6">
      <c r="A199" s="5">
        <f ca="1">IFERROR(__xludf.DUMMYFUNCTION("""COMPUTED_VALUE"""),42299.625)</f>
        <v>42299.625</v>
      </c>
      <c r="B199" s="2">
        <f ca="1">IFERROR(__xludf.DUMMYFUNCTION("""COMPUTED_VALUE"""),13450)</f>
        <v>13450</v>
      </c>
      <c r="C199" s="2">
        <f ca="1">IFERROR(__xludf.DUMMYFUNCTION("""COMPUTED_VALUE"""),13500)</f>
        <v>13500</v>
      </c>
      <c r="D199" s="2">
        <f ca="1">IFERROR(__xludf.DUMMYFUNCTION("""COMPUTED_VALUE"""),13350)</f>
        <v>13350</v>
      </c>
      <c r="E199" s="2">
        <f ca="1">IFERROR(__xludf.DUMMYFUNCTION("""COMPUTED_VALUE"""),13400)</f>
        <v>13400</v>
      </c>
      <c r="F199" s="2">
        <f ca="1">IFERROR(__xludf.DUMMYFUNCTION("""COMPUTED_VALUE"""),8259500)</f>
        <v>8259500</v>
      </c>
    </row>
    <row r="200" spans="1:6">
      <c r="A200" s="5">
        <f ca="1">IFERROR(__xludf.DUMMYFUNCTION("""COMPUTED_VALUE"""),42300.625)</f>
        <v>42300.625</v>
      </c>
      <c r="B200" s="2">
        <f ca="1">IFERROR(__xludf.DUMMYFUNCTION("""COMPUTED_VALUE"""),13775)</f>
        <v>13775</v>
      </c>
      <c r="C200" s="2">
        <f ca="1">IFERROR(__xludf.DUMMYFUNCTION("""COMPUTED_VALUE"""),13775)</f>
        <v>13775</v>
      </c>
      <c r="D200" s="2">
        <f ca="1">IFERROR(__xludf.DUMMYFUNCTION("""COMPUTED_VALUE"""),13425)</f>
        <v>13425</v>
      </c>
      <c r="E200" s="2">
        <f ca="1">IFERROR(__xludf.DUMMYFUNCTION("""COMPUTED_VALUE"""),13475)</f>
        <v>13475</v>
      </c>
      <c r="F200" s="2">
        <f ca="1">IFERROR(__xludf.DUMMYFUNCTION("""COMPUTED_VALUE"""),10918700)</f>
        <v>10918700</v>
      </c>
    </row>
    <row r="201" spans="1:6">
      <c r="A201" s="5">
        <f ca="1">IFERROR(__xludf.DUMMYFUNCTION("""COMPUTED_VALUE"""),42303.625)</f>
        <v>42303.625</v>
      </c>
      <c r="B201" s="2">
        <f ca="1">IFERROR(__xludf.DUMMYFUNCTION("""COMPUTED_VALUE"""),13650)</f>
        <v>13650</v>
      </c>
      <c r="C201" s="2">
        <f ca="1">IFERROR(__xludf.DUMMYFUNCTION("""COMPUTED_VALUE"""),13725)</f>
        <v>13725</v>
      </c>
      <c r="D201" s="2">
        <f ca="1">IFERROR(__xludf.DUMMYFUNCTION("""COMPUTED_VALUE"""),13575)</f>
        <v>13575</v>
      </c>
      <c r="E201" s="2">
        <f ca="1">IFERROR(__xludf.DUMMYFUNCTION("""COMPUTED_VALUE"""),13650)</f>
        <v>13650</v>
      </c>
      <c r="F201" s="2">
        <f ca="1">IFERROR(__xludf.DUMMYFUNCTION("""COMPUTED_VALUE"""),14502200)</f>
        <v>14502200</v>
      </c>
    </row>
    <row r="202" spans="1:6">
      <c r="A202" s="5">
        <f ca="1">IFERROR(__xludf.DUMMYFUNCTION("""COMPUTED_VALUE"""),42304.625)</f>
        <v>42304.625</v>
      </c>
      <c r="B202" s="2">
        <f ca="1">IFERROR(__xludf.DUMMYFUNCTION("""COMPUTED_VALUE"""),13550)</f>
        <v>13550</v>
      </c>
      <c r="C202" s="2">
        <f ca="1">IFERROR(__xludf.DUMMYFUNCTION("""COMPUTED_VALUE"""),13700)</f>
        <v>13700</v>
      </c>
      <c r="D202" s="2">
        <f ca="1">IFERROR(__xludf.DUMMYFUNCTION("""COMPUTED_VALUE"""),13450)</f>
        <v>13450</v>
      </c>
      <c r="E202" s="2">
        <f ca="1">IFERROR(__xludf.DUMMYFUNCTION("""COMPUTED_VALUE"""),13650)</f>
        <v>13650</v>
      </c>
      <c r="F202" s="2">
        <f ca="1">IFERROR(__xludf.DUMMYFUNCTION("""COMPUTED_VALUE"""),8379800)</f>
        <v>8379800</v>
      </c>
    </row>
    <row r="203" spans="1:6">
      <c r="A203" s="5">
        <f ca="1">IFERROR(__xludf.DUMMYFUNCTION("""COMPUTED_VALUE"""),42305.625)</f>
        <v>42305.625</v>
      </c>
      <c r="B203" s="2">
        <f ca="1">IFERROR(__xludf.DUMMYFUNCTION("""COMPUTED_VALUE"""),13425)</f>
        <v>13425</v>
      </c>
      <c r="C203" s="2">
        <f ca="1">IFERROR(__xludf.DUMMYFUNCTION("""COMPUTED_VALUE"""),13725)</f>
        <v>13725</v>
      </c>
      <c r="D203" s="2">
        <f ca="1">IFERROR(__xludf.DUMMYFUNCTION("""COMPUTED_VALUE"""),13425)</f>
        <v>13425</v>
      </c>
      <c r="E203" s="2">
        <f ca="1">IFERROR(__xludf.DUMMYFUNCTION("""COMPUTED_VALUE"""),13575)</f>
        <v>13575</v>
      </c>
      <c r="F203" s="2">
        <f ca="1">IFERROR(__xludf.DUMMYFUNCTION("""COMPUTED_VALUE"""),10391900)</f>
        <v>10391900</v>
      </c>
    </row>
    <row r="204" spans="1:6">
      <c r="A204" s="5">
        <f ca="1">IFERROR(__xludf.DUMMYFUNCTION("""COMPUTED_VALUE"""),42306.625)</f>
        <v>42306.625</v>
      </c>
      <c r="B204" s="2">
        <f ca="1">IFERROR(__xludf.DUMMYFUNCTION("""COMPUTED_VALUE"""),13625)</f>
        <v>13625</v>
      </c>
      <c r="C204" s="2">
        <f ca="1">IFERROR(__xludf.DUMMYFUNCTION("""COMPUTED_VALUE"""),13725)</f>
        <v>13725</v>
      </c>
      <c r="D204" s="2">
        <f ca="1">IFERROR(__xludf.DUMMYFUNCTION("""COMPUTED_VALUE"""),13000)</f>
        <v>13000</v>
      </c>
      <c r="E204" s="2">
        <f ca="1">IFERROR(__xludf.DUMMYFUNCTION("""COMPUTED_VALUE"""),13150)</f>
        <v>13150</v>
      </c>
      <c r="F204" s="2">
        <f ca="1">IFERROR(__xludf.DUMMYFUNCTION("""COMPUTED_VALUE"""),14605800)</f>
        <v>14605800</v>
      </c>
    </row>
    <row r="205" spans="1:6">
      <c r="A205" s="5">
        <f ca="1">IFERROR(__xludf.DUMMYFUNCTION("""COMPUTED_VALUE"""),42307.625)</f>
        <v>42307.625</v>
      </c>
      <c r="B205" s="2">
        <f ca="1">IFERROR(__xludf.DUMMYFUNCTION("""COMPUTED_VALUE"""),13250)</f>
        <v>13250</v>
      </c>
      <c r="C205" s="2">
        <f ca="1">IFERROR(__xludf.DUMMYFUNCTION("""COMPUTED_VALUE"""),13250)</f>
        <v>13250</v>
      </c>
      <c r="D205" s="2">
        <f ca="1">IFERROR(__xludf.DUMMYFUNCTION("""COMPUTED_VALUE"""),12900)</f>
        <v>12900</v>
      </c>
      <c r="E205" s="2">
        <f ca="1">IFERROR(__xludf.DUMMYFUNCTION("""COMPUTED_VALUE"""),12900)</f>
        <v>12900</v>
      </c>
      <c r="F205" s="2">
        <f ca="1">IFERROR(__xludf.DUMMYFUNCTION("""COMPUTED_VALUE"""),13346000)</f>
        <v>13346000</v>
      </c>
    </row>
    <row r="206" spans="1:6">
      <c r="A206" s="5">
        <f ca="1">IFERROR(__xludf.DUMMYFUNCTION("""COMPUTED_VALUE"""),42310.625)</f>
        <v>42310.625</v>
      </c>
      <c r="B206" s="2">
        <f ca="1">IFERROR(__xludf.DUMMYFUNCTION("""COMPUTED_VALUE"""),12800)</f>
        <v>12800</v>
      </c>
      <c r="C206" s="2">
        <f ca="1">IFERROR(__xludf.DUMMYFUNCTION("""COMPUTED_VALUE"""),12900)</f>
        <v>12900</v>
      </c>
      <c r="D206" s="2">
        <f ca="1">IFERROR(__xludf.DUMMYFUNCTION("""COMPUTED_VALUE"""),12675)</f>
        <v>12675</v>
      </c>
      <c r="E206" s="2">
        <f ca="1">IFERROR(__xludf.DUMMYFUNCTION("""COMPUTED_VALUE"""),12775)</f>
        <v>12775</v>
      </c>
      <c r="F206" s="2">
        <f ca="1">IFERROR(__xludf.DUMMYFUNCTION("""COMPUTED_VALUE"""),17060800)</f>
        <v>17060800</v>
      </c>
    </row>
    <row r="207" spans="1:6">
      <c r="A207" s="5">
        <f ca="1">IFERROR(__xludf.DUMMYFUNCTION("""COMPUTED_VALUE"""),42311.625)</f>
        <v>42311.625</v>
      </c>
      <c r="B207" s="2">
        <f ca="1">IFERROR(__xludf.DUMMYFUNCTION("""COMPUTED_VALUE"""),12900)</f>
        <v>12900</v>
      </c>
      <c r="C207" s="2">
        <f ca="1">IFERROR(__xludf.DUMMYFUNCTION("""COMPUTED_VALUE"""),13225)</f>
        <v>13225</v>
      </c>
      <c r="D207" s="2">
        <f ca="1">IFERROR(__xludf.DUMMYFUNCTION("""COMPUTED_VALUE"""),12900)</f>
        <v>12900</v>
      </c>
      <c r="E207" s="2">
        <f ca="1">IFERROR(__xludf.DUMMYFUNCTION("""COMPUTED_VALUE"""),13150)</f>
        <v>13150</v>
      </c>
      <c r="F207" s="2">
        <f ca="1">IFERROR(__xludf.DUMMYFUNCTION("""COMPUTED_VALUE"""),12256000)</f>
        <v>12256000</v>
      </c>
    </row>
    <row r="208" spans="1:6">
      <c r="A208" s="5">
        <f ca="1">IFERROR(__xludf.DUMMYFUNCTION("""COMPUTED_VALUE"""),42312.625)</f>
        <v>42312.625</v>
      </c>
      <c r="B208" s="2">
        <f ca="1">IFERROR(__xludf.DUMMYFUNCTION("""COMPUTED_VALUE"""),13250)</f>
        <v>13250</v>
      </c>
      <c r="C208" s="2">
        <f ca="1">IFERROR(__xludf.DUMMYFUNCTION("""COMPUTED_VALUE"""),13625)</f>
        <v>13625</v>
      </c>
      <c r="D208" s="2">
        <f ca="1">IFERROR(__xludf.DUMMYFUNCTION("""COMPUTED_VALUE"""),13250)</f>
        <v>13250</v>
      </c>
      <c r="E208" s="2">
        <f ca="1">IFERROR(__xludf.DUMMYFUNCTION("""COMPUTED_VALUE"""),13425)</f>
        <v>13425</v>
      </c>
      <c r="F208" s="2">
        <f ca="1">IFERROR(__xludf.DUMMYFUNCTION("""COMPUTED_VALUE"""),16390100)</f>
        <v>16390100</v>
      </c>
    </row>
    <row r="209" spans="1:6">
      <c r="A209" s="5">
        <f ca="1">IFERROR(__xludf.DUMMYFUNCTION("""COMPUTED_VALUE"""),42313.625)</f>
        <v>42313.625</v>
      </c>
      <c r="B209" s="2">
        <f ca="1">IFERROR(__xludf.DUMMYFUNCTION("""COMPUTED_VALUE"""),13500)</f>
        <v>13500</v>
      </c>
      <c r="C209" s="2">
        <f ca="1">IFERROR(__xludf.DUMMYFUNCTION("""COMPUTED_VALUE"""),13725)</f>
        <v>13725</v>
      </c>
      <c r="D209" s="2">
        <f ca="1">IFERROR(__xludf.DUMMYFUNCTION("""COMPUTED_VALUE"""),13325)</f>
        <v>13325</v>
      </c>
      <c r="E209" s="2">
        <f ca="1">IFERROR(__xludf.DUMMYFUNCTION("""COMPUTED_VALUE"""),13550)</f>
        <v>13550</v>
      </c>
      <c r="F209" s="2">
        <f ca="1">IFERROR(__xludf.DUMMYFUNCTION("""COMPUTED_VALUE"""),11690900)</f>
        <v>11690900</v>
      </c>
    </row>
    <row r="210" spans="1:6">
      <c r="A210" s="5">
        <f ca="1">IFERROR(__xludf.DUMMYFUNCTION("""COMPUTED_VALUE"""),42314.625)</f>
        <v>42314.625</v>
      </c>
      <c r="B210" s="2">
        <f ca="1">IFERROR(__xludf.DUMMYFUNCTION("""COMPUTED_VALUE"""),13750)</f>
        <v>13750</v>
      </c>
      <c r="C210" s="2">
        <f ca="1">IFERROR(__xludf.DUMMYFUNCTION("""COMPUTED_VALUE"""),13750)</f>
        <v>13750</v>
      </c>
      <c r="D210" s="2">
        <f ca="1">IFERROR(__xludf.DUMMYFUNCTION("""COMPUTED_VALUE"""),13450)</f>
        <v>13450</v>
      </c>
      <c r="E210" s="2">
        <f ca="1">IFERROR(__xludf.DUMMYFUNCTION("""COMPUTED_VALUE"""),13550)</f>
        <v>13550</v>
      </c>
      <c r="F210" s="2">
        <f ca="1">IFERROR(__xludf.DUMMYFUNCTION("""COMPUTED_VALUE"""),5770700)</f>
        <v>5770700</v>
      </c>
    </row>
    <row r="211" spans="1:6">
      <c r="A211" s="5">
        <f ca="1">IFERROR(__xludf.DUMMYFUNCTION("""COMPUTED_VALUE"""),42317.625)</f>
        <v>42317.625</v>
      </c>
      <c r="B211" s="2">
        <f ca="1">IFERROR(__xludf.DUMMYFUNCTION("""COMPUTED_VALUE"""),13500)</f>
        <v>13500</v>
      </c>
      <c r="C211" s="2">
        <f ca="1">IFERROR(__xludf.DUMMYFUNCTION("""COMPUTED_VALUE"""),13500)</f>
        <v>13500</v>
      </c>
      <c r="D211" s="2">
        <f ca="1">IFERROR(__xludf.DUMMYFUNCTION("""COMPUTED_VALUE"""),13025)</f>
        <v>13025</v>
      </c>
      <c r="E211" s="2">
        <f ca="1">IFERROR(__xludf.DUMMYFUNCTION("""COMPUTED_VALUE"""),13125)</f>
        <v>13125</v>
      </c>
      <c r="F211" s="2">
        <f ca="1">IFERROR(__xludf.DUMMYFUNCTION("""COMPUTED_VALUE"""),7471600)</f>
        <v>7471600</v>
      </c>
    </row>
    <row r="212" spans="1:6">
      <c r="A212" s="5">
        <f ca="1">IFERROR(__xludf.DUMMYFUNCTION("""COMPUTED_VALUE"""),42318.625)</f>
        <v>42318.625</v>
      </c>
      <c r="B212" s="2">
        <f ca="1">IFERROR(__xludf.DUMMYFUNCTION("""COMPUTED_VALUE"""),13000)</f>
        <v>13000</v>
      </c>
      <c r="C212" s="2">
        <f ca="1">IFERROR(__xludf.DUMMYFUNCTION("""COMPUTED_VALUE"""),13250)</f>
        <v>13250</v>
      </c>
      <c r="D212" s="2">
        <f ca="1">IFERROR(__xludf.DUMMYFUNCTION("""COMPUTED_VALUE"""),12925)</f>
        <v>12925</v>
      </c>
      <c r="E212" s="2">
        <f ca="1">IFERROR(__xludf.DUMMYFUNCTION("""COMPUTED_VALUE"""),12925)</f>
        <v>12925</v>
      </c>
      <c r="F212" s="2">
        <f ca="1">IFERROR(__xludf.DUMMYFUNCTION("""COMPUTED_VALUE"""),13627400)</f>
        <v>13627400</v>
      </c>
    </row>
    <row r="213" spans="1:6">
      <c r="A213" s="5">
        <f ca="1">IFERROR(__xludf.DUMMYFUNCTION("""COMPUTED_VALUE"""),42319.625)</f>
        <v>42319.625</v>
      </c>
      <c r="B213" s="2">
        <f ca="1">IFERROR(__xludf.DUMMYFUNCTION("""COMPUTED_VALUE"""),12950)</f>
        <v>12950</v>
      </c>
      <c r="C213" s="2">
        <f ca="1">IFERROR(__xludf.DUMMYFUNCTION("""COMPUTED_VALUE"""),13125)</f>
        <v>13125</v>
      </c>
      <c r="D213" s="2">
        <f ca="1">IFERROR(__xludf.DUMMYFUNCTION("""COMPUTED_VALUE"""),12925)</f>
        <v>12925</v>
      </c>
      <c r="E213" s="2">
        <f ca="1">IFERROR(__xludf.DUMMYFUNCTION("""COMPUTED_VALUE"""),12975)</f>
        <v>12975</v>
      </c>
      <c r="F213" s="2">
        <f ca="1">IFERROR(__xludf.DUMMYFUNCTION("""COMPUTED_VALUE"""),8659600)</f>
        <v>8659600</v>
      </c>
    </row>
    <row r="214" spans="1:6">
      <c r="A214" s="5">
        <f ca="1">IFERROR(__xludf.DUMMYFUNCTION("""COMPUTED_VALUE"""),42320.625)</f>
        <v>42320.625</v>
      </c>
      <c r="B214" s="2">
        <f ca="1">IFERROR(__xludf.DUMMYFUNCTION("""COMPUTED_VALUE"""),12975)</f>
        <v>12975</v>
      </c>
      <c r="C214" s="2">
        <f ca="1">IFERROR(__xludf.DUMMYFUNCTION("""COMPUTED_VALUE"""),13300)</f>
        <v>13300</v>
      </c>
      <c r="D214" s="2">
        <f ca="1">IFERROR(__xludf.DUMMYFUNCTION("""COMPUTED_VALUE"""),12975)</f>
        <v>12975</v>
      </c>
      <c r="E214" s="2">
        <f ca="1">IFERROR(__xludf.DUMMYFUNCTION("""COMPUTED_VALUE"""),12975)</f>
        <v>12975</v>
      </c>
      <c r="F214" s="2">
        <f ca="1">IFERROR(__xludf.DUMMYFUNCTION("""COMPUTED_VALUE"""),5399300)</f>
        <v>5399300</v>
      </c>
    </row>
    <row r="215" spans="1:6">
      <c r="A215" s="5">
        <f ca="1">IFERROR(__xludf.DUMMYFUNCTION("""COMPUTED_VALUE"""),42321.625)</f>
        <v>42321.625</v>
      </c>
      <c r="B215" s="2">
        <f ca="1">IFERROR(__xludf.DUMMYFUNCTION("""COMPUTED_VALUE"""),12900)</f>
        <v>12900</v>
      </c>
      <c r="C215" s="2">
        <f ca="1">IFERROR(__xludf.DUMMYFUNCTION("""COMPUTED_VALUE"""),13025)</f>
        <v>13025</v>
      </c>
      <c r="D215" s="2">
        <f ca="1">IFERROR(__xludf.DUMMYFUNCTION("""COMPUTED_VALUE"""),12900)</f>
        <v>12900</v>
      </c>
      <c r="E215" s="2">
        <f ca="1">IFERROR(__xludf.DUMMYFUNCTION("""COMPUTED_VALUE"""),12925)</f>
        <v>12925</v>
      </c>
      <c r="F215" s="2">
        <f ca="1">IFERROR(__xludf.DUMMYFUNCTION("""COMPUTED_VALUE"""),7821300)</f>
        <v>7821300</v>
      </c>
    </row>
    <row r="216" spans="1:6">
      <c r="A216" s="5">
        <f ca="1">IFERROR(__xludf.DUMMYFUNCTION("""COMPUTED_VALUE"""),42324.625)</f>
        <v>42324.625</v>
      </c>
      <c r="B216" s="2">
        <f ca="1">IFERROR(__xludf.DUMMYFUNCTION("""COMPUTED_VALUE"""),12850)</f>
        <v>12850</v>
      </c>
      <c r="C216" s="2">
        <f ca="1">IFERROR(__xludf.DUMMYFUNCTION("""COMPUTED_VALUE"""),12900)</f>
        <v>12900</v>
      </c>
      <c r="D216" s="2">
        <f ca="1">IFERROR(__xludf.DUMMYFUNCTION("""COMPUTED_VALUE"""),12650)</f>
        <v>12650</v>
      </c>
      <c r="E216" s="2">
        <f ca="1">IFERROR(__xludf.DUMMYFUNCTION("""COMPUTED_VALUE"""),12900)</f>
        <v>12900</v>
      </c>
      <c r="F216" s="2">
        <f ca="1">IFERROR(__xludf.DUMMYFUNCTION("""COMPUTED_VALUE"""),7279800)</f>
        <v>7279800</v>
      </c>
    </row>
    <row r="217" spans="1:6">
      <c r="A217" s="5">
        <f ca="1">IFERROR(__xludf.DUMMYFUNCTION("""COMPUTED_VALUE"""),42325.625)</f>
        <v>42325.625</v>
      </c>
      <c r="B217" s="2">
        <f ca="1">IFERROR(__xludf.DUMMYFUNCTION("""COMPUTED_VALUE"""),13100)</f>
        <v>13100</v>
      </c>
      <c r="C217" s="2">
        <f ca="1">IFERROR(__xludf.DUMMYFUNCTION("""COMPUTED_VALUE"""),13300)</f>
        <v>13300</v>
      </c>
      <c r="D217" s="2">
        <f ca="1">IFERROR(__xludf.DUMMYFUNCTION("""COMPUTED_VALUE"""),13100)</f>
        <v>13100</v>
      </c>
      <c r="E217" s="2">
        <f ca="1">IFERROR(__xludf.DUMMYFUNCTION("""COMPUTED_VALUE"""),13125)</f>
        <v>13125</v>
      </c>
      <c r="F217" s="2">
        <f ca="1">IFERROR(__xludf.DUMMYFUNCTION("""COMPUTED_VALUE"""),15583600)</f>
        <v>15583600</v>
      </c>
    </row>
    <row r="218" spans="1:6">
      <c r="A218" s="5">
        <f ca="1">IFERROR(__xludf.DUMMYFUNCTION("""COMPUTED_VALUE"""),42326.625)</f>
        <v>42326.625</v>
      </c>
      <c r="B218" s="2">
        <f ca="1">IFERROR(__xludf.DUMMYFUNCTION("""COMPUTED_VALUE"""),13125)</f>
        <v>13125</v>
      </c>
      <c r="C218" s="2">
        <f ca="1">IFERROR(__xludf.DUMMYFUNCTION("""COMPUTED_VALUE"""),13325)</f>
        <v>13325</v>
      </c>
      <c r="D218" s="2">
        <f ca="1">IFERROR(__xludf.DUMMYFUNCTION("""COMPUTED_VALUE"""),13050)</f>
        <v>13050</v>
      </c>
      <c r="E218" s="2">
        <f ca="1">IFERROR(__xludf.DUMMYFUNCTION("""COMPUTED_VALUE"""),13075)</f>
        <v>13075</v>
      </c>
      <c r="F218" s="2">
        <f ca="1">IFERROR(__xludf.DUMMYFUNCTION("""COMPUTED_VALUE"""),6968700)</f>
        <v>6968700</v>
      </c>
    </row>
    <row r="219" spans="1:6">
      <c r="A219" s="5">
        <f ca="1">IFERROR(__xludf.DUMMYFUNCTION("""COMPUTED_VALUE"""),42327.625)</f>
        <v>42327.625</v>
      </c>
      <c r="B219" s="2">
        <f ca="1">IFERROR(__xludf.DUMMYFUNCTION("""COMPUTED_VALUE"""),13100)</f>
        <v>13100</v>
      </c>
      <c r="C219" s="2">
        <f ca="1">IFERROR(__xludf.DUMMYFUNCTION("""COMPUTED_VALUE"""),13225)</f>
        <v>13225</v>
      </c>
      <c r="D219" s="2">
        <f ca="1">IFERROR(__xludf.DUMMYFUNCTION("""COMPUTED_VALUE"""),12950)</f>
        <v>12950</v>
      </c>
      <c r="E219" s="2">
        <f ca="1">IFERROR(__xludf.DUMMYFUNCTION("""COMPUTED_VALUE"""),12950)</f>
        <v>12950</v>
      </c>
      <c r="F219" s="2">
        <f ca="1">IFERROR(__xludf.DUMMYFUNCTION("""COMPUTED_VALUE"""),17082800)</f>
        <v>17082800</v>
      </c>
    </row>
    <row r="220" spans="1:6">
      <c r="A220" s="5">
        <f ca="1">IFERROR(__xludf.DUMMYFUNCTION("""COMPUTED_VALUE"""),42328.625)</f>
        <v>42328.625</v>
      </c>
      <c r="B220" s="2">
        <f ca="1">IFERROR(__xludf.DUMMYFUNCTION("""COMPUTED_VALUE"""),12950)</f>
        <v>12950</v>
      </c>
      <c r="C220" s="2">
        <f ca="1">IFERROR(__xludf.DUMMYFUNCTION("""COMPUTED_VALUE"""),13200)</f>
        <v>13200</v>
      </c>
      <c r="D220" s="2">
        <f ca="1">IFERROR(__xludf.DUMMYFUNCTION("""COMPUTED_VALUE"""),12900)</f>
        <v>12900</v>
      </c>
      <c r="E220" s="2">
        <f ca="1">IFERROR(__xludf.DUMMYFUNCTION("""COMPUTED_VALUE"""),13150)</f>
        <v>13150</v>
      </c>
      <c r="F220" s="2">
        <f ca="1">IFERROR(__xludf.DUMMYFUNCTION("""COMPUTED_VALUE"""),10233500)</f>
        <v>10233500</v>
      </c>
    </row>
    <row r="221" spans="1:6">
      <c r="A221" s="5">
        <f ca="1">IFERROR(__xludf.DUMMYFUNCTION("""COMPUTED_VALUE"""),42331.625)</f>
        <v>42331.625</v>
      </c>
      <c r="B221" s="2">
        <f ca="1">IFERROR(__xludf.DUMMYFUNCTION("""COMPUTED_VALUE"""),13250)</f>
        <v>13250</v>
      </c>
      <c r="C221" s="2">
        <f ca="1">IFERROR(__xludf.DUMMYFUNCTION("""COMPUTED_VALUE"""),13325)</f>
        <v>13325</v>
      </c>
      <c r="D221" s="2">
        <f ca="1">IFERROR(__xludf.DUMMYFUNCTION("""COMPUTED_VALUE"""),13175)</f>
        <v>13175</v>
      </c>
      <c r="E221" s="2">
        <f ca="1">IFERROR(__xludf.DUMMYFUNCTION("""COMPUTED_VALUE"""),13300)</f>
        <v>13300</v>
      </c>
      <c r="F221" s="2">
        <f ca="1">IFERROR(__xludf.DUMMYFUNCTION("""COMPUTED_VALUE"""),10468200)</f>
        <v>10468200</v>
      </c>
    </row>
    <row r="222" spans="1:6">
      <c r="A222" s="5">
        <f ca="1">IFERROR(__xludf.DUMMYFUNCTION("""COMPUTED_VALUE"""),42332.625)</f>
        <v>42332.625</v>
      </c>
      <c r="B222" s="2">
        <f ca="1">IFERROR(__xludf.DUMMYFUNCTION("""COMPUTED_VALUE"""),13250)</f>
        <v>13250</v>
      </c>
      <c r="C222" s="2">
        <f ca="1">IFERROR(__xludf.DUMMYFUNCTION("""COMPUTED_VALUE"""),13575)</f>
        <v>13575</v>
      </c>
      <c r="D222" s="2">
        <f ca="1">IFERROR(__xludf.DUMMYFUNCTION("""COMPUTED_VALUE"""),13250)</f>
        <v>13250</v>
      </c>
      <c r="E222" s="2">
        <f ca="1">IFERROR(__xludf.DUMMYFUNCTION("""COMPUTED_VALUE"""),13475)</f>
        <v>13475</v>
      </c>
      <c r="F222" s="2">
        <f ca="1">IFERROR(__xludf.DUMMYFUNCTION("""COMPUTED_VALUE"""),18933100)</f>
        <v>18933100</v>
      </c>
    </row>
    <row r="223" spans="1:6">
      <c r="A223" s="5">
        <f ca="1">IFERROR(__xludf.DUMMYFUNCTION("""COMPUTED_VALUE"""),42333.625)</f>
        <v>42333.625</v>
      </c>
      <c r="B223" s="2">
        <f ca="1">IFERROR(__xludf.DUMMYFUNCTION("""COMPUTED_VALUE"""),13475)</f>
        <v>13475</v>
      </c>
      <c r="C223" s="2">
        <f ca="1">IFERROR(__xludf.DUMMYFUNCTION("""COMPUTED_VALUE"""),13625)</f>
        <v>13625</v>
      </c>
      <c r="D223" s="2">
        <f ca="1">IFERROR(__xludf.DUMMYFUNCTION("""COMPUTED_VALUE"""),13450)</f>
        <v>13450</v>
      </c>
      <c r="E223" s="2">
        <f ca="1">IFERROR(__xludf.DUMMYFUNCTION("""COMPUTED_VALUE"""),13500)</f>
        <v>13500</v>
      </c>
      <c r="F223" s="2">
        <f ca="1">IFERROR(__xludf.DUMMYFUNCTION("""COMPUTED_VALUE"""),10291700)</f>
        <v>10291700</v>
      </c>
    </row>
    <row r="224" spans="1:6">
      <c r="A224" s="5">
        <f ca="1">IFERROR(__xludf.DUMMYFUNCTION("""COMPUTED_VALUE"""),42334.625)</f>
        <v>42334.625</v>
      </c>
      <c r="B224" s="2">
        <f ca="1">IFERROR(__xludf.DUMMYFUNCTION("""COMPUTED_VALUE"""),13600)</f>
        <v>13600</v>
      </c>
      <c r="C224" s="2">
        <f ca="1">IFERROR(__xludf.DUMMYFUNCTION("""COMPUTED_VALUE"""),13725)</f>
        <v>13725</v>
      </c>
      <c r="D224" s="2">
        <f ca="1">IFERROR(__xludf.DUMMYFUNCTION("""COMPUTED_VALUE"""),13500)</f>
        <v>13500</v>
      </c>
      <c r="E224" s="2">
        <f ca="1">IFERROR(__xludf.DUMMYFUNCTION("""COMPUTED_VALUE"""),13525)</f>
        <v>13525</v>
      </c>
      <c r="F224" s="2">
        <f ca="1">IFERROR(__xludf.DUMMYFUNCTION("""COMPUTED_VALUE"""),16979700)</f>
        <v>16979700</v>
      </c>
    </row>
    <row r="225" spans="1:6">
      <c r="A225" s="5">
        <f ca="1">IFERROR(__xludf.DUMMYFUNCTION("""COMPUTED_VALUE"""),42335.625)</f>
        <v>42335.625</v>
      </c>
      <c r="B225" s="2">
        <f ca="1">IFERROR(__xludf.DUMMYFUNCTION("""COMPUTED_VALUE"""),13600)</f>
        <v>13600</v>
      </c>
      <c r="C225" s="2">
        <f ca="1">IFERROR(__xludf.DUMMYFUNCTION("""COMPUTED_VALUE"""),13600)</f>
        <v>13600</v>
      </c>
      <c r="D225" s="2">
        <f ca="1">IFERROR(__xludf.DUMMYFUNCTION("""COMPUTED_VALUE"""),13100)</f>
        <v>13100</v>
      </c>
      <c r="E225" s="2">
        <f ca="1">IFERROR(__xludf.DUMMYFUNCTION("""COMPUTED_VALUE"""),13150)</f>
        <v>13150</v>
      </c>
      <c r="F225" s="2">
        <f ca="1">IFERROR(__xludf.DUMMYFUNCTION("""COMPUTED_VALUE"""),4651500)</f>
        <v>4651500</v>
      </c>
    </row>
    <row r="226" spans="1:6">
      <c r="A226" s="5">
        <f ca="1">IFERROR(__xludf.DUMMYFUNCTION("""COMPUTED_VALUE"""),42338.625)</f>
        <v>42338.625</v>
      </c>
      <c r="B226" s="2">
        <f ca="1">IFERROR(__xludf.DUMMYFUNCTION("""COMPUTED_VALUE"""),13100)</f>
        <v>13100</v>
      </c>
      <c r="C226" s="2">
        <f ca="1">IFERROR(__xludf.DUMMYFUNCTION("""COMPUTED_VALUE"""),13125)</f>
        <v>13125</v>
      </c>
      <c r="D226" s="2">
        <f ca="1">IFERROR(__xludf.DUMMYFUNCTION("""COMPUTED_VALUE"""),12375)</f>
        <v>12375</v>
      </c>
      <c r="E226" s="2">
        <f ca="1">IFERROR(__xludf.DUMMYFUNCTION("""COMPUTED_VALUE"""),12375)</f>
        <v>12375</v>
      </c>
      <c r="F226" s="2">
        <f ca="1">IFERROR(__xludf.DUMMYFUNCTION("""COMPUTED_VALUE"""),71237600)</f>
        <v>71237600</v>
      </c>
    </row>
    <row r="227" spans="1:6">
      <c r="A227" s="5">
        <f ca="1">IFERROR(__xludf.DUMMYFUNCTION("""COMPUTED_VALUE"""),42339.625)</f>
        <v>42339.625</v>
      </c>
      <c r="B227" s="2">
        <f ca="1">IFERROR(__xludf.DUMMYFUNCTION("""COMPUTED_VALUE"""),12700)</f>
        <v>12700</v>
      </c>
      <c r="C227" s="2">
        <f ca="1">IFERROR(__xludf.DUMMYFUNCTION("""COMPUTED_VALUE"""),13325)</f>
        <v>13325</v>
      </c>
      <c r="D227" s="2">
        <f ca="1">IFERROR(__xludf.DUMMYFUNCTION("""COMPUTED_VALUE"""),12700)</f>
        <v>12700</v>
      </c>
      <c r="E227" s="2">
        <f ca="1">IFERROR(__xludf.DUMMYFUNCTION("""COMPUTED_VALUE"""),13250)</f>
        <v>13250</v>
      </c>
      <c r="F227" s="2">
        <f ca="1">IFERROR(__xludf.DUMMYFUNCTION("""COMPUTED_VALUE"""),28952000)</f>
        <v>28952000</v>
      </c>
    </row>
    <row r="228" spans="1:6">
      <c r="A228" s="5">
        <f ca="1">IFERROR(__xludf.DUMMYFUNCTION("""COMPUTED_VALUE"""),42340.625)</f>
        <v>42340.625</v>
      </c>
      <c r="B228" s="2">
        <f ca="1">IFERROR(__xludf.DUMMYFUNCTION("""COMPUTED_VALUE"""),13275)</f>
        <v>13275</v>
      </c>
      <c r="C228" s="2">
        <f ca="1">IFERROR(__xludf.DUMMYFUNCTION("""COMPUTED_VALUE"""),13450)</f>
        <v>13450</v>
      </c>
      <c r="D228" s="2">
        <f ca="1">IFERROR(__xludf.DUMMYFUNCTION("""COMPUTED_VALUE"""),13100)</f>
        <v>13100</v>
      </c>
      <c r="E228" s="2">
        <f ca="1">IFERROR(__xludf.DUMMYFUNCTION("""COMPUTED_VALUE"""),13300)</f>
        <v>13300</v>
      </c>
      <c r="F228" s="2">
        <f ca="1">IFERROR(__xludf.DUMMYFUNCTION("""COMPUTED_VALUE"""),13942100)</f>
        <v>13942100</v>
      </c>
    </row>
    <row r="229" spans="1:6">
      <c r="A229" s="5">
        <f ca="1">IFERROR(__xludf.DUMMYFUNCTION("""COMPUTED_VALUE"""),42341.625)</f>
        <v>42341.625</v>
      </c>
      <c r="B229" s="2">
        <f ca="1">IFERROR(__xludf.DUMMYFUNCTION("""COMPUTED_VALUE"""),13200)</f>
        <v>13200</v>
      </c>
      <c r="C229" s="2">
        <f ca="1">IFERROR(__xludf.DUMMYFUNCTION("""COMPUTED_VALUE"""),13350)</f>
        <v>13350</v>
      </c>
      <c r="D229" s="2">
        <f ca="1">IFERROR(__xludf.DUMMYFUNCTION("""COMPUTED_VALUE"""),13125)</f>
        <v>13125</v>
      </c>
      <c r="E229" s="2">
        <f ca="1">IFERROR(__xludf.DUMMYFUNCTION("""COMPUTED_VALUE"""),13300)</f>
        <v>13300</v>
      </c>
      <c r="F229" s="2">
        <f ca="1">IFERROR(__xludf.DUMMYFUNCTION("""COMPUTED_VALUE"""),7710900)</f>
        <v>7710900</v>
      </c>
    </row>
    <row r="230" spans="1:6">
      <c r="A230" s="5">
        <f ca="1">IFERROR(__xludf.DUMMYFUNCTION("""COMPUTED_VALUE"""),42342.625)</f>
        <v>42342.625</v>
      </c>
      <c r="B230" s="2">
        <f ca="1">IFERROR(__xludf.DUMMYFUNCTION("""COMPUTED_VALUE"""),13300)</f>
        <v>13300</v>
      </c>
      <c r="C230" s="2">
        <f ca="1">IFERROR(__xludf.DUMMYFUNCTION("""COMPUTED_VALUE"""),13300)</f>
        <v>13300</v>
      </c>
      <c r="D230" s="2">
        <f ca="1">IFERROR(__xludf.DUMMYFUNCTION("""COMPUTED_VALUE"""),13100)</f>
        <v>13100</v>
      </c>
      <c r="E230" s="2">
        <f ca="1">IFERROR(__xludf.DUMMYFUNCTION("""COMPUTED_VALUE"""),13125)</f>
        <v>13125</v>
      </c>
      <c r="F230" s="2">
        <f ca="1">IFERROR(__xludf.DUMMYFUNCTION("""COMPUTED_VALUE"""),9185900)</f>
        <v>9185900</v>
      </c>
    </row>
    <row r="231" spans="1:6">
      <c r="A231" s="5">
        <f ca="1">IFERROR(__xludf.DUMMYFUNCTION("""COMPUTED_VALUE"""),42345.625)</f>
        <v>42345.625</v>
      </c>
      <c r="B231" s="2">
        <f ca="1">IFERROR(__xludf.DUMMYFUNCTION("""COMPUTED_VALUE"""),13200)</f>
        <v>13200</v>
      </c>
      <c r="C231" s="2">
        <f ca="1">IFERROR(__xludf.DUMMYFUNCTION("""COMPUTED_VALUE"""),13350)</f>
        <v>13350</v>
      </c>
      <c r="D231" s="2">
        <f ca="1">IFERROR(__xludf.DUMMYFUNCTION("""COMPUTED_VALUE"""),13175)</f>
        <v>13175</v>
      </c>
      <c r="E231" s="2">
        <f ca="1">IFERROR(__xludf.DUMMYFUNCTION("""COMPUTED_VALUE"""),13225)</f>
        <v>13225</v>
      </c>
      <c r="F231" s="2">
        <f ca="1">IFERROR(__xludf.DUMMYFUNCTION("""COMPUTED_VALUE"""),9839400)</f>
        <v>9839400</v>
      </c>
    </row>
    <row r="232" spans="1:6">
      <c r="A232" s="5">
        <f ca="1">IFERROR(__xludf.DUMMYFUNCTION("""COMPUTED_VALUE"""),42346.625)</f>
        <v>42346.625</v>
      </c>
      <c r="B232" s="2">
        <f ca="1">IFERROR(__xludf.DUMMYFUNCTION("""COMPUTED_VALUE"""),13075)</f>
        <v>13075</v>
      </c>
      <c r="C232" s="2">
        <f ca="1">IFERROR(__xludf.DUMMYFUNCTION("""COMPUTED_VALUE"""),13350)</f>
        <v>13350</v>
      </c>
      <c r="D232" s="2">
        <f ca="1">IFERROR(__xludf.DUMMYFUNCTION("""COMPUTED_VALUE"""),13000)</f>
        <v>13000</v>
      </c>
      <c r="E232" s="2">
        <f ca="1">IFERROR(__xludf.DUMMYFUNCTION("""COMPUTED_VALUE"""),13025)</f>
        <v>13025</v>
      </c>
      <c r="F232" s="2">
        <f ca="1">IFERROR(__xludf.DUMMYFUNCTION("""COMPUTED_VALUE"""),10551500)</f>
        <v>10551500</v>
      </c>
    </row>
    <row r="233" spans="1:6">
      <c r="A233" s="5">
        <f ca="1">IFERROR(__xludf.DUMMYFUNCTION("""COMPUTED_VALUE"""),42348.625)</f>
        <v>42348.625</v>
      </c>
      <c r="B233" s="2">
        <f ca="1">IFERROR(__xludf.DUMMYFUNCTION("""COMPUTED_VALUE"""),12900)</f>
        <v>12900</v>
      </c>
      <c r="C233" s="2">
        <f ca="1">IFERROR(__xludf.DUMMYFUNCTION("""COMPUTED_VALUE"""),13500)</f>
        <v>13500</v>
      </c>
      <c r="D233" s="2">
        <f ca="1">IFERROR(__xludf.DUMMYFUNCTION("""COMPUTED_VALUE"""),12900)</f>
        <v>12900</v>
      </c>
      <c r="E233" s="2">
        <f ca="1">IFERROR(__xludf.DUMMYFUNCTION("""COMPUTED_VALUE"""),13500)</f>
        <v>13500</v>
      </c>
      <c r="F233" s="2">
        <f ca="1">IFERROR(__xludf.DUMMYFUNCTION("""COMPUTED_VALUE"""),15211900)</f>
        <v>15211900</v>
      </c>
    </row>
    <row r="234" spans="1:6">
      <c r="A234" s="5">
        <f ca="1">IFERROR(__xludf.DUMMYFUNCTION("""COMPUTED_VALUE"""),42349.625)</f>
        <v>42349.625</v>
      </c>
      <c r="B234" s="2">
        <f ca="1">IFERROR(__xludf.DUMMYFUNCTION("""COMPUTED_VALUE"""),13450)</f>
        <v>13450</v>
      </c>
      <c r="C234" s="2">
        <f ca="1">IFERROR(__xludf.DUMMYFUNCTION("""COMPUTED_VALUE"""),13450)</f>
        <v>13450</v>
      </c>
      <c r="D234" s="2">
        <f ca="1">IFERROR(__xludf.DUMMYFUNCTION("""COMPUTED_VALUE"""),13025)</f>
        <v>13025</v>
      </c>
      <c r="E234" s="2">
        <f ca="1">IFERROR(__xludf.DUMMYFUNCTION("""COMPUTED_VALUE"""),13200)</f>
        <v>13200</v>
      </c>
      <c r="F234" s="2">
        <f ca="1">IFERROR(__xludf.DUMMYFUNCTION("""COMPUTED_VALUE"""),11945500)</f>
        <v>11945500</v>
      </c>
    </row>
    <row r="235" spans="1:6">
      <c r="A235" s="5">
        <f ca="1">IFERROR(__xludf.DUMMYFUNCTION("""COMPUTED_VALUE"""),42352.625)</f>
        <v>42352.625</v>
      </c>
      <c r="B235" s="2">
        <f ca="1">IFERROR(__xludf.DUMMYFUNCTION("""COMPUTED_VALUE"""),13000)</f>
        <v>13000</v>
      </c>
      <c r="C235" s="2">
        <f ca="1">IFERROR(__xludf.DUMMYFUNCTION("""COMPUTED_VALUE"""),13200)</f>
        <v>13200</v>
      </c>
      <c r="D235" s="2">
        <f ca="1">IFERROR(__xludf.DUMMYFUNCTION("""COMPUTED_VALUE"""),12950)</f>
        <v>12950</v>
      </c>
      <c r="E235" s="2">
        <f ca="1">IFERROR(__xludf.DUMMYFUNCTION("""COMPUTED_VALUE"""),13200)</f>
        <v>13200</v>
      </c>
      <c r="F235" s="2">
        <f ca="1">IFERROR(__xludf.DUMMYFUNCTION("""COMPUTED_VALUE"""),9516100)</f>
        <v>9516100</v>
      </c>
    </row>
    <row r="236" spans="1:6">
      <c r="A236" s="5">
        <f ca="1">IFERROR(__xludf.DUMMYFUNCTION("""COMPUTED_VALUE"""),42353.625)</f>
        <v>42353.625</v>
      </c>
      <c r="B236" s="2">
        <f ca="1">IFERROR(__xludf.DUMMYFUNCTION("""COMPUTED_VALUE"""),13050)</f>
        <v>13050</v>
      </c>
      <c r="C236" s="2">
        <f ca="1">IFERROR(__xludf.DUMMYFUNCTION("""COMPUTED_VALUE"""),13200)</f>
        <v>13200</v>
      </c>
      <c r="D236" s="2">
        <f ca="1">IFERROR(__xludf.DUMMYFUNCTION("""COMPUTED_VALUE"""),13050)</f>
        <v>13050</v>
      </c>
      <c r="E236" s="2">
        <f ca="1">IFERROR(__xludf.DUMMYFUNCTION("""COMPUTED_VALUE"""),13100)</f>
        <v>13100</v>
      </c>
      <c r="F236" s="2">
        <f ca="1">IFERROR(__xludf.DUMMYFUNCTION("""COMPUTED_VALUE"""),9458300)</f>
        <v>9458300</v>
      </c>
    </row>
    <row r="237" spans="1:6">
      <c r="A237" s="5">
        <f ca="1">IFERROR(__xludf.DUMMYFUNCTION("""COMPUTED_VALUE"""),42354.625)</f>
        <v>42354.625</v>
      </c>
      <c r="B237" s="2">
        <f ca="1">IFERROR(__xludf.DUMMYFUNCTION("""COMPUTED_VALUE"""),13375)</f>
        <v>13375</v>
      </c>
      <c r="C237" s="2">
        <f ca="1">IFERROR(__xludf.DUMMYFUNCTION("""COMPUTED_VALUE"""),13550)</f>
        <v>13550</v>
      </c>
      <c r="D237" s="2">
        <f ca="1">IFERROR(__xludf.DUMMYFUNCTION("""COMPUTED_VALUE"""),13275)</f>
        <v>13275</v>
      </c>
      <c r="E237" s="2">
        <f ca="1">IFERROR(__xludf.DUMMYFUNCTION("""COMPUTED_VALUE"""),13475)</f>
        <v>13475</v>
      </c>
      <c r="F237" s="2">
        <f ca="1">IFERROR(__xludf.DUMMYFUNCTION("""COMPUTED_VALUE"""),14020000)</f>
        <v>14020000</v>
      </c>
    </row>
    <row r="238" spans="1:6">
      <c r="A238" s="5">
        <f ca="1">IFERROR(__xludf.DUMMYFUNCTION("""COMPUTED_VALUE"""),42355.625)</f>
        <v>42355.625</v>
      </c>
      <c r="B238" s="2">
        <f ca="1">IFERROR(__xludf.DUMMYFUNCTION("""COMPUTED_VALUE"""),13800)</f>
        <v>13800</v>
      </c>
      <c r="C238" s="2">
        <f ca="1">IFERROR(__xludf.DUMMYFUNCTION("""COMPUTED_VALUE"""),13800)</f>
        <v>13800</v>
      </c>
      <c r="D238" s="2">
        <f ca="1">IFERROR(__xludf.DUMMYFUNCTION("""COMPUTED_VALUE"""),13575)</f>
        <v>13575</v>
      </c>
      <c r="E238" s="2">
        <f ca="1">IFERROR(__xludf.DUMMYFUNCTION("""COMPUTED_VALUE"""),13600)</f>
        <v>13600</v>
      </c>
      <c r="F238" s="2">
        <f ca="1">IFERROR(__xludf.DUMMYFUNCTION("""COMPUTED_VALUE"""),22933500)</f>
        <v>22933500</v>
      </c>
    </row>
    <row r="239" spans="1:6">
      <c r="A239" s="5">
        <f ca="1">IFERROR(__xludf.DUMMYFUNCTION("""COMPUTED_VALUE"""),42356.625)</f>
        <v>42356.625</v>
      </c>
      <c r="B239" s="2">
        <f ca="1">IFERROR(__xludf.DUMMYFUNCTION("""COMPUTED_VALUE"""),13450)</f>
        <v>13450</v>
      </c>
      <c r="C239" s="2">
        <f ca="1">IFERROR(__xludf.DUMMYFUNCTION("""COMPUTED_VALUE"""),13500)</f>
        <v>13500</v>
      </c>
      <c r="D239" s="2">
        <f ca="1">IFERROR(__xludf.DUMMYFUNCTION("""COMPUTED_VALUE"""),13225)</f>
        <v>13225</v>
      </c>
      <c r="E239" s="2">
        <f ca="1">IFERROR(__xludf.DUMMYFUNCTION("""COMPUTED_VALUE"""),13225)</f>
        <v>13225</v>
      </c>
      <c r="F239" s="2">
        <f ca="1">IFERROR(__xludf.DUMMYFUNCTION("""COMPUTED_VALUE"""),18177400)</f>
        <v>18177400</v>
      </c>
    </row>
    <row r="240" spans="1:6">
      <c r="A240" s="5">
        <f ca="1">IFERROR(__xludf.DUMMYFUNCTION("""COMPUTED_VALUE"""),42359.625)</f>
        <v>42359.625</v>
      </c>
      <c r="B240" s="2">
        <f ca="1">IFERROR(__xludf.DUMMYFUNCTION("""COMPUTED_VALUE"""),13150)</f>
        <v>13150</v>
      </c>
      <c r="C240" s="2">
        <f ca="1">IFERROR(__xludf.DUMMYFUNCTION("""COMPUTED_VALUE"""),13375)</f>
        <v>13375</v>
      </c>
      <c r="D240" s="2">
        <f ca="1">IFERROR(__xludf.DUMMYFUNCTION("""COMPUTED_VALUE"""),13150)</f>
        <v>13150</v>
      </c>
      <c r="E240" s="2">
        <f ca="1">IFERROR(__xludf.DUMMYFUNCTION("""COMPUTED_VALUE"""),13175)</f>
        <v>13175</v>
      </c>
      <c r="F240" s="2">
        <f ca="1">IFERROR(__xludf.DUMMYFUNCTION("""COMPUTED_VALUE"""),6913600)</f>
        <v>6913600</v>
      </c>
    </row>
    <row r="241" spans="1:6">
      <c r="A241" s="5">
        <f ca="1">IFERROR(__xludf.DUMMYFUNCTION("""COMPUTED_VALUE"""),42360.625)</f>
        <v>42360.625</v>
      </c>
      <c r="B241" s="2">
        <f ca="1">IFERROR(__xludf.DUMMYFUNCTION("""COMPUTED_VALUE"""),13200)</f>
        <v>13200</v>
      </c>
      <c r="C241" s="2">
        <f ca="1">IFERROR(__xludf.DUMMYFUNCTION("""COMPUTED_VALUE"""),13300)</f>
        <v>13300</v>
      </c>
      <c r="D241" s="2">
        <f ca="1">IFERROR(__xludf.DUMMYFUNCTION("""COMPUTED_VALUE"""),13175)</f>
        <v>13175</v>
      </c>
      <c r="E241" s="2">
        <f ca="1">IFERROR(__xludf.DUMMYFUNCTION("""COMPUTED_VALUE"""),13200)</f>
        <v>13200</v>
      </c>
      <c r="F241" s="2">
        <f ca="1">IFERROR(__xludf.DUMMYFUNCTION("""COMPUTED_VALUE"""),12320100)</f>
        <v>12320100</v>
      </c>
    </row>
    <row r="242" spans="1:6">
      <c r="A242" s="5">
        <f ca="1">IFERROR(__xludf.DUMMYFUNCTION("""COMPUTED_VALUE"""),42361.625)</f>
        <v>42361.625</v>
      </c>
      <c r="B242" s="2">
        <f ca="1">IFERROR(__xludf.DUMMYFUNCTION("""COMPUTED_VALUE"""),13150)</f>
        <v>13150</v>
      </c>
      <c r="C242" s="2">
        <f ca="1">IFERROR(__xludf.DUMMYFUNCTION("""COMPUTED_VALUE"""),13300)</f>
        <v>13300</v>
      </c>
      <c r="D242" s="2">
        <f ca="1">IFERROR(__xludf.DUMMYFUNCTION("""COMPUTED_VALUE"""),13125)</f>
        <v>13125</v>
      </c>
      <c r="E242" s="2">
        <f ca="1">IFERROR(__xludf.DUMMYFUNCTION("""COMPUTED_VALUE"""),13175)</f>
        <v>13175</v>
      </c>
      <c r="F242" s="2">
        <f ca="1">IFERROR(__xludf.DUMMYFUNCTION("""COMPUTED_VALUE"""),9088400)</f>
        <v>9088400</v>
      </c>
    </row>
    <row r="243" spans="1:6">
      <c r="A243" s="5">
        <f ca="1">IFERROR(__xludf.DUMMYFUNCTION("""COMPUTED_VALUE"""),42366.625)</f>
        <v>42366.625</v>
      </c>
      <c r="B243" s="2">
        <f ca="1">IFERROR(__xludf.DUMMYFUNCTION("""COMPUTED_VALUE"""),13100)</f>
        <v>13100</v>
      </c>
      <c r="C243" s="2">
        <f ca="1">IFERROR(__xludf.DUMMYFUNCTION("""COMPUTED_VALUE"""),13400)</f>
        <v>13400</v>
      </c>
      <c r="D243" s="2">
        <f ca="1">IFERROR(__xludf.DUMMYFUNCTION("""COMPUTED_VALUE"""),13100)</f>
        <v>13100</v>
      </c>
      <c r="E243" s="2">
        <f ca="1">IFERROR(__xludf.DUMMYFUNCTION("""COMPUTED_VALUE"""),13325)</f>
        <v>13325</v>
      </c>
      <c r="F243" s="2">
        <f ca="1">IFERROR(__xludf.DUMMYFUNCTION("""COMPUTED_VALUE"""),13088100)</f>
        <v>13088100</v>
      </c>
    </row>
    <row r="244" spans="1:6">
      <c r="A244" s="5">
        <f ca="1">IFERROR(__xludf.DUMMYFUNCTION("""COMPUTED_VALUE"""),42367.625)</f>
        <v>42367.625</v>
      </c>
      <c r="B244" s="2">
        <f ca="1">IFERROR(__xludf.DUMMYFUNCTION("""COMPUTED_VALUE"""),13200)</f>
        <v>13200</v>
      </c>
      <c r="C244" s="2">
        <f ca="1">IFERROR(__xludf.DUMMYFUNCTION("""COMPUTED_VALUE"""),13400)</f>
        <v>13400</v>
      </c>
      <c r="D244" s="2">
        <f ca="1">IFERROR(__xludf.DUMMYFUNCTION("""COMPUTED_VALUE"""),13200)</f>
        <v>13200</v>
      </c>
      <c r="E244" s="2">
        <f ca="1">IFERROR(__xludf.DUMMYFUNCTION("""COMPUTED_VALUE"""),13250)</f>
        <v>13250</v>
      </c>
      <c r="F244" s="2">
        <f ca="1">IFERROR(__xludf.DUMMYFUNCTION("""COMPUTED_VALUE"""),11430700)</f>
        <v>11430700</v>
      </c>
    </row>
    <row r="245" spans="1:6">
      <c r="A245" s="5">
        <f ca="1">IFERROR(__xludf.DUMMYFUNCTION("""COMPUTED_VALUE"""),42368.625)</f>
        <v>42368.625</v>
      </c>
      <c r="B245" s="2">
        <f ca="1">IFERROR(__xludf.DUMMYFUNCTION("""COMPUTED_VALUE"""),13250)</f>
        <v>13250</v>
      </c>
      <c r="C245" s="2">
        <f ca="1">IFERROR(__xludf.DUMMYFUNCTION("""COMPUTED_VALUE"""),13700)</f>
        <v>13700</v>
      </c>
      <c r="D245" s="2">
        <f ca="1">IFERROR(__xludf.DUMMYFUNCTION("""COMPUTED_VALUE"""),13250)</f>
        <v>13250</v>
      </c>
      <c r="E245" s="2">
        <f ca="1">IFERROR(__xludf.DUMMYFUNCTION("""COMPUTED_VALUE"""),13300)</f>
        <v>13300</v>
      </c>
      <c r="F245" s="2">
        <f ca="1">IFERROR(__xludf.DUMMYFUNCTION("""COMPUTED_VALUE"""),14572600)</f>
        <v>14572600</v>
      </c>
    </row>
    <row r="246" spans="1:6">
      <c r="A246" s="5">
        <f ca="1">IFERROR(__xludf.DUMMYFUNCTION("""COMPUTED_VALUE"""),42373.625)</f>
        <v>42373.625</v>
      </c>
      <c r="B246" s="2">
        <f ca="1">IFERROR(__xludf.DUMMYFUNCTION("""COMPUTED_VALUE"""),13175)</f>
        <v>13175</v>
      </c>
      <c r="C246" s="2">
        <f ca="1">IFERROR(__xludf.DUMMYFUNCTION("""COMPUTED_VALUE"""),13425)</f>
        <v>13425</v>
      </c>
      <c r="D246" s="2">
        <f ca="1">IFERROR(__xludf.DUMMYFUNCTION("""COMPUTED_VALUE"""),13150)</f>
        <v>13150</v>
      </c>
      <c r="E246" s="2">
        <f ca="1">IFERROR(__xludf.DUMMYFUNCTION("""COMPUTED_VALUE"""),13225)</f>
        <v>13225</v>
      </c>
      <c r="F246" s="2">
        <f ca="1">IFERROR(__xludf.DUMMYFUNCTION("""COMPUTED_VALUE"""),15495900)</f>
        <v>15495900</v>
      </c>
    </row>
    <row r="247" spans="1:6">
      <c r="A247" s="5">
        <f ca="1">IFERROR(__xludf.DUMMYFUNCTION("""COMPUTED_VALUE"""),42374.625)</f>
        <v>42374.625</v>
      </c>
      <c r="B247" s="2">
        <f ca="1">IFERROR(__xludf.DUMMYFUNCTION("""COMPUTED_VALUE"""),13200)</f>
        <v>13200</v>
      </c>
      <c r="C247" s="2">
        <f ca="1">IFERROR(__xludf.DUMMYFUNCTION("""COMPUTED_VALUE"""),13550)</f>
        <v>13550</v>
      </c>
      <c r="D247" s="2">
        <f ca="1">IFERROR(__xludf.DUMMYFUNCTION("""COMPUTED_VALUE"""),13200)</f>
        <v>13200</v>
      </c>
      <c r="E247" s="2">
        <f ca="1">IFERROR(__xludf.DUMMYFUNCTION("""COMPUTED_VALUE"""),13375)</f>
        <v>13375</v>
      </c>
      <c r="F247" s="2">
        <f ca="1">IFERROR(__xludf.DUMMYFUNCTION("""COMPUTED_VALUE"""),19321800)</f>
        <v>19321800</v>
      </c>
    </row>
    <row r="248" spans="1:6">
      <c r="A248" s="5">
        <f ca="1">IFERROR(__xludf.DUMMYFUNCTION("""COMPUTED_VALUE"""),42375.625)</f>
        <v>42375.625</v>
      </c>
      <c r="B248" s="2">
        <f ca="1">IFERROR(__xludf.DUMMYFUNCTION("""COMPUTED_VALUE"""),13325)</f>
        <v>13325</v>
      </c>
      <c r="C248" s="2">
        <f ca="1">IFERROR(__xludf.DUMMYFUNCTION("""COMPUTED_VALUE"""),13500)</f>
        <v>13500</v>
      </c>
      <c r="D248" s="2">
        <f ca="1">IFERROR(__xludf.DUMMYFUNCTION("""COMPUTED_VALUE"""),13200)</f>
        <v>13200</v>
      </c>
      <c r="E248" s="2">
        <f ca="1">IFERROR(__xludf.DUMMYFUNCTION("""COMPUTED_VALUE"""),13200)</f>
        <v>13200</v>
      </c>
      <c r="F248" s="2">
        <f ca="1">IFERROR(__xludf.DUMMYFUNCTION("""COMPUTED_VALUE"""),21074000)</f>
        <v>21074000</v>
      </c>
    </row>
    <row r="249" spans="1:6">
      <c r="A249" s="5">
        <f ca="1">IFERROR(__xludf.DUMMYFUNCTION("""COMPUTED_VALUE"""),42376.625)</f>
        <v>42376.625</v>
      </c>
      <c r="B249" s="2">
        <f ca="1">IFERROR(__xludf.DUMMYFUNCTION("""COMPUTED_VALUE"""),13100)</f>
        <v>13100</v>
      </c>
      <c r="C249" s="2">
        <f ca="1">IFERROR(__xludf.DUMMYFUNCTION("""COMPUTED_VALUE"""),13150)</f>
        <v>13150</v>
      </c>
      <c r="D249" s="2">
        <f ca="1">IFERROR(__xludf.DUMMYFUNCTION("""COMPUTED_VALUE"""),13000)</f>
        <v>13000</v>
      </c>
      <c r="E249" s="2">
        <f ca="1">IFERROR(__xludf.DUMMYFUNCTION("""COMPUTED_VALUE"""),13000)</f>
        <v>13000</v>
      </c>
      <c r="F249" s="2">
        <f ca="1">IFERROR(__xludf.DUMMYFUNCTION("""COMPUTED_VALUE"""),29349300)</f>
        <v>29349300</v>
      </c>
    </row>
    <row r="250" spans="1:6">
      <c r="A250" s="5">
        <f ca="1">IFERROR(__xludf.DUMMYFUNCTION("""COMPUTED_VALUE"""),42377.625)</f>
        <v>42377.625</v>
      </c>
      <c r="B250" s="2">
        <f ca="1">IFERROR(__xludf.DUMMYFUNCTION("""COMPUTED_VALUE"""),12950)</f>
        <v>12950</v>
      </c>
      <c r="C250" s="2">
        <f ca="1">IFERROR(__xludf.DUMMYFUNCTION("""COMPUTED_VALUE"""),13100)</f>
        <v>13100</v>
      </c>
      <c r="D250" s="2">
        <f ca="1">IFERROR(__xludf.DUMMYFUNCTION("""COMPUTED_VALUE"""),12950)</f>
        <v>12950</v>
      </c>
      <c r="E250" s="2">
        <f ca="1">IFERROR(__xludf.DUMMYFUNCTION("""COMPUTED_VALUE"""),13000)</f>
        <v>13000</v>
      </c>
      <c r="F250" s="2">
        <f ca="1">IFERROR(__xludf.DUMMYFUNCTION("""COMPUTED_VALUE"""),25164000)</f>
        <v>25164000</v>
      </c>
    </row>
    <row r="251" spans="1:6">
      <c r="A251" s="5">
        <f ca="1">IFERROR(__xludf.DUMMYFUNCTION("""COMPUTED_VALUE"""),42380.625)</f>
        <v>42380.625</v>
      </c>
      <c r="B251" s="2">
        <f ca="1">IFERROR(__xludf.DUMMYFUNCTION("""COMPUTED_VALUE"""),12950)</f>
        <v>12950</v>
      </c>
      <c r="C251" s="2">
        <f ca="1">IFERROR(__xludf.DUMMYFUNCTION("""COMPUTED_VALUE"""),12975)</f>
        <v>12975</v>
      </c>
      <c r="D251" s="2">
        <f ca="1">IFERROR(__xludf.DUMMYFUNCTION("""COMPUTED_VALUE"""),12750)</f>
        <v>12750</v>
      </c>
      <c r="E251" s="2">
        <f ca="1">IFERROR(__xludf.DUMMYFUNCTION("""COMPUTED_VALUE"""),12750)</f>
        <v>12750</v>
      </c>
      <c r="F251" s="2">
        <f ca="1">IFERROR(__xludf.DUMMYFUNCTION("""COMPUTED_VALUE"""),15190400)</f>
        <v>15190400</v>
      </c>
    </row>
    <row r="252" spans="1:6">
      <c r="A252" s="5">
        <f ca="1">IFERROR(__xludf.DUMMYFUNCTION("""COMPUTED_VALUE"""),42381.625)</f>
        <v>42381.625</v>
      </c>
      <c r="B252" s="2">
        <f ca="1">IFERROR(__xludf.DUMMYFUNCTION("""COMPUTED_VALUE"""),12900)</f>
        <v>12900</v>
      </c>
      <c r="C252" s="2">
        <f ca="1">IFERROR(__xludf.DUMMYFUNCTION("""COMPUTED_VALUE"""),13225)</f>
        <v>13225</v>
      </c>
      <c r="D252" s="2">
        <f ca="1">IFERROR(__xludf.DUMMYFUNCTION("""COMPUTED_VALUE"""),12900)</f>
        <v>12900</v>
      </c>
      <c r="E252" s="2">
        <f ca="1">IFERROR(__xludf.DUMMYFUNCTION("""COMPUTED_VALUE"""),13100)</f>
        <v>13100</v>
      </c>
      <c r="F252" s="2">
        <f ca="1">IFERROR(__xludf.DUMMYFUNCTION("""COMPUTED_VALUE"""),17218700)</f>
        <v>17218700</v>
      </c>
    </row>
    <row r="253" spans="1:6">
      <c r="A253" s="5">
        <f ca="1">IFERROR(__xludf.DUMMYFUNCTION("""COMPUTED_VALUE"""),42382.625)</f>
        <v>42382.625</v>
      </c>
      <c r="B253" s="2">
        <f ca="1">IFERROR(__xludf.DUMMYFUNCTION("""COMPUTED_VALUE"""),13225)</f>
        <v>13225</v>
      </c>
      <c r="C253" s="2">
        <f ca="1">IFERROR(__xludf.DUMMYFUNCTION("""COMPUTED_VALUE"""),13300)</f>
        <v>13300</v>
      </c>
      <c r="D253" s="2">
        <f ca="1">IFERROR(__xludf.DUMMYFUNCTION("""COMPUTED_VALUE"""),13150)</f>
        <v>13150</v>
      </c>
      <c r="E253" s="2">
        <f ca="1">IFERROR(__xludf.DUMMYFUNCTION("""COMPUTED_VALUE"""),13175)</f>
        <v>13175</v>
      </c>
      <c r="F253" s="2">
        <f ca="1">IFERROR(__xludf.DUMMYFUNCTION("""COMPUTED_VALUE"""),15317400)</f>
        <v>15317400</v>
      </c>
    </row>
    <row r="254" spans="1:6">
      <c r="A254" s="5">
        <f ca="1">IFERROR(__xludf.DUMMYFUNCTION("""COMPUTED_VALUE"""),42383.625)</f>
        <v>42383.625</v>
      </c>
      <c r="B254" s="2">
        <f ca="1">IFERROR(__xludf.DUMMYFUNCTION("""COMPUTED_VALUE"""),13000)</f>
        <v>13000</v>
      </c>
      <c r="C254" s="2">
        <f ca="1">IFERROR(__xludf.DUMMYFUNCTION("""COMPUTED_VALUE"""),13150)</f>
        <v>13150</v>
      </c>
      <c r="D254" s="2">
        <f ca="1">IFERROR(__xludf.DUMMYFUNCTION("""COMPUTED_VALUE"""),12975)</f>
        <v>12975</v>
      </c>
      <c r="E254" s="2">
        <f ca="1">IFERROR(__xludf.DUMMYFUNCTION("""COMPUTED_VALUE"""),13025)</f>
        <v>13025</v>
      </c>
      <c r="F254" s="2">
        <f ca="1">IFERROR(__xludf.DUMMYFUNCTION("""COMPUTED_VALUE"""),23842700)</f>
        <v>23842700</v>
      </c>
    </row>
    <row r="255" spans="1:6">
      <c r="A255" s="5">
        <f ca="1">IFERROR(__xludf.DUMMYFUNCTION("""COMPUTED_VALUE"""),42384.625)</f>
        <v>42384.625</v>
      </c>
      <c r="B255" s="2">
        <f ca="1">IFERROR(__xludf.DUMMYFUNCTION("""COMPUTED_VALUE"""),13100)</f>
        <v>13100</v>
      </c>
      <c r="C255" s="2">
        <f ca="1">IFERROR(__xludf.DUMMYFUNCTION("""COMPUTED_VALUE"""),13150)</f>
        <v>13150</v>
      </c>
      <c r="D255" s="2">
        <f ca="1">IFERROR(__xludf.DUMMYFUNCTION("""COMPUTED_VALUE"""),13000)</f>
        <v>13000</v>
      </c>
      <c r="E255" s="2">
        <f ca="1">IFERROR(__xludf.DUMMYFUNCTION("""COMPUTED_VALUE"""),13000)</f>
        <v>13000</v>
      </c>
      <c r="F255" s="2">
        <f ca="1">IFERROR(__xludf.DUMMYFUNCTION("""COMPUTED_VALUE"""),13665200)</f>
        <v>13665200</v>
      </c>
    </row>
    <row r="256" spans="1:6">
      <c r="A256" s="5">
        <f ca="1">IFERROR(__xludf.DUMMYFUNCTION("""COMPUTED_VALUE"""),42387.625)</f>
        <v>42387.625</v>
      </c>
      <c r="B256" s="2">
        <f ca="1">IFERROR(__xludf.DUMMYFUNCTION("""COMPUTED_VALUE"""),12850)</f>
        <v>12850</v>
      </c>
      <c r="C256" s="2">
        <f ca="1">IFERROR(__xludf.DUMMYFUNCTION("""COMPUTED_VALUE"""),13100)</f>
        <v>13100</v>
      </c>
      <c r="D256" s="2">
        <f ca="1">IFERROR(__xludf.DUMMYFUNCTION("""COMPUTED_VALUE"""),12825)</f>
        <v>12825</v>
      </c>
      <c r="E256" s="2">
        <f ca="1">IFERROR(__xludf.DUMMYFUNCTION("""COMPUTED_VALUE"""),12975)</f>
        <v>12975</v>
      </c>
      <c r="F256" s="2">
        <f ca="1">IFERROR(__xludf.DUMMYFUNCTION("""COMPUTED_VALUE"""),16263400)</f>
        <v>16263400</v>
      </c>
    </row>
    <row r="257" spans="1:6">
      <c r="A257" s="5">
        <f ca="1">IFERROR(__xludf.DUMMYFUNCTION("""COMPUTED_VALUE"""),42388.625)</f>
        <v>42388.625</v>
      </c>
      <c r="B257" s="2">
        <f ca="1">IFERROR(__xludf.DUMMYFUNCTION("""COMPUTED_VALUE"""),13050)</f>
        <v>13050</v>
      </c>
      <c r="C257" s="2">
        <f ca="1">IFERROR(__xludf.DUMMYFUNCTION("""COMPUTED_VALUE"""),13100)</f>
        <v>13100</v>
      </c>
      <c r="D257" s="2">
        <f ca="1">IFERROR(__xludf.DUMMYFUNCTION("""COMPUTED_VALUE"""),12950)</f>
        <v>12950</v>
      </c>
      <c r="E257" s="2">
        <f ca="1">IFERROR(__xludf.DUMMYFUNCTION("""COMPUTED_VALUE"""),13075)</f>
        <v>13075</v>
      </c>
      <c r="F257" s="2">
        <f ca="1">IFERROR(__xludf.DUMMYFUNCTION("""COMPUTED_VALUE"""),10942200)</f>
        <v>10942200</v>
      </c>
    </row>
    <row r="258" spans="1:6">
      <c r="A258" s="5">
        <f ca="1">IFERROR(__xludf.DUMMYFUNCTION("""COMPUTED_VALUE"""),42389.625)</f>
        <v>42389.625</v>
      </c>
      <c r="B258" s="2">
        <f ca="1">IFERROR(__xludf.DUMMYFUNCTION("""COMPUTED_VALUE"""),13000)</f>
        <v>13000</v>
      </c>
      <c r="C258" s="2">
        <f ca="1">IFERROR(__xludf.DUMMYFUNCTION("""COMPUTED_VALUE"""),13075)</f>
        <v>13075</v>
      </c>
      <c r="D258" s="2">
        <f ca="1">IFERROR(__xludf.DUMMYFUNCTION("""COMPUTED_VALUE"""),12975)</f>
        <v>12975</v>
      </c>
      <c r="E258" s="2">
        <f ca="1">IFERROR(__xludf.DUMMYFUNCTION("""COMPUTED_VALUE"""),13025)</f>
        <v>13025</v>
      </c>
      <c r="F258" s="2">
        <f ca="1">IFERROR(__xludf.DUMMYFUNCTION("""COMPUTED_VALUE"""),15135200)</f>
        <v>15135200</v>
      </c>
    </row>
    <row r="259" spans="1:6">
      <c r="A259" s="5">
        <f ca="1">IFERROR(__xludf.DUMMYFUNCTION("""COMPUTED_VALUE"""),42390.625)</f>
        <v>42390.625</v>
      </c>
      <c r="B259" s="2">
        <f ca="1">IFERROR(__xludf.DUMMYFUNCTION("""COMPUTED_VALUE"""),13050)</f>
        <v>13050</v>
      </c>
      <c r="C259" s="2">
        <f ca="1">IFERROR(__xludf.DUMMYFUNCTION("""COMPUTED_VALUE"""),13050)</f>
        <v>13050</v>
      </c>
      <c r="D259" s="2">
        <f ca="1">IFERROR(__xludf.DUMMYFUNCTION("""COMPUTED_VALUE"""),12950)</f>
        <v>12950</v>
      </c>
      <c r="E259" s="2">
        <f ca="1">IFERROR(__xludf.DUMMYFUNCTION("""COMPUTED_VALUE"""),12950)</f>
        <v>12950</v>
      </c>
      <c r="F259" s="2">
        <f ca="1">IFERROR(__xludf.DUMMYFUNCTION("""COMPUTED_VALUE"""),15387600)</f>
        <v>15387600</v>
      </c>
    </row>
    <row r="260" spans="1:6">
      <c r="A260" s="5">
        <f ca="1">IFERROR(__xludf.DUMMYFUNCTION("""COMPUTED_VALUE"""),42391.625)</f>
        <v>42391.625</v>
      </c>
      <c r="B260" s="2">
        <f ca="1">IFERROR(__xludf.DUMMYFUNCTION("""COMPUTED_VALUE"""),13050)</f>
        <v>13050</v>
      </c>
      <c r="C260" s="2">
        <f ca="1">IFERROR(__xludf.DUMMYFUNCTION("""COMPUTED_VALUE"""),13100)</f>
        <v>13100</v>
      </c>
      <c r="D260" s="2">
        <f ca="1">IFERROR(__xludf.DUMMYFUNCTION("""COMPUTED_VALUE"""),12950)</f>
        <v>12950</v>
      </c>
      <c r="E260" s="2">
        <f ca="1">IFERROR(__xludf.DUMMYFUNCTION("""COMPUTED_VALUE"""),13000)</f>
        <v>13000</v>
      </c>
      <c r="F260" s="2">
        <f ca="1">IFERROR(__xludf.DUMMYFUNCTION("""COMPUTED_VALUE"""),14302200)</f>
        <v>14302200</v>
      </c>
    </row>
    <row r="261" spans="1:6">
      <c r="A261" s="5">
        <f ca="1">IFERROR(__xludf.DUMMYFUNCTION("""COMPUTED_VALUE"""),42394.625)</f>
        <v>42394.625</v>
      </c>
      <c r="B261" s="2">
        <f ca="1">IFERROR(__xludf.DUMMYFUNCTION("""COMPUTED_VALUE"""),13200)</f>
        <v>13200</v>
      </c>
      <c r="C261" s="2">
        <f ca="1">IFERROR(__xludf.DUMMYFUNCTION("""COMPUTED_VALUE"""),13225)</f>
        <v>13225</v>
      </c>
      <c r="D261" s="2">
        <f ca="1">IFERROR(__xludf.DUMMYFUNCTION("""COMPUTED_VALUE"""),13025)</f>
        <v>13025</v>
      </c>
      <c r="E261" s="2">
        <f ca="1">IFERROR(__xludf.DUMMYFUNCTION("""COMPUTED_VALUE"""),13125)</f>
        <v>13125</v>
      </c>
      <c r="F261" s="2">
        <f ca="1">IFERROR(__xludf.DUMMYFUNCTION("""COMPUTED_VALUE"""),11367100)</f>
        <v>11367100</v>
      </c>
    </row>
    <row r="262" spans="1:6">
      <c r="A262" s="5">
        <f ca="1">IFERROR(__xludf.DUMMYFUNCTION("""COMPUTED_VALUE"""),42395.625)</f>
        <v>42395.625</v>
      </c>
      <c r="B262" s="2">
        <f ca="1">IFERROR(__xludf.DUMMYFUNCTION("""COMPUTED_VALUE"""),13050)</f>
        <v>13050</v>
      </c>
      <c r="C262" s="2">
        <f ca="1">IFERROR(__xludf.DUMMYFUNCTION("""COMPUTED_VALUE"""),13150)</f>
        <v>13150</v>
      </c>
      <c r="D262" s="2">
        <f ca="1">IFERROR(__xludf.DUMMYFUNCTION("""COMPUTED_VALUE"""),12975)</f>
        <v>12975</v>
      </c>
      <c r="E262" s="2">
        <f ca="1">IFERROR(__xludf.DUMMYFUNCTION("""COMPUTED_VALUE"""),13000)</f>
        <v>13000</v>
      </c>
      <c r="F262" s="2">
        <f ca="1">IFERROR(__xludf.DUMMYFUNCTION("""COMPUTED_VALUE"""),11428600)</f>
        <v>11428600</v>
      </c>
    </row>
    <row r="263" spans="1:6">
      <c r="A263" s="5">
        <f ca="1">IFERROR(__xludf.DUMMYFUNCTION("""COMPUTED_VALUE"""),42396.625)</f>
        <v>42396.625</v>
      </c>
      <c r="B263" s="2">
        <f ca="1">IFERROR(__xludf.DUMMYFUNCTION("""COMPUTED_VALUE"""),13100)</f>
        <v>13100</v>
      </c>
      <c r="C263" s="2">
        <f ca="1">IFERROR(__xludf.DUMMYFUNCTION("""COMPUTED_VALUE"""),13200)</f>
        <v>13200</v>
      </c>
      <c r="D263" s="2">
        <f ca="1">IFERROR(__xludf.DUMMYFUNCTION("""COMPUTED_VALUE"""),13075)</f>
        <v>13075</v>
      </c>
      <c r="E263" s="2">
        <f ca="1">IFERROR(__xludf.DUMMYFUNCTION("""COMPUTED_VALUE"""),13100)</f>
        <v>13100</v>
      </c>
      <c r="F263" s="2">
        <f ca="1">IFERROR(__xludf.DUMMYFUNCTION("""COMPUTED_VALUE"""),24455700)</f>
        <v>24455700</v>
      </c>
    </row>
    <row r="264" spans="1:6">
      <c r="A264" s="5">
        <f ca="1">IFERROR(__xludf.DUMMYFUNCTION("""COMPUTED_VALUE"""),42397.625)</f>
        <v>42397.625</v>
      </c>
      <c r="B264" s="2">
        <f ca="1">IFERROR(__xludf.DUMMYFUNCTION("""COMPUTED_VALUE"""),13100)</f>
        <v>13100</v>
      </c>
      <c r="C264" s="2">
        <f ca="1">IFERROR(__xludf.DUMMYFUNCTION("""COMPUTED_VALUE"""),13275)</f>
        <v>13275</v>
      </c>
      <c r="D264" s="2">
        <f ca="1">IFERROR(__xludf.DUMMYFUNCTION("""COMPUTED_VALUE"""),13100)</f>
        <v>13100</v>
      </c>
      <c r="E264" s="2">
        <f ca="1">IFERROR(__xludf.DUMMYFUNCTION("""COMPUTED_VALUE"""),13150)</f>
        <v>13150</v>
      </c>
      <c r="F264" s="2">
        <f ca="1">IFERROR(__xludf.DUMMYFUNCTION("""COMPUTED_VALUE"""),25354800)</f>
        <v>25354800</v>
      </c>
    </row>
    <row r="265" spans="1:6">
      <c r="A265" s="5">
        <f ca="1">IFERROR(__xludf.DUMMYFUNCTION("""COMPUTED_VALUE"""),42398.625)</f>
        <v>42398.625</v>
      </c>
      <c r="B265" s="2">
        <f ca="1">IFERROR(__xludf.DUMMYFUNCTION("""COMPUTED_VALUE"""),13200)</f>
        <v>13200</v>
      </c>
      <c r="C265" s="2">
        <f ca="1">IFERROR(__xludf.DUMMYFUNCTION("""COMPUTED_VALUE"""),13225)</f>
        <v>13225</v>
      </c>
      <c r="D265" s="2">
        <f ca="1">IFERROR(__xludf.DUMMYFUNCTION("""COMPUTED_VALUE"""),12975)</f>
        <v>12975</v>
      </c>
      <c r="E265" s="2">
        <f ca="1">IFERROR(__xludf.DUMMYFUNCTION("""COMPUTED_VALUE"""),13100)</f>
        <v>13100</v>
      </c>
      <c r="F265" s="2">
        <f ca="1">IFERROR(__xludf.DUMMYFUNCTION("""COMPUTED_VALUE"""),35139600)</f>
        <v>35139600</v>
      </c>
    </row>
    <row r="266" spans="1:6">
      <c r="A266" s="5">
        <f ca="1">IFERROR(__xludf.DUMMYFUNCTION("""COMPUTED_VALUE"""),42401.625)</f>
        <v>42401.625</v>
      </c>
      <c r="B266" s="2">
        <f ca="1">IFERROR(__xludf.DUMMYFUNCTION("""COMPUTED_VALUE"""),13100)</f>
        <v>13100</v>
      </c>
      <c r="C266" s="2">
        <f ca="1">IFERROR(__xludf.DUMMYFUNCTION("""COMPUTED_VALUE"""),13225)</f>
        <v>13225</v>
      </c>
      <c r="D266" s="2">
        <f ca="1">IFERROR(__xludf.DUMMYFUNCTION("""COMPUTED_VALUE"""),12975)</f>
        <v>12975</v>
      </c>
      <c r="E266" s="2">
        <f ca="1">IFERROR(__xludf.DUMMYFUNCTION("""COMPUTED_VALUE"""),13225)</f>
        <v>13225</v>
      </c>
      <c r="F266" s="2">
        <f ca="1">IFERROR(__xludf.DUMMYFUNCTION("""COMPUTED_VALUE"""),17874200)</f>
        <v>17874200</v>
      </c>
    </row>
    <row r="267" spans="1:6">
      <c r="A267" s="5">
        <f ca="1">IFERROR(__xludf.DUMMYFUNCTION("""COMPUTED_VALUE"""),42402.625)</f>
        <v>42402.625</v>
      </c>
      <c r="B267" s="2">
        <f ca="1">IFERROR(__xludf.DUMMYFUNCTION("""COMPUTED_VALUE"""),13225)</f>
        <v>13225</v>
      </c>
      <c r="C267" s="2">
        <f ca="1">IFERROR(__xludf.DUMMYFUNCTION("""COMPUTED_VALUE"""),13225)</f>
        <v>13225</v>
      </c>
      <c r="D267" s="2">
        <f ca="1">IFERROR(__xludf.DUMMYFUNCTION("""COMPUTED_VALUE"""),13075)</f>
        <v>13075</v>
      </c>
      <c r="E267" s="2">
        <f ca="1">IFERROR(__xludf.DUMMYFUNCTION("""COMPUTED_VALUE"""),13100)</f>
        <v>13100</v>
      </c>
      <c r="F267" s="2">
        <f ca="1">IFERROR(__xludf.DUMMYFUNCTION("""COMPUTED_VALUE"""),19326200)</f>
        <v>19326200</v>
      </c>
    </row>
    <row r="268" spans="1:6">
      <c r="A268" s="5">
        <f ca="1">IFERROR(__xludf.DUMMYFUNCTION("""COMPUTED_VALUE"""),42403.625)</f>
        <v>42403.625</v>
      </c>
      <c r="B268" s="2">
        <f ca="1">IFERROR(__xludf.DUMMYFUNCTION("""COMPUTED_VALUE"""),13000)</f>
        <v>13000</v>
      </c>
      <c r="C268" s="2">
        <f ca="1">IFERROR(__xludf.DUMMYFUNCTION("""COMPUTED_VALUE"""),13100)</f>
        <v>13100</v>
      </c>
      <c r="D268" s="2">
        <f ca="1">IFERROR(__xludf.DUMMYFUNCTION("""COMPUTED_VALUE"""),12975)</f>
        <v>12975</v>
      </c>
      <c r="E268" s="2">
        <f ca="1">IFERROR(__xludf.DUMMYFUNCTION("""COMPUTED_VALUE"""),13050)</f>
        <v>13050</v>
      </c>
      <c r="F268" s="2">
        <f ca="1">IFERROR(__xludf.DUMMYFUNCTION("""COMPUTED_VALUE"""),13045800)</f>
        <v>13045800</v>
      </c>
    </row>
    <row r="269" spans="1:6">
      <c r="A269" s="5">
        <f ca="1">IFERROR(__xludf.DUMMYFUNCTION("""COMPUTED_VALUE"""),42404.625)</f>
        <v>42404.625</v>
      </c>
      <c r="B269" s="2">
        <f ca="1">IFERROR(__xludf.DUMMYFUNCTION("""COMPUTED_VALUE"""),13000)</f>
        <v>13000</v>
      </c>
      <c r="C269" s="2">
        <f ca="1">IFERROR(__xludf.DUMMYFUNCTION("""COMPUTED_VALUE"""),13250)</f>
        <v>13250</v>
      </c>
      <c r="D269" s="2">
        <f ca="1">IFERROR(__xludf.DUMMYFUNCTION("""COMPUTED_VALUE"""),13000)</f>
        <v>13000</v>
      </c>
      <c r="E269" s="2">
        <f ca="1">IFERROR(__xludf.DUMMYFUNCTION("""COMPUTED_VALUE"""),13150)</f>
        <v>13150</v>
      </c>
      <c r="F269" s="2">
        <f ca="1">IFERROR(__xludf.DUMMYFUNCTION("""COMPUTED_VALUE"""),16574800)</f>
        <v>16574800</v>
      </c>
    </row>
    <row r="270" spans="1:6">
      <c r="A270" s="5">
        <f ca="1">IFERROR(__xludf.DUMMYFUNCTION("""COMPUTED_VALUE"""),42405.625)</f>
        <v>42405.625</v>
      </c>
      <c r="B270" s="2">
        <f ca="1">IFERROR(__xludf.DUMMYFUNCTION("""COMPUTED_VALUE"""),13100)</f>
        <v>13100</v>
      </c>
      <c r="C270" s="2">
        <f ca="1">IFERROR(__xludf.DUMMYFUNCTION("""COMPUTED_VALUE"""),13575)</f>
        <v>13575</v>
      </c>
      <c r="D270" s="2">
        <f ca="1">IFERROR(__xludf.DUMMYFUNCTION("""COMPUTED_VALUE"""),13100)</f>
        <v>13100</v>
      </c>
      <c r="E270" s="2">
        <f ca="1">IFERROR(__xludf.DUMMYFUNCTION("""COMPUTED_VALUE"""),13425)</f>
        <v>13425</v>
      </c>
      <c r="F270" s="2">
        <f ca="1">IFERROR(__xludf.DUMMYFUNCTION("""COMPUTED_VALUE"""),53026700)</f>
        <v>53026700</v>
      </c>
    </row>
    <row r="271" spans="1:6">
      <c r="A271" s="5">
        <f ca="1">IFERROR(__xludf.DUMMYFUNCTION("""COMPUTED_VALUE"""),42409.625)</f>
        <v>42409.625</v>
      </c>
      <c r="B271" s="2">
        <f ca="1">IFERROR(__xludf.DUMMYFUNCTION("""COMPUTED_VALUE"""),13400)</f>
        <v>13400</v>
      </c>
      <c r="C271" s="2">
        <f ca="1">IFERROR(__xludf.DUMMYFUNCTION("""COMPUTED_VALUE"""),13425)</f>
        <v>13425</v>
      </c>
      <c r="D271" s="2">
        <f ca="1">IFERROR(__xludf.DUMMYFUNCTION("""COMPUTED_VALUE"""),13200)</f>
        <v>13200</v>
      </c>
      <c r="E271" s="2">
        <f ca="1">IFERROR(__xludf.DUMMYFUNCTION("""COMPUTED_VALUE"""),13300)</f>
        <v>13300</v>
      </c>
      <c r="F271" s="2">
        <f ca="1">IFERROR(__xludf.DUMMYFUNCTION("""COMPUTED_VALUE"""),10903300)</f>
        <v>10903300</v>
      </c>
    </row>
    <row r="272" spans="1:6">
      <c r="A272" s="5">
        <f ca="1">IFERROR(__xludf.DUMMYFUNCTION("""COMPUTED_VALUE"""),42410.625)</f>
        <v>42410.625</v>
      </c>
      <c r="B272" s="2">
        <f ca="1">IFERROR(__xludf.DUMMYFUNCTION("""COMPUTED_VALUE"""),13250)</f>
        <v>13250</v>
      </c>
      <c r="C272" s="2">
        <f ca="1">IFERROR(__xludf.DUMMYFUNCTION("""COMPUTED_VALUE"""),13400)</f>
        <v>13400</v>
      </c>
      <c r="D272" s="2">
        <f ca="1">IFERROR(__xludf.DUMMYFUNCTION("""COMPUTED_VALUE"""),13250)</f>
        <v>13250</v>
      </c>
      <c r="E272" s="2">
        <f ca="1">IFERROR(__xludf.DUMMYFUNCTION("""COMPUTED_VALUE"""),13275)</f>
        <v>13275</v>
      </c>
      <c r="F272" s="2">
        <f ca="1">IFERROR(__xludf.DUMMYFUNCTION("""COMPUTED_VALUE"""),13800300)</f>
        <v>13800300</v>
      </c>
    </row>
    <row r="273" spans="1:6">
      <c r="A273" s="5">
        <f ca="1">IFERROR(__xludf.DUMMYFUNCTION("""COMPUTED_VALUE"""),42411.625)</f>
        <v>42411.625</v>
      </c>
      <c r="B273" s="2">
        <f ca="1">IFERROR(__xludf.DUMMYFUNCTION("""COMPUTED_VALUE"""),13200)</f>
        <v>13200</v>
      </c>
      <c r="C273" s="2">
        <f ca="1">IFERROR(__xludf.DUMMYFUNCTION("""COMPUTED_VALUE"""),13550)</f>
        <v>13550</v>
      </c>
      <c r="D273" s="2">
        <f ca="1">IFERROR(__xludf.DUMMYFUNCTION("""COMPUTED_VALUE"""),13200)</f>
        <v>13200</v>
      </c>
      <c r="E273" s="2">
        <f ca="1">IFERROR(__xludf.DUMMYFUNCTION("""COMPUTED_VALUE"""),13350)</f>
        <v>13350</v>
      </c>
      <c r="F273" s="2">
        <f ca="1">IFERROR(__xludf.DUMMYFUNCTION("""COMPUTED_VALUE"""),31917200)</f>
        <v>31917200</v>
      </c>
    </row>
    <row r="274" spans="1:6">
      <c r="A274" s="5">
        <f ca="1">IFERROR(__xludf.DUMMYFUNCTION("""COMPUTED_VALUE"""),42412.625)</f>
        <v>42412.625</v>
      </c>
      <c r="B274" s="2">
        <f ca="1">IFERROR(__xludf.DUMMYFUNCTION("""COMPUTED_VALUE"""),13375)</f>
        <v>13375</v>
      </c>
      <c r="C274" s="2">
        <f ca="1">IFERROR(__xludf.DUMMYFUNCTION("""COMPUTED_VALUE"""),13550)</f>
        <v>13550</v>
      </c>
      <c r="D274" s="2">
        <f ca="1">IFERROR(__xludf.DUMMYFUNCTION("""COMPUTED_VALUE"""),13250)</f>
        <v>13250</v>
      </c>
      <c r="E274" s="2">
        <f ca="1">IFERROR(__xludf.DUMMYFUNCTION("""COMPUTED_VALUE"""),13275)</f>
        <v>13275</v>
      </c>
      <c r="F274" s="2">
        <f ca="1">IFERROR(__xludf.DUMMYFUNCTION("""COMPUTED_VALUE"""),24212500)</f>
        <v>24212500</v>
      </c>
    </row>
    <row r="275" spans="1:6">
      <c r="A275" s="5">
        <f ca="1">IFERROR(__xludf.DUMMYFUNCTION("""COMPUTED_VALUE"""),42415.625)</f>
        <v>42415.625</v>
      </c>
      <c r="B275" s="2">
        <f ca="1">IFERROR(__xludf.DUMMYFUNCTION("""COMPUTED_VALUE"""),13400)</f>
        <v>13400</v>
      </c>
      <c r="C275" s="2">
        <f ca="1">IFERROR(__xludf.DUMMYFUNCTION("""COMPUTED_VALUE"""),13450)</f>
        <v>13450</v>
      </c>
      <c r="D275" s="2">
        <f ca="1">IFERROR(__xludf.DUMMYFUNCTION("""COMPUTED_VALUE"""),13325)</f>
        <v>13325</v>
      </c>
      <c r="E275" s="2">
        <f ca="1">IFERROR(__xludf.DUMMYFUNCTION("""COMPUTED_VALUE"""),13350)</f>
        <v>13350</v>
      </c>
      <c r="F275" s="2">
        <f ca="1">IFERROR(__xludf.DUMMYFUNCTION("""COMPUTED_VALUE"""),12890500)</f>
        <v>12890500</v>
      </c>
    </row>
    <row r="276" spans="1:6">
      <c r="A276" s="5">
        <f ca="1">IFERROR(__xludf.DUMMYFUNCTION("""COMPUTED_VALUE"""),42416.625)</f>
        <v>42416.625</v>
      </c>
      <c r="B276" s="2">
        <f ca="1">IFERROR(__xludf.DUMMYFUNCTION("""COMPUTED_VALUE"""),13325)</f>
        <v>13325</v>
      </c>
      <c r="C276" s="2">
        <f ca="1">IFERROR(__xludf.DUMMYFUNCTION("""COMPUTED_VALUE"""),13525)</f>
        <v>13525</v>
      </c>
      <c r="D276" s="2">
        <f ca="1">IFERROR(__xludf.DUMMYFUNCTION("""COMPUTED_VALUE"""),13325)</f>
        <v>13325</v>
      </c>
      <c r="E276" s="2">
        <f ca="1">IFERROR(__xludf.DUMMYFUNCTION("""COMPUTED_VALUE"""),13400)</f>
        <v>13400</v>
      </c>
      <c r="F276" s="2">
        <f ca="1">IFERROR(__xludf.DUMMYFUNCTION("""COMPUTED_VALUE"""),20107700)</f>
        <v>20107700</v>
      </c>
    </row>
    <row r="277" spans="1:6">
      <c r="A277" s="5">
        <f ca="1">IFERROR(__xludf.DUMMYFUNCTION("""COMPUTED_VALUE"""),42417.625)</f>
        <v>42417.625</v>
      </c>
      <c r="B277" s="2">
        <f ca="1">IFERROR(__xludf.DUMMYFUNCTION("""COMPUTED_VALUE"""),13400)</f>
        <v>13400</v>
      </c>
      <c r="C277" s="2">
        <f ca="1">IFERROR(__xludf.DUMMYFUNCTION("""COMPUTED_VALUE"""),13475)</f>
        <v>13475</v>
      </c>
      <c r="D277" s="2">
        <f ca="1">IFERROR(__xludf.DUMMYFUNCTION("""COMPUTED_VALUE"""),13350)</f>
        <v>13350</v>
      </c>
      <c r="E277" s="2">
        <f ca="1">IFERROR(__xludf.DUMMYFUNCTION("""COMPUTED_VALUE"""),13400)</f>
        <v>13400</v>
      </c>
      <c r="F277" s="2">
        <f ca="1">IFERROR(__xludf.DUMMYFUNCTION("""COMPUTED_VALUE"""),15281300)</f>
        <v>15281300</v>
      </c>
    </row>
    <row r="278" spans="1:6">
      <c r="A278" s="5">
        <f ca="1">IFERROR(__xludf.DUMMYFUNCTION("""COMPUTED_VALUE"""),42418.625)</f>
        <v>42418.625</v>
      </c>
      <c r="B278" s="2">
        <f ca="1">IFERROR(__xludf.DUMMYFUNCTION("""COMPUTED_VALUE"""),13500)</f>
        <v>13500</v>
      </c>
      <c r="C278" s="2">
        <f ca="1">IFERROR(__xludf.DUMMYFUNCTION("""COMPUTED_VALUE"""),13575)</f>
        <v>13575</v>
      </c>
      <c r="D278" s="2">
        <f ca="1">IFERROR(__xludf.DUMMYFUNCTION("""COMPUTED_VALUE"""),13400)</f>
        <v>13400</v>
      </c>
      <c r="E278" s="2">
        <f ca="1">IFERROR(__xludf.DUMMYFUNCTION("""COMPUTED_VALUE"""),13400)</f>
        <v>13400</v>
      </c>
      <c r="F278" s="2">
        <f ca="1">IFERROR(__xludf.DUMMYFUNCTION("""COMPUTED_VALUE"""),29305700)</f>
        <v>29305700</v>
      </c>
    </row>
    <row r="279" spans="1:6">
      <c r="A279" s="5">
        <f ca="1">IFERROR(__xludf.DUMMYFUNCTION("""COMPUTED_VALUE"""),42419.625)</f>
        <v>42419.625</v>
      </c>
      <c r="B279" s="2">
        <f ca="1">IFERROR(__xludf.DUMMYFUNCTION("""COMPUTED_VALUE"""),13300)</f>
        <v>13300</v>
      </c>
      <c r="C279" s="2">
        <f ca="1">IFERROR(__xludf.DUMMYFUNCTION("""COMPUTED_VALUE"""),13300)</f>
        <v>13300</v>
      </c>
      <c r="D279" s="2">
        <f ca="1">IFERROR(__xludf.DUMMYFUNCTION("""COMPUTED_VALUE"""),12925)</f>
        <v>12925</v>
      </c>
      <c r="E279" s="2">
        <f ca="1">IFERROR(__xludf.DUMMYFUNCTION("""COMPUTED_VALUE"""),13050)</f>
        <v>13050</v>
      </c>
      <c r="F279" s="2">
        <f ca="1">IFERROR(__xludf.DUMMYFUNCTION("""COMPUTED_VALUE"""),29542400)</f>
        <v>29542400</v>
      </c>
    </row>
    <row r="280" spans="1:6">
      <c r="A280" s="5">
        <f ca="1">IFERROR(__xludf.DUMMYFUNCTION("""COMPUTED_VALUE"""),42422.625)</f>
        <v>42422.625</v>
      </c>
      <c r="B280" s="2">
        <f ca="1">IFERROR(__xludf.DUMMYFUNCTION("""COMPUTED_VALUE"""),13025)</f>
        <v>13025</v>
      </c>
      <c r="C280" s="2">
        <f ca="1">IFERROR(__xludf.DUMMYFUNCTION("""COMPUTED_VALUE"""),13250)</f>
        <v>13250</v>
      </c>
      <c r="D280" s="2">
        <f ca="1">IFERROR(__xludf.DUMMYFUNCTION("""COMPUTED_VALUE"""),13000)</f>
        <v>13000</v>
      </c>
      <c r="E280" s="2">
        <f ca="1">IFERROR(__xludf.DUMMYFUNCTION("""COMPUTED_VALUE"""),13175)</f>
        <v>13175</v>
      </c>
      <c r="F280" s="2">
        <f ca="1">IFERROR(__xludf.DUMMYFUNCTION("""COMPUTED_VALUE"""),11131600)</f>
        <v>11131600</v>
      </c>
    </row>
    <row r="281" spans="1:6">
      <c r="A281" s="5">
        <f ca="1">IFERROR(__xludf.DUMMYFUNCTION("""COMPUTED_VALUE"""),42423.625)</f>
        <v>42423.625</v>
      </c>
      <c r="B281" s="2">
        <f ca="1">IFERROR(__xludf.DUMMYFUNCTION("""COMPUTED_VALUE"""),13200)</f>
        <v>13200</v>
      </c>
      <c r="C281" s="2">
        <f ca="1">IFERROR(__xludf.DUMMYFUNCTION("""COMPUTED_VALUE"""),13275)</f>
        <v>13275</v>
      </c>
      <c r="D281" s="2">
        <f ca="1">IFERROR(__xludf.DUMMYFUNCTION("""COMPUTED_VALUE"""),13025)</f>
        <v>13025</v>
      </c>
      <c r="E281" s="2">
        <f ca="1">IFERROR(__xludf.DUMMYFUNCTION("""COMPUTED_VALUE"""),13100)</f>
        <v>13100</v>
      </c>
      <c r="F281" s="2">
        <f ca="1">IFERROR(__xludf.DUMMYFUNCTION("""COMPUTED_VALUE"""),18498400)</f>
        <v>18498400</v>
      </c>
    </row>
    <row r="282" spans="1:6">
      <c r="A282" s="5">
        <f ca="1">IFERROR(__xludf.DUMMYFUNCTION("""COMPUTED_VALUE"""),42424.625)</f>
        <v>42424.625</v>
      </c>
      <c r="B282" s="2">
        <f ca="1">IFERROR(__xludf.DUMMYFUNCTION("""COMPUTED_VALUE"""),13025)</f>
        <v>13025</v>
      </c>
      <c r="C282" s="2">
        <f ca="1">IFERROR(__xludf.DUMMYFUNCTION("""COMPUTED_VALUE"""),13150)</f>
        <v>13150</v>
      </c>
      <c r="D282" s="2">
        <f ca="1">IFERROR(__xludf.DUMMYFUNCTION("""COMPUTED_VALUE"""),12875)</f>
        <v>12875</v>
      </c>
      <c r="E282" s="2">
        <f ca="1">IFERROR(__xludf.DUMMYFUNCTION("""COMPUTED_VALUE"""),13025)</f>
        <v>13025</v>
      </c>
      <c r="F282" s="2">
        <f ca="1">IFERROR(__xludf.DUMMYFUNCTION("""COMPUTED_VALUE"""),16959900)</f>
        <v>16959900</v>
      </c>
    </row>
    <row r="283" spans="1:6">
      <c r="A283" s="5">
        <f ca="1">IFERROR(__xludf.DUMMYFUNCTION("""COMPUTED_VALUE"""),42425.625)</f>
        <v>42425.625</v>
      </c>
      <c r="B283" s="2">
        <f ca="1">IFERROR(__xludf.DUMMYFUNCTION("""COMPUTED_VALUE"""),13100)</f>
        <v>13100</v>
      </c>
      <c r="C283" s="2">
        <f ca="1">IFERROR(__xludf.DUMMYFUNCTION("""COMPUTED_VALUE"""),13200)</f>
        <v>13200</v>
      </c>
      <c r="D283" s="2">
        <f ca="1">IFERROR(__xludf.DUMMYFUNCTION("""COMPUTED_VALUE"""),13025)</f>
        <v>13025</v>
      </c>
      <c r="E283" s="2">
        <f ca="1">IFERROR(__xludf.DUMMYFUNCTION("""COMPUTED_VALUE"""),13075)</f>
        <v>13075</v>
      </c>
      <c r="F283" s="2">
        <f ca="1">IFERROR(__xludf.DUMMYFUNCTION("""COMPUTED_VALUE"""),14801600)</f>
        <v>14801600</v>
      </c>
    </row>
    <row r="284" spans="1:6">
      <c r="A284" s="5">
        <f ca="1">IFERROR(__xludf.DUMMYFUNCTION("""COMPUTED_VALUE"""),42426.625)</f>
        <v>42426.625</v>
      </c>
      <c r="B284" s="2">
        <f ca="1">IFERROR(__xludf.DUMMYFUNCTION("""COMPUTED_VALUE"""),13150)</f>
        <v>13150</v>
      </c>
      <c r="C284" s="2">
        <f ca="1">IFERROR(__xludf.DUMMYFUNCTION("""COMPUTED_VALUE"""),13500)</f>
        <v>13500</v>
      </c>
      <c r="D284" s="2">
        <f ca="1">IFERROR(__xludf.DUMMYFUNCTION("""COMPUTED_VALUE"""),13150)</f>
        <v>13150</v>
      </c>
      <c r="E284" s="2">
        <f ca="1">IFERROR(__xludf.DUMMYFUNCTION("""COMPUTED_VALUE"""),13350)</f>
        <v>13350</v>
      </c>
      <c r="F284" s="2">
        <f ca="1">IFERROR(__xludf.DUMMYFUNCTION("""COMPUTED_VALUE"""),28235000)</f>
        <v>28235000</v>
      </c>
    </row>
    <row r="285" spans="1:6">
      <c r="A285" s="5">
        <f ca="1">IFERROR(__xludf.DUMMYFUNCTION("""COMPUTED_VALUE"""),42429.625)</f>
        <v>42429.625</v>
      </c>
      <c r="B285" s="2">
        <f ca="1">IFERROR(__xludf.DUMMYFUNCTION("""COMPUTED_VALUE"""),13500)</f>
        <v>13500</v>
      </c>
      <c r="C285" s="2">
        <f ca="1">IFERROR(__xludf.DUMMYFUNCTION("""COMPUTED_VALUE"""),13525)</f>
        <v>13525</v>
      </c>
      <c r="D285" s="2">
        <f ca="1">IFERROR(__xludf.DUMMYFUNCTION("""COMPUTED_VALUE"""),13375)</f>
        <v>13375</v>
      </c>
      <c r="E285" s="2">
        <f ca="1">IFERROR(__xludf.DUMMYFUNCTION("""COMPUTED_VALUE"""),13475)</f>
        <v>13475</v>
      </c>
      <c r="F285" s="2">
        <f ca="1">IFERROR(__xludf.DUMMYFUNCTION("""COMPUTED_VALUE"""),27767400)</f>
        <v>27767400</v>
      </c>
    </row>
    <row r="286" spans="1:6">
      <c r="A286" s="5">
        <f ca="1">IFERROR(__xludf.DUMMYFUNCTION("""COMPUTED_VALUE"""),42430.625)</f>
        <v>42430.625</v>
      </c>
      <c r="B286" s="2">
        <f ca="1">IFERROR(__xludf.DUMMYFUNCTION("""COMPUTED_VALUE"""),13475)</f>
        <v>13475</v>
      </c>
      <c r="C286" s="2">
        <f ca="1">IFERROR(__xludf.DUMMYFUNCTION("""COMPUTED_VALUE"""),13550)</f>
        <v>13550</v>
      </c>
      <c r="D286" s="2">
        <f ca="1">IFERROR(__xludf.DUMMYFUNCTION("""COMPUTED_VALUE"""),13350)</f>
        <v>13350</v>
      </c>
      <c r="E286" s="2">
        <f ca="1">IFERROR(__xludf.DUMMYFUNCTION("""COMPUTED_VALUE"""),13400)</f>
        <v>13400</v>
      </c>
      <c r="F286" s="2">
        <f ca="1">IFERROR(__xludf.DUMMYFUNCTION("""COMPUTED_VALUE"""),15918100)</f>
        <v>15918100</v>
      </c>
    </row>
    <row r="287" spans="1:6">
      <c r="A287" s="5">
        <f ca="1">IFERROR(__xludf.DUMMYFUNCTION("""COMPUTED_VALUE"""),42431.625)</f>
        <v>42431.625</v>
      </c>
      <c r="B287" s="2">
        <f ca="1">IFERROR(__xludf.DUMMYFUNCTION("""COMPUTED_VALUE"""),13525)</f>
        <v>13525</v>
      </c>
      <c r="C287" s="2">
        <f ca="1">IFERROR(__xludf.DUMMYFUNCTION("""COMPUTED_VALUE"""),13550)</f>
        <v>13550</v>
      </c>
      <c r="D287" s="2">
        <f ca="1">IFERROR(__xludf.DUMMYFUNCTION("""COMPUTED_VALUE"""),13325)</f>
        <v>13325</v>
      </c>
      <c r="E287" s="2">
        <f ca="1">IFERROR(__xludf.DUMMYFUNCTION("""COMPUTED_VALUE"""),13450)</f>
        <v>13450</v>
      </c>
      <c r="F287" s="2">
        <f ca="1">IFERROR(__xludf.DUMMYFUNCTION("""COMPUTED_VALUE"""),25213900)</f>
        <v>25213900</v>
      </c>
    </row>
    <row r="288" spans="1:6">
      <c r="A288" s="5">
        <f ca="1">IFERROR(__xludf.DUMMYFUNCTION("""COMPUTED_VALUE"""),42432.625)</f>
        <v>42432.625</v>
      </c>
      <c r="B288" s="2">
        <f ca="1">IFERROR(__xludf.DUMMYFUNCTION("""COMPUTED_VALUE"""),13425)</f>
        <v>13425</v>
      </c>
      <c r="C288" s="2">
        <f ca="1">IFERROR(__xludf.DUMMYFUNCTION("""COMPUTED_VALUE"""),13550)</f>
        <v>13550</v>
      </c>
      <c r="D288" s="2">
        <f ca="1">IFERROR(__xludf.DUMMYFUNCTION("""COMPUTED_VALUE"""),13425)</f>
        <v>13425</v>
      </c>
      <c r="E288" s="2">
        <f ca="1">IFERROR(__xludf.DUMMYFUNCTION("""COMPUTED_VALUE"""),13525)</f>
        <v>13525</v>
      </c>
      <c r="F288" s="2">
        <f ca="1">IFERROR(__xludf.DUMMYFUNCTION("""COMPUTED_VALUE"""),23011500)</f>
        <v>23011500</v>
      </c>
    </row>
    <row r="289" spans="1:6">
      <c r="A289" s="5">
        <f ca="1">IFERROR(__xludf.DUMMYFUNCTION("""COMPUTED_VALUE"""),42433.625)</f>
        <v>42433.625</v>
      </c>
      <c r="B289" s="2">
        <f ca="1">IFERROR(__xludf.DUMMYFUNCTION("""COMPUTED_VALUE"""),13600)</f>
        <v>13600</v>
      </c>
      <c r="C289" s="2">
        <f ca="1">IFERROR(__xludf.DUMMYFUNCTION("""COMPUTED_VALUE"""),13700)</f>
        <v>13700</v>
      </c>
      <c r="D289" s="2">
        <f ca="1">IFERROR(__xludf.DUMMYFUNCTION("""COMPUTED_VALUE"""),13525)</f>
        <v>13525</v>
      </c>
      <c r="E289" s="2">
        <f ca="1">IFERROR(__xludf.DUMMYFUNCTION("""COMPUTED_VALUE"""),13575)</f>
        <v>13575</v>
      </c>
      <c r="F289" s="2">
        <f ca="1">IFERROR(__xludf.DUMMYFUNCTION("""COMPUTED_VALUE"""),20469400)</f>
        <v>20469400</v>
      </c>
    </row>
    <row r="290" spans="1:6">
      <c r="A290" s="5">
        <f ca="1">IFERROR(__xludf.DUMMYFUNCTION("""COMPUTED_VALUE"""),42436.625)</f>
        <v>42436.625</v>
      </c>
      <c r="B290" s="2">
        <f ca="1">IFERROR(__xludf.DUMMYFUNCTION("""COMPUTED_VALUE"""),13600)</f>
        <v>13600</v>
      </c>
      <c r="C290" s="2">
        <f ca="1">IFERROR(__xludf.DUMMYFUNCTION("""COMPUTED_VALUE"""),13650)</f>
        <v>13650</v>
      </c>
      <c r="D290" s="2">
        <f ca="1">IFERROR(__xludf.DUMMYFUNCTION("""COMPUTED_VALUE"""),13500)</f>
        <v>13500</v>
      </c>
      <c r="E290" s="2">
        <f ca="1">IFERROR(__xludf.DUMMYFUNCTION("""COMPUTED_VALUE"""),13575)</f>
        <v>13575</v>
      </c>
      <c r="F290" s="2">
        <f ca="1">IFERROR(__xludf.DUMMYFUNCTION("""COMPUTED_VALUE"""),21124600)</f>
        <v>21124600</v>
      </c>
    </row>
    <row r="291" spans="1:6">
      <c r="A291" s="5">
        <f ca="1">IFERROR(__xludf.DUMMYFUNCTION("""COMPUTED_VALUE"""),42437.625)</f>
        <v>42437.625</v>
      </c>
      <c r="B291" s="2">
        <f ca="1">IFERROR(__xludf.DUMMYFUNCTION("""COMPUTED_VALUE"""),13500)</f>
        <v>13500</v>
      </c>
      <c r="C291" s="2">
        <f ca="1">IFERROR(__xludf.DUMMYFUNCTION("""COMPUTED_VALUE"""),13575)</f>
        <v>13575</v>
      </c>
      <c r="D291" s="2">
        <f ca="1">IFERROR(__xludf.DUMMYFUNCTION("""COMPUTED_VALUE"""),13200)</f>
        <v>13200</v>
      </c>
      <c r="E291" s="2">
        <f ca="1">IFERROR(__xludf.DUMMYFUNCTION("""COMPUTED_VALUE"""),13400)</f>
        <v>13400</v>
      </c>
      <c r="F291" s="2">
        <f ca="1">IFERROR(__xludf.DUMMYFUNCTION("""COMPUTED_VALUE"""),22024400)</f>
        <v>22024400</v>
      </c>
    </row>
    <row r="292" spans="1:6">
      <c r="A292" s="5">
        <f ca="1">IFERROR(__xludf.DUMMYFUNCTION("""COMPUTED_VALUE"""),42439.625)</f>
        <v>42439.625</v>
      </c>
      <c r="B292" s="2">
        <f ca="1">IFERROR(__xludf.DUMMYFUNCTION("""COMPUTED_VALUE"""),13325)</f>
        <v>13325</v>
      </c>
      <c r="C292" s="2">
        <f ca="1">IFERROR(__xludf.DUMMYFUNCTION("""COMPUTED_VALUE"""),13450)</f>
        <v>13450</v>
      </c>
      <c r="D292" s="2">
        <f ca="1">IFERROR(__xludf.DUMMYFUNCTION("""COMPUTED_VALUE"""),13150)</f>
        <v>13150</v>
      </c>
      <c r="E292" s="2">
        <f ca="1">IFERROR(__xludf.DUMMYFUNCTION("""COMPUTED_VALUE"""),13400)</f>
        <v>13400</v>
      </c>
      <c r="F292" s="2">
        <f ca="1">IFERROR(__xludf.DUMMYFUNCTION("""COMPUTED_VALUE"""),21814700)</f>
        <v>21814700</v>
      </c>
    </row>
    <row r="293" spans="1:6">
      <c r="A293" s="5">
        <f ca="1">IFERROR(__xludf.DUMMYFUNCTION("""COMPUTED_VALUE"""),42440.625)</f>
        <v>42440.625</v>
      </c>
      <c r="B293" s="2">
        <f ca="1">IFERROR(__xludf.DUMMYFUNCTION("""COMPUTED_VALUE"""),13300)</f>
        <v>13300</v>
      </c>
      <c r="C293" s="2">
        <f ca="1">IFERROR(__xludf.DUMMYFUNCTION("""COMPUTED_VALUE"""),13475)</f>
        <v>13475</v>
      </c>
      <c r="D293" s="2">
        <f ca="1">IFERROR(__xludf.DUMMYFUNCTION("""COMPUTED_VALUE"""),13275)</f>
        <v>13275</v>
      </c>
      <c r="E293" s="2">
        <f ca="1">IFERROR(__xludf.DUMMYFUNCTION("""COMPUTED_VALUE"""),13450)</f>
        <v>13450</v>
      </c>
      <c r="F293" s="2">
        <f ca="1">IFERROR(__xludf.DUMMYFUNCTION("""COMPUTED_VALUE"""),16441900)</f>
        <v>16441900</v>
      </c>
    </row>
    <row r="294" spans="1:6">
      <c r="A294" s="5">
        <f ca="1">IFERROR(__xludf.DUMMYFUNCTION("""COMPUTED_VALUE"""),42443.625)</f>
        <v>42443.625</v>
      </c>
      <c r="B294" s="2">
        <f ca="1">IFERROR(__xludf.DUMMYFUNCTION("""COMPUTED_VALUE"""),13450)</f>
        <v>13450</v>
      </c>
      <c r="C294" s="2">
        <f ca="1">IFERROR(__xludf.DUMMYFUNCTION("""COMPUTED_VALUE"""),13575)</f>
        <v>13575</v>
      </c>
      <c r="D294" s="2">
        <f ca="1">IFERROR(__xludf.DUMMYFUNCTION("""COMPUTED_VALUE"""),13400)</f>
        <v>13400</v>
      </c>
      <c r="E294" s="2">
        <f ca="1">IFERROR(__xludf.DUMMYFUNCTION("""COMPUTED_VALUE"""),13525)</f>
        <v>13525</v>
      </c>
      <c r="F294" s="2">
        <f ca="1">IFERROR(__xludf.DUMMYFUNCTION("""COMPUTED_VALUE"""),12354300)</f>
        <v>12354300</v>
      </c>
    </row>
    <row r="295" spans="1:6">
      <c r="A295" s="5">
        <f ca="1">IFERROR(__xludf.DUMMYFUNCTION("""COMPUTED_VALUE"""),42444.625)</f>
        <v>42444.625</v>
      </c>
      <c r="B295" s="2">
        <f ca="1">IFERROR(__xludf.DUMMYFUNCTION("""COMPUTED_VALUE"""),13575)</f>
        <v>13575</v>
      </c>
      <c r="C295" s="2">
        <f ca="1">IFERROR(__xludf.DUMMYFUNCTION("""COMPUTED_VALUE"""),13600)</f>
        <v>13600</v>
      </c>
      <c r="D295" s="2">
        <f ca="1">IFERROR(__xludf.DUMMYFUNCTION("""COMPUTED_VALUE"""),13500)</f>
        <v>13500</v>
      </c>
      <c r="E295" s="2">
        <f ca="1">IFERROR(__xludf.DUMMYFUNCTION("""COMPUTED_VALUE"""),13575)</f>
        <v>13575</v>
      </c>
      <c r="F295" s="2">
        <f ca="1">IFERROR(__xludf.DUMMYFUNCTION("""COMPUTED_VALUE"""),14014400)</f>
        <v>14014400</v>
      </c>
    </row>
    <row r="296" spans="1:6">
      <c r="A296" s="5">
        <f ca="1">IFERROR(__xludf.DUMMYFUNCTION("""COMPUTED_VALUE"""),42445.625)</f>
        <v>42445.625</v>
      </c>
      <c r="B296" s="2">
        <f ca="1">IFERROR(__xludf.DUMMYFUNCTION("""COMPUTED_VALUE"""),13600)</f>
        <v>13600</v>
      </c>
      <c r="C296" s="2">
        <f ca="1">IFERROR(__xludf.DUMMYFUNCTION("""COMPUTED_VALUE"""),13625)</f>
        <v>13625</v>
      </c>
      <c r="D296" s="2">
        <f ca="1">IFERROR(__xludf.DUMMYFUNCTION("""COMPUTED_VALUE"""),13525)</f>
        <v>13525</v>
      </c>
      <c r="E296" s="2">
        <f ca="1">IFERROR(__xludf.DUMMYFUNCTION("""COMPUTED_VALUE"""),13600)</f>
        <v>13600</v>
      </c>
      <c r="F296" s="2">
        <f ca="1">IFERROR(__xludf.DUMMYFUNCTION("""COMPUTED_VALUE"""),14411600)</f>
        <v>14411600</v>
      </c>
    </row>
    <row r="297" spans="1:6">
      <c r="A297" s="5">
        <f ca="1">IFERROR(__xludf.DUMMYFUNCTION("""COMPUTED_VALUE"""),42446.625)</f>
        <v>42446.625</v>
      </c>
      <c r="B297" s="2">
        <f ca="1">IFERROR(__xludf.DUMMYFUNCTION("""COMPUTED_VALUE"""),13675)</f>
        <v>13675</v>
      </c>
      <c r="C297" s="2">
        <f ca="1">IFERROR(__xludf.DUMMYFUNCTION("""COMPUTED_VALUE"""),13850)</f>
        <v>13850</v>
      </c>
      <c r="D297" s="2">
        <f ca="1">IFERROR(__xludf.DUMMYFUNCTION("""COMPUTED_VALUE"""),13625)</f>
        <v>13625</v>
      </c>
      <c r="E297" s="2">
        <f ca="1">IFERROR(__xludf.DUMMYFUNCTION("""COMPUTED_VALUE"""),13725)</f>
        <v>13725</v>
      </c>
      <c r="F297" s="2">
        <f ca="1">IFERROR(__xludf.DUMMYFUNCTION("""COMPUTED_VALUE"""),25074200)</f>
        <v>25074200</v>
      </c>
    </row>
    <row r="298" spans="1:6">
      <c r="A298" s="5">
        <f ca="1">IFERROR(__xludf.DUMMYFUNCTION("""COMPUTED_VALUE"""),42447.625)</f>
        <v>42447.625</v>
      </c>
      <c r="B298" s="2">
        <f ca="1">IFERROR(__xludf.DUMMYFUNCTION("""COMPUTED_VALUE"""),13650)</f>
        <v>13650</v>
      </c>
      <c r="C298" s="2">
        <f ca="1">IFERROR(__xludf.DUMMYFUNCTION("""COMPUTED_VALUE"""),13925)</f>
        <v>13925</v>
      </c>
      <c r="D298" s="2">
        <f ca="1">IFERROR(__xludf.DUMMYFUNCTION("""COMPUTED_VALUE"""),13550)</f>
        <v>13550</v>
      </c>
      <c r="E298" s="2">
        <f ca="1">IFERROR(__xludf.DUMMYFUNCTION("""COMPUTED_VALUE"""),13700)</f>
        <v>13700</v>
      </c>
      <c r="F298" s="2">
        <f ca="1">IFERROR(__xludf.DUMMYFUNCTION("""COMPUTED_VALUE"""),24191000)</f>
        <v>24191000</v>
      </c>
    </row>
    <row r="299" spans="1:6">
      <c r="A299" s="5">
        <f ca="1">IFERROR(__xludf.DUMMYFUNCTION("""COMPUTED_VALUE"""),42450.625)</f>
        <v>42450.625</v>
      </c>
      <c r="B299" s="2">
        <f ca="1">IFERROR(__xludf.DUMMYFUNCTION("""COMPUTED_VALUE"""),13700)</f>
        <v>13700</v>
      </c>
      <c r="C299" s="2">
        <f ca="1">IFERROR(__xludf.DUMMYFUNCTION("""COMPUTED_VALUE"""),13900)</f>
        <v>13900</v>
      </c>
      <c r="D299" s="2">
        <f ca="1">IFERROR(__xludf.DUMMYFUNCTION("""COMPUTED_VALUE"""),13650)</f>
        <v>13650</v>
      </c>
      <c r="E299" s="2">
        <f ca="1">IFERROR(__xludf.DUMMYFUNCTION("""COMPUTED_VALUE"""),13775)</f>
        <v>13775</v>
      </c>
      <c r="F299" s="2">
        <f ca="1">IFERROR(__xludf.DUMMYFUNCTION("""COMPUTED_VALUE"""),9244800)</f>
        <v>9244800</v>
      </c>
    </row>
    <row r="300" spans="1:6">
      <c r="A300" s="5">
        <f ca="1">IFERROR(__xludf.DUMMYFUNCTION("""COMPUTED_VALUE"""),42451.625)</f>
        <v>42451.625</v>
      </c>
      <c r="B300" s="2">
        <f ca="1">IFERROR(__xludf.DUMMYFUNCTION("""COMPUTED_VALUE"""),13750)</f>
        <v>13750</v>
      </c>
      <c r="C300" s="2">
        <f ca="1">IFERROR(__xludf.DUMMYFUNCTION("""COMPUTED_VALUE"""),13750)</f>
        <v>13750</v>
      </c>
      <c r="D300" s="2">
        <f ca="1">IFERROR(__xludf.DUMMYFUNCTION("""COMPUTED_VALUE"""),13575)</f>
        <v>13575</v>
      </c>
      <c r="E300" s="2">
        <f ca="1">IFERROR(__xludf.DUMMYFUNCTION("""COMPUTED_VALUE"""),13650)</f>
        <v>13650</v>
      </c>
      <c r="F300" s="2">
        <f ca="1">IFERROR(__xludf.DUMMYFUNCTION("""COMPUTED_VALUE"""),9486800)</f>
        <v>9486800</v>
      </c>
    </row>
    <row r="301" spans="1:6">
      <c r="A301" s="5">
        <f ca="1">IFERROR(__xludf.DUMMYFUNCTION("""COMPUTED_VALUE"""),42452.625)</f>
        <v>42452.625</v>
      </c>
      <c r="B301" s="2">
        <f ca="1">IFERROR(__xludf.DUMMYFUNCTION("""COMPUTED_VALUE"""),13650)</f>
        <v>13650</v>
      </c>
      <c r="C301" s="2">
        <f ca="1">IFERROR(__xludf.DUMMYFUNCTION("""COMPUTED_VALUE"""),13650)</f>
        <v>13650</v>
      </c>
      <c r="D301" s="2">
        <f ca="1">IFERROR(__xludf.DUMMYFUNCTION("""COMPUTED_VALUE"""),13425)</f>
        <v>13425</v>
      </c>
      <c r="E301" s="2">
        <f ca="1">IFERROR(__xludf.DUMMYFUNCTION("""COMPUTED_VALUE"""),13500)</f>
        <v>13500</v>
      </c>
      <c r="F301" s="2">
        <f ca="1">IFERROR(__xludf.DUMMYFUNCTION("""COMPUTED_VALUE"""),10425600)</f>
        <v>10425600</v>
      </c>
    </row>
    <row r="302" spans="1:6">
      <c r="A302" s="5">
        <f ca="1">IFERROR(__xludf.DUMMYFUNCTION("""COMPUTED_VALUE"""),42453.625)</f>
        <v>42453.625</v>
      </c>
      <c r="B302" s="2">
        <f ca="1">IFERROR(__xludf.DUMMYFUNCTION("""COMPUTED_VALUE"""),13400)</f>
        <v>13400</v>
      </c>
      <c r="C302" s="2">
        <f ca="1">IFERROR(__xludf.DUMMYFUNCTION("""COMPUTED_VALUE"""),13450)</f>
        <v>13450</v>
      </c>
      <c r="D302" s="2">
        <f ca="1">IFERROR(__xludf.DUMMYFUNCTION("""COMPUTED_VALUE"""),13250)</f>
        <v>13250</v>
      </c>
      <c r="E302" s="2">
        <f ca="1">IFERROR(__xludf.DUMMYFUNCTION("""COMPUTED_VALUE"""),13325)</f>
        <v>13325</v>
      </c>
      <c r="F302" s="2">
        <f ca="1">IFERROR(__xludf.DUMMYFUNCTION("""COMPUTED_VALUE"""),14642900)</f>
        <v>14642900</v>
      </c>
    </row>
    <row r="303" spans="1:6">
      <c r="A303" s="5">
        <f ca="1">IFERROR(__xludf.DUMMYFUNCTION("""COMPUTED_VALUE"""),42457.625)</f>
        <v>42457.625</v>
      </c>
      <c r="B303" s="2">
        <f ca="1">IFERROR(__xludf.DUMMYFUNCTION("""COMPUTED_VALUE"""),13325)</f>
        <v>13325</v>
      </c>
      <c r="C303" s="2">
        <f ca="1">IFERROR(__xludf.DUMMYFUNCTION("""COMPUTED_VALUE"""),13325)</f>
        <v>13325</v>
      </c>
      <c r="D303" s="2">
        <f ca="1">IFERROR(__xludf.DUMMYFUNCTION("""COMPUTED_VALUE"""),13050)</f>
        <v>13050</v>
      </c>
      <c r="E303" s="2">
        <f ca="1">IFERROR(__xludf.DUMMYFUNCTION("""COMPUTED_VALUE"""),13175)</f>
        <v>13175</v>
      </c>
      <c r="F303" s="2">
        <f ca="1">IFERROR(__xludf.DUMMYFUNCTION("""COMPUTED_VALUE"""),11965900)</f>
        <v>11965900</v>
      </c>
    </row>
    <row r="304" spans="1:6">
      <c r="A304" s="5">
        <f ca="1">IFERROR(__xludf.DUMMYFUNCTION("""COMPUTED_VALUE"""),42458.625)</f>
        <v>42458.625</v>
      </c>
      <c r="B304" s="2">
        <f ca="1">IFERROR(__xludf.DUMMYFUNCTION("""COMPUTED_VALUE"""),13175)</f>
        <v>13175</v>
      </c>
      <c r="C304" s="2">
        <f ca="1">IFERROR(__xludf.DUMMYFUNCTION("""COMPUTED_VALUE"""),13225)</f>
        <v>13225</v>
      </c>
      <c r="D304" s="2">
        <f ca="1">IFERROR(__xludf.DUMMYFUNCTION("""COMPUTED_VALUE"""),13075)</f>
        <v>13075</v>
      </c>
      <c r="E304" s="2">
        <f ca="1">IFERROR(__xludf.DUMMYFUNCTION("""COMPUTED_VALUE"""),13075)</f>
        <v>13075</v>
      </c>
      <c r="F304" s="2">
        <f ca="1">IFERROR(__xludf.DUMMYFUNCTION("""COMPUTED_VALUE"""),17764500)</f>
        <v>17764500</v>
      </c>
    </row>
    <row r="305" spans="1:6">
      <c r="A305" s="5">
        <f ca="1">IFERROR(__xludf.DUMMYFUNCTION("""COMPUTED_VALUE"""),42459.625)</f>
        <v>42459.625</v>
      </c>
      <c r="B305" s="2">
        <f ca="1">IFERROR(__xludf.DUMMYFUNCTION("""COMPUTED_VALUE"""),13125)</f>
        <v>13125</v>
      </c>
      <c r="C305" s="2">
        <f ca="1">IFERROR(__xludf.DUMMYFUNCTION("""COMPUTED_VALUE"""),13450)</f>
        <v>13450</v>
      </c>
      <c r="D305" s="2">
        <f ca="1">IFERROR(__xludf.DUMMYFUNCTION("""COMPUTED_VALUE"""),13125)</f>
        <v>13125</v>
      </c>
      <c r="E305" s="2">
        <f ca="1">IFERROR(__xludf.DUMMYFUNCTION("""COMPUTED_VALUE"""),13125)</f>
        <v>13125</v>
      </c>
      <c r="F305" s="2">
        <f ca="1">IFERROR(__xludf.DUMMYFUNCTION("""COMPUTED_VALUE"""),27417200)</f>
        <v>27417200</v>
      </c>
    </row>
    <row r="306" spans="1:6">
      <c r="A306" s="5">
        <f ca="1">IFERROR(__xludf.DUMMYFUNCTION("""COMPUTED_VALUE"""),42460.625)</f>
        <v>42460.625</v>
      </c>
      <c r="B306" s="2">
        <f ca="1">IFERROR(__xludf.DUMMYFUNCTION("""COMPUTED_VALUE"""),13275)</f>
        <v>13275</v>
      </c>
      <c r="C306" s="2">
        <f ca="1">IFERROR(__xludf.DUMMYFUNCTION("""COMPUTED_VALUE"""),13325)</f>
        <v>13325</v>
      </c>
      <c r="D306" s="2">
        <f ca="1">IFERROR(__xludf.DUMMYFUNCTION("""COMPUTED_VALUE"""),13175)</f>
        <v>13175</v>
      </c>
      <c r="E306" s="2">
        <f ca="1">IFERROR(__xludf.DUMMYFUNCTION("""COMPUTED_VALUE"""),13300)</f>
        <v>13300</v>
      </c>
      <c r="F306" s="2">
        <f ca="1">IFERROR(__xludf.DUMMYFUNCTION("""COMPUTED_VALUE"""),21590200)</f>
        <v>21590200</v>
      </c>
    </row>
    <row r="307" spans="1:6">
      <c r="A307" s="5">
        <f ca="1">IFERROR(__xludf.DUMMYFUNCTION("""COMPUTED_VALUE"""),42461.625)</f>
        <v>42461.625</v>
      </c>
      <c r="B307" s="2">
        <f ca="1">IFERROR(__xludf.DUMMYFUNCTION("""COMPUTED_VALUE"""),13300)</f>
        <v>13300</v>
      </c>
      <c r="C307" s="2">
        <f ca="1">IFERROR(__xludf.DUMMYFUNCTION("""COMPUTED_VALUE"""),13325)</f>
        <v>13325</v>
      </c>
      <c r="D307" s="2">
        <f ca="1">IFERROR(__xludf.DUMMYFUNCTION("""COMPUTED_VALUE"""),13200)</f>
        <v>13200</v>
      </c>
      <c r="E307" s="2">
        <f ca="1">IFERROR(__xludf.DUMMYFUNCTION("""COMPUTED_VALUE"""),13300)</f>
        <v>13300</v>
      </c>
      <c r="F307" s="2">
        <f ca="1">IFERROR(__xludf.DUMMYFUNCTION("""COMPUTED_VALUE"""),14760500)</f>
        <v>14760500</v>
      </c>
    </row>
    <row r="308" spans="1:6">
      <c r="A308" s="5">
        <f ca="1">IFERROR(__xludf.DUMMYFUNCTION("""COMPUTED_VALUE"""),42464.625)</f>
        <v>42464.625</v>
      </c>
      <c r="B308" s="2">
        <f ca="1">IFERROR(__xludf.DUMMYFUNCTION("""COMPUTED_VALUE"""),13425)</f>
        <v>13425</v>
      </c>
      <c r="C308" s="2">
        <f ca="1">IFERROR(__xludf.DUMMYFUNCTION("""COMPUTED_VALUE"""),13425)</f>
        <v>13425</v>
      </c>
      <c r="D308" s="2">
        <f ca="1">IFERROR(__xludf.DUMMYFUNCTION("""COMPUTED_VALUE"""),13300)</f>
        <v>13300</v>
      </c>
      <c r="E308" s="2">
        <f ca="1">IFERROR(__xludf.DUMMYFUNCTION("""COMPUTED_VALUE"""),13325)</f>
        <v>13325</v>
      </c>
      <c r="F308" s="2">
        <f ca="1">IFERROR(__xludf.DUMMYFUNCTION("""COMPUTED_VALUE"""),9926100)</f>
        <v>9926100</v>
      </c>
    </row>
    <row r="309" spans="1:6">
      <c r="A309" s="5">
        <f ca="1">IFERROR(__xludf.DUMMYFUNCTION("""COMPUTED_VALUE"""),42465.625)</f>
        <v>42465.625</v>
      </c>
      <c r="B309" s="2">
        <f ca="1">IFERROR(__xludf.DUMMYFUNCTION("""COMPUTED_VALUE"""),13325)</f>
        <v>13325</v>
      </c>
      <c r="C309" s="2">
        <f ca="1">IFERROR(__xludf.DUMMYFUNCTION("""COMPUTED_VALUE"""),13450)</f>
        <v>13450</v>
      </c>
      <c r="D309" s="2">
        <f ca="1">IFERROR(__xludf.DUMMYFUNCTION("""COMPUTED_VALUE"""),13300)</f>
        <v>13300</v>
      </c>
      <c r="E309" s="2">
        <f ca="1">IFERROR(__xludf.DUMMYFUNCTION("""COMPUTED_VALUE"""),13325)</f>
        <v>13325</v>
      </c>
      <c r="F309" s="2">
        <f ca="1">IFERROR(__xludf.DUMMYFUNCTION("""COMPUTED_VALUE"""),16740100)</f>
        <v>16740100</v>
      </c>
    </row>
    <row r="310" spans="1:6">
      <c r="A310" s="5">
        <f ca="1">IFERROR(__xludf.DUMMYFUNCTION("""COMPUTED_VALUE"""),42466.625)</f>
        <v>42466.625</v>
      </c>
      <c r="B310" s="2">
        <f ca="1">IFERROR(__xludf.DUMMYFUNCTION("""COMPUTED_VALUE"""),13300)</f>
        <v>13300</v>
      </c>
      <c r="C310" s="2">
        <f ca="1">IFERROR(__xludf.DUMMYFUNCTION("""COMPUTED_VALUE"""),13425)</f>
        <v>13425</v>
      </c>
      <c r="D310" s="2">
        <f ca="1">IFERROR(__xludf.DUMMYFUNCTION("""COMPUTED_VALUE"""),13050)</f>
        <v>13050</v>
      </c>
      <c r="E310" s="2">
        <f ca="1">IFERROR(__xludf.DUMMYFUNCTION("""COMPUTED_VALUE"""),13050)</f>
        <v>13050</v>
      </c>
      <c r="F310" s="2">
        <f ca="1">IFERROR(__xludf.DUMMYFUNCTION("""COMPUTED_VALUE"""),17852800)</f>
        <v>17852800</v>
      </c>
    </row>
    <row r="311" spans="1:6">
      <c r="A311" s="5">
        <f ca="1">IFERROR(__xludf.DUMMYFUNCTION("""COMPUTED_VALUE"""),42467.625)</f>
        <v>42467.625</v>
      </c>
      <c r="B311" s="2">
        <f ca="1">IFERROR(__xludf.DUMMYFUNCTION("""COMPUTED_VALUE"""),13200)</f>
        <v>13200</v>
      </c>
      <c r="C311" s="2">
        <f ca="1">IFERROR(__xludf.DUMMYFUNCTION("""COMPUTED_VALUE"""),13250)</f>
        <v>13250</v>
      </c>
      <c r="D311" s="2">
        <f ca="1">IFERROR(__xludf.DUMMYFUNCTION("""COMPUTED_VALUE"""),13100)</f>
        <v>13100</v>
      </c>
      <c r="E311" s="2">
        <f ca="1">IFERROR(__xludf.DUMMYFUNCTION("""COMPUTED_VALUE"""),13100)</f>
        <v>13100</v>
      </c>
      <c r="F311" s="2">
        <f ca="1">IFERROR(__xludf.DUMMYFUNCTION("""COMPUTED_VALUE"""),20263700)</f>
        <v>20263700</v>
      </c>
    </row>
    <row r="312" spans="1:6">
      <c r="A312" s="5">
        <f ca="1">IFERROR(__xludf.DUMMYFUNCTION("""COMPUTED_VALUE"""),42468.625)</f>
        <v>42468.625</v>
      </c>
      <c r="B312" s="2">
        <f ca="1">IFERROR(__xludf.DUMMYFUNCTION("""COMPUTED_VALUE"""),13100)</f>
        <v>13100</v>
      </c>
      <c r="C312" s="2">
        <f ca="1">IFERROR(__xludf.DUMMYFUNCTION("""COMPUTED_VALUE"""),13200)</f>
        <v>13200</v>
      </c>
      <c r="D312" s="2">
        <f ca="1">IFERROR(__xludf.DUMMYFUNCTION("""COMPUTED_VALUE"""),13075)</f>
        <v>13075</v>
      </c>
      <c r="E312" s="2">
        <f ca="1">IFERROR(__xludf.DUMMYFUNCTION("""COMPUTED_VALUE"""),13075)</f>
        <v>13075</v>
      </c>
      <c r="F312" s="2">
        <f ca="1">IFERROR(__xludf.DUMMYFUNCTION("""COMPUTED_VALUE"""),14094700)</f>
        <v>14094700</v>
      </c>
    </row>
    <row r="313" spans="1:6">
      <c r="A313" s="5">
        <f ca="1">IFERROR(__xludf.DUMMYFUNCTION("""COMPUTED_VALUE"""),42471.625)</f>
        <v>42471.625</v>
      </c>
      <c r="B313" s="2">
        <f ca="1">IFERROR(__xludf.DUMMYFUNCTION("""COMPUTED_VALUE"""),13050)</f>
        <v>13050</v>
      </c>
      <c r="C313" s="2">
        <f ca="1">IFERROR(__xludf.DUMMYFUNCTION("""COMPUTED_VALUE"""),13100)</f>
        <v>13100</v>
      </c>
      <c r="D313" s="2">
        <f ca="1">IFERROR(__xludf.DUMMYFUNCTION("""COMPUTED_VALUE"""),12875)</f>
        <v>12875</v>
      </c>
      <c r="E313" s="2">
        <f ca="1">IFERROR(__xludf.DUMMYFUNCTION("""COMPUTED_VALUE"""),12975)</f>
        <v>12975</v>
      </c>
      <c r="F313" s="2">
        <f ca="1">IFERROR(__xludf.DUMMYFUNCTION("""COMPUTED_VALUE"""),26426100)</f>
        <v>26426100</v>
      </c>
    </row>
    <row r="314" spans="1:6">
      <c r="A314" s="5">
        <f ca="1">IFERROR(__xludf.DUMMYFUNCTION("""COMPUTED_VALUE"""),42472.625)</f>
        <v>42472.625</v>
      </c>
      <c r="B314" s="2">
        <f ca="1">IFERROR(__xludf.DUMMYFUNCTION("""COMPUTED_VALUE"""),13000)</f>
        <v>13000</v>
      </c>
      <c r="C314" s="2">
        <f ca="1">IFERROR(__xludf.DUMMYFUNCTION("""COMPUTED_VALUE"""),13125)</f>
        <v>13125</v>
      </c>
      <c r="D314" s="2">
        <f ca="1">IFERROR(__xludf.DUMMYFUNCTION("""COMPUTED_VALUE"""),12975)</f>
        <v>12975</v>
      </c>
      <c r="E314" s="2">
        <f ca="1">IFERROR(__xludf.DUMMYFUNCTION("""COMPUTED_VALUE"""),13050)</f>
        <v>13050</v>
      </c>
      <c r="F314" s="2">
        <f ca="1">IFERROR(__xludf.DUMMYFUNCTION("""COMPUTED_VALUE"""),11345400)</f>
        <v>11345400</v>
      </c>
    </row>
    <row r="315" spans="1:6">
      <c r="A315" s="5">
        <f ca="1">IFERROR(__xludf.DUMMYFUNCTION("""COMPUTED_VALUE"""),42480.625)</f>
        <v>42480.625</v>
      </c>
      <c r="B315" s="2">
        <f ca="1">IFERROR(__xludf.DUMMYFUNCTION("""COMPUTED_VALUE"""),13025)</f>
        <v>13025</v>
      </c>
      <c r="C315" s="2">
        <f ca="1">IFERROR(__xludf.DUMMYFUNCTION("""COMPUTED_VALUE"""),13150)</f>
        <v>13150</v>
      </c>
      <c r="D315" s="2">
        <f ca="1">IFERROR(__xludf.DUMMYFUNCTION("""COMPUTED_VALUE"""),13000)</f>
        <v>13000</v>
      </c>
      <c r="E315" s="2">
        <f ca="1">IFERROR(__xludf.DUMMYFUNCTION("""COMPUTED_VALUE"""),13100)</f>
        <v>13100</v>
      </c>
      <c r="F315" s="2">
        <f ca="1">IFERROR(__xludf.DUMMYFUNCTION("""COMPUTED_VALUE"""),13862600)</f>
        <v>13862600</v>
      </c>
    </row>
    <row r="316" spans="1:6">
      <c r="A316" s="5">
        <f ca="1">IFERROR(__xludf.DUMMYFUNCTION("""COMPUTED_VALUE"""),42481.625)</f>
        <v>42481.625</v>
      </c>
      <c r="B316" s="2">
        <f ca="1">IFERROR(__xludf.DUMMYFUNCTION("""COMPUTED_VALUE"""),13100)</f>
        <v>13100</v>
      </c>
      <c r="C316" s="2">
        <f ca="1">IFERROR(__xludf.DUMMYFUNCTION("""COMPUTED_VALUE"""),13125)</f>
        <v>13125</v>
      </c>
      <c r="D316" s="2">
        <f ca="1">IFERROR(__xludf.DUMMYFUNCTION("""COMPUTED_VALUE"""),13000)</f>
        <v>13000</v>
      </c>
      <c r="E316" s="2">
        <f ca="1">IFERROR(__xludf.DUMMYFUNCTION("""COMPUTED_VALUE"""),13100)</f>
        <v>13100</v>
      </c>
      <c r="F316" s="2">
        <f ca="1">IFERROR(__xludf.DUMMYFUNCTION("""COMPUTED_VALUE"""),12517200)</f>
        <v>12517200</v>
      </c>
    </row>
    <row r="317" spans="1:6">
      <c r="A317" s="5">
        <f ca="1">IFERROR(__xludf.DUMMYFUNCTION("""COMPUTED_VALUE"""),42482.625)</f>
        <v>42482.625</v>
      </c>
      <c r="B317" s="2">
        <f ca="1">IFERROR(__xludf.DUMMYFUNCTION("""COMPUTED_VALUE"""),13100)</f>
        <v>13100</v>
      </c>
      <c r="C317" s="2">
        <f ca="1">IFERROR(__xludf.DUMMYFUNCTION("""COMPUTED_VALUE"""),13150)</f>
        <v>13150</v>
      </c>
      <c r="D317" s="2">
        <f ca="1">IFERROR(__xludf.DUMMYFUNCTION("""COMPUTED_VALUE"""),13050)</f>
        <v>13050</v>
      </c>
      <c r="E317" s="2">
        <f ca="1">IFERROR(__xludf.DUMMYFUNCTION("""COMPUTED_VALUE"""),13125)</f>
        <v>13125</v>
      </c>
      <c r="F317" s="2">
        <f ca="1">IFERROR(__xludf.DUMMYFUNCTION("""COMPUTED_VALUE"""),7852800)</f>
        <v>7852800</v>
      </c>
    </row>
    <row r="318" spans="1:6">
      <c r="A318" s="5">
        <f ca="1">IFERROR(__xludf.DUMMYFUNCTION("""COMPUTED_VALUE"""),42485.625)</f>
        <v>42485.625</v>
      </c>
      <c r="B318" s="2">
        <f ca="1">IFERROR(__xludf.DUMMYFUNCTION("""COMPUTED_VALUE"""),13100)</f>
        <v>13100</v>
      </c>
      <c r="C318" s="2">
        <f ca="1">IFERROR(__xludf.DUMMYFUNCTION("""COMPUTED_VALUE"""),13125)</f>
        <v>13125</v>
      </c>
      <c r="D318" s="2">
        <f ca="1">IFERROR(__xludf.DUMMYFUNCTION("""COMPUTED_VALUE"""),12925)</f>
        <v>12925</v>
      </c>
      <c r="E318" s="2">
        <f ca="1">IFERROR(__xludf.DUMMYFUNCTION("""COMPUTED_VALUE"""),13100)</f>
        <v>13100</v>
      </c>
      <c r="F318" s="2">
        <f ca="1">IFERROR(__xludf.DUMMYFUNCTION("""COMPUTED_VALUE"""),12415800)</f>
        <v>12415800</v>
      </c>
    </row>
    <row r="319" spans="1:6">
      <c r="A319" s="5">
        <f ca="1">IFERROR(__xludf.DUMMYFUNCTION("""COMPUTED_VALUE"""),42486.625)</f>
        <v>42486.625</v>
      </c>
      <c r="B319" s="2">
        <f ca="1">IFERROR(__xludf.DUMMYFUNCTION("""COMPUTED_VALUE"""),13050)</f>
        <v>13050</v>
      </c>
      <c r="C319" s="2">
        <f ca="1">IFERROR(__xludf.DUMMYFUNCTION("""COMPUTED_VALUE"""),13050)</f>
        <v>13050</v>
      </c>
      <c r="D319" s="2">
        <f ca="1">IFERROR(__xludf.DUMMYFUNCTION("""COMPUTED_VALUE"""),12775)</f>
        <v>12775</v>
      </c>
      <c r="E319" s="2">
        <f ca="1">IFERROR(__xludf.DUMMYFUNCTION("""COMPUTED_VALUE"""),12950)</f>
        <v>12950</v>
      </c>
      <c r="F319" s="2">
        <f ca="1">IFERROR(__xludf.DUMMYFUNCTION("""COMPUTED_VALUE"""),25947500)</f>
        <v>25947500</v>
      </c>
    </row>
    <row r="320" spans="1:6">
      <c r="A320" s="5">
        <f ca="1">IFERROR(__xludf.DUMMYFUNCTION("""COMPUTED_VALUE"""),42487.625)</f>
        <v>42487.625</v>
      </c>
      <c r="B320" s="2">
        <f ca="1">IFERROR(__xludf.DUMMYFUNCTION("""COMPUTED_VALUE"""),12950)</f>
        <v>12950</v>
      </c>
      <c r="C320" s="2">
        <f ca="1">IFERROR(__xludf.DUMMYFUNCTION("""COMPUTED_VALUE"""),13050)</f>
        <v>13050</v>
      </c>
      <c r="D320" s="2">
        <f ca="1">IFERROR(__xludf.DUMMYFUNCTION("""COMPUTED_VALUE"""),12925)</f>
        <v>12925</v>
      </c>
      <c r="E320" s="2">
        <f ca="1">IFERROR(__xludf.DUMMYFUNCTION("""COMPUTED_VALUE"""),13050)</f>
        <v>13050</v>
      </c>
      <c r="F320" s="2">
        <f ca="1">IFERROR(__xludf.DUMMYFUNCTION("""COMPUTED_VALUE"""),12837100)</f>
        <v>12837100</v>
      </c>
    </row>
    <row r="321" spans="1:6">
      <c r="A321" s="5">
        <f ca="1">IFERROR(__xludf.DUMMYFUNCTION("""COMPUTED_VALUE"""),42488.625)</f>
        <v>42488.625</v>
      </c>
      <c r="B321" s="2">
        <f ca="1">IFERROR(__xludf.DUMMYFUNCTION("""COMPUTED_VALUE"""),13125)</f>
        <v>13125</v>
      </c>
      <c r="C321" s="2">
        <f ca="1">IFERROR(__xludf.DUMMYFUNCTION("""COMPUTED_VALUE"""),13175)</f>
        <v>13175</v>
      </c>
      <c r="D321" s="2">
        <f ca="1">IFERROR(__xludf.DUMMYFUNCTION("""COMPUTED_VALUE"""),13000)</f>
        <v>13000</v>
      </c>
      <c r="E321" s="2">
        <f ca="1">IFERROR(__xludf.DUMMYFUNCTION("""COMPUTED_VALUE"""),13025)</f>
        <v>13025</v>
      </c>
      <c r="F321" s="2">
        <f ca="1">IFERROR(__xludf.DUMMYFUNCTION("""COMPUTED_VALUE"""),13770800)</f>
        <v>13770800</v>
      </c>
    </row>
    <row r="322" spans="1:6">
      <c r="A322" s="5">
        <f ca="1">IFERROR(__xludf.DUMMYFUNCTION("""COMPUTED_VALUE"""),42489.625)</f>
        <v>42489.625</v>
      </c>
      <c r="B322" s="2">
        <f ca="1">IFERROR(__xludf.DUMMYFUNCTION("""COMPUTED_VALUE"""),13025)</f>
        <v>13025</v>
      </c>
      <c r="C322" s="2">
        <f ca="1">IFERROR(__xludf.DUMMYFUNCTION("""COMPUTED_VALUE"""),13125)</f>
        <v>13125</v>
      </c>
      <c r="D322" s="2">
        <f ca="1">IFERROR(__xludf.DUMMYFUNCTION("""COMPUTED_VALUE"""),13000)</f>
        <v>13000</v>
      </c>
      <c r="E322" s="2">
        <f ca="1">IFERROR(__xludf.DUMMYFUNCTION("""COMPUTED_VALUE"""),13050)</f>
        <v>13050</v>
      </c>
      <c r="F322" s="2">
        <f ca="1">IFERROR(__xludf.DUMMYFUNCTION("""COMPUTED_VALUE"""),12200300)</f>
        <v>12200300</v>
      </c>
    </row>
    <row r="323" spans="1:6">
      <c r="A323" s="5">
        <f ca="1">IFERROR(__xludf.DUMMYFUNCTION("""COMPUTED_VALUE"""),42492.625)</f>
        <v>42492.625</v>
      </c>
      <c r="B323" s="2">
        <f ca="1">IFERROR(__xludf.DUMMYFUNCTION("""COMPUTED_VALUE"""),13100)</f>
        <v>13100</v>
      </c>
      <c r="C323" s="2">
        <f ca="1">IFERROR(__xludf.DUMMYFUNCTION("""COMPUTED_VALUE"""),13125)</f>
        <v>13125</v>
      </c>
      <c r="D323" s="2">
        <f ca="1">IFERROR(__xludf.DUMMYFUNCTION("""COMPUTED_VALUE"""),12975)</f>
        <v>12975</v>
      </c>
      <c r="E323" s="2">
        <f ca="1">IFERROR(__xludf.DUMMYFUNCTION("""COMPUTED_VALUE"""),13100)</f>
        <v>13100</v>
      </c>
      <c r="F323" s="2">
        <f ca="1">IFERROR(__xludf.DUMMYFUNCTION("""COMPUTED_VALUE"""),5209600)</f>
        <v>5209600</v>
      </c>
    </row>
    <row r="324" spans="1:6">
      <c r="A324" s="5">
        <f ca="1">IFERROR(__xludf.DUMMYFUNCTION("""COMPUTED_VALUE"""),42493.625)</f>
        <v>42493.625</v>
      </c>
      <c r="B324" s="2">
        <f ca="1">IFERROR(__xludf.DUMMYFUNCTION("""COMPUTED_VALUE"""),13125)</f>
        <v>13125</v>
      </c>
      <c r="C324" s="2">
        <f ca="1">IFERROR(__xludf.DUMMYFUNCTION("""COMPUTED_VALUE"""),13175)</f>
        <v>13175</v>
      </c>
      <c r="D324" s="2">
        <f ca="1">IFERROR(__xludf.DUMMYFUNCTION("""COMPUTED_VALUE"""),13025)</f>
        <v>13025</v>
      </c>
      <c r="E324" s="2">
        <f ca="1">IFERROR(__xludf.DUMMYFUNCTION("""COMPUTED_VALUE"""),13050)</f>
        <v>13050</v>
      </c>
      <c r="F324" s="2">
        <f ca="1">IFERROR(__xludf.DUMMYFUNCTION("""COMPUTED_VALUE"""),16444900)</f>
        <v>16444900</v>
      </c>
    </row>
    <row r="325" spans="1:6">
      <c r="A325" s="5">
        <f ca="1">IFERROR(__xludf.DUMMYFUNCTION("""COMPUTED_VALUE"""),42494.625)</f>
        <v>42494.625</v>
      </c>
      <c r="B325" s="2">
        <f ca="1">IFERROR(__xludf.DUMMYFUNCTION("""COMPUTED_VALUE"""),13050)</f>
        <v>13050</v>
      </c>
      <c r="C325" s="2">
        <f ca="1">IFERROR(__xludf.DUMMYFUNCTION("""COMPUTED_VALUE"""),13100)</f>
        <v>13100</v>
      </c>
      <c r="D325" s="2">
        <f ca="1">IFERROR(__xludf.DUMMYFUNCTION("""COMPUTED_VALUE"""),13025)</f>
        <v>13025</v>
      </c>
      <c r="E325" s="2">
        <f ca="1">IFERROR(__xludf.DUMMYFUNCTION("""COMPUTED_VALUE"""),13100)</f>
        <v>13100</v>
      </c>
      <c r="F325" s="2">
        <f ca="1">IFERROR(__xludf.DUMMYFUNCTION("""COMPUTED_VALUE"""),15109000)</f>
        <v>15109000</v>
      </c>
    </row>
    <row r="326" spans="1:6">
      <c r="A326" s="5">
        <f ca="1">IFERROR(__xludf.DUMMYFUNCTION("""COMPUTED_VALUE"""),42499.625)</f>
        <v>42499.625</v>
      </c>
      <c r="B326" s="2">
        <f ca="1">IFERROR(__xludf.DUMMYFUNCTION("""COMPUTED_VALUE"""),13100)</f>
        <v>13100</v>
      </c>
      <c r="C326" s="2">
        <f ca="1">IFERROR(__xludf.DUMMYFUNCTION("""COMPUTED_VALUE"""),13200)</f>
        <v>13200</v>
      </c>
      <c r="D326" s="2">
        <f ca="1">IFERROR(__xludf.DUMMYFUNCTION("""COMPUTED_VALUE"""),13050)</f>
        <v>13050</v>
      </c>
      <c r="E326" s="2">
        <f ca="1">IFERROR(__xludf.DUMMYFUNCTION("""COMPUTED_VALUE"""),13200)</f>
        <v>13200</v>
      </c>
      <c r="F326" s="2">
        <f ca="1">IFERROR(__xludf.DUMMYFUNCTION("""COMPUTED_VALUE"""),15751300)</f>
        <v>15751300</v>
      </c>
    </row>
    <row r="327" spans="1:6">
      <c r="A327" s="5">
        <f ca="1">IFERROR(__xludf.DUMMYFUNCTION("""COMPUTED_VALUE"""),42500.625)</f>
        <v>42500.625</v>
      </c>
      <c r="B327" s="2">
        <f ca="1">IFERROR(__xludf.DUMMYFUNCTION("""COMPUTED_VALUE"""),13050)</f>
        <v>13050</v>
      </c>
      <c r="C327" s="2">
        <f ca="1">IFERROR(__xludf.DUMMYFUNCTION("""COMPUTED_VALUE"""),13300)</f>
        <v>13300</v>
      </c>
      <c r="D327" s="2">
        <f ca="1">IFERROR(__xludf.DUMMYFUNCTION("""COMPUTED_VALUE"""),13050)</f>
        <v>13050</v>
      </c>
      <c r="E327" s="2">
        <f ca="1">IFERROR(__xludf.DUMMYFUNCTION("""COMPUTED_VALUE"""),13175)</f>
        <v>13175</v>
      </c>
      <c r="F327" s="2">
        <f ca="1">IFERROR(__xludf.DUMMYFUNCTION("""COMPUTED_VALUE"""),31665600)</f>
        <v>31665600</v>
      </c>
    </row>
    <row r="328" spans="1:6">
      <c r="A328" s="5">
        <f ca="1">IFERROR(__xludf.DUMMYFUNCTION("""COMPUTED_VALUE"""),42501.625)</f>
        <v>42501.625</v>
      </c>
      <c r="B328" s="2">
        <f ca="1">IFERROR(__xludf.DUMMYFUNCTION("""COMPUTED_VALUE"""),13225)</f>
        <v>13225</v>
      </c>
      <c r="C328" s="2">
        <f ca="1">IFERROR(__xludf.DUMMYFUNCTION("""COMPUTED_VALUE"""),13300)</f>
        <v>13300</v>
      </c>
      <c r="D328" s="2">
        <f ca="1">IFERROR(__xludf.DUMMYFUNCTION("""COMPUTED_VALUE"""),13100)</f>
        <v>13100</v>
      </c>
      <c r="E328" s="2">
        <f ca="1">IFERROR(__xludf.DUMMYFUNCTION("""COMPUTED_VALUE"""),13150)</f>
        <v>13150</v>
      </c>
      <c r="F328" s="2">
        <f ca="1">IFERROR(__xludf.DUMMYFUNCTION("""COMPUTED_VALUE"""),18296000)</f>
        <v>18296000</v>
      </c>
    </row>
    <row r="329" spans="1:6">
      <c r="A329" s="5">
        <f ca="1">IFERROR(__xludf.DUMMYFUNCTION("""COMPUTED_VALUE"""),42502.625)</f>
        <v>42502.625</v>
      </c>
      <c r="B329" s="2">
        <f ca="1">IFERROR(__xludf.DUMMYFUNCTION("""COMPUTED_VALUE"""),13100)</f>
        <v>13100</v>
      </c>
      <c r="C329" s="2">
        <f ca="1">IFERROR(__xludf.DUMMYFUNCTION("""COMPUTED_VALUE"""),13200)</f>
        <v>13200</v>
      </c>
      <c r="D329" s="2">
        <f ca="1">IFERROR(__xludf.DUMMYFUNCTION("""COMPUTED_VALUE"""),13100)</f>
        <v>13100</v>
      </c>
      <c r="E329" s="2">
        <f ca="1">IFERROR(__xludf.DUMMYFUNCTION("""COMPUTED_VALUE"""),13150)</f>
        <v>13150</v>
      </c>
      <c r="F329" s="2">
        <f ca="1">IFERROR(__xludf.DUMMYFUNCTION("""COMPUTED_VALUE"""),8651900)</f>
        <v>8651900</v>
      </c>
    </row>
    <row r="330" spans="1:6">
      <c r="A330" s="5">
        <f ca="1">IFERROR(__xludf.DUMMYFUNCTION("""COMPUTED_VALUE"""),42503.625)</f>
        <v>42503.625</v>
      </c>
      <c r="B330" s="2">
        <f ca="1">IFERROR(__xludf.DUMMYFUNCTION("""COMPUTED_VALUE"""),13000)</f>
        <v>13000</v>
      </c>
      <c r="C330" s="2">
        <f ca="1">IFERROR(__xludf.DUMMYFUNCTION("""COMPUTED_VALUE"""),13200)</f>
        <v>13200</v>
      </c>
      <c r="D330" s="2">
        <f ca="1">IFERROR(__xludf.DUMMYFUNCTION("""COMPUTED_VALUE"""),13000)</f>
        <v>13000</v>
      </c>
      <c r="E330" s="2">
        <f ca="1">IFERROR(__xludf.DUMMYFUNCTION("""COMPUTED_VALUE"""),13150)</f>
        <v>13150</v>
      </c>
      <c r="F330" s="2">
        <f ca="1">IFERROR(__xludf.DUMMYFUNCTION("""COMPUTED_VALUE"""),15137200)</f>
        <v>15137200</v>
      </c>
    </row>
    <row r="331" spans="1:6">
      <c r="A331" s="5">
        <f ca="1">IFERROR(__xludf.DUMMYFUNCTION("""COMPUTED_VALUE"""),42506.625)</f>
        <v>42506.625</v>
      </c>
      <c r="B331" s="2">
        <f ca="1">IFERROR(__xludf.DUMMYFUNCTION("""COMPUTED_VALUE"""),13100)</f>
        <v>13100</v>
      </c>
      <c r="C331" s="2">
        <f ca="1">IFERROR(__xludf.DUMMYFUNCTION("""COMPUTED_VALUE"""),13100)</f>
        <v>13100</v>
      </c>
      <c r="D331" s="2">
        <f ca="1">IFERROR(__xludf.DUMMYFUNCTION("""COMPUTED_VALUE"""),12950)</f>
        <v>12950</v>
      </c>
      <c r="E331" s="2">
        <f ca="1">IFERROR(__xludf.DUMMYFUNCTION("""COMPUTED_VALUE"""),13025)</f>
        <v>13025</v>
      </c>
      <c r="F331" s="2">
        <f ca="1">IFERROR(__xludf.DUMMYFUNCTION("""COMPUTED_VALUE"""),16815400)</f>
        <v>16815400</v>
      </c>
    </row>
    <row r="332" spans="1:6">
      <c r="A332" s="5">
        <f ca="1">IFERROR(__xludf.DUMMYFUNCTION("""COMPUTED_VALUE"""),42507.625)</f>
        <v>42507.625</v>
      </c>
      <c r="B332" s="2">
        <f ca="1">IFERROR(__xludf.DUMMYFUNCTION("""COMPUTED_VALUE"""),13025)</f>
        <v>13025</v>
      </c>
      <c r="C332" s="2">
        <f ca="1">IFERROR(__xludf.DUMMYFUNCTION("""COMPUTED_VALUE"""),13050)</f>
        <v>13050</v>
      </c>
      <c r="D332" s="2">
        <f ca="1">IFERROR(__xludf.DUMMYFUNCTION("""COMPUTED_VALUE"""),12900)</f>
        <v>12900</v>
      </c>
      <c r="E332" s="2">
        <f ca="1">IFERROR(__xludf.DUMMYFUNCTION("""COMPUTED_VALUE"""),13000)</f>
        <v>13000</v>
      </c>
      <c r="F332" s="2">
        <f ca="1">IFERROR(__xludf.DUMMYFUNCTION("""COMPUTED_VALUE"""),12965800)</f>
        <v>12965800</v>
      </c>
    </row>
    <row r="333" spans="1:6">
      <c r="A333" s="5">
        <f ca="1">IFERROR(__xludf.DUMMYFUNCTION("""COMPUTED_VALUE"""),42508.625)</f>
        <v>42508.625</v>
      </c>
      <c r="B333" s="2">
        <f ca="1">IFERROR(__xludf.DUMMYFUNCTION("""COMPUTED_VALUE"""),12900)</f>
        <v>12900</v>
      </c>
      <c r="C333" s="2">
        <f ca="1">IFERROR(__xludf.DUMMYFUNCTION("""COMPUTED_VALUE"""),13050)</f>
        <v>13050</v>
      </c>
      <c r="D333" s="2">
        <f ca="1">IFERROR(__xludf.DUMMYFUNCTION("""COMPUTED_VALUE"""),12900)</f>
        <v>12900</v>
      </c>
      <c r="E333" s="2">
        <f ca="1">IFERROR(__xludf.DUMMYFUNCTION("""COMPUTED_VALUE"""),13025)</f>
        <v>13025</v>
      </c>
      <c r="F333" s="2">
        <f ca="1">IFERROR(__xludf.DUMMYFUNCTION("""COMPUTED_VALUE"""),13354200)</f>
        <v>13354200</v>
      </c>
    </row>
    <row r="334" spans="1:6">
      <c r="A334" s="5">
        <f ca="1">IFERROR(__xludf.DUMMYFUNCTION("""COMPUTED_VALUE"""),42509.625)</f>
        <v>42509.625</v>
      </c>
      <c r="B334" s="2">
        <f ca="1">IFERROR(__xludf.DUMMYFUNCTION("""COMPUTED_VALUE"""),13000)</f>
        <v>13000</v>
      </c>
      <c r="C334" s="2">
        <f ca="1">IFERROR(__xludf.DUMMYFUNCTION("""COMPUTED_VALUE"""),13025)</f>
        <v>13025</v>
      </c>
      <c r="D334" s="2">
        <f ca="1">IFERROR(__xludf.DUMMYFUNCTION("""COMPUTED_VALUE"""),12950)</f>
        <v>12950</v>
      </c>
      <c r="E334" s="2">
        <f ca="1">IFERROR(__xludf.DUMMYFUNCTION("""COMPUTED_VALUE"""),12975)</f>
        <v>12975</v>
      </c>
      <c r="F334" s="2">
        <f ca="1">IFERROR(__xludf.DUMMYFUNCTION("""COMPUTED_VALUE"""),21176300)</f>
        <v>21176300</v>
      </c>
    </row>
    <row r="335" spans="1:6">
      <c r="A335" s="5">
        <f ca="1">IFERROR(__xludf.DUMMYFUNCTION("""COMPUTED_VALUE"""),42510.625)</f>
        <v>42510.625</v>
      </c>
      <c r="B335" s="2">
        <f ca="1">IFERROR(__xludf.DUMMYFUNCTION("""COMPUTED_VALUE"""),12950)</f>
        <v>12950</v>
      </c>
      <c r="C335" s="2">
        <f ca="1">IFERROR(__xludf.DUMMYFUNCTION("""COMPUTED_VALUE"""),13025)</f>
        <v>13025</v>
      </c>
      <c r="D335" s="2">
        <f ca="1">IFERROR(__xludf.DUMMYFUNCTION("""COMPUTED_VALUE"""),12950)</f>
        <v>12950</v>
      </c>
      <c r="E335" s="2">
        <f ca="1">IFERROR(__xludf.DUMMYFUNCTION("""COMPUTED_VALUE"""),13025)</f>
        <v>13025</v>
      </c>
      <c r="F335" s="2">
        <f ca="1">IFERROR(__xludf.DUMMYFUNCTION("""COMPUTED_VALUE"""),13600800)</f>
        <v>13600800</v>
      </c>
    </row>
    <row r="336" spans="1:6">
      <c r="A336" s="5">
        <f ca="1">IFERROR(__xludf.DUMMYFUNCTION("""COMPUTED_VALUE"""),42513.625)</f>
        <v>42513.625</v>
      </c>
      <c r="B336" s="2">
        <f ca="1">IFERROR(__xludf.DUMMYFUNCTION("""COMPUTED_VALUE"""),13000)</f>
        <v>13000</v>
      </c>
      <c r="C336" s="2">
        <f ca="1">IFERROR(__xludf.DUMMYFUNCTION("""COMPUTED_VALUE"""),13100)</f>
        <v>13100</v>
      </c>
      <c r="D336" s="2">
        <f ca="1">IFERROR(__xludf.DUMMYFUNCTION("""COMPUTED_VALUE"""),12925)</f>
        <v>12925</v>
      </c>
      <c r="E336" s="2">
        <f ca="1">IFERROR(__xludf.DUMMYFUNCTION("""COMPUTED_VALUE"""),13100)</f>
        <v>13100</v>
      </c>
      <c r="F336" s="2">
        <f ca="1">IFERROR(__xludf.DUMMYFUNCTION("""COMPUTED_VALUE"""),6349700)</f>
        <v>6349700</v>
      </c>
    </row>
    <row r="337" spans="1:6">
      <c r="A337" s="5">
        <f ca="1">IFERROR(__xludf.DUMMYFUNCTION("""COMPUTED_VALUE"""),42514.625)</f>
        <v>42514.625</v>
      </c>
      <c r="B337" s="2">
        <f ca="1">IFERROR(__xludf.DUMMYFUNCTION("""COMPUTED_VALUE"""),13050)</f>
        <v>13050</v>
      </c>
      <c r="C337" s="2">
        <f ca="1">IFERROR(__xludf.DUMMYFUNCTION("""COMPUTED_VALUE"""),13075)</f>
        <v>13075</v>
      </c>
      <c r="D337" s="2">
        <f ca="1">IFERROR(__xludf.DUMMYFUNCTION("""COMPUTED_VALUE"""),12975)</f>
        <v>12975</v>
      </c>
      <c r="E337" s="2">
        <f ca="1">IFERROR(__xludf.DUMMYFUNCTION("""COMPUTED_VALUE"""),12975)</f>
        <v>12975</v>
      </c>
      <c r="F337" s="2">
        <f ca="1">IFERROR(__xludf.DUMMYFUNCTION("""COMPUTED_VALUE"""),13831400)</f>
        <v>13831400</v>
      </c>
    </row>
    <row r="338" spans="1:6">
      <c r="A338" s="5">
        <f ca="1">IFERROR(__xludf.DUMMYFUNCTION("""COMPUTED_VALUE"""),42515.625)</f>
        <v>42515.625</v>
      </c>
      <c r="B338" s="2">
        <f ca="1">IFERROR(__xludf.DUMMYFUNCTION("""COMPUTED_VALUE"""),13000)</f>
        <v>13000</v>
      </c>
      <c r="C338" s="2">
        <f ca="1">IFERROR(__xludf.DUMMYFUNCTION("""COMPUTED_VALUE"""),13025)</f>
        <v>13025</v>
      </c>
      <c r="D338" s="2">
        <f ca="1">IFERROR(__xludf.DUMMYFUNCTION("""COMPUTED_VALUE"""),12875)</f>
        <v>12875</v>
      </c>
      <c r="E338" s="2">
        <f ca="1">IFERROR(__xludf.DUMMYFUNCTION("""COMPUTED_VALUE"""),13000)</f>
        <v>13000</v>
      </c>
      <c r="F338" s="2">
        <f ca="1">IFERROR(__xludf.DUMMYFUNCTION("""COMPUTED_VALUE"""),16830100)</f>
        <v>16830100</v>
      </c>
    </row>
    <row r="339" spans="1:6">
      <c r="A339" s="5">
        <f ca="1">IFERROR(__xludf.DUMMYFUNCTION("""COMPUTED_VALUE"""),42516.625)</f>
        <v>42516.625</v>
      </c>
      <c r="B339" s="2">
        <f ca="1">IFERROR(__xludf.DUMMYFUNCTION("""COMPUTED_VALUE"""),13075)</f>
        <v>13075</v>
      </c>
      <c r="C339" s="2">
        <f ca="1">IFERROR(__xludf.DUMMYFUNCTION("""COMPUTED_VALUE"""),13075)</f>
        <v>13075</v>
      </c>
      <c r="D339" s="2">
        <f ca="1">IFERROR(__xludf.DUMMYFUNCTION("""COMPUTED_VALUE"""),12900)</f>
        <v>12900</v>
      </c>
      <c r="E339" s="2">
        <f ca="1">IFERROR(__xludf.DUMMYFUNCTION("""COMPUTED_VALUE"""),13025)</f>
        <v>13025</v>
      </c>
      <c r="F339" s="2">
        <f ca="1">IFERROR(__xludf.DUMMYFUNCTION("""COMPUTED_VALUE"""),8411000)</f>
        <v>8411000</v>
      </c>
    </row>
    <row r="340" spans="1:6">
      <c r="A340" s="5">
        <f ca="1">IFERROR(__xludf.DUMMYFUNCTION("""COMPUTED_VALUE"""),42517.625)</f>
        <v>42517.625</v>
      </c>
      <c r="B340" s="2">
        <f ca="1">IFERROR(__xludf.DUMMYFUNCTION("""COMPUTED_VALUE"""),13000)</f>
        <v>13000</v>
      </c>
      <c r="C340" s="2">
        <f ca="1">IFERROR(__xludf.DUMMYFUNCTION("""COMPUTED_VALUE"""),13025)</f>
        <v>13025</v>
      </c>
      <c r="D340" s="2">
        <f ca="1">IFERROR(__xludf.DUMMYFUNCTION("""COMPUTED_VALUE"""),12900)</f>
        <v>12900</v>
      </c>
      <c r="E340" s="2">
        <f ca="1">IFERROR(__xludf.DUMMYFUNCTION("""COMPUTED_VALUE"""),13000)</f>
        <v>13000</v>
      </c>
      <c r="F340" s="2">
        <f ca="1">IFERROR(__xludf.DUMMYFUNCTION("""COMPUTED_VALUE"""),16162300)</f>
        <v>16162300</v>
      </c>
    </row>
    <row r="341" spans="1:6">
      <c r="A341" s="5">
        <f ca="1">IFERROR(__xludf.DUMMYFUNCTION("""COMPUTED_VALUE"""),42520.625)</f>
        <v>42520.625</v>
      </c>
      <c r="B341" s="2">
        <f ca="1">IFERROR(__xludf.DUMMYFUNCTION("""COMPUTED_VALUE"""),13025)</f>
        <v>13025</v>
      </c>
      <c r="C341" s="2">
        <f ca="1">IFERROR(__xludf.DUMMYFUNCTION("""COMPUTED_VALUE"""),13300)</f>
        <v>13300</v>
      </c>
      <c r="D341" s="2">
        <f ca="1">IFERROR(__xludf.DUMMYFUNCTION("""COMPUTED_VALUE"""),12975)</f>
        <v>12975</v>
      </c>
      <c r="E341" s="2">
        <f ca="1">IFERROR(__xludf.DUMMYFUNCTION("""COMPUTED_VALUE"""),13200)</f>
        <v>13200</v>
      </c>
      <c r="F341" s="2">
        <f ca="1">IFERROR(__xludf.DUMMYFUNCTION("""COMPUTED_VALUE"""),19866000)</f>
        <v>19866000</v>
      </c>
    </row>
    <row r="342" spans="1:6">
      <c r="A342" s="5">
        <f ca="1">IFERROR(__xludf.DUMMYFUNCTION("""COMPUTED_VALUE"""),42521.625)</f>
        <v>42521.625</v>
      </c>
      <c r="B342" s="2">
        <f ca="1">IFERROR(__xludf.DUMMYFUNCTION("""COMPUTED_VALUE"""),13300)</f>
        <v>13300</v>
      </c>
      <c r="C342" s="2">
        <f ca="1">IFERROR(__xludf.DUMMYFUNCTION("""COMPUTED_VALUE"""),13300)</f>
        <v>13300</v>
      </c>
      <c r="D342" s="2">
        <f ca="1">IFERROR(__xludf.DUMMYFUNCTION("""COMPUTED_VALUE"""),13000)</f>
        <v>13000</v>
      </c>
      <c r="E342" s="2">
        <f ca="1">IFERROR(__xludf.DUMMYFUNCTION("""COMPUTED_VALUE"""),13000)</f>
        <v>13000</v>
      </c>
      <c r="F342" s="2">
        <f ca="1">IFERROR(__xludf.DUMMYFUNCTION("""COMPUTED_VALUE"""),32144800)</f>
        <v>32144800</v>
      </c>
    </row>
    <row r="343" spans="1:6">
      <c r="A343" s="5">
        <f ca="1">IFERROR(__xludf.DUMMYFUNCTION("""COMPUTED_VALUE"""),42522.625)</f>
        <v>42522.625</v>
      </c>
      <c r="B343" s="2">
        <f ca="1">IFERROR(__xludf.DUMMYFUNCTION("""COMPUTED_VALUE"""),13100)</f>
        <v>13100</v>
      </c>
      <c r="C343" s="2">
        <f ca="1">IFERROR(__xludf.DUMMYFUNCTION("""COMPUTED_VALUE"""),13175)</f>
        <v>13175</v>
      </c>
      <c r="D343" s="2">
        <f ca="1">IFERROR(__xludf.DUMMYFUNCTION("""COMPUTED_VALUE"""),13050)</f>
        <v>13050</v>
      </c>
      <c r="E343" s="2">
        <f ca="1">IFERROR(__xludf.DUMMYFUNCTION("""COMPUTED_VALUE"""),13175)</f>
        <v>13175</v>
      </c>
      <c r="F343" s="2">
        <f ca="1">IFERROR(__xludf.DUMMYFUNCTION("""COMPUTED_VALUE"""),16483600)</f>
        <v>16483600</v>
      </c>
    </row>
    <row r="344" spans="1:6">
      <c r="A344" s="5">
        <f ca="1">IFERROR(__xludf.DUMMYFUNCTION("""COMPUTED_VALUE"""),42523.625)</f>
        <v>42523.625</v>
      </c>
      <c r="B344" s="2">
        <f ca="1">IFERROR(__xludf.DUMMYFUNCTION("""COMPUTED_VALUE"""),13100)</f>
        <v>13100</v>
      </c>
      <c r="C344" s="2">
        <f ca="1">IFERROR(__xludf.DUMMYFUNCTION("""COMPUTED_VALUE"""),13200)</f>
        <v>13200</v>
      </c>
      <c r="D344" s="2">
        <f ca="1">IFERROR(__xludf.DUMMYFUNCTION("""COMPUTED_VALUE"""),13075)</f>
        <v>13075</v>
      </c>
      <c r="E344" s="2">
        <f ca="1">IFERROR(__xludf.DUMMYFUNCTION("""COMPUTED_VALUE"""),13150)</f>
        <v>13150</v>
      </c>
      <c r="F344" s="2">
        <f ca="1">IFERROR(__xludf.DUMMYFUNCTION("""COMPUTED_VALUE"""),17749400)</f>
        <v>17749400</v>
      </c>
    </row>
    <row r="345" spans="1:6">
      <c r="A345" s="5">
        <f ca="1">IFERROR(__xludf.DUMMYFUNCTION("""COMPUTED_VALUE"""),42524.625)</f>
        <v>42524.625</v>
      </c>
      <c r="B345" s="2">
        <f ca="1">IFERROR(__xludf.DUMMYFUNCTION("""COMPUTED_VALUE"""),13050)</f>
        <v>13050</v>
      </c>
      <c r="C345" s="2">
        <f ca="1">IFERROR(__xludf.DUMMYFUNCTION("""COMPUTED_VALUE"""),13150)</f>
        <v>13150</v>
      </c>
      <c r="D345" s="2">
        <f ca="1">IFERROR(__xludf.DUMMYFUNCTION("""COMPUTED_VALUE"""),13025)</f>
        <v>13025</v>
      </c>
      <c r="E345" s="2">
        <f ca="1">IFERROR(__xludf.DUMMYFUNCTION("""COMPUTED_VALUE"""),13125)</f>
        <v>13125</v>
      </c>
      <c r="F345" s="2">
        <f ca="1">IFERROR(__xludf.DUMMYFUNCTION("""COMPUTED_VALUE"""),10767900)</f>
        <v>10767900</v>
      </c>
    </row>
    <row r="346" spans="1:6">
      <c r="A346" s="5">
        <f ca="1">IFERROR(__xludf.DUMMYFUNCTION("""COMPUTED_VALUE"""),42527.625)</f>
        <v>42527.625</v>
      </c>
      <c r="B346" s="2">
        <f ca="1">IFERROR(__xludf.DUMMYFUNCTION("""COMPUTED_VALUE"""),13125)</f>
        <v>13125</v>
      </c>
      <c r="C346" s="2">
        <f ca="1">IFERROR(__xludf.DUMMYFUNCTION("""COMPUTED_VALUE"""),13200)</f>
        <v>13200</v>
      </c>
      <c r="D346" s="2">
        <f ca="1">IFERROR(__xludf.DUMMYFUNCTION("""COMPUTED_VALUE"""),13075)</f>
        <v>13075</v>
      </c>
      <c r="E346" s="2">
        <f ca="1">IFERROR(__xludf.DUMMYFUNCTION("""COMPUTED_VALUE"""),13125)</f>
        <v>13125</v>
      </c>
      <c r="F346" s="2">
        <f ca="1">IFERROR(__xludf.DUMMYFUNCTION("""COMPUTED_VALUE"""),21180000)</f>
        <v>21180000</v>
      </c>
    </row>
    <row r="347" spans="1:6">
      <c r="A347" s="5">
        <f ca="1">IFERROR(__xludf.DUMMYFUNCTION("""COMPUTED_VALUE"""),42528.625)</f>
        <v>42528.625</v>
      </c>
      <c r="B347" s="2">
        <f ca="1">IFERROR(__xludf.DUMMYFUNCTION("""COMPUTED_VALUE"""),13150)</f>
        <v>13150</v>
      </c>
      <c r="C347" s="2">
        <f ca="1">IFERROR(__xludf.DUMMYFUNCTION("""COMPUTED_VALUE"""),13150)</f>
        <v>13150</v>
      </c>
      <c r="D347" s="2">
        <f ca="1">IFERROR(__xludf.DUMMYFUNCTION("""COMPUTED_VALUE"""),13075)</f>
        <v>13075</v>
      </c>
      <c r="E347" s="2">
        <f ca="1">IFERROR(__xludf.DUMMYFUNCTION("""COMPUTED_VALUE"""),13100)</f>
        <v>13100</v>
      </c>
      <c r="F347" s="2">
        <f ca="1">IFERROR(__xludf.DUMMYFUNCTION("""COMPUTED_VALUE"""),17533100)</f>
        <v>17533100</v>
      </c>
    </row>
    <row r="348" spans="1:6">
      <c r="A348" s="5">
        <f ca="1">IFERROR(__xludf.DUMMYFUNCTION("""COMPUTED_VALUE"""),42529.625)</f>
        <v>42529.625</v>
      </c>
      <c r="B348" s="2">
        <f ca="1">IFERROR(__xludf.DUMMYFUNCTION("""COMPUTED_VALUE"""),13075)</f>
        <v>13075</v>
      </c>
      <c r="C348" s="2">
        <f ca="1">IFERROR(__xludf.DUMMYFUNCTION("""COMPUTED_VALUE"""),13125)</f>
        <v>13125</v>
      </c>
      <c r="D348" s="2">
        <f ca="1">IFERROR(__xludf.DUMMYFUNCTION("""COMPUTED_VALUE"""),13000)</f>
        <v>13000</v>
      </c>
      <c r="E348" s="2">
        <f ca="1">IFERROR(__xludf.DUMMYFUNCTION("""COMPUTED_VALUE"""),13100)</f>
        <v>13100</v>
      </c>
      <c r="F348" s="2">
        <f ca="1">IFERROR(__xludf.DUMMYFUNCTION("""COMPUTED_VALUE"""),17915900)</f>
        <v>17915900</v>
      </c>
    </row>
    <row r="349" spans="1:6">
      <c r="A349" s="5">
        <f ca="1">IFERROR(__xludf.DUMMYFUNCTION("""COMPUTED_VALUE"""),42530.625)</f>
        <v>42530.625</v>
      </c>
      <c r="B349" s="2">
        <f ca="1">IFERROR(__xludf.DUMMYFUNCTION("""COMPUTED_VALUE"""),13025)</f>
        <v>13025</v>
      </c>
      <c r="C349" s="2">
        <f ca="1">IFERROR(__xludf.DUMMYFUNCTION("""COMPUTED_VALUE"""),13050)</f>
        <v>13050</v>
      </c>
      <c r="D349" s="2">
        <f ca="1">IFERROR(__xludf.DUMMYFUNCTION("""COMPUTED_VALUE"""),12950)</f>
        <v>12950</v>
      </c>
      <c r="E349" s="2">
        <f ca="1">IFERROR(__xludf.DUMMYFUNCTION("""COMPUTED_VALUE"""),13000)</f>
        <v>13000</v>
      </c>
      <c r="F349" s="2">
        <f ca="1">IFERROR(__xludf.DUMMYFUNCTION("""COMPUTED_VALUE"""),13494900)</f>
        <v>13494900</v>
      </c>
    </row>
    <row r="350" spans="1:6">
      <c r="A350" s="5">
        <f ca="1">IFERROR(__xludf.DUMMYFUNCTION("""COMPUTED_VALUE"""),42531.625)</f>
        <v>42531.625</v>
      </c>
      <c r="B350" s="2">
        <f ca="1">IFERROR(__xludf.DUMMYFUNCTION("""COMPUTED_VALUE"""),12975)</f>
        <v>12975</v>
      </c>
      <c r="C350" s="2">
        <f ca="1">IFERROR(__xludf.DUMMYFUNCTION("""COMPUTED_VALUE"""),13000)</f>
        <v>13000</v>
      </c>
      <c r="D350" s="2">
        <f ca="1">IFERROR(__xludf.DUMMYFUNCTION("""COMPUTED_VALUE"""),12900)</f>
        <v>12900</v>
      </c>
      <c r="E350" s="2">
        <f ca="1">IFERROR(__xludf.DUMMYFUNCTION("""COMPUTED_VALUE"""),12925)</f>
        <v>12925</v>
      </c>
      <c r="F350" s="2">
        <f ca="1">IFERROR(__xludf.DUMMYFUNCTION("""COMPUTED_VALUE"""),15585600)</f>
        <v>15585600</v>
      </c>
    </row>
    <row r="351" spans="1:6">
      <c r="A351" s="5">
        <f ca="1">IFERROR(__xludf.DUMMYFUNCTION("""COMPUTED_VALUE"""),42534.625)</f>
        <v>42534.625</v>
      </c>
      <c r="B351" s="2">
        <f ca="1">IFERROR(__xludf.DUMMYFUNCTION("""COMPUTED_VALUE"""),12850)</f>
        <v>12850</v>
      </c>
      <c r="C351" s="2">
        <f ca="1">IFERROR(__xludf.DUMMYFUNCTION("""COMPUTED_VALUE"""),12950)</f>
        <v>12950</v>
      </c>
      <c r="D351" s="2">
        <f ca="1">IFERROR(__xludf.DUMMYFUNCTION("""COMPUTED_VALUE"""),12750)</f>
        <v>12750</v>
      </c>
      <c r="E351" s="2">
        <f ca="1">IFERROR(__xludf.DUMMYFUNCTION("""COMPUTED_VALUE"""),12775)</f>
        <v>12775</v>
      </c>
      <c r="F351" s="2">
        <f ca="1">IFERROR(__xludf.DUMMYFUNCTION("""COMPUTED_VALUE"""),15159700)</f>
        <v>15159700</v>
      </c>
    </row>
    <row r="352" spans="1:6">
      <c r="A352" s="5">
        <f ca="1">IFERROR(__xludf.DUMMYFUNCTION("""COMPUTED_VALUE"""),42535.625)</f>
        <v>42535.625</v>
      </c>
      <c r="B352" s="2">
        <f ca="1">IFERROR(__xludf.DUMMYFUNCTION("""COMPUTED_VALUE"""),12700)</f>
        <v>12700</v>
      </c>
      <c r="C352" s="2">
        <f ca="1">IFERROR(__xludf.DUMMYFUNCTION("""COMPUTED_VALUE"""),12850)</f>
        <v>12850</v>
      </c>
      <c r="D352" s="2">
        <f ca="1">IFERROR(__xludf.DUMMYFUNCTION("""COMPUTED_VALUE"""),12675)</f>
        <v>12675</v>
      </c>
      <c r="E352" s="2">
        <f ca="1">IFERROR(__xludf.DUMMYFUNCTION("""COMPUTED_VALUE"""),12850)</f>
        <v>12850</v>
      </c>
      <c r="F352" s="2">
        <f ca="1">IFERROR(__xludf.DUMMYFUNCTION("""COMPUTED_VALUE"""),15724100)</f>
        <v>15724100</v>
      </c>
    </row>
    <row r="353" spans="1:6">
      <c r="A353" s="5">
        <f ca="1">IFERROR(__xludf.DUMMYFUNCTION("""COMPUTED_VALUE"""),42536.625)</f>
        <v>42536.625</v>
      </c>
      <c r="B353" s="2">
        <f ca="1">IFERROR(__xludf.DUMMYFUNCTION("""COMPUTED_VALUE"""),12850)</f>
        <v>12850</v>
      </c>
      <c r="C353" s="2">
        <f ca="1">IFERROR(__xludf.DUMMYFUNCTION("""COMPUTED_VALUE"""),12950)</f>
        <v>12950</v>
      </c>
      <c r="D353" s="2">
        <f ca="1">IFERROR(__xludf.DUMMYFUNCTION("""COMPUTED_VALUE"""),12800)</f>
        <v>12800</v>
      </c>
      <c r="E353" s="2">
        <f ca="1">IFERROR(__xludf.DUMMYFUNCTION("""COMPUTED_VALUE"""),12925)</f>
        <v>12925</v>
      </c>
      <c r="F353" s="2">
        <f ca="1">IFERROR(__xludf.DUMMYFUNCTION("""COMPUTED_VALUE"""),7102500)</f>
        <v>7102500</v>
      </c>
    </row>
    <row r="354" spans="1:6">
      <c r="A354" s="5">
        <f ca="1">IFERROR(__xludf.DUMMYFUNCTION("""COMPUTED_VALUE"""),42537.625)</f>
        <v>42537.625</v>
      </c>
      <c r="B354" s="2">
        <f ca="1">IFERROR(__xludf.DUMMYFUNCTION("""COMPUTED_VALUE"""),12950)</f>
        <v>12950</v>
      </c>
      <c r="C354" s="2">
        <f ca="1">IFERROR(__xludf.DUMMYFUNCTION("""COMPUTED_VALUE"""),13025)</f>
        <v>13025</v>
      </c>
      <c r="D354" s="2">
        <f ca="1">IFERROR(__xludf.DUMMYFUNCTION("""COMPUTED_VALUE"""),12925)</f>
        <v>12925</v>
      </c>
      <c r="E354" s="2">
        <f ca="1">IFERROR(__xludf.DUMMYFUNCTION("""COMPUTED_VALUE"""),13000)</f>
        <v>13000</v>
      </c>
      <c r="F354" s="2">
        <f ca="1">IFERROR(__xludf.DUMMYFUNCTION("""COMPUTED_VALUE"""),9932200)</f>
        <v>9932200</v>
      </c>
    </row>
    <row r="355" spans="1:6">
      <c r="A355" s="5">
        <f ca="1">IFERROR(__xludf.DUMMYFUNCTION("""COMPUTED_VALUE"""),42538.625)</f>
        <v>42538.625</v>
      </c>
      <c r="B355" s="2">
        <f ca="1">IFERROR(__xludf.DUMMYFUNCTION("""COMPUTED_VALUE"""),13000)</f>
        <v>13000</v>
      </c>
      <c r="C355" s="2">
        <f ca="1">IFERROR(__xludf.DUMMYFUNCTION("""COMPUTED_VALUE"""),13025)</f>
        <v>13025</v>
      </c>
      <c r="D355" s="2">
        <f ca="1">IFERROR(__xludf.DUMMYFUNCTION("""COMPUTED_VALUE"""),12850)</f>
        <v>12850</v>
      </c>
      <c r="E355" s="2">
        <f ca="1">IFERROR(__xludf.DUMMYFUNCTION("""COMPUTED_VALUE"""),12900)</f>
        <v>12900</v>
      </c>
      <c r="F355" s="2">
        <f ca="1">IFERROR(__xludf.DUMMYFUNCTION("""COMPUTED_VALUE"""),12140400)</f>
        <v>12140400</v>
      </c>
    </row>
    <row r="356" spans="1:6">
      <c r="A356" s="5">
        <f ca="1">IFERROR(__xludf.DUMMYFUNCTION("""COMPUTED_VALUE"""),42541.625)</f>
        <v>42541.625</v>
      </c>
      <c r="B356" s="2">
        <f ca="1">IFERROR(__xludf.DUMMYFUNCTION("""COMPUTED_VALUE"""),12900)</f>
        <v>12900</v>
      </c>
      <c r="C356" s="2">
        <f ca="1">IFERROR(__xludf.DUMMYFUNCTION("""COMPUTED_VALUE"""),12950)</f>
        <v>12950</v>
      </c>
      <c r="D356" s="2">
        <f ca="1">IFERROR(__xludf.DUMMYFUNCTION("""COMPUTED_VALUE"""),12725)</f>
        <v>12725</v>
      </c>
      <c r="E356" s="2">
        <f ca="1">IFERROR(__xludf.DUMMYFUNCTION("""COMPUTED_VALUE"""),12825)</f>
        <v>12825</v>
      </c>
      <c r="F356" s="2">
        <f ca="1">IFERROR(__xludf.DUMMYFUNCTION("""COMPUTED_VALUE"""),9253400)</f>
        <v>9253400</v>
      </c>
    </row>
    <row r="357" spans="1:6">
      <c r="A357" s="5">
        <f ca="1">IFERROR(__xludf.DUMMYFUNCTION("""COMPUTED_VALUE"""),42542.625)</f>
        <v>42542.625</v>
      </c>
      <c r="B357" s="2">
        <f ca="1">IFERROR(__xludf.DUMMYFUNCTION("""COMPUTED_VALUE"""),12825)</f>
        <v>12825</v>
      </c>
      <c r="C357" s="2">
        <f ca="1">IFERROR(__xludf.DUMMYFUNCTION("""COMPUTED_VALUE"""),12900)</f>
        <v>12900</v>
      </c>
      <c r="D357" s="2">
        <f ca="1">IFERROR(__xludf.DUMMYFUNCTION("""COMPUTED_VALUE"""),12725)</f>
        <v>12725</v>
      </c>
      <c r="E357" s="2">
        <f ca="1">IFERROR(__xludf.DUMMYFUNCTION("""COMPUTED_VALUE"""),12825)</f>
        <v>12825</v>
      </c>
      <c r="F357" s="2">
        <f ca="1">IFERROR(__xludf.DUMMYFUNCTION("""COMPUTED_VALUE"""),17942400)</f>
        <v>17942400</v>
      </c>
    </row>
    <row r="358" spans="1:6">
      <c r="A358" s="5">
        <f ca="1">IFERROR(__xludf.DUMMYFUNCTION("""COMPUTED_VALUE"""),42543.625)</f>
        <v>42543.625</v>
      </c>
      <c r="B358" s="2">
        <f ca="1">IFERROR(__xludf.DUMMYFUNCTION("""COMPUTED_VALUE"""),12825)</f>
        <v>12825</v>
      </c>
      <c r="C358" s="2">
        <f ca="1">IFERROR(__xludf.DUMMYFUNCTION("""COMPUTED_VALUE"""),13075)</f>
        <v>13075</v>
      </c>
      <c r="D358" s="2">
        <f ca="1">IFERROR(__xludf.DUMMYFUNCTION("""COMPUTED_VALUE"""),12825)</f>
        <v>12825</v>
      </c>
      <c r="E358" s="2">
        <f ca="1">IFERROR(__xludf.DUMMYFUNCTION("""COMPUTED_VALUE"""),12900)</f>
        <v>12900</v>
      </c>
      <c r="F358" s="2">
        <f ca="1">IFERROR(__xludf.DUMMYFUNCTION("""COMPUTED_VALUE"""),12033200)</f>
        <v>12033200</v>
      </c>
    </row>
    <row r="359" spans="1:6">
      <c r="A359" s="5">
        <f ca="1">IFERROR(__xludf.DUMMYFUNCTION("""COMPUTED_VALUE"""),42544.625)</f>
        <v>42544.625</v>
      </c>
      <c r="B359" s="2">
        <f ca="1">IFERROR(__xludf.DUMMYFUNCTION("""COMPUTED_VALUE"""),12900)</f>
        <v>12900</v>
      </c>
      <c r="C359" s="2">
        <f ca="1">IFERROR(__xludf.DUMMYFUNCTION("""COMPUTED_VALUE"""),13025)</f>
        <v>13025</v>
      </c>
      <c r="D359" s="2">
        <f ca="1">IFERROR(__xludf.DUMMYFUNCTION("""COMPUTED_VALUE"""),12850)</f>
        <v>12850</v>
      </c>
      <c r="E359" s="2">
        <f ca="1">IFERROR(__xludf.DUMMYFUNCTION("""COMPUTED_VALUE"""),12950)</f>
        <v>12950</v>
      </c>
      <c r="F359" s="2">
        <f ca="1">IFERROR(__xludf.DUMMYFUNCTION("""COMPUTED_VALUE"""),6050400)</f>
        <v>6050400</v>
      </c>
    </row>
    <row r="360" spans="1:6">
      <c r="A360" s="5">
        <f ca="1">IFERROR(__xludf.DUMMYFUNCTION("""COMPUTED_VALUE"""),42545.625)</f>
        <v>42545.625</v>
      </c>
      <c r="B360" s="2">
        <f ca="1">IFERROR(__xludf.DUMMYFUNCTION("""COMPUTED_VALUE"""),12875)</f>
        <v>12875</v>
      </c>
      <c r="C360" s="2">
        <f ca="1">IFERROR(__xludf.DUMMYFUNCTION("""COMPUTED_VALUE"""),12950)</f>
        <v>12950</v>
      </c>
      <c r="D360" s="2">
        <f ca="1">IFERROR(__xludf.DUMMYFUNCTION("""COMPUTED_VALUE"""),12625)</f>
        <v>12625</v>
      </c>
      <c r="E360" s="2">
        <f ca="1">IFERROR(__xludf.DUMMYFUNCTION("""COMPUTED_VALUE"""),12775)</f>
        <v>12775</v>
      </c>
      <c r="F360" s="2">
        <f ca="1">IFERROR(__xludf.DUMMYFUNCTION("""COMPUTED_VALUE"""),17376700)</f>
        <v>17376700</v>
      </c>
    </row>
    <row r="361" spans="1:6">
      <c r="A361" s="5">
        <f ca="1">IFERROR(__xludf.DUMMYFUNCTION("""COMPUTED_VALUE"""),42548.625)</f>
        <v>42548.625</v>
      </c>
      <c r="B361" s="2">
        <f ca="1">IFERROR(__xludf.DUMMYFUNCTION("""COMPUTED_VALUE"""),12650)</f>
        <v>12650</v>
      </c>
      <c r="C361" s="2">
        <f ca="1">IFERROR(__xludf.DUMMYFUNCTION("""COMPUTED_VALUE"""),12825)</f>
        <v>12825</v>
      </c>
      <c r="D361" s="2">
        <f ca="1">IFERROR(__xludf.DUMMYFUNCTION("""COMPUTED_VALUE"""),12650)</f>
        <v>12650</v>
      </c>
      <c r="E361" s="2">
        <f ca="1">IFERROR(__xludf.DUMMYFUNCTION("""COMPUTED_VALUE"""),12800)</f>
        <v>12800</v>
      </c>
      <c r="F361" s="2">
        <f ca="1">IFERROR(__xludf.DUMMYFUNCTION("""COMPUTED_VALUE"""),8863200)</f>
        <v>8863200</v>
      </c>
    </row>
    <row r="362" spans="1:6">
      <c r="A362" s="5">
        <f ca="1">IFERROR(__xludf.DUMMYFUNCTION("""COMPUTED_VALUE"""),42549.625)</f>
        <v>42549.625</v>
      </c>
      <c r="B362" s="2">
        <f ca="1">IFERROR(__xludf.DUMMYFUNCTION("""COMPUTED_VALUE"""),12825)</f>
        <v>12825</v>
      </c>
      <c r="C362" s="2">
        <f ca="1">IFERROR(__xludf.DUMMYFUNCTION("""COMPUTED_VALUE"""),13125)</f>
        <v>13125</v>
      </c>
      <c r="D362" s="2">
        <f ca="1">IFERROR(__xludf.DUMMYFUNCTION("""COMPUTED_VALUE"""),12825)</f>
        <v>12825</v>
      </c>
      <c r="E362" s="2">
        <f ca="1">IFERROR(__xludf.DUMMYFUNCTION("""COMPUTED_VALUE"""),13025)</f>
        <v>13025</v>
      </c>
      <c r="F362" s="2">
        <f ca="1">IFERROR(__xludf.DUMMYFUNCTION("""COMPUTED_VALUE"""),24371200)</f>
        <v>24371200</v>
      </c>
    </row>
    <row r="363" spans="1:6">
      <c r="A363" s="5">
        <f ca="1">IFERROR(__xludf.DUMMYFUNCTION("""COMPUTED_VALUE"""),42550.625)</f>
        <v>42550.625</v>
      </c>
      <c r="B363" s="2">
        <f ca="1">IFERROR(__xludf.DUMMYFUNCTION("""COMPUTED_VALUE"""),13150)</f>
        <v>13150</v>
      </c>
      <c r="C363" s="2">
        <f ca="1">IFERROR(__xludf.DUMMYFUNCTION("""COMPUTED_VALUE"""),13300)</f>
        <v>13300</v>
      </c>
      <c r="D363" s="2">
        <f ca="1">IFERROR(__xludf.DUMMYFUNCTION("""COMPUTED_VALUE"""),13150)</f>
        <v>13150</v>
      </c>
      <c r="E363" s="2">
        <f ca="1">IFERROR(__xludf.DUMMYFUNCTION("""COMPUTED_VALUE"""),13300)</f>
        <v>13300</v>
      </c>
      <c r="F363" s="2">
        <f ca="1">IFERROR(__xludf.DUMMYFUNCTION("""COMPUTED_VALUE"""),40029400)</f>
        <v>40029400</v>
      </c>
    </row>
    <row r="364" spans="1:6">
      <c r="A364" s="5">
        <f ca="1">IFERROR(__xludf.DUMMYFUNCTION("""COMPUTED_VALUE"""),42551.625)</f>
        <v>42551.625</v>
      </c>
      <c r="B364" s="2">
        <f ca="1">IFERROR(__xludf.DUMMYFUNCTION("""COMPUTED_VALUE"""),13400)</f>
        <v>13400</v>
      </c>
      <c r="C364" s="2">
        <f ca="1">IFERROR(__xludf.DUMMYFUNCTION("""COMPUTED_VALUE"""),13450)</f>
        <v>13450</v>
      </c>
      <c r="D364" s="2">
        <f ca="1">IFERROR(__xludf.DUMMYFUNCTION("""COMPUTED_VALUE"""),13275)</f>
        <v>13275</v>
      </c>
      <c r="E364" s="2">
        <f ca="1">IFERROR(__xludf.DUMMYFUNCTION("""COMPUTED_VALUE"""),13325)</f>
        <v>13325</v>
      </c>
      <c r="F364" s="2">
        <f ca="1">IFERROR(__xludf.DUMMYFUNCTION("""COMPUTED_VALUE"""),37354100)</f>
        <v>37354100</v>
      </c>
    </row>
    <row r="365" spans="1:6">
      <c r="A365" s="5">
        <f ca="1">IFERROR(__xludf.DUMMYFUNCTION("""COMPUTED_VALUE"""),42552.625)</f>
        <v>42552.625</v>
      </c>
      <c r="B365" s="2">
        <f ca="1">IFERROR(__xludf.DUMMYFUNCTION("""COMPUTED_VALUE"""),13375)</f>
        <v>13375</v>
      </c>
      <c r="C365" s="2">
        <f ca="1">IFERROR(__xludf.DUMMYFUNCTION("""COMPUTED_VALUE"""),13475)</f>
        <v>13475</v>
      </c>
      <c r="D365" s="2">
        <f ca="1">IFERROR(__xludf.DUMMYFUNCTION("""COMPUTED_VALUE"""),13200)</f>
        <v>13200</v>
      </c>
      <c r="E365" s="2">
        <f ca="1">IFERROR(__xludf.DUMMYFUNCTION("""COMPUTED_VALUE"""),13225)</f>
        <v>13225</v>
      </c>
      <c r="F365" s="2">
        <f ca="1">IFERROR(__xludf.DUMMYFUNCTION("""COMPUTED_VALUE"""),25339100)</f>
        <v>25339100</v>
      </c>
    </row>
    <row r="366" spans="1:6">
      <c r="A366" s="5">
        <f ca="1">IFERROR(__xludf.DUMMYFUNCTION("""COMPUTED_VALUE"""),42562.625)</f>
        <v>42562.625</v>
      </c>
      <c r="B366" s="2">
        <f ca="1">IFERROR(__xludf.DUMMYFUNCTION("""COMPUTED_VALUE"""),13350)</f>
        <v>13350</v>
      </c>
      <c r="C366" s="2">
        <f ca="1">IFERROR(__xludf.DUMMYFUNCTION("""COMPUTED_VALUE"""),13600)</f>
        <v>13600</v>
      </c>
      <c r="D366" s="2">
        <f ca="1">IFERROR(__xludf.DUMMYFUNCTION("""COMPUTED_VALUE"""),13250)</f>
        <v>13250</v>
      </c>
      <c r="E366" s="2">
        <f ca="1">IFERROR(__xludf.DUMMYFUNCTION("""COMPUTED_VALUE"""),13500)</f>
        <v>13500</v>
      </c>
      <c r="F366" s="2">
        <f ca="1">IFERROR(__xludf.DUMMYFUNCTION("""COMPUTED_VALUE"""),39414600)</f>
        <v>39414600</v>
      </c>
    </row>
    <row r="367" spans="1:6">
      <c r="A367" s="5">
        <f ca="1">IFERROR(__xludf.DUMMYFUNCTION("""COMPUTED_VALUE"""),42563.625)</f>
        <v>42563.625</v>
      </c>
      <c r="B367" s="2">
        <f ca="1">IFERROR(__xludf.DUMMYFUNCTION("""COMPUTED_VALUE"""),13600)</f>
        <v>13600</v>
      </c>
      <c r="C367" s="2">
        <f ca="1">IFERROR(__xludf.DUMMYFUNCTION("""COMPUTED_VALUE"""),13875)</f>
        <v>13875</v>
      </c>
      <c r="D367" s="2">
        <f ca="1">IFERROR(__xludf.DUMMYFUNCTION("""COMPUTED_VALUE"""),13550)</f>
        <v>13550</v>
      </c>
      <c r="E367" s="2">
        <f ca="1">IFERROR(__xludf.DUMMYFUNCTION("""COMPUTED_VALUE"""),13750)</f>
        <v>13750</v>
      </c>
      <c r="F367" s="2">
        <f ca="1">IFERROR(__xludf.DUMMYFUNCTION("""COMPUTED_VALUE"""),38128400)</f>
        <v>38128400</v>
      </c>
    </row>
    <row r="368" spans="1:6">
      <c r="A368" s="5">
        <f ca="1">IFERROR(__xludf.DUMMYFUNCTION("""COMPUTED_VALUE"""),42564.625)</f>
        <v>42564.625</v>
      </c>
      <c r="B368" s="2">
        <f ca="1">IFERROR(__xludf.DUMMYFUNCTION("""COMPUTED_VALUE"""),13825)</f>
        <v>13825</v>
      </c>
      <c r="C368" s="2">
        <f ca="1">IFERROR(__xludf.DUMMYFUNCTION("""COMPUTED_VALUE"""),13825)</f>
        <v>13825</v>
      </c>
      <c r="D368" s="2">
        <f ca="1">IFERROR(__xludf.DUMMYFUNCTION("""COMPUTED_VALUE"""),13750)</f>
        <v>13750</v>
      </c>
      <c r="E368" s="2">
        <f ca="1">IFERROR(__xludf.DUMMYFUNCTION("""COMPUTED_VALUE"""),13800)</f>
        <v>13800</v>
      </c>
      <c r="F368" s="2">
        <f ca="1">IFERROR(__xludf.DUMMYFUNCTION("""COMPUTED_VALUE"""),27706100)</f>
        <v>27706100</v>
      </c>
    </row>
    <row r="369" spans="1:6">
      <c r="A369" s="5">
        <f ca="1">IFERROR(__xludf.DUMMYFUNCTION("""COMPUTED_VALUE"""),42565.625)</f>
        <v>42565.625</v>
      </c>
      <c r="B369" s="2">
        <f ca="1">IFERROR(__xludf.DUMMYFUNCTION("""COMPUTED_VALUE"""),13900)</f>
        <v>13900</v>
      </c>
      <c r="C369" s="2">
        <f ca="1">IFERROR(__xludf.DUMMYFUNCTION("""COMPUTED_VALUE"""),13950)</f>
        <v>13950</v>
      </c>
      <c r="D369" s="2">
        <f ca="1">IFERROR(__xludf.DUMMYFUNCTION("""COMPUTED_VALUE"""),13825)</f>
        <v>13825</v>
      </c>
      <c r="E369" s="2">
        <f ca="1">IFERROR(__xludf.DUMMYFUNCTION("""COMPUTED_VALUE"""),13850)</f>
        <v>13850</v>
      </c>
      <c r="F369" s="2">
        <f ca="1">IFERROR(__xludf.DUMMYFUNCTION("""COMPUTED_VALUE"""),29678800)</f>
        <v>29678800</v>
      </c>
    </row>
    <row r="370" spans="1:6">
      <c r="A370" s="5">
        <f ca="1">IFERROR(__xludf.DUMMYFUNCTION("""COMPUTED_VALUE"""),42566.625)</f>
        <v>42566.625</v>
      </c>
      <c r="B370" s="2">
        <f ca="1">IFERROR(__xludf.DUMMYFUNCTION("""COMPUTED_VALUE"""),13825)</f>
        <v>13825</v>
      </c>
      <c r="C370" s="2">
        <f ca="1">IFERROR(__xludf.DUMMYFUNCTION("""COMPUTED_VALUE"""),14025)</f>
        <v>14025</v>
      </c>
      <c r="D370" s="2">
        <f ca="1">IFERROR(__xludf.DUMMYFUNCTION("""COMPUTED_VALUE"""),13825)</f>
        <v>13825</v>
      </c>
      <c r="E370" s="2">
        <f ca="1">IFERROR(__xludf.DUMMYFUNCTION("""COMPUTED_VALUE"""),14000)</f>
        <v>14000</v>
      </c>
      <c r="F370" s="2">
        <f ca="1">IFERROR(__xludf.DUMMYFUNCTION("""COMPUTED_VALUE"""),39178600)</f>
        <v>39178600</v>
      </c>
    </row>
    <row r="371" spans="1:6">
      <c r="A371" s="5">
        <f ca="1">IFERROR(__xludf.DUMMYFUNCTION("""COMPUTED_VALUE"""),42569.625)</f>
        <v>42569.625</v>
      </c>
      <c r="B371" s="2">
        <f ca="1">IFERROR(__xludf.DUMMYFUNCTION("""COMPUTED_VALUE"""),13900)</f>
        <v>13900</v>
      </c>
      <c r="C371" s="2">
        <f ca="1">IFERROR(__xludf.DUMMYFUNCTION("""COMPUTED_VALUE"""),14000)</f>
        <v>14000</v>
      </c>
      <c r="D371" s="2">
        <f ca="1">IFERROR(__xludf.DUMMYFUNCTION("""COMPUTED_VALUE"""),13825)</f>
        <v>13825</v>
      </c>
      <c r="E371" s="2">
        <f ca="1">IFERROR(__xludf.DUMMYFUNCTION("""COMPUTED_VALUE"""),13950)</f>
        <v>13950</v>
      </c>
      <c r="F371" s="2">
        <f ca="1">IFERROR(__xludf.DUMMYFUNCTION("""COMPUTED_VALUE"""),23204600)</f>
        <v>23204600</v>
      </c>
    </row>
    <row r="372" spans="1:6">
      <c r="A372" s="5">
        <f ca="1">IFERROR(__xludf.DUMMYFUNCTION("""COMPUTED_VALUE"""),42570.625)</f>
        <v>42570.625</v>
      </c>
      <c r="B372" s="2">
        <f ca="1">IFERROR(__xludf.DUMMYFUNCTION("""COMPUTED_VALUE"""),14000)</f>
        <v>14000</v>
      </c>
      <c r="C372" s="2">
        <f ca="1">IFERROR(__xludf.DUMMYFUNCTION("""COMPUTED_VALUE"""),14325)</f>
        <v>14325</v>
      </c>
      <c r="D372" s="2">
        <f ca="1">IFERROR(__xludf.DUMMYFUNCTION("""COMPUTED_VALUE"""),14000)</f>
        <v>14000</v>
      </c>
      <c r="E372" s="2">
        <f ca="1">IFERROR(__xludf.DUMMYFUNCTION("""COMPUTED_VALUE"""),14300)</f>
        <v>14300</v>
      </c>
      <c r="F372" s="2">
        <f ca="1">IFERROR(__xludf.DUMMYFUNCTION("""COMPUTED_VALUE"""),39133100)</f>
        <v>39133100</v>
      </c>
    </row>
    <row r="373" spans="1:6">
      <c r="A373" s="5">
        <f ca="1">IFERROR(__xludf.DUMMYFUNCTION("""COMPUTED_VALUE"""),42571.625)</f>
        <v>42571.625</v>
      </c>
      <c r="B373" s="2">
        <f ca="1">IFERROR(__xludf.DUMMYFUNCTION("""COMPUTED_VALUE"""),14350)</f>
        <v>14350</v>
      </c>
      <c r="C373" s="2">
        <f ca="1">IFERROR(__xludf.DUMMYFUNCTION("""COMPUTED_VALUE"""),14475)</f>
        <v>14475</v>
      </c>
      <c r="D373" s="2">
        <f ca="1">IFERROR(__xludf.DUMMYFUNCTION("""COMPUTED_VALUE"""),14325)</f>
        <v>14325</v>
      </c>
      <c r="E373" s="2">
        <f ca="1">IFERROR(__xludf.DUMMYFUNCTION("""COMPUTED_VALUE"""),14450)</f>
        <v>14450</v>
      </c>
      <c r="F373" s="2">
        <f ca="1">IFERROR(__xludf.DUMMYFUNCTION("""COMPUTED_VALUE"""),28429800)</f>
        <v>28429800</v>
      </c>
    </row>
    <row r="374" spans="1:6">
      <c r="A374" s="5">
        <f ca="1">IFERROR(__xludf.DUMMYFUNCTION("""COMPUTED_VALUE"""),42572.625)</f>
        <v>42572.625</v>
      </c>
      <c r="B374" s="2">
        <f ca="1">IFERROR(__xludf.DUMMYFUNCTION("""COMPUTED_VALUE"""),14525)</f>
        <v>14525</v>
      </c>
      <c r="C374" s="2">
        <f ca="1">IFERROR(__xludf.DUMMYFUNCTION("""COMPUTED_VALUE"""),14675)</f>
        <v>14675</v>
      </c>
      <c r="D374" s="2">
        <f ca="1">IFERROR(__xludf.DUMMYFUNCTION("""COMPUTED_VALUE"""),14500)</f>
        <v>14500</v>
      </c>
      <c r="E374" s="2">
        <f ca="1">IFERROR(__xludf.DUMMYFUNCTION("""COMPUTED_VALUE"""),14550)</f>
        <v>14550</v>
      </c>
      <c r="F374" s="2">
        <f ca="1">IFERROR(__xludf.DUMMYFUNCTION("""COMPUTED_VALUE"""),40574300)</f>
        <v>40574300</v>
      </c>
    </row>
    <row r="375" spans="1:6">
      <c r="A375" s="5">
        <f ca="1">IFERROR(__xludf.DUMMYFUNCTION("""COMPUTED_VALUE"""),42573.625)</f>
        <v>42573.625</v>
      </c>
      <c r="B375" s="2">
        <f ca="1">IFERROR(__xludf.DUMMYFUNCTION("""COMPUTED_VALUE"""),14500)</f>
        <v>14500</v>
      </c>
      <c r="C375" s="2">
        <f ca="1">IFERROR(__xludf.DUMMYFUNCTION("""COMPUTED_VALUE"""),14600)</f>
        <v>14600</v>
      </c>
      <c r="D375" s="2">
        <f ca="1">IFERROR(__xludf.DUMMYFUNCTION("""COMPUTED_VALUE"""),14250)</f>
        <v>14250</v>
      </c>
      <c r="E375" s="2">
        <f ca="1">IFERROR(__xludf.DUMMYFUNCTION("""COMPUTED_VALUE"""),14525)</f>
        <v>14525</v>
      </c>
      <c r="F375" s="2">
        <f ca="1">IFERROR(__xludf.DUMMYFUNCTION("""COMPUTED_VALUE"""),22301400)</f>
        <v>22301400</v>
      </c>
    </row>
    <row r="376" spans="1:6">
      <c r="A376" s="5">
        <f ca="1">IFERROR(__xludf.DUMMYFUNCTION("""COMPUTED_VALUE"""),42576.625)</f>
        <v>42576.625</v>
      </c>
      <c r="B376" s="2">
        <f ca="1">IFERROR(__xludf.DUMMYFUNCTION("""COMPUTED_VALUE"""),14525)</f>
        <v>14525</v>
      </c>
      <c r="C376" s="2">
        <f ca="1">IFERROR(__xludf.DUMMYFUNCTION("""COMPUTED_VALUE"""),14575)</f>
        <v>14575</v>
      </c>
      <c r="D376" s="2">
        <f ca="1">IFERROR(__xludf.DUMMYFUNCTION("""COMPUTED_VALUE"""),14375)</f>
        <v>14375</v>
      </c>
      <c r="E376" s="2">
        <f ca="1">IFERROR(__xludf.DUMMYFUNCTION("""COMPUTED_VALUE"""),14500)</f>
        <v>14500</v>
      </c>
      <c r="F376" s="2">
        <f ca="1">IFERROR(__xludf.DUMMYFUNCTION("""COMPUTED_VALUE"""),22286900)</f>
        <v>22286900</v>
      </c>
    </row>
    <row r="377" spans="1:6">
      <c r="A377" s="5">
        <f ca="1">IFERROR(__xludf.DUMMYFUNCTION("""COMPUTED_VALUE"""),42577.625)</f>
        <v>42577.625</v>
      </c>
      <c r="B377" s="2">
        <f ca="1">IFERROR(__xludf.DUMMYFUNCTION("""COMPUTED_VALUE"""),14525)</f>
        <v>14525</v>
      </c>
      <c r="C377" s="2">
        <f ca="1">IFERROR(__xludf.DUMMYFUNCTION("""COMPUTED_VALUE"""),14525)</f>
        <v>14525</v>
      </c>
      <c r="D377" s="2">
        <f ca="1">IFERROR(__xludf.DUMMYFUNCTION("""COMPUTED_VALUE"""),14200)</f>
        <v>14200</v>
      </c>
      <c r="E377" s="2">
        <f ca="1">IFERROR(__xludf.DUMMYFUNCTION("""COMPUTED_VALUE"""),14350)</f>
        <v>14350</v>
      </c>
      <c r="F377" s="2">
        <f ca="1">IFERROR(__xludf.DUMMYFUNCTION("""COMPUTED_VALUE"""),27623600)</f>
        <v>27623600</v>
      </c>
    </row>
    <row r="378" spans="1:6">
      <c r="A378" s="5">
        <f ca="1">IFERROR(__xludf.DUMMYFUNCTION("""COMPUTED_VALUE"""),42578.625)</f>
        <v>42578.625</v>
      </c>
      <c r="B378" s="2">
        <f ca="1">IFERROR(__xludf.DUMMYFUNCTION("""COMPUTED_VALUE"""),14425)</f>
        <v>14425</v>
      </c>
      <c r="C378" s="2">
        <f ca="1">IFERROR(__xludf.DUMMYFUNCTION("""COMPUTED_VALUE"""),14650)</f>
        <v>14650</v>
      </c>
      <c r="D378" s="2">
        <f ca="1">IFERROR(__xludf.DUMMYFUNCTION("""COMPUTED_VALUE"""),14400)</f>
        <v>14400</v>
      </c>
      <c r="E378" s="2">
        <f ca="1">IFERROR(__xludf.DUMMYFUNCTION("""COMPUTED_VALUE"""),14550)</f>
        <v>14550</v>
      </c>
      <c r="F378" s="2">
        <f ca="1">IFERROR(__xludf.DUMMYFUNCTION("""COMPUTED_VALUE"""),41639700)</f>
        <v>41639700</v>
      </c>
    </row>
    <row r="379" spans="1:6">
      <c r="A379" s="5">
        <f ca="1">IFERROR(__xludf.DUMMYFUNCTION("""COMPUTED_VALUE"""),42579.625)</f>
        <v>42579.625</v>
      </c>
      <c r="B379" s="2">
        <f ca="1">IFERROR(__xludf.DUMMYFUNCTION("""COMPUTED_VALUE"""),14500)</f>
        <v>14500</v>
      </c>
      <c r="C379" s="2">
        <f ca="1">IFERROR(__xludf.DUMMYFUNCTION("""COMPUTED_VALUE"""),14500)</f>
        <v>14500</v>
      </c>
      <c r="D379" s="2">
        <f ca="1">IFERROR(__xludf.DUMMYFUNCTION("""COMPUTED_VALUE"""),14300)</f>
        <v>14300</v>
      </c>
      <c r="E379" s="2">
        <f ca="1">IFERROR(__xludf.DUMMYFUNCTION("""COMPUTED_VALUE"""),14425)</f>
        <v>14425</v>
      </c>
      <c r="F379" s="2">
        <f ca="1">IFERROR(__xludf.DUMMYFUNCTION("""COMPUTED_VALUE"""),18934000)</f>
        <v>18934000</v>
      </c>
    </row>
    <row r="380" spans="1:6">
      <c r="A380" s="5">
        <f ca="1">IFERROR(__xludf.DUMMYFUNCTION("""COMPUTED_VALUE"""),42580.625)</f>
        <v>42580.625</v>
      </c>
      <c r="B380" s="2">
        <f ca="1">IFERROR(__xludf.DUMMYFUNCTION("""COMPUTED_VALUE"""),14500)</f>
        <v>14500</v>
      </c>
      <c r="C380" s="2">
        <f ca="1">IFERROR(__xludf.DUMMYFUNCTION("""COMPUTED_VALUE"""),14625)</f>
        <v>14625</v>
      </c>
      <c r="D380" s="2">
        <f ca="1">IFERROR(__xludf.DUMMYFUNCTION("""COMPUTED_VALUE"""),14450)</f>
        <v>14450</v>
      </c>
      <c r="E380" s="2">
        <f ca="1">IFERROR(__xludf.DUMMYFUNCTION("""COMPUTED_VALUE"""),14450)</f>
        <v>14450</v>
      </c>
      <c r="F380" s="2">
        <f ca="1">IFERROR(__xludf.DUMMYFUNCTION("""COMPUTED_VALUE"""),23134800)</f>
        <v>23134800</v>
      </c>
    </row>
    <row r="381" spans="1:6">
      <c r="A381" s="5">
        <f ca="1">IFERROR(__xludf.DUMMYFUNCTION("""COMPUTED_VALUE"""),42583.625)</f>
        <v>42583.625</v>
      </c>
      <c r="B381" s="2">
        <f ca="1">IFERROR(__xludf.DUMMYFUNCTION("""COMPUTED_VALUE"""),14375)</f>
        <v>14375</v>
      </c>
      <c r="C381" s="2">
        <f ca="1">IFERROR(__xludf.DUMMYFUNCTION("""COMPUTED_VALUE"""),14975)</f>
        <v>14975</v>
      </c>
      <c r="D381" s="2">
        <f ca="1">IFERROR(__xludf.DUMMYFUNCTION("""COMPUTED_VALUE"""),14375)</f>
        <v>14375</v>
      </c>
      <c r="E381" s="2">
        <f ca="1">IFERROR(__xludf.DUMMYFUNCTION("""COMPUTED_VALUE"""),14875)</f>
        <v>14875</v>
      </c>
      <c r="F381" s="2">
        <f ca="1">IFERROR(__xludf.DUMMYFUNCTION("""COMPUTED_VALUE"""),44218200)</f>
        <v>44218200</v>
      </c>
    </row>
    <row r="382" spans="1:6">
      <c r="A382" s="5">
        <f ca="1">IFERROR(__xludf.DUMMYFUNCTION("""COMPUTED_VALUE"""),42584.625)</f>
        <v>42584.625</v>
      </c>
      <c r="B382" s="2">
        <f ca="1">IFERROR(__xludf.DUMMYFUNCTION("""COMPUTED_VALUE"""),14875)</f>
        <v>14875</v>
      </c>
      <c r="C382" s="2">
        <f ca="1">IFERROR(__xludf.DUMMYFUNCTION("""COMPUTED_VALUE"""),15000)</f>
        <v>15000</v>
      </c>
      <c r="D382" s="2">
        <f ca="1">IFERROR(__xludf.DUMMYFUNCTION("""COMPUTED_VALUE"""),14825)</f>
        <v>14825</v>
      </c>
      <c r="E382" s="2">
        <f ca="1">IFERROR(__xludf.DUMMYFUNCTION("""COMPUTED_VALUE"""),15000)</f>
        <v>15000</v>
      </c>
      <c r="F382" s="2">
        <f ca="1">IFERROR(__xludf.DUMMYFUNCTION("""COMPUTED_VALUE"""),31775000)</f>
        <v>31775000</v>
      </c>
    </row>
    <row r="383" spans="1:6">
      <c r="A383" s="5">
        <f ca="1">IFERROR(__xludf.DUMMYFUNCTION("""COMPUTED_VALUE"""),42585.625)</f>
        <v>42585.625</v>
      </c>
      <c r="B383" s="2">
        <f ca="1">IFERROR(__xludf.DUMMYFUNCTION("""COMPUTED_VALUE"""),15000)</f>
        <v>15000</v>
      </c>
      <c r="C383" s="2">
        <f ca="1">IFERROR(__xludf.DUMMYFUNCTION("""COMPUTED_VALUE"""),15050)</f>
        <v>15050</v>
      </c>
      <c r="D383" s="2">
        <f ca="1">IFERROR(__xludf.DUMMYFUNCTION("""COMPUTED_VALUE"""),14925)</f>
        <v>14925</v>
      </c>
      <c r="E383" s="2">
        <f ca="1">IFERROR(__xludf.DUMMYFUNCTION("""COMPUTED_VALUE"""),14975)</f>
        <v>14975</v>
      </c>
      <c r="F383" s="2">
        <f ca="1">IFERROR(__xludf.DUMMYFUNCTION("""COMPUTED_VALUE"""),23072700)</f>
        <v>23072700</v>
      </c>
    </row>
    <row r="384" spans="1:6">
      <c r="A384" s="5">
        <f ca="1">IFERROR(__xludf.DUMMYFUNCTION("""COMPUTED_VALUE"""),42586.625)</f>
        <v>42586.625</v>
      </c>
      <c r="B384" s="2">
        <f ca="1">IFERROR(__xludf.DUMMYFUNCTION("""COMPUTED_VALUE"""),14975)</f>
        <v>14975</v>
      </c>
      <c r="C384" s="2">
        <f ca="1">IFERROR(__xludf.DUMMYFUNCTION("""COMPUTED_VALUE"""),15075)</f>
        <v>15075</v>
      </c>
      <c r="D384" s="2">
        <f ca="1">IFERROR(__xludf.DUMMYFUNCTION("""COMPUTED_VALUE"""),14975)</f>
        <v>14975</v>
      </c>
      <c r="E384" s="2">
        <f ca="1">IFERROR(__xludf.DUMMYFUNCTION("""COMPUTED_VALUE"""),15000)</f>
        <v>15000</v>
      </c>
      <c r="F384" s="2">
        <f ca="1">IFERROR(__xludf.DUMMYFUNCTION("""COMPUTED_VALUE"""),26371900)</f>
        <v>26371900</v>
      </c>
    </row>
    <row r="385" spans="1:6">
      <c r="A385" s="5">
        <f ca="1">IFERROR(__xludf.DUMMYFUNCTION("""COMPUTED_VALUE"""),42587.625)</f>
        <v>42587.625</v>
      </c>
      <c r="B385" s="2">
        <f ca="1">IFERROR(__xludf.DUMMYFUNCTION("""COMPUTED_VALUE"""),15050)</f>
        <v>15050</v>
      </c>
      <c r="C385" s="2">
        <f ca="1">IFERROR(__xludf.DUMMYFUNCTION("""COMPUTED_VALUE"""),15250)</f>
        <v>15250</v>
      </c>
      <c r="D385" s="2">
        <f ca="1">IFERROR(__xludf.DUMMYFUNCTION("""COMPUTED_VALUE"""),15000)</f>
        <v>15000</v>
      </c>
      <c r="E385" s="2">
        <f ca="1">IFERROR(__xludf.DUMMYFUNCTION("""COMPUTED_VALUE"""),15100)</f>
        <v>15100</v>
      </c>
      <c r="F385" s="2">
        <f ca="1">IFERROR(__xludf.DUMMYFUNCTION("""COMPUTED_VALUE"""),35188700)</f>
        <v>35188700</v>
      </c>
    </row>
    <row r="386" spans="1:6">
      <c r="A386" s="5">
        <f ca="1">IFERROR(__xludf.DUMMYFUNCTION("""COMPUTED_VALUE"""),42590.625)</f>
        <v>42590.625</v>
      </c>
      <c r="B386" s="2">
        <f ca="1">IFERROR(__xludf.DUMMYFUNCTION("""COMPUTED_VALUE"""),15150)</f>
        <v>15150</v>
      </c>
      <c r="C386" s="2">
        <f ca="1">IFERROR(__xludf.DUMMYFUNCTION("""COMPUTED_VALUE"""),15300)</f>
        <v>15300</v>
      </c>
      <c r="D386" s="2">
        <f ca="1">IFERROR(__xludf.DUMMYFUNCTION("""COMPUTED_VALUE"""),14975)</f>
        <v>14975</v>
      </c>
      <c r="E386" s="2">
        <f ca="1">IFERROR(__xludf.DUMMYFUNCTION("""COMPUTED_VALUE"""),15100)</f>
        <v>15100</v>
      </c>
      <c r="F386" s="2">
        <f ca="1">IFERROR(__xludf.DUMMYFUNCTION("""COMPUTED_VALUE"""),15834800)</f>
        <v>15834800</v>
      </c>
    </row>
    <row r="387" spans="1:6">
      <c r="A387" s="5">
        <f ca="1">IFERROR(__xludf.DUMMYFUNCTION("""COMPUTED_VALUE"""),42591.625)</f>
        <v>42591.625</v>
      </c>
      <c r="B387" s="2">
        <f ca="1">IFERROR(__xludf.DUMMYFUNCTION("""COMPUTED_VALUE"""),15100)</f>
        <v>15100</v>
      </c>
      <c r="C387" s="2">
        <f ca="1">IFERROR(__xludf.DUMMYFUNCTION("""COMPUTED_VALUE"""),15100)</f>
        <v>15100</v>
      </c>
      <c r="D387" s="2">
        <f ca="1">IFERROR(__xludf.DUMMYFUNCTION("""COMPUTED_VALUE"""),14950)</f>
        <v>14950</v>
      </c>
      <c r="E387" s="2">
        <f ca="1">IFERROR(__xludf.DUMMYFUNCTION("""COMPUTED_VALUE"""),15000)</f>
        <v>15000</v>
      </c>
      <c r="F387" s="2">
        <f ca="1">IFERROR(__xludf.DUMMYFUNCTION("""COMPUTED_VALUE"""),19340400)</f>
        <v>19340400</v>
      </c>
    </row>
    <row r="388" spans="1:6">
      <c r="A388" s="5">
        <f ca="1">IFERROR(__xludf.DUMMYFUNCTION("""COMPUTED_VALUE"""),42592.625)</f>
        <v>42592.625</v>
      </c>
      <c r="B388" s="2">
        <f ca="1">IFERROR(__xludf.DUMMYFUNCTION("""COMPUTED_VALUE"""),15000)</f>
        <v>15000</v>
      </c>
      <c r="C388" s="2">
        <f ca="1">IFERROR(__xludf.DUMMYFUNCTION("""COMPUTED_VALUE"""),15000)</f>
        <v>15000</v>
      </c>
      <c r="D388" s="2">
        <f ca="1">IFERROR(__xludf.DUMMYFUNCTION("""COMPUTED_VALUE"""),14850)</f>
        <v>14850</v>
      </c>
      <c r="E388" s="2">
        <f ca="1">IFERROR(__xludf.DUMMYFUNCTION("""COMPUTED_VALUE"""),14950)</f>
        <v>14950</v>
      </c>
      <c r="F388" s="2">
        <f ca="1">IFERROR(__xludf.DUMMYFUNCTION("""COMPUTED_VALUE"""),12976700)</f>
        <v>12976700</v>
      </c>
    </row>
    <row r="389" spans="1:6">
      <c r="A389" s="5">
        <f ca="1">IFERROR(__xludf.DUMMYFUNCTION("""COMPUTED_VALUE"""),42593.625)</f>
        <v>42593.625</v>
      </c>
      <c r="B389" s="2">
        <f ca="1">IFERROR(__xludf.DUMMYFUNCTION("""COMPUTED_VALUE"""),15100)</f>
        <v>15100</v>
      </c>
      <c r="C389" s="2">
        <f ca="1">IFERROR(__xludf.DUMMYFUNCTION("""COMPUTED_VALUE"""),15100)</f>
        <v>15100</v>
      </c>
      <c r="D389" s="2">
        <f ca="1">IFERROR(__xludf.DUMMYFUNCTION("""COMPUTED_VALUE"""),14900)</f>
        <v>14900</v>
      </c>
      <c r="E389" s="2">
        <f ca="1">IFERROR(__xludf.DUMMYFUNCTION("""COMPUTED_VALUE"""),14950)</f>
        <v>14950</v>
      </c>
      <c r="F389" s="2">
        <f ca="1">IFERROR(__xludf.DUMMYFUNCTION("""COMPUTED_VALUE"""),21575300)</f>
        <v>21575300</v>
      </c>
    </row>
    <row r="390" spans="1:6">
      <c r="A390" s="5">
        <f ca="1">IFERROR(__xludf.DUMMYFUNCTION("""COMPUTED_VALUE"""),42594.625)</f>
        <v>42594.625</v>
      </c>
      <c r="B390" s="2">
        <f ca="1">IFERROR(__xludf.DUMMYFUNCTION("""COMPUTED_VALUE"""),15025)</f>
        <v>15025</v>
      </c>
      <c r="C390" s="2">
        <f ca="1">IFERROR(__xludf.DUMMYFUNCTION("""COMPUTED_VALUE"""),15225)</f>
        <v>15225</v>
      </c>
      <c r="D390" s="2">
        <f ca="1">IFERROR(__xludf.DUMMYFUNCTION("""COMPUTED_VALUE"""),14950)</f>
        <v>14950</v>
      </c>
      <c r="E390" s="2">
        <f ca="1">IFERROR(__xludf.DUMMYFUNCTION("""COMPUTED_VALUE"""),15000)</f>
        <v>15000</v>
      </c>
      <c r="F390" s="2">
        <f ca="1">IFERROR(__xludf.DUMMYFUNCTION("""COMPUTED_VALUE"""),26296900)</f>
        <v>26296900</v>
      </c>
    </row>
    <row r="391" spans="1:6">
      <c r="A391" s="5">
        <f ca="1">IFERROR(__xludf.DUMMYFUNCTION("""COMPUTED_VALUE"""),42597.625)</f>
        <v>42597.625</v>
      </c>
      <c r="B391" s="2">
        <f ca="1">IFERROR(__xludf.DUMMYFUNCTION("""COMPUTED_VALUE"""),15150)</f>
        <v>15150</v>
      </c>
      <c r="C391" s="2">
        <f ca="1">IFERROR(__xludf.DUMMYFUNCTION("""COMPUTED_VALUE"""),15225)</f>
        <v>15225</v>
      </c>
      <c r="D391" s="2">
        <f ca="1">IFERROR(__xludf.DUMMYFUNCTION("""COMPUTED_VALUE"""),15000)</f>
        <v>15000</v>
      </c>
      <c r="E391" s="2">
        <f ca="1">IFERROR(__xludf.DUMMYFUNCTION("""COMPUTED_VALUE"""),15050)</f>
        <v>15050</v>
      </c>
      <c r="F391" s="2">
        <f ca="1">IFERROR(__xludf.DUMMYFUNCTION("""COMPUTED_VALUE"""),20806900)</f>
        <v>20806900</v>
      </c>
    </row>
    <row r="392" spans="1:6">
      <c r="A392" s="5">
        <f ca="1">IFERROR(__xludf.DUMMYFUNCTION("""COMPUTED_VALUE"""),42598.625)</f>
        <v>42598.625</v>
      </c>
      <c r="B392" s="2">
        <f ca="1">IFERROR(__xludf.DUMMYFUNCTION("""COMPUTED_VALUE"""),15200)</f>
        <v>15200</v>
      </c>
      <c r="C392" s="2">
        <f ca="1">IFERROR(__xludf.DUMMYFUNCTION("""COMPUTED_VALUE"""),15200)</f>
        <v>15200</v>
      </c>
      <c r="D392" s="2">
        <f ca="1">IFERROR(__xludf.DUMMYFUNCTION("""COMPUTED_VALUE"""),15100)</f>
        <v>15100</v>
      </c>
      <c r="E392" s="2">
        <f ca="1">IFERROR(__xludf.DUMMYFUNCTION("""COMPUTED_VALUE"""),15125)</f>
        <v>15125</v>
      </c>
      <c r="F392" s="2">
        <f ca="1">IFERROR(__xludf.DUMMYFUNCTION("""COMPUTED_VALUE"""),12040100)</f>
        <v>12040100</v>
      </c>
    </row>
    <row r="393" spans="1:6">
      <c r="A393" s="5">
        <f ca="1">IFERROR(__xludf.DUMMYFUNCTION("""COMPUTED_VALUE"""),42600.625)</f>
        <v>42600.625</v>
      </c>
      <c r="B393" s="2">
        <f ca="1">IFERROR(__xludf.DUMMYFUNCTION("""COMPUTED_VALUE"""),15125)</f>
        <v>15125</v>
      </c>
      <c r="C393" s="2">
        <f ca="1">IFERROR(__xludf.DUMMYFUNCTION("""COMPUTED_VALUE"""),15300)</f>
        <v>15300</v>
      </c>
      <c r="D393" s="2">
        <f ca="1">IFERROR(__xludf.DUMMYFUNCTION("""COMPUTED_VALUE"""),15125)</f>
        <v>15125</v>
      </c>
      <c r="E393" s="2">
        <f ca="1">IFERROR(__xludf.DUMMYFUNCTION("""COMPUTED_VALUE"""),15200)</f>
        <v>15200</v>
      </c>
      <c r="F393" s="2">
        <f ca="1">IFERROR(__xludf.DUMMYFUNCTION("""COMPUTED_VALUE"""),37250900)</f>
        <v>37250900</v>
      </c>
    </row>
    <row r="394" spans="1:6">
      <c r="A394" s="5">
        <f ca="1">IFERROR(__xludf.DUMMYFUNCTION("""COMPUTED_VALUE"""),42601.625)</f>
        <v>42601.625</v>
      </c>
      <c r="B394" s="2">
        <f ca="1">IFERROR(__xludf.DUMMYFUNCTION("""COMPUTED_VALUE"""),15400)</f>
        <v>15400</v>
      </c>
      <c r="C394" s="2">
        <f ca="1">IFERROR(__xludf.DUMMYFUNCTION("""COMPUTED_VALUE"""),15450)</f>
        <v>15450</v>
      </c>
      <c r="D394" s="2">
        <f ca="1">IFERROR(__xludf.DUMMYFUNCTION("""COMPUTED_VALUE"""),15250)</f>
        <v>15250</v>
      </c>
      <c r="E394" s="2">
        <f ca="1">IFERROR(__xludf.DUMMYFUNCTION("""COMPUTED_VALUE"""),15300)</f>
        <v>15300</v>
      </c>
      <c r="F394" s="2">
        <f ca="1">IFERROR(__xludf.DUMMYFUNCTION("""COMPUTED_VALUE"""),33880700)</f>
        <v>33880700</v>
      </c>
    </row>
    <row r="395" spans="1:6">
      <c r="A395" s="5">
        <f ca="1">IFERROR(__xludf.DUMMYFUNCTION("""COMPUTED_VALUE"""),42604.625)</f>
        <v>42604.625</v>
      </c>
      <c r="B395" s="2">
        <f ca="1">IFERROR(__xludf.DUMMYFUNCTION("""COMPUTED_VALUE"""),15400)</f>
        <v>15400</v>
      </c>
      <c r="C395" s="2">
        <f ca="1">IFERROR(__xludf.DUMMYFUNCTION("""COMPUTED_VALUE"""),15400)</f>
        <v>15400</v>
      </c>
      <c r="D395" s="2">
        <f ca="1">IFERROR(__xludf.DUMMYFUNCTION("""COMPUTED_VALUE"""),15275)</f>
        <v>15275</v>
      </c>
      <c r="E395" s="2">
        <f ca="1">IFERROR(__xludf.DUMMYFUNCTION("""COMPUTED_VALUE"""),15300)</f>
        <v>15300</v>
      </c>
      <c r="F395" s="2">
        <f ca="1">IFERROR(__xludf.DUMMYFUNCTION("""COMPUTED_VALUE"""),22093700)</f>
        <v>22093700</v>
      </c>
    </row>
    <row r="396" spans="1:6">
      <c r="A396" s="5">
        <f ca="1">IFERROR(__xludf.DUMMYFUNCTION("""COMPUTED_VALUE"""),42605.625)</f>
        <v>42605.625</v>
      </c>
      <c r="B396" s="2">
        <f ca="1">IFERROR(__xludf.DUMMYFUNCTION("""COMPUTED_VALUE"""),15500)</f>
        <v>15500</v>
      </c>
      <c r="C396" s="2">
        <f ca="1">IFERROR(__xludf.DUMMYFUNCTION("""COMPUTED_VALUE"""),15500)</f>
        <v>15500</v>
      </c>
      <c r="D396" s="2">
        <f ca="1">IFERROR(__xludf.DUMMYFUNCTION("""COMPUTED_VALUE"""),15100)</f>
        <v>15100</v>
      </c>
      <c r="E396" s="2">
        <f ca="1">IFERROR(__xludf.DUMMYFUNCTION("""COMPUTED_VALUE"""),15275)</f>
        <v>15275</v>
      </c>
      <c r="F396" s="2">
        <f ca="1">IFERROR(__xludf.DUMMYFUNCTION("""COMPUTED_VALUE"""),15340900)</f>
        <v>15340900</v>
      </c>
    </row>
    <row r="397" spans="1:6">
      <c r="A397" s="5">
        <f ca="1">IFERROR(__xludf.DUMMYFUNCTION("""COMPUTED_VALUE"""),42606.625)</f>
        <v>42606.625</v>
      </c>
      <c r="B397" s="2">
        <f ca="1">IFERROR(__xludf.DUMMYFUNCTION("""COMPUTED_VALUE"""),15300)</f>
        <v>15300</v>
      </c>
      <c r="C397" s="2">
        <f ca="1">IFERROR(__xludf.DUMMYFUNCTION("""COMPUTED_VALUE"""),15350)</f>
        <v>15350</v>
      </c>
      <c r="D397" s="2">
        <f ca="1">IFERROR(__xludf.DUMMYFUNCTION("""COMPUTED_VALUE"""),15275)</f>
        <v>15275</v>
      </c>
      <c r="E397" s="2">
        <f ca="1">IFERROR(__xludf.DUMMYFUNCTION("""COMPUTED_VALUE"""),15300)</f>
        <v>15300</v>
      </c>
      <c r="F397" s="2">
        <f ca="1">IFERROR(__xludf.DUMMYFUNCTION("""COMPUTED_VALUE"""),22283200)</f>
        <v>22283200</v>
      </c>
    </row>
    <row r="398" spans="1:6">
      <c r="A398" s="5">
        <f ca="1">IFERROR(__xludf.DUMMYFUNCTION("""COMPUTED_VALUE"""),42607.625)</f>
        <v>42607.625</v>
      </c>
      <c r="B398" s="2">
        <f ca="1">IFERROR(__xludf.DUMMYFUNCTION("""COMPUTED_VALUE"""),15350)</f>
        <v>15350</v>
      </c>
      <c r="C398" s="2">
        <f ca="1">IFERROR(__xludf.DUMMYFUNCTION("""COMPUTED_VALUE"""),15350)</f>
        <v>15350</v>
      </c>
      <c r="D398" s="2">
        <f ca="1">IFERROR(__xludf.DUMMYFUNCTION("""COMPUTED_VALUE"""),14975)</f>
        <v>14975</v>
      </c>
      <c r="E398" s="2">
        <f ca="1">IFERROR(__xludf.DUMMYFUNCTION("""COMPUTED_VALUE"""),15250)</f>
        <v>15250</v>
      </c>
      <c r="F398" s="2">
        <f ca="1">IFERROR(__xludf.DUMMYFUNCTION("""COMPUTED_VALUE"""),14341000)</f>
        <v>14341000</v>
      </c>
    </row>
    <row r="399" spans="1:6">
      <c r="A399" s="5">
        <f ca="1">IFERROR(__xludf.DUMMYFUNCTION("""COMPUTED_VALUE"""),42608.625)</f>
        <v>42608.625</v>
      </c>
      <c r="B399" s="2">
        <f ca="1">IFERROR(__xludf.DUMMYFUNCTION("""COMPUTED_VALUE"""),15250)</f>
        <v>15250</v>
      </c>
      <c r="C399" s="2">
        <f ca="1">IFERROR(__xludf.DUMMYFUNCTION("""COMPUTED_VALUE"""),15250)</f>
        <v>15250</v>
      </c>
      <c r="D399" s="2">
        <f ca="1">IFERROR(__xludf.DUMMYFUNCTION("""COMPUTED_VALUE"""),15150)</f>
        <v>15150</v>
      </c>
      <c r="E399" s="2">
        <f ca="1">IFERROR(__xludf.DUMMYFUNCTION("""COMPUTED_VALUE"""),15200)</f>
        <v>15200</v>
      </c>
      <c r="F399" s="2">
        <f ca="1">IFERROR(__xludf.DUMMYFUNCTION("""COMPUTED_VALUE"""),9757100)</f>
        <v>9757100</v>
      </c>
    </row>
    <row r="400" spans="1:6">
      <c r="A400" s="5">
        <f ca="1">IFERROR(__xludf.DUMMYFUNCTION("""COMPUTED_VALUE"""),42611.625)</f>
        <v>42611.625</v>
      </c>
      <c r="B400" s="2">
        <f ca="1">IFERROR(__xludf.DUMMYFUNCTION("""COMPUTED_VALUE"""),15225)</f>
        <v>15225</v>
      </c>
      <c r="C400" s="2">
        <f ca="1">IFERROR(__xludf.DUMMYFUNCTION("""COMPUTED_VALUE"""),15225)</f>
        <v>15225</v>
      </c>
      <c r="D400" s="2">
        <f ca="1">IFERROR(__xludf.DUMMYFUNCTION("""COMPUTED_VALUE"""),14950)</f>
        <v>14950</v>
      </c>
      <c r="E400" s="2">
        <f ca="1">IFERROR(__xludf.DUMMYFUNCTION("""COMPUTED_VALUE"""),15025)</f>
        <v>15025</v>
      </c>
      <c r="F400" s="2">
        <f ca="1">IFERROR(__xludf.DUMMYFUNCTION("""COMPUTED_VALUE"""),8180800)</f>
        <v>8180800</v>
      </c>
    </row>
    <row r="401" spans="1:6">
      <c r="A401" s="5">
        <f ca="1">IFERROR(__xludf.DUMMYFUNCTION("""COMPUTED_VALUE"""),42612.625)</f>
        <v>42612.625</v>
      </c>
      <c r="B401" s="2">
        <f ca="1">IFERROR(__xludf.DUMMYFUNCTION("""COMPUTED_VALUE"""),15025)</f>
        <v>15025</v>
      </c>
      <c r="C401" s="2">
        <f ca="1">IFERROR(__xludf.DUMMYFUNCTION("""COMPUTED_VALUE"""),15025)</f>
        <v>15025</v>
      </c>
      <c r="D401" s="2">
        <f ca="1">IFERROR(__xludf.DUMMYFUNCTION("""COMPUTED_VALUE"""),14950)</f>
        <v>14950</v>
      </c>
      <c r="E401" s="2">
        <f ca="1">IFERROR(__xludf.DUMMYFUNCTION("""COMPUTED_VALUE"""),15000)</f>
        <v>15000</v>
      </c>
      <c r="F401" s="2">
        <f ca="1">IFERROR(__xludf.DUMMYFUNCTION("""COMPUTED_VALUE"""),14149900)</f>
        <v>14149900</v>
      </c>
    </row>
    <row r="402" spans="1:6">
      <c r="A402" s="5">
        <f ca="1">IFERROR(__xludf.DUMMYFUNCTION("""COMPUTED_VALUE"""),42613.625)</f>
        <v>42613.625</v>
      </c>
      <c r="B402" s="2">
        <f ca="1">IFERROR(__xludf.DUMMYFUNCTION("""COMPUTED_VALUE"""),14850)</f>
        <v>14850</v>
      </c>
      <c r="C402" s="2">
        <f ca="1">IFERROR(__xludf.DUMMYFUNCTION("""COMPUTED_VALUE"""),15175)</f>
        <v>15175</v>
      </c>
      <c r="D402" s="2">
        <f ca="1">IFERROR(__xludf.DUMMYFUNCTION("""COMPUTED_VALUE"""),14850)</f>
        <v>14850</v>
      </c>
      <c r="E402" s="2">
        <f ca="1">IFERROR(__xludf.DUMMYFUNCTION("""COMPUTED_VALUE"""),15050)</f>
        <v>15050</v>
      </c>
      <c r="F402" s="2">
        <f ca="1">IFERROR(__xludf.DUMMYFUNCTION("""COMPUTED_VALUE"""),33831000)</f>
        <v>33831000</v>
      </c>
    </row>
    <row r="403" spans="1:6">
      <c r="A403" s="5">
        <f ca="1">IFERROR(__xludf.DUMMYFUNCTION("""COMPUTED_VALUE"""),42614.625)</f>
        <v>42614.625</v>
      </c>
      <c r="B403" s="2">
        <f ca="1">IFERROR(__xludf.DUMMYFUNCTION("""COMPUTED_VALUE"""),14850)</f>
        <v>14850</v>
      </c>
      <c r="C403" s="2">
        <f ca="1">IFERROR(__xludf.DUMMYFUNCTION("""COMPUTED_VALUE"""),15075)</f>
        <v>15075</v>
      </c>
      <c r="D403" s="2">
        <f ca="1">IFERROR(__xludf.DUMMYFUNCTION("""COMPUTED_VALUE"""),14850)</f>
        <v>14850</v>
      </c>
      <c r="E403" s="2">
        <f ca="1">IFERROR(__xludf.DUMMYFUNCTION("""COMPUTED_VALUE"""),15000)</f>
        <v>15000</v>
      </c>
      <c r="F403" s="2">
        <f ca="1">IFERROR(__xludf.DUMMYFUNCTION("""COMPUTED_VALUE"""),11245900)</f>
        <v>11245900</v>
      </c>
    </row>
    <row r="404" spans="1:6">
      <c r="A404" s="5">
        <f ca="1">IFERROR(__xludf.DUMMYFUNCTION("""COMPUTED_VALUE"""),42615.625)</f>
        <v>42615.625</v>
      </c>
      <c r="B404" s="2">
        <f ca="1">IFERROR(__xludf.DUMMYFUNCTION("""COMPUTED_VALUE"""),15050)</f>
        <v>15050</v>
      </c>
      <c r="C404" s="2">
        <f ca="1">IFERROR(__xludf.DUMMYFUNCTION("""COMPUTED_VALUE"""),15300)</f>
        <v>15300</v>
      </c>
      <c r="D404" s="2">
        <f ca="1">IFERROR(__xludf.DUMMYFUNCTION("""COMPUTED_VALUE"""),14975)</f>
        <v>14975</v>
      </c>
      <c r="E404" s="2">
        <f ca="1">IFERROR(__xludf.DUMMYFUNCTION("""COMPUTED_VALUE"""),15000)</f>
        <v>15000</v>
      </c>
      <c r="F404" s="2">
        <f ca="1">IFERROR(__xludf.DUMMYFUNCTION("""COMPUTED_VALUE"""),12695600)</f>
        <v>12695600</v>
      </c>
    </row>
    <row r="405" spans="1:6">
      <c r="A405" s="5">
        <f ca="1">IFERROR(__xludf.DUMMYFUNCTION("""COMPUTED_VALUE"""),42618.625)</f>
        <v>42618.625</v>
      </c>
      <c r="B405" s="2">
        <f ca="1">IFERROR(__xludf.DUMMYFUNCTION("""COMPUTED_VALUE"""),15275)</f>
        <v>15275</v>
      </c>
      <c r="C405" s="2">
        <f ca="1">IFERROR(__xludf.DUMMYFUNCTION("""COMPUTED_VALUE"""),15275)</f>
        <v>15275</v>
      </c>
      <c r="D405" s="2">
        <f ca="1">IFERROR(__xludf.DUMMYFUNCTION("""COMPUTED_VALUE"""),14975)</f>
        <v>14975</v>
      </c>
      <c r="E405" s="2">
        <f ca="1">IFERROR(__xludf.DUMMYFUNCTION("""COMPUTED_VALUE"""),15000)</f>
        <v>15000</v>
      </c>
      <c r="F405" s="2">
        <f ca="1">IFERROR(__xludf.DUMMYFUNCTION("""COMPUTED_VALUE"""),14888800)</f>
        <v>14888800</v>
      </c>
    </row>
    <row r="406" spans="1:6">
      <c r="A406" s="5">
        <f ca="1">IFERROR(__xludf.DUMMYFUNCTION("""COMPUTED_VALUE"""),42619.625)</f>
        <v>42619.625</v>
      </c>
      <c r="B406" s="2">
        <f ca="1">IFERROR(__xludf.DUMMYFUNCTION("""COMPUTED_VALUE"""),15050)</f>
        <v>15050</v>
      </c>
      <c r="C406" s="2">
        <f ca="1">IFERROR(__xludf.DUMMYFUNCTION("""COMPUTED_VALUE"""),15100)</f>
        <v>15100</v>
      </c>
      <c r="D406" s="2">
        <f ca="1">IFERROR(__xludf.DUMMYFUNCTION("""COMPUTED_VALUE"""),14950)</f>
        <v>14950</v>
      </c>
      <c r="E406" s="2">
        <f ca="1">IFERROR(__xludf.DUMMYFUNCTION("""COMPUTED_VALUE"""),15025)</f>
        <v>15025</v>
      </c>
      <c r="F406" s="2">
        <f ca="1">IFERROR(__xludf.DUMMYFUNCTION("""COMPUTED_VALUE"""),14175300)</f>
        <v>14175300</v>
      </c>
    </row>
    <row r="407" spans="1:6">
      <c r="A407" s="5">
        <f ca="1">IFERROR(__xludf.DUMMYFUNCTION("""COMPUTED_VALUE"""),42620.625)</f>
        <v>42620.625</v>
      </c>
      <c r="B407" s="2">
        <f ca="1">IFERROR(__xludf.DUMMYFUNCTION("""COMPUTED_VALUE"""),15300)</f>
        <v>15300</v>
      </c>
      <c r="C407" s="2">
        <f ca="1">IFERROR(__xludf.DUMMYFUNCTION("""COMPUTED_VALUE"""),15300)</f>
        <v>15300</v>
      </c>
      <c r="D407" s="2">
        <f ca="1">IFERROR(__xludf.DUMMYFUNCTION("""COMPUTED_VALUE"""),15100)</f>
        <v>15100</v>
      </c>
      <c r="E407" s="2">
        <f ca="1">IFERROR(__xludf.DUMMYFUNCTION("""COMPUTED_VALUE"""),15200)</f>
        <v>15200</v>
      </c>
      <c r="F407" s="2">
        <f ca="1">IFERROR(__xludf.DUMMYFUNCTION("""COMPUTED_VALUE"""),27420600)</f>
        <v>27420600</v>
      </c>
    </row>
    <row r="408" spans="1:6">
      <c r="A408" s="5">
        <f ca="1">IFERROR(__xludf.DUMMYFUNCTION("""COMPUTED_VALUE"""),42621.625)</f>
        <v>42621.625</v>
      </c>
      <c r="B408" s="2">
        <f ca="1">IFERROR(__xludf.DUMMYFUNCTION("""COMPUTED_VALUE"""),15300)</f>
        <v>15300</v>
      </c>
      <c r="C408" s="2">
        <f ca="1">IFERROR(__xludf.DUMMYFUNCTION("""COMPUTED_VALUE"""),15300)</f>
        <v>15300</v>
      </c>
      <c r="D408" s="2">
        <f ca="1">IFERROR(__xludf.DUMMYFUNCTION("""COMPUTED_VALUE"""),15150)</f>
        <v>15150</v>
      </c>
      <c r="E408" s="2">
        <f ca="1">IFERROR(__xludf.DUMMYFUNCTION("""COMPUTED_VALUE"""),15175)</f>
        <v>15175</v>
      </c>
      <c r="F408" s="2">
        <f ca="1">IFERROR(__xludf.DUMMYFUNCTION("""COMPUTED_VALUE"""),17693500)</f>
        <v>17693500</v>
      </c>
    </row>
    <row r="409" spans="1:6">
      <c r="A409" s="5">
        <f ca="1">IFERROR(__xludf.DUMMYFUNCTION("""COMPUTED_VALUE"""),42622.625)</f>
        <v>42622.625</v>
      </c>
      <c r="B409" s="2">
        <f ca="1">IFERROR(__xludf.DUMMYFUNCTION("""COMPUTED_VALUE"""),15175)</f>
        <v>15175</v>
      </c>
      <c r="C409" s="2">
        <f ca="1">IFERROR(__xludf.DUMMYFUNCTION("""COMPUTED_VALUE"""),15175)</f>
        <v>15175</v>
      </c>
      <c r="D409" s="2">
        <f ca="1">IFERROR(__xludf.DUMMYFUNCTION("""COMPUTED_VALUE"""),14975)</f>
        <v>14975</v>
      </c>
      <c r="E409" s="2">
        <f ca="1">IFERROR(__xludf.DUMMYFUNCTION("""COMPUTED_VALUE"""),15050)</f>
        <v>15050</v>
      </c>
      <c r="F409" s="2">
        <f ca="1">IFERROR(__xludf.DUMMYFUNCTION("""COMPUTED_VALUE"""),17352800)</f>
        <v>17352800</v>
      </c>
    </row>
    <row r="410" spans="1:6">
      <c r="A410" s="5">
        <f ca="1">IFERROR(__xludf.DUMMYFUNCTION("""COMPUTED_VALUE"""),42626.625)</f>
        <v>42626.625</v>
      </c>
      <c r="B410" s="2">
        <f ca="1">IFERROR(__xludf.DUMMYFUNCTION("""COMPUTED_VALUE"""),15050)</f>
        <v>15050</v>
      </c>
      <c r="C410" s="2">
        <f ca="1">IFERROR(__xludf.DUMMYFUNCTION("""COMPUTED_VALUE"""),15100)</f>
        <v>15100</v>
      </c>
      <c r="D410" s="2">
        <f ca="1">IFERROR(__xludf.DUMMYFUNCTION("""COMPUTED_VALUE"""),14850)</f>
        <v>14850</v>
      </c>
      <c r="E410" s="2">
        <f ca="1">IFERROR(__xludf.DUMMYFUNCTION("""COMPUTED_VALUE"""),15025)</f>
        <v>15025</v>
      </c>
      <c r="F410" s="2">
        <f ca="1">IFERROR(__xludf.DUMMYFUNCTION("""COMPUTED_VALUE"""),21767000)</f>
        <v>21767000</v>
      </c>
    </row>
    <row r="411" spans="1:6">
      <c r="A411" s="5">
        <f ca="1">IFERROR(__xludf.DUMMYFUNCTION("""COMPUTED_VALUE"""),42627.625)</f>
        <v>42627.625</v>
      </c>
      <c r="B411" s="2">
        <f ca="1">IFERROR(__xludf.DUMMYFUNCTION("""COMPUTED_VALUE"""),14950)</f>
        <v>14950</v>
      </c>
      <c r="C411" s="2">
        <f ca="1">IFERROR(__xludf.DUMMYFUNCTION("""COMPUTED_VALUE"""),15000)</f>
        <v>15000</v>
      </c>
      <c r="D411" s="2">
        <f ca="1">IFERROR(__xludf.DUMMYFUNCTION("""COMPUTED_VALUE"""),14800)</f>
        <v>14800</v>
      </c>
      <c r="E411" s="2">
        <f ca="1">IFERROR(__xludf.DUMMYFUNCTION("""COMPUTED_VALUE"""),14975)</f>
        <v>14975</v>
      </c>
      <c r="F411" s="2">
        <f ca="1">IFERROR(__xludf.DUMMYFUNCTION("""COMPUTED_VALUE"""),18580800)</f>
        <v>18580800</v>
      </c>
    </row>
    <row r="412" spans="1:6">
      <c r="A412" s="5">
        <f ca="1">IFERROR(__xludf.DUMMYFUNCTION("""COMPUTED_VALUE"""),42628.625)</f>
        <v>42628.625</v>
      </c>
      <c r="B412" s="2">
        <f ca="1">IFERROR(__xludf.DUMMYFUNCTION("""COMPUTED_VALUE"""),15200)</f>
        <v>15200</v>
      </c>
      <c r="C412" s="2">
        <f ca="1">IFERROR(__xludf.DUMMYFUNCTION("""COMPUTED_VALUE"""),15300)</f>
        <v>15300</v>
      </c>
      <c r="D412" s="2">
        <f ca="1">IFERROR(__xludf.DUMMYFUNCTION("""COMPUTED_VALUE"""),14975)</f>
        <v>14975</v>
      </c>
      <c r="E412" s="2">
        <f ca="1">IFERROR(__xludf.DUMMYFUNCTION("""COMPUTED_VALUE"""),15100)</f>
        <v>15100</v>
      </c>
      <c r="F412" s="2">
        <f ca="1">IFERROR(__xludf.DUMMYFUNCTION("""COMPUTED_VALUE"""),31942600)</f>
        <v>31942600</v>
      </c>
    </row>
    <row r="413" spans="1:6">
      <c r="A413" s="5">
        <f ca="1">IFERROR(__xludf.DUMMYFUNCTION("""COMPUTED_VALUE"""),42629.625)</f>
        <v>42629.625</v>
      </c>
      <c r="B413" s="2">
        <f ca="1">IFERROR(__xludf.DUMMYFUNCTION("""COMPUTED_VALUE"""),15100)</f>
        <v>15100</v>
      </c>
      <c r="C413" s="2">
        <f ca="1">IFERROR(__xludf.DUMMYFUNCTION("""COMPUTED_VALUE"""),15225)</f>
        <v>15225</v>
      </c>
      <c r="D413" s="2">
        <f ca="1">IFERROR(__xludf.DUMMYFUNCTION("""COMPUTED_VALUE"""),15000)</f>
        <v>15000</v>
      </c>
      <c r="E413" s="2">
        <f ca="1">IFERROR(__xludf.DUMMYFUNCTION("""COMPUTED_VALUE"""),15100)</f>
        <v>15100</v>
      </c>
      <c r="F413" s="2">
        <f ca="1">IFERROR(__xludf.DUMMYFUNCTION("""COMPUTED_VALUE"""),30295400)</f>
        <v>30295400</v>
      </c>
    </row>
    <row r="414" spans="1:6">
      <c r="A414" s="5">
        <f ca="1">IFERROR(__xludf.DUMMYFUNCTION("""COMPUTED_VALUE"""),42632.625)</f>
        <v>42632.625</v>
      </c>
      <c r="B414" s="2">
        <f ca="1">IFERROR(__xludf.DUMMYFUNCTION("""COMPUTED_VALUE"""),15250)</f>
        <v>15250</v>
      </c>
      <c r="C414" s="2">
        <f ca="1">IFERROR(__xludf.DUMMYFUNCTION("""COMPUTED_VALUE"""),15275)</f>
        <v>15275</v>
      </c>
      <c r="D414" s="2">
        <f ca="1">IFERROR(__xludf.DUMMYFUNCTION("""COMPUTED_VALUE"""),15100)</f>
        <v>15100</v>
      </c>
      <c r="E414" s="2">
        <f ca="1">IFERROR(__xludf.DUMMYFUNCTION("""COMPUTED_VALUE"""),15250)</f>
        <v>15250</v>
      </c>
      <c r="F414" s="2">
        <f ca="1">IFERROR(__xludf.DUMMYFUNCTION("""COMPUTED_VALUE"""),14136800)</f>
        <v>14136800</v>
      </c>
    </row>
    <row r="415" spans="1:6">
      <c r="A415" s="5">
        <f ca="1">IFERROR(__xludf.DUMMYFUNCTION("""COMPUTED_VALUE"""),42633.625)</f>
        <v>42633.625</v>
      </c>
      <c r="B415" s="2">
        <f ca="1">IFERROR(__xludf.DUMMYFUNCTION("""COMPUTED_VALUE"""),15200)</f>
        <v>15200</v>
      </c>
      <c r="C415" s="2">
        <f ca="1">IFERROR(__xludf.DUMMYFUNCTION("""COMPUTED_VALUE"""),15275)</f>
        <v>15275</v>
      </c>
      <c r="D415" s="2">
        <f ca="1">IFERROR(__xludf.DUMMYFUNCTION("""COMPUTED_VALUE"""),15100)</f>
        <v>15100</v>
      </c>
      <c r="E415" s="2">
        <f ca="1">IFERROR(__xludf.DUMMYFUNCTION("""COMPUTED_VALUE"""),15100)</f>
        <v>15100</v>
      </c>
      <c r="F415" s="2">
        <f ca="1">IFERROR(__xludf.DUMMYFUNCTION("""COMPUTED_VALUE"""),14945300)</f>
        <v>14945300</v>
      </c>
    </row>
    <row r="416" spans="1:6">
      <c r="A416" s="5">
        <f ca="1">IFERROR(__xludf.DUMMYFUNCTION("""COMPUTED_VALUE"""),42634.625)</f>
        <v>42634.625</v>
      </c>
      <c r="B416" s="2">
        <f ca="1">IFERROR(__xludf.DUMMYFUNCTION("""COMPUTED_VALUE"""),15100)</f>
        <v>15100</v>
      </c>
      <c r="C416" s="2">
        <f ca="1">IFERROR(__xludf.DUMMYFUNCTION("""COMPUTED_VALUE"""),15225)</f>
        <v>15225</v>
      </c>
      <c r="D416" s="2">
        <f ca="1">IFERROR(__xludf.DUMMYFUNCTION("""COMPUTED_VALUE"""),15075)</f>
        <v>15075</v>
      </c>
      <c r="E416" s="2">
        <f ca="1">IFERROR(__xludf.DUMMYFUNCTION("""COMPUTED_VALUE"""),15175)</f>
        <v>15175</v>
      </c>
      <c r="F416" s="2">
        <f ca="1">IFERROR(__xludf.DUMMYFUNCTION("""COMPUTED_VALUE"""),18673400)</f>
        <v>18673400</v>
      </c>
    </row>
    <row r="417" spans="1:6">
      <c r="A417" s="5">
        <f ca="1">IFERROR(__xludf.DUMMYFUNCTION("""COMPUTED_VALUE"""),42635.625)</f>
        <v>42635.625</v>
      </c>
      <c r="B417" s="2">
        <f ca="1">IFERROR(__xludf.DUMMYFUNCTION("""COMPUTED_VALUE"""),15350)</f>
        <v>15350</v>
      </c>
      <c r="C417" s="2">
        <f ca="1">IFERROR(__xludf.DUMMYFUNCTION("""COMPUTED_VALUE"""),15600)</f>
        <v>15600</v>
      </c>
      <c r="D417" s="2">
        <f ca="1">IFERROR(__xludf.DUMMYFUNCTION("""COMPUTED_VALUE"""),15325)</f>
        <v>15325</v>
      </c>
      <c r="E417" s="2">
        <f ca="1">IFERROR(__xludf.DUMMYFUNCTION("""COMPUTED_VALUE"""),15350)</f>
        <v>15350</v>
      </c>
      <c r="F417" s="2">
        <f ca="1">IFERROR(__xludf.DUMMYFUNCTION("""COMPUTED_VALUE"""),22554500)</f>
        <v>22554500</v>
      </c>
    </row>
    <row r="418" spans="1:6">
      <c r="A418" s="5">
        <f ca="1">IFERROR(__xludf.DUMMYFUNCTION("""COMPUTED_VALUE"""),42636.625)</f>
        <v>42636.625</v>
      </c>
      <c r="B418" s="2">
        <f ca="1">IFERROR(__xludf.DUMMYFUNCTION("""COMPUTED_VALUE"""),15550)</f>
        <v>15550</v>
      </c>
      <c r="C418" s="2">
        <f ca="1">IFERROR(__xludf.DUMMYFUNCTION("""COMPUTED_VALUE"""),15600)</f>
        <v>15600</v>
      </c>
      <c r="D418" s="2">
        <f ca="1">IFERROR(__xludf.DUMMYFUNCTION("""COMPUTED_VALUE"""),15375)</f>
        <v>15375</v>
      </c>
      <c r="E418" s="2">
        <f ca="1">IFERROR(__xludf.DUMMYFUNCTION("""COMPUTED_VALUE"""),15475)</f>
        <v>15475</v>
      </c>
      <c r="F418" s="2">
        <f ca="1">IFERROR(__xludf.DUMMYFUNCTION("""COMPUTED_VALUE"""),22251800)</f>
        <v>22251800</v>
      </c>
    </row>
    <row r="419" spans="1:6">
      <c r="A419" s="5">
        <f ca="1">IFERROR(__xludf.DUMMYFUNCTION("""COMPUTED_VALUE"""),42639.625)</f>
        <v>42639.625</v>
      </c>
      <c r="B419" s="2">
        <f ca="1">IFERROR(__xludf.DUMMYFUNCTION("""COMPUTED_VALUE"""),15475)</f>
        <v>15475</v>
      </c>
      <c r="C419" s="2">
        <f ca="1">IFERROR(__xludf.DUMMYFUNCTION("""COMPUTED_VALUE"""),15475)</f>
        <v>15475</v>
      </c>
      <c r="D419" s="2">
        <f ca="1">IFERROR(__xludf.DUMMYFUNCTION("""COMPUTED_VALUE"""),15250)</f>
        <v>15250</v>
      </c>
      <c r="E419" s="2">
        <f ca="1">IFERROR(__xludf.DUMMYFUNCTION("""COMPUTED_VALUE"""),15350)</f>
        <v>15350</v>
      </c>
      <c r="F419" s="2">
        <f ca="1">IFERROR(__xludf.DUMMYFUNCTION("""COMPUTED_VALUE"""),11217500)</f>
        <v>11217500</v>
      </c>
    </row>
    <row r="420" spans="1:6">
      <c r="A420" s="5">
        <f ca="1">IFERROR(__xludf.DUMMYFUNCTION("""COMPUTED_VALUE"""),42640.625)</f>
        <v>42640.625</v>
      </c>
      <c r="B420" s="2">
        <f ca="1">IFERROR(__xludf.DUMMYFUNCTION("""COMPUTED_VALUE"""),15100)</f>
        <v>15100</v>
      </c>
      <c r="C420" s="2">
        <f ca="1">IFERROR(__xludf.DUMMYFUNCTION("""COMPUTED_VALUE"""),16000)</f>
        <v>16000</v>
      </c>
      <c r="D420" s="2">
        <f ca="1">IFERROR(__xludf.DUMMYFUNCTION("""COMPUTED_VALUE"""),15000)</f>
        <v>15000</v>
      </c>
      <c r="E420" s="2">
        <f ca="1">IFERROR(__xludf.DUMMYFUNCTION("""COMPUTED_VALUE"""),16000)</f>
        <v>16000</v>
      </c>
      <c r="F420" s="2">
        <f ca="1">IFERROR(__xludf.DUMMYFUNCTION("""COMPUTED_VALUE"""),24297200)</f>
        <v>24297200</v>
      </c>
    </row>
    <row r="421" spans="1:6">
      <c r="A421" s="5">
        <f ca="1">IFERROR(__xludf.DUMMYFUNCTION("""COMPUTED_VALUE"""),42641.625)</f>
        <v>42641.625</v>
      </c>
      <c r="B421" s="2">
        <f ca="1">IFERROR(__xludf.DUMMYFUNCTION("""COMPUTED_VALUE"""),15575)</f>
        <v>15575</v>
      </c>
      <c r="C421" s="2">
        <f ca="1">IFERROR(__xludf.DUMMYFUNCTION("""COMPUTED_VALUE"""),15675)</f>
        <v>15675</v>
      </c>
      <c r="D421" s="2">
        <f ca="1">IFERROR(__xludf.DUMMYFUNCTION("""COMPUTED_VALUE"""),15400)</f>
        <v>15400</v>
      </c>
      <c r="E421" s="2">
        <f ca="1">IFERROR(__xludf.DUMMYFUNCTION("""COMPUTED_VALUE"""),15425)</f>
        <v>15425</v>
      </c>
      <c r="F421" s="2">
        <f ca="1">IFERROR(__xludf.DUMMYFUNCTION("""COMPUTED_VALUE"""),20852400)</f>
        <v>20852400</v>
      </c>
    </row>
    <row r="422" spans="1:6">
      <c r="A422" s="5">
        <f ca="1">IFERROR(__xludf.DUMMYFUNCTION("""COMPUTED_VALUE"""),42642.625)</f>
        <v>42642.625</v>
      </c>
      <c r="B422" s="2">
        <f ca="1">IFERROR(__xludf.DUMMYFUNCTION("""COMPUTED_VALUE"""),15500)</f>
        <v>15500</v>
      </c>
      <c r="C422" s="2">
        <f ca="1">IFERROR(__xludf.DUMMYFUNCTION("""COMPUTED_VALUE"""),15900)</f>
        <v>15900</v>
      </c>
      <c r="D422" s="2">
        <f ca="1">IFERROR(__xludf.DUMMYFUNCTION("""COMPUTED_VALUE"""),15500)</f>
        <v>15500</v>
      </c>
      <c r="E422" s="2">
        <f ca="1">IFERROR(__xludf.DUMMYFUNCTION("""COMPUTED_VALUE"""),15725)</f>
        <v>15725</v>
      </c>
      <c r="F422" s="2">
        <f ca="1">IFERROR(__xludf.DUMMYFUNCTION("""COMPUTED_VALUE"""),26396600)</f>
        <v>26396600</v>
      </c>
    </row>
    <row r="423" spans="1:6">
      <c r="A423" s="5">
        <f ca="1">IFERROR(__xludf.DUMMYFUNCTION("""COMPUTED_VALUE"""),42643.625)</f>
        <v>42643.625</v>
      </c>
      <c r="B423" s="2">
        <f ca="1">IFERROR(__xludf.DUMMYFUNCTION("""COMPUTED_VALUE"""),15975)</f>
        <v>15975</v>
      </c>
      <c r="C423" s="2">
        <f ca="1">IFERROR(__xludf.DUMMYFUNCTION("""COMPUTED_VALUE"""),16000)</f>
        <v>16000</v>
      </c>
      <c r="D423" s="2">
        <f ca="1">IFERROR(__xludf.DUMMYFUNCTION("""COMPUTED_VALUE"""),15500)</f>
        <v>15500</v>
      </c>
      <c r="E423" s="2">
        <f ca="1">IFERROR(__xludf.DUMMYFUNCTION("""COMPUTED_VALUE"""),15700)</f>
        <v>15700</v>
      </c>
      <c r="F423" s="2">
        <f ca="1">IFERROR(__xludf.DUMMYFUNCTION("""COMPUTED_VALUE"""),29338900)</f>
        <v>29338900</v>
      </c>
    </row>
    <row r="424" spans="1:6">
      <c r="A424" s="5">
        <f ca="1">IFERROR(__xludf.DUMMYFUNCTION("""COMPUTED_VALUE"""),42646.625)</f>
        <v>42646.625</v>
      </c>
      <c r="B424" s="2">
        <f ca="1">IFERROR(__xludf.DUMMYFUNCTION("""COMPUTED_VALUE"""),15950)</f>
        <v>15950</v>
      </c>
      <c r="C424" s="2">
        <f ca="1">IFERROR(__xludf.DUMMYFUNCTION("""COMPUTED_VALUE"""),16200)</f>
        <v>16200</v>
      </c>
      <c r="D424" s="2">
        <f ca="1">IFERROR(__xludf.DUMMYFUNCTION("""COMPUTED_VALUE"""),15950)</f>
        <v>15950</v>
      </c>
      <c r="E424" s="2">
        <f ca="1">IFERROR(__xludf.DUMMYFUNCTION("""COMPUTED_VALUE"""),15975)</f>
        <v>15975</v>
      </c>
      <c r="F424" s="2">
        <f ca="1">IFERROR(__xludf.DUMMYFUNCTION("""COMPUTED_VALUE"""),15743000)</f>
        <v>15743000</v>
      </c>
    </row>
    <row r="425" spans="1:6">
      <c r="A425" s="5">
        <f ca="1">IFERROR(__xludf.DUMMYFUNCTION("""COMPUTED_VALUE"""),42647.625)</f>
        <v>42647.625</v>
      </c>
      <c r="B425" s="2">
        <f ca="1">IFERROR(__xludf.DUMMYFUNCTION("""COMPUTED_VALUE"""),16200)</f>
        <v>16200</v>
      </c>
      <c r="C425" s="2">
        <f ca="1">IFERROR(__xludf.DUMMYFUNCTION("""COMPUTED_VALUE"""),16200)</f>
        <v>16200</v>
      </c>
      <c r="D425" s="2">
        <f ca="1">IFERROR(__xludf.DUMMYFUNCTION("""COMPUTED_VALUE"""),15900)</f>
        <v>15900</v>
      </c>
      <c r="E425" s="2">
        <f ca="1">IFERROR(__xludf.DUMMYFUNCTION("""COMPUTED_VALUE"""),15950)</f>
        <v>15950</v>
      </c>
      <c r="F425" s="2">
        <f ca="1">IFERROR(__xludf.DUMMYFUNCTION("""COMPUTED_VALUE"""),16257000)</f>
        <v>16257000</v>
      </c>
    </row>
    <row r="426" spans="1:6">
      <c r="A426" s="5">
        <f ca="1">IFERROR(__xludf.DUMMYFUNCTION("""COMPUTED_VALUE"""),42648.625)</f>
        <v>42648.625</v>
      </c>
      <c r="B426" s="2">
        <f ca="1">IFERROR(__xludf.DUMMYFUNCTION("""COMPUTED_VALUE"""),15750)</f>
        <v>15750</v>
      </c>
      <c r="C426" s="2">
        <f ca="1">IFERROR(__xludf.DUMMYFUNCTION("""COMPUTED_VALUE"""),16000)</f>
        <v>16000</v>
      </c>
      <c r="D426" s="2">
        <f ca="1">IFERROR(__xludf.DUMMYFUNCTION("""COMPUTED_VALUE"""),15750)</f>
        <v>15750</v>
      </c>
      <c r="E426" s="2">
        <f ca="1">IFERROR(__xludf.DUMMYFUNCTION("""COMPUTED_VALUE"""),15800)</f>
        <v>15800</v>
      </c>
      <c r="F426" s="2">
        <f ca="1">IFERROR(__xludf.DUMMYFUNCTION("""COMPUTED_VALUE"""),12673500)</f>
        <v>12673500</v>
      </c>
    </row>
    <row r="427" spans="1:6">
      <c r="A427" s="5">
        <f ca="1">IFERROR(__xludf.DUMMYFUNCTION("""COMPUTED_VALUE"""),42649.625)</f>
        <v>42649.625</v>
      </c>
      <c r="B427" s="2">
        <f ca="1">IFERROR(__xludf.DUMMYFUNCTION("""COMPUTED_VALUE"""),16000)</f>
        <v>16000</v>
      </c>
      <c r="C427" s="2">
        <f ca="1">IFERROR(__xludf.DUMMYFUNCTION("""COMPUTED_VALUE"""),16050)</f>
        <v>16050</v>
      </c>
      <c r="D427" s="2">
        <f ca="1">IFERROR(__xludf.DUMMYFUNCTION("""COMPUTED_VALUE"""),15750)</f>
        <v>15750</v>
      </c>
      <c r="E427" s="2">
        <f ca="1">IFERROR(__xludf.DUMMYFUNCTION("""COMPUTED_VALUE"""),15775)</f>
        <v>15775</v>
      </c>
      <c r="F427" s="2">
        <f ca="1">IFERROR(__xludf.DUMMYFUNCTION("""COMPUTED_VALUE"""),11664900)</f>
        <v>11664900</v>
      </c>
    </row>
    <row r="428" spans="1:6">
      <c r="A428" s="5">
        <f ca="1">IFERROR(__xludf.DUMMYFUNCTION("""COMPUTED_VALUE"""),42650.625)</f>
        <v>42650.625</v>
      </c>
      <c r="B428" s="2">
        <f ca="1">IFERROR(__xludf.DUMMYFUNCTION("""COMPUTED_VALUE"""),16000)</f>
        <v>16000</v>
      </c>
      <c r="C428" s="2">
        <f ca="1">IFERROR(__xludf.DUMMYFUNCTION("""COMPUTED_VALUE"""),16000)</f>
        <v>16000</v>
      </c>
      <c r="D428" s="2">
        <f ca="1">IFERROR(__xludf.DUMMYFUNCTION("""COMPUTED_VALUE"""),15750)</f>
        <v>15750</v>
      </c>
      <c r="E428" s="2">
        <f ca="1">IFERROR(__xludf.DUMMYFUNCTION("""COMPUTED_VALUE"""),15800)</f>
        <v>15800</v>
      </c>
      <c r="F428" s="2">
        <f ca="1">IFERROR(__xludf.DUMMYFUNCTION("""COMPUTED_VALUE"""),9201300)</f>
        <v>9201300</v>
      </c>
    </row>
    <row r="429" spans="1:6">
      <c r="A429" s="5">
        <f ca="1">IFERROR(__xludf.DUMMYFUNCTION("""COMPUTED_VALUE"""),42653.625)</f>
        <v>42653.625</v>
      </c>
      <c r="B429" s="2">
        <f ca="1">IFERROR(__xludf.DUMMYFUNCTION("""COMPUTED_VALUE"""),15700)</f>
        <v>15700</v>
      </c>
      <c r="C429" s="2">
        <f ca="1">IFERROR(__xludf.DUMMYFUNCTION("""COMPUTED_VALUE"""),15925)</f>
        <v>15925</v>
      </c>
      <c r="D429" s="2">
        <f ca="1">IFERROR(__xludf.DUMMYFUNCTION("""COMPUTED_VALUE"""),15650)</f>
        <v>15650</v>
      </c>
      <c r="E429" s="2">
        <f ca="1">IFERROR(__xludf.DUMMYFUNCTION("""COMPUTED_VALUE"""),15700)</f>
        <v>15700</v>
      </c>
      <c r="F429" s="2">
        <f ca="1">IFERROR(__xludf.DUMMYFUNCTION("""COMPUTED_VALUE"""),4991800)</f>
        <v>4991800</v>
      </c>
    </row>
    <row r="430" spans="1:6">
      <c r="A430" s="5">
        <f ca="1">IFERROR(__xludf.DUMMYFUNCTION("""COMPUTED_VALUE"""),42654.625)</f>
        <v>42654.625</v>
      </c>
      <c r="B430" s="2">
        <f ca="1">IFERROR(__xludf.DUMMYFUNCTION("""COMPUTED_VALUE"""),15925)</f>
        <v>15925</v>
      </c>
      <c r="C430" s="2">
        <f ca="1">IFERROR(__xludf.DUMMYFUNCTION("""COMPUTED_VALUE"""),15925)</f>
        <v>15925</v>
      </c>
      <c r="D430" s="2">
        <f ca="1">IFERROR(__xludf.DUMMYFUNCTION("""COMPUTED_VALUE"""),15725)</f>
        <v>15725</v>
      </c>
      <c r="E430" s="2">
        <f ca="1">IFERROR(__xludf.DUMMYFUNCTION("""COMPUTED_VALUE"""),15800)</f>
        <v>15800</v>
      </c>
      <c r="F430" s="2">
        <f ca="1">IFERROR(__xludf.DUMMYFUNCTION("""COMPUTED_VALUE"""),14435300)</f>
        <v>14435300</v>
      </c>
    </row>
    <row r="431" spans="1:6">
      <c r="A431" s="5">
        <f ca="1">IFERROR(__xludf.DUMMYFUNCTION("""COMPUTED_VALUE"""),42655.625)</f>
        <v>42655.625</v>
      </c>
      <c r="B431" s="2">
        <f ca="1">IFERROR(__xludf.DUMMYFUNCTION("""COMPUTED_VALUE"""),15800)</f>
        <v>15800</v>
      </c>
      <c r="C431" s="2">
        <f ca="1">IFERROR(__xludf.DUMMYFUNCTION("""COMPUTED_VALUE"""),15850)</f>
        <v>15850</v>
      </c>
      <c r="D431" s="2">
        <f ca="1">IFERROR(__xludf.DUMMYFUNCTION("""COMPUTED_VALUE"""),15375)</f>
        <v>15375</v>
      </c>
      <c r="E431" s="2">
        <f ca="1">IFERROR(__xludf.DUMMYFUNCTION("""COMPUTED_VALUE"""),15600)</f>
        <v>15600</v>
      </c>
      <c r="F431" s="2">
        <f ca="1">IFERROR(__xludf.DUMMYFUNCTION("""COMPUTED_VALUE"""),15787200)</f>
        <v>15787200</v>
      </c>
    </row>
    <row r="432" spans="1:6">
      <c r="A432" s="5">
        <f ca="1">IFERROR(__xludf.DUMMYFUNCTION("""COMPUTED_VALUE"""),42656.625)</f>
        <v>42656.625</v>
      </c>
      <c r="B432" s="2">
        <f ca="1">IFERROR(__xludf.DUMMYFUNCTION("""COMPUTED_VALUE"""),15600)</f>
        <v>15600</v>
      </c>
      <c r="C432" s="2">
        <f ca="1">IFERROR(__xludf.DUMMYFUNCTION("""COMPUTED_VALUE"""),15675)</f>
        <v>15675</v>
      </c>
      <c r="D432" s="2">
        <f ca="1">IFERROR(__xludf.DUMMYFUNCTION("""COMPUTED_VALUE"""),15350)</f>
        <v>15350</v>
      </c>
      <c r="E432" s="2">
        <f ca="1">IFERROR(__xludf.DUMMYFUNCTION("""COMPUTED_VALUE"""),15450)</f>
        <v>15450</v>
      </c>
      <c r="F432" s="2">
        <f ca="1">IFERROR(__xludf.DUMMYFUNCTION("""COMPUTED_VALUE"""),11549000)</f>
        <v>11549000</v>
      </c>
    </row>
    <row r="433" spans="1:6">
      <c r="A433" s="5">
        <f ca="1">IFERROR(__xludf.DUMMYFUNCTION("""COMPUTED_VALUE"""),42657.625)</f>
        <v>42657.625</v>
      </c>
      <c r="B433" s="2">
        <f ca="1">IFERROR(__xludf.DUMMYFUNCTION("""COMPUTED_VALUE"""),15475)</f>
        <v>15475</v>
      </c>
      <c r="C433" s="2">
        <f ca="1">IFERROR(__xludf.DUMMYFUNCTION("""COMPUTED_VALUE"""),16050)</f>
        <v>16050</v>
      </c>
      <c r="D433" s="2">
        <f ca="1">IFERROR(__xludf.DUMMYFUNCTION("""COMPUTED_VALUE"""),15375)</f>
        <v>15375</v>
      </c>
      <c r="E433" s="2">
        <f ca="1">IFERROR(__xludf.DUMMYFUNCTION("""COMPUTED_VALUE"""),15800)</f>
        <v>15800</v>
      </c>
      <c r="F433" s="2">
        <f ca="1">IFERROR(__xludf.DUMMYFUNCTION("""COMPUTED_VALUE"""),21454300)</f>
        <v>21454300</v>
      </c>
    </row>
    <row r="434" spans="1:6">
      <c r="A434" s="5">
        <f ca="1">IFERROR(__xludf.DUMMYFUNCTION("""COMPUTED_VALUE"""),42660.625)</f>
        <v>42660.625</v>
      </c>
      <c r="B434" s="2">
        <f ca="1">IFERROR(__xludf.DUMMYFUNCTION("""COMPUTED_VALUE"""),15800)</f>
        <v>15800</v>
      </c>
      <c r="C434" s="2">
        <f ca="1">IFERROR(__xludf.DUMMYFUNCTION("""COMPUTED_VALUE"""),15925)</f>
        <v>15925</v>
      </c>
      <c r="D434" s="2">
        <f ca="1">IFERROR(__xludf.DUMMYFUNCTION("""COMPUTED_VALUE"""),15800)</f>
        <v>15800</v>
      </c>
      <c r="E434" s="2">
        <f ca="1">IFERROR(__xludf.DUMMYFUNCTION("""COMPUTED_VALUE"""),15900)</f>
        <v>15900</v>
      </c>
      <c r="F434" s="2">
        <f ca="1">IFERROR(__xludf.DUMMYFUNCTION("""COMPUTED_VALUE"""),22926100)</f>
        <v>22926100</v>
      </c>
    </row>
    <row r="435" spans="1:6">
      <c r="A435" s="5">
        <f ca="1">IFERROR(__xludf.DUMMYFUNCTION("""COMPUTED_VALUE"""),42661.625)</f>
        <v>42661.625</v>
      </c>
      <c r="B435" s="2">
        <f ca="1">IFERROR(__xludf.DUMMYFUNCTION("""COMPUTED_VALUE"""),16000)</f>
        <v>16000</v>
      </c>
      <c r="C435" s="2">
        <f ca="1">IFERROR(__xludf.DUMMYFUNCTION("""COMPUTED_VALUE"""),16075)</f>
        <v>16075</v>
      </c>
      <c r="D435" s="2">
        <f ca="1">IFERROR(__xludf.DUMMYFUNCTION("""COMPUTED_VALUE"""),15950)</f>
        <v>15950</v>
      </c>
      <c r="E435" s="2">
        <f ca="1">IFERROR(__xludf.DUMMYFUNCTION("""COMPUTED_VALUE"""),16050)</f>
        <v>16050</v>
      </c>
      <c r="F435" s="2">
        <f ca="1">IFERROR(__xludf.DUMMYFUNCTION("""COMPUTED_VALUE"""),32105200)</f>
        <v>32105200</v>
      </c>
    </row>
    <row r="436" spans="1:6">
      <c r="A436" s="5">
        <f ca="1">IFERROR(__xludf.DUMMYFUNCTION("""COMPUTED_VALUE"""),42662.625)</f>
        <v>42662.625</v>
      </c>
      <c r="B436" s="2">
        <f ca="1">IFERROR(__xludf.DUMMYFUNCTION("""COMPUTED_VALUE"""),15975)</f>
        <v>15975</v>
      </c>
      <c r="C436" s="2">
        <f ca="1">IFERROR(__xludf.DUMMYFUNCTION("""COMPUTED_VALUE"""),16150)</f>
        <v>16150</v>
      </c>
      <c r="D436" s="2">
        <f ca="1">IFERROR(__xludf.DUMMYFUNCTION("""COMPUTED_VALUE"""),15825)</f>
        <v>15825</v>
      </c>
      <c r="E436" s="2">
        <f ca="1">IFERROR(__xludf.DUMMYFUNCTION("""COMPUTED_VALUE"""),15975)</f>
        <v>15975</v>
      </c>
      <c r="F436" s="2">
        <f ca="1">IFERROR(__xludf.DUMMYFUNCTION("""COMPUTED_VALUE"""),8749600)</f>
        <v>8749600</v>
      </c>
    </row>
    <row r="437" spans="1:6">
      <c r="A437" s="5">
        <f ca="1">IFERROR(__xludf.DUMMYFUNCTION("""COMPUTED_VALUE"""),42663.625)</f>
        <v>42663.625</v>
      </c>
      <c r="B437" s="2">
        <f ca="1">IFERROR(__xludf.DUMMYFUNCTION("""COMPUTED_VALUE"""),15850)</f>
        <v>15850</v>
      </c>
      <c r="C437" s="2">
        <f ca="1">IFERROR(__xludf.DUMMYFUNCTION("""COMPUTED_VALUE"""),15950)</f>
        <v>15950</v>
      </c>
      <c r="D437" s="2">
        <f ca="1">IFERROR(__xludf.DUMMYFUNCTION("""COMPUTED_VALUE"""),15750)</f>
        <v>15750</v>
      </c>
      <c r="E437" s="2">
        <f ca="1">IFERROR(__xludf.DUMMYFUNCTION("""COMPUTED_VALUE"""),15750)</f>
        <v>15750</v>
      </c>
      <c r="F437" s="2">
        <f ca="1">IFERROR(__xludf.DUMMYFUNCTION("""COMPUTED_VALUE"""),7799200)</f>
        <v>7799200</v>
      </c>
    </row>
    <row r="438" spans="1:6">
      <c r="A438" s="5">
        <f ca="1">IFERROR(__xludf.DUMMYFUNCTION("""COMPUTED_VALUE"""),42664.625)</f>
        <v>42664.625</v>
      </c>
      <c r="B438" s="2">
        <f ca="1">IFERROR(__xludf.DUMMYFUNCTION("""COMPUTED_VALUE"""),15850)</f>
        <v>15850</v>
      </c>
      <c r="C438" s="2">
        <f ca="1">IFERROR(__xludf.DUMMYFUNCTION("""COMPUTED_VALUE"""),15850)</f>
        <v>15850</v>
      </c>
      <c r="D438" s="2">
        <f ca="1">IFERROR(__xludf.DUMMYFUNCTION("""COMPUTED_VALUE"""),15775)</f>
        <v>15775</v>
      </c>
      <c r="E438" s="2">
        <f ca="1">IFERROR(__xludf.DUMMYFUNCTION("""COMPUTED_VALUE"""),15800)</f>
        <v>15800</v>
      </c>
      <c r="F438" s="2">
        <f ca="1">IFERROR(__xludf.DUMMYFUNCTION("""COMPUTED_VALUE"""),10536200)</f>
        <v>10536200</v>
      </c>
    </row>
    <row r="439" spans="1:6">
      <c r="A439" s="5">
        <f ca="1">IFERROR(__xludf.DUMMYFUNCTION("""COMPUTED_VALUE"""),42667.625)</f>
        <v>42667.625</v>
      </c>
      <c r="B439" s="2">
        <f ca="1">IFERROR(__xludf.DUMMYFUNCTION("""COMPUTED_VALUE"""),15875)</f>
        <v>15875</v>
      </c>
      <c r="C439" s="2">
        <f ca="1">IFERROR(__xludf.DUMMYFUNCTION("""COMPUTED_VALUE"""),15875)</f>
        <v>15875</v>
      </c>
      <c r="D439" s="2">
        <f ca="1">IFERROR(__xludf.DUMMYFUNCTION("""COMPUTED_VALUE"""),15550)</f>
        <v>15550</v>
      </c>
      <c r="E439" s="2">
        <f ca="1">IFERROR(__xludf.DUMMYFUNCTION("""COMPUTED_VALUE"""),15675)</f>
        <v>15675</v>
      </c>
      <c r="F439" s="2">
        <f ca="1">IFERROR(__xludf.DUMMYFUNCTION("""COMPUTED_VALUE"""),12907900)</f>
        <v>12907900</v>
      </c>
    </row>
    <row r="440" spans="1:6">
      <c r="A440" s="5">
        <f ca="1">IFERROR(__xludf.DUMMYFUNCTION("""COMPUTED_VALUE"""),42668.625)</f>
        <v>42668.625</v>
      </c>
      <c r="B440" s="2">
        <f ca="1">IFERROR(__xludf.DUMMYFUNCTION("""COMPUTED_VALUE"""),15625)</f>
        <v>15625</v>
      </c>
      <c r="C440" s="2">
        <f ca="1">IFERROR(__xludf.DUMMYFUNCTION("""COMPUTED_VALUE"""),15700)</f>
        <v>15700</v>
      </c>
      <c r="D440" s="2">
        <f ca="1">IFERROR(__xludf.DUMMYFUNCTION("""COMPUTED_VALUE"""),15475)</f>
        <v>15475</v>
      </c>
      <c r="E440" s="2">
        <f ca="1">IFERROR(__xludf.DUMMYFUNCTION("""COMPUTED_VALUE"""),15500)</f>
        <v>15500</v>
      </c>
      <c r="F440" s="2">
        <f ca="1">IFERROR(__xludf.DUMMYFUNCTION("""COMPUTED_VALUE"""),21133200)</f>
        <v>21133200</v>
      </c>
    </row>
    <row r="441" spans="1:6">
      <c r="A441" s="5">
        <f ca="1">IFERROR(__xludf.DUMMYFUNCTION("""COMPUTED_VALUE"""),42669.625)</f>
        <v>42669.625</v>
      </c>
      <c r="B441" s="2">
        <f ca="1">IFERROR(__xludf.DUMMYFUNCTION("""COMPUTED_VALUE"""),15600)</f>
        <v>15600</v>
      </c>
      <c r="C441" s="2">
        <f ca="1">IFERROR(__xludf.DUMMYFUNCTION("""COMPUTED_VALUE"""),15600)</f>
        <v>15600</v>
      </c>
      <c r="D441" s="2">
        <f ca="1">IFERROR(__xludf.DUMMYFUNCTION("""COMPUTED_VALUE"""),15475)</f>
        <v>15475</v>
      </c>
      <c r="E441" s="2">
        <f ca="1">IFERROR(__xludf.DUMMYFUNCTION("""COMPUTED_VALUE"""),15500)</f>
        <v>15500</v>
      </c>
      <c r="F441" s="2">
        <f ca="1">IFERROR(__xludf.DUMMYFUNCTION("""COMPUTED_VALUE"""),12330700)</f>
        <v>12330700</v>
      </c>
    </row>
    <row r="442" spans="1:6">
      <c r="A442" s="5">
        <f ca="1">IFERROR(__xludf.DUMMYFUNCTION("""COMPUTED_VALUE"""),42670.625)</f>
        <v>42670.625</v>
      </c>
      <c r="B442" s="2">
        <f ca="1">IFERROR(__xludf.DUMMYFUNCTION("""COMPUTED_VALUE"""),15500)</f>
        <v>15500</v>
      </c>
      <c r="C442" s="2">
        <f ca="1">IFERROR(__xludf.DUMMYFUNCTION("""COMPUTED_VALUE"""),15575)</f>
        <v>15575</v>
      </c>
      <c r="D442" s="2">
        <f ca="1">IFERROR(__xludf.DUMMYFUNCTION("""COMPUTED_VALUE"""),15475)</f>
        <v>15475</v>
      </c>
      <c r="E442" s="2">
        <f ca="1">IFERROR(__xludf.DUMMYFUNCTION("""COMPUTED_VALUE"""),15525)</f>
        <v>15525</v>
      </c>
      <c r="F442" s="2">
        <f ca="1">IFERROR(__xludf.DUMMYFUNCTION("""COMPUTED_VALUE"""),15933400)</f>
        <v>15933400</v>
      </c>
    </row>
    <row r="443" spans="1:6">
      <c r="A443" s="5">
        <f ca="1">IFERROR(__xludf.DUMMYFUNCTION("""COMPUTED_VALUE"""),42671.625)</f>
        <v>42671.625</v>
      </c>
      <c r="B443" s="2">
        <f ca="1">IFERROR(__xludf.DUMMYFUNCTION("""COMPUTED_VALUE"""),15525)</f>
        <v>15525</v>
      </c>
      <c r="C443" s="2">
        <f ca="1">IFERROR(__xludf.DUMMYFUNCTION("""COMPUTED_VALUE"""),15600)</f>
        <v>15600</v>
      </c>
      <c r="D443" s="2">
        <f ca="1">IFERROR(__xludf.DUMMYFUNCTION("""COMPUTED_VALUE"""),15425)</f>
        <v>15425</v>
      </c>
      <c r="E443" s="2">
        <f ca="1">IFERROR(__xludf.DUMMYFUNCTION("""COMPUTED_VALUE"""),15600)</f>
        <v>15600</v>
      </c>
      <c r="F443" s="2">
        <f ca="1">IFERROR(__xludf.DUMMYFUNCTION("""COMPUTED_VALUE"""),14421000)</f>
        <v>14421000</v>
      </c>
    </row>
    <row r="444" spans="1:6">
      <c r="A444" s="5">
        <f ca="1">IFERROR(__xludf.DUMMYFUNCTION("""COMPUTED_VALUE"""),42674.625)</f>
        <v>42674.625</v>
      </c>
      <c r="B444" s="2">
        <f ca="1">IFERROR(__xludf.DUMMYFUNCTION("""COMPUTED_VALUE"""),15500)</f>
        <v>15500</v>
      </c>
      <c r="C444" s="2">
        <f ca="1">IFERROR(__xludf.DUMMYFUNCTION("""COMPUTED_VALUE"""),15600)</f>
        <v>15600</v>
      </c>
      <c r="D444" s="2">
        <f ca="1">IFERROR(__xludf.DUMMYFUNCTION("""COMPUTED_VALUE"""),15425)</f>
        <v>15425</v>
      </c>
      <c r="E444" s="2">
        <f ca="1">IFERROR(__xludf.DUMMYFUNCTION("""COMPUTED_VALUE"""),15525)</f>
        <v>15525</v>
      </c>
      <c r="F444" s="2">
        <f ca="1">IFERROR(__xludf.DUMMYFUNCTION("""COMPUTED_VALUE"""),13108700)</f>
        <v>13108700</v>
      </c>
    </row>
    <row r="445" spans="1:6">
      <c r="A445" s="5">
        <f ca="1">IFERROR(__xludf.DUMMYFUNCTION("""COMPUTED_VALUE"""),42675.625)</f>
        <v>42675.625</v>
      </c>
      <c r="B445" s="2">
        <f ca="1">IFERROR(__xludf.DUMMYFUNCTION("""COMPUTED_VALUE"""),15500)</f>
        <v>15500</v>
      </c>
      <c r="C445" s="2">
        <f ca="1">IFERROR(__xludf.DUMMYFUNCTION("""COMPUTED_VALUE"""),15650)</f>
        <v>15650</v>
      </c>
      <c r="D445" s="2">
        <f ca="1">IFERROR(__xludf.DUMMYFUNCTION("""COMPUTED_VALUE"""),15450)</f>
        <v>15450</v>
      </c>
      <c r="E445" s="2">
        <f ca="1">IFERROR(__xludf.DUMMYFUNCTION("""COMPUTED_VALUE"""),15450)</f>
        <v>15450</v>
      </c>
      <c r="F445" s="2">
        <f ca="1">IFERROR(__xludf.DUMMYFUNCTION("""COMPUTED_VALUE"""),15531500)</f>
        <v>15531500</v>
      </c>
    </row>
    <row r="446" spans="1:6">
      <c r="A446" s="5">
        <f ca="1">IFERROR(__xludf.DUMMYFUNCTION("""COMPUTED_VALUE"""),42676.625)</f>
        <v>42676.625</v>
      </c>
      <c r="B446" s="2">
        <f ca="1">IFERROR(__xludf.DUMMYFUNCTION("""COMPUTED_VALUE"""),15450)</f>
        <v>15450</v>
      </c>
      <c r="C446" s="2">
        <f ca="1">IFERROR(__xludf.DUMMYFUNCTION("""COMPUTED_VALUE"""),15525)</f>
        <v>15525</v>
      </c>
      <c r="D446" s="2">
        <f ca="1">IFERROR(__xludf.DUMMYFUNCTION("""COMPUTED_VALUE"""),15325)</f>
        <v>15325</v>
      </c>
      <c r="E446" s="2">
        <f ca="1">IFERROR(__xludf.DUMMYFUNCTION("""COMPUTED_VALUE"""),15475)</f>
        <v>15475</v>
      </c>
      <c r="F446" s="2">
        <f ca="1">IFERROR(__xludf.DUMMYFUNCTION("""COMPUTED_VALUE"""),20289200)</f>
        <v>20289200</v>
      </c>
    </row>
    <row r="447" spans="1:6">
      <c r="A447" s="5">
        <f ca="1">IFERROR(__xludf.DUMMYFUNCTION("""COMPUTED_VALUE"""),42677.625)</f>
        <v>42677.625</v>
      </c>
      <c r="B447" s="2">
        <f ca="1">IFERROR(__xludf.DUMMYFUNCTION("""COMPUTED_VALUE"""),15500)</f>
        <v>15500</v>
      </c>
      <c r="C447" s="2">
        <f ca="1">IFERROR(__xludf.DUMMYFUNCTION("""COMPUTED_VALUE"""),15500)</f>
        <v>15500</v>
      </c>
      <c r="D447" s="2">
        <f ca="1">IFERROR(__xludf.DUMMYFUNCTION("""COMPUTED_VALUE"""),15300)</f>
        <v>15300</v>
      </c>
      <c r="E447" s="2">
        <f ca="1">IFERROR(__xludf.DUMMYFUNCTION("""COMPUTED_VALUE"""),15425)</f>
        <v>15425</v>
      </c>
      <c r="F447" s="2">
        <f ca="1">IFERROR(__xludf.DUMMYFUNCTION("""COMPUTED_VALUE"""),13691000)</f>
        <v>13691000</v>
      </c>
    </row>
    <row r="448" spans="1:6">
      <c r="A448" s="5">
        <f ca="1">IFERROR(__xludf.DUMMYFUNCTION("""COMPUTED_VALUE"""),42678.625)</f>
        <v>42678.625</v>
      </c>
      <c r="B448" s="2">
        <f ca="1">IFERROR(__xludf.DUMMYFUNCTION("""COMPUTED_VALUE"""),15350)</f>
        <v>15350</v>
      </c>
      <c r="C448" s="2">
        <f ca="1">IFERROR(__xludf.DUMMYFUNCTION("""COMPUTED_VALUE"""),15500)</f>
        <v>15500</v>
      </c>
      <c r="D448" s="2">
        <f ca="1">IFERROR(__xludf.DUMMYFUNCTION("""COMPUTED_VALUE"""),15300)</f>
        <v>15300</v>
      </c>
      <c r="E448" s="2">
        <f ca="1">IFERROR(__xludf.DUMMYFUNCTION("""COMPUTED_VALUE"""),15500)</f>
        <v>15500</v>
      </c>
      <c r="F448" s="2">
        <f ca="1">IFERROR(__xludf.DUMMYFUNCTION("""COMPUTED_VALUE"""),12436500)</f>
        <v>12436500</v>
      </c>
    </row>
    <row r="449" spans="1:6">
      <c r="A449" s="5">
        <f ca="1">IFERROR(__xludf.DUMMYFUNCTION("""COMPUTED_VALUE"""),42681.625)</f>
        <v>42681.625</v>
      </c>
      <c r="B449" s="2">
        <f ca="1">IFERROR(__xludf.DUMMYFUNCTION("""COMPUTED_VALUE"""),15250)</f>
        <v>15250</v>
      </c>
      <c r="C449" s="2">
        <f ca="1">IFERROR(__xludf.DUMMYFUNCTION("""COMPUTED_VALUE"""),15525)</f>
        <v>15525</v>
      </c>
      <c r="D449" s="2">
        <f ca="1">IFERROR(__xludf.DUMMYFUNCTION("""COMPUTED_VALUE"""),15100)</f>
        <v>15100</v>
      </c>
      <c r="E449" s="2">
        <f ca="1">IFERROR(__xludf.DUMMYFUNCTION("""COMPUTED_VALUE"""),15400)</f>
        <v>15400</v>
      </c>
      <c r="F449" s="2">
        <f ca="1">IFERROR(__xludf.DUMMYFUNCTION("""COMPUTED_VALUE"""),22099400)</f>
        <v>22099400</v>
      </c>
    </row>
    <row r="450" spans="1:6">
      <c r="A450" s="5">
        <f ca="1">IFERROR(__xludf.DUMMYFUNCTION("""COMPUTED_VALUE"""),42682.625)</f>
        <v>42682.625</v>
      </c>
      <c r="B450" s="2">
        <f ca="1">IFERROR(__xludf.DUMMYFUNCTION("""COMPUTED_VALUE"""),15400)</f>
        <v>15400</v>
      </c>
      <c r="C450" s="2">
        <f ca="1">IFERROR(__xludf.DUMMYFUNCTION("""COMPUTED_VALUE"""),15600)</f>
        <v>15600</v>
      </c>
      <c r="D450" s="2">
        <f ca="1">IFERROR(__xludf.DUMMYFUNCTION("""COMPUTED_VALUE"""),15400)</f>
        <v>15400</v>
      </c>
      <c r="E450" s="2">
        <f ca="1">IFERROR(__xludf.DUMMYFUNCTION("""COMPUTED_VALUE"""),15500)</f>
        <v>15500</v>
      </c>
      <c r="F450" s="2">
        <f ca="1">IFERROR(__xludf.DUMMYFUNCTION("""COMPUTED_VALUE"""),21302900)</f>
        <v>21302900</v>
      </c>
    </row>
    <row r="451" spans="1:6">
      <c r="A451" s="5">
        <f ca="1">IFERROR(__xludf.DUMMYFUNCTION("""COMPUTED_VALUE"""),42683.625)</f>
        <v>42683.625</v>
      </c>
      <c r="B451" s="2">
        <f ca="1">IFERROR(__xludf.DUMMYFUNCTION("""COMPUTED_VALUE"""),15500)</f>
        <v>15500</v>
      </c>
      <c r="C451" s="2">
        <f ca="1">IFERROR(__xludf.DUMMYFUNCTION("""COMPUTED_VALUE"""),15575)</f>
        <v>15575</v>
      </c>
      <c r="D451" s="2">
        <f ca="1">IFERROR(__xludf.DUMMYFUNCTION("""COMPUTED_VALUE"""),15250)</f>
        <v>15250</v>
      </c>
      <c r="E451" s="2">
        <f ca="1">IFERROR(__xludf.DUMMYFUNCTION("""COMPUTED_VALUE"""),15300)</f>
        <v>15300</v>
      </c>
      <c r="F451" s="2">
        <f ca="1">IFERROR(__xludf.DUMMYFUNCTION("""COMPUTED_VALUE"""),25375000)</f>
        <v>25375000</v>
      </c>
    </row>
    <row r="452" spans="1:6">
      <c r="A452" s="5">
        <f ca="1">IFERROR(__xludf.DUMMYFUNCTION("""COMPUTED_VALUE"""),42684.625)</f>
        <v>42684.625</v>
      </c>
      <c r="B452" s="2">
        <f ca="1">IFERROR(__xludf.DUMMYFUNCTION("""COMPUTED_VALUE"""),15300)</f>
        <v>15300</v>
      </c>
      <c r="C452" s="2">
        <f ca="1">IFERROR(__xludf.DUMMYFUNCTION("""COMPUTED_VALUE"""),15425)</f>
        <v>15425</v>
      </c>
      <c r="D452" s="2">
        <f ca="1">IFERROR(__xludf.DUMMYFUNCTION("""COMPUTED_VALUE"""),15225)</f>
        <v>15225</v>
      </c>
      <c r="E452" s="2">
        <f ca="1">IFERROR(__xludf.DUMMYFUNCTION("""COMPUTED_VALUE"""),15225)</f>
        <v>15225</v>
      </c>
      <c r="F452" s="2">
        <f ca="1">IFERROR(__xludf.DUMMYFUNCTION("""COMPUTED_VALUE"""),13976500)</f>
        <v>13976500</v>
      </c>
    </row>
    <row r="453" spans="1:6">
      <c r="A453" s="5">
        <f ca="1">IFERROR(__xludf.DUMMYFUNCTION("""COMPUTED_VALUE"""),42685.625)</f>
        <v>42685.625</v>
      </c>
      <c r="B453" s="2">
        <f ca="1">IFERROR(__xludf.DUMMYFUNCTION("""COMPUTED_VALUE"""),15000)</f>
        <v>15000</v>
      </c>
      <c r="C453" s="2">
        <f ca="1">IFERROR(__xludf.DUMMYFUNCTION("""COMPUTED_VALUE"""),15000)</f>
        <v>15000</v>
      </c>
      <c r="D453" s="2">
        <f ca="1">IFERROR(__xludf.DUMMYFUNCTION("""COMPUTED_VALUE"""),14500)</f>
        <v>14500</v>
      </c>
      <c r="E453" s="2">
        <f ca="1">IFERROR(__xludf.DUMMYFUNCTION("""COMPUTED_VALUE"""),14675)</f>
        <v>14675</v>
      </c>
      <c r="F453" s="2">
        <f ca="1">IFERROR(__xludf.DUMMYFUNCTION("""COMPUTED_VALUE"""),44513300)</f>
        <v>44513300</v>
      </c>
    </row>
    <row r="454" spans="1:6">
      <c r="A454" s="5">
        <f ca="1">IFERROR(__xludf.DUMMYFUNCTION("""COMPUTED_VALUE"""),42688.625)</f>
        <v>42688.625</v>
      </c>
      <c r="B454" s="2">
        <f ca="1">IFERROR(__xludf.DUMMYFUNCTION("""COMPUTED_VALUE"""),14400)</f>
        <v>14400</v>
      </c>
      <c r="C454" s="2">
        <f ca="1">IFERROR(__xludf.DUMMYFUNCTION("""COMPUTED_VALUE"""),14400)</f>
        <v>14400</v>
      </c>
      <c r="D454" s="2">
        <f ca="1">IFERROR(__xludf.DUMMYFUNCTION("""COMPUTED_VALUE"""),13950)</f>
        <v>13950</v>
      </c>
      <c r="E454" s="2">
        <f ca="1">IFERROR(__xludf.DUMMYFUNCTION("""COMPUTED_VALUE"""),14375)</f>
        <v>14375</v>
      </c>
      <c r="F454" s="2">
        <f ca="1">IFERROR(__xludf.DUMMYFUNCTION("""COMPUTED_VALUE"""),31337800)</f>
        <v>31337800</v>
      </c>
    </row>
    <row r="455" spans="1:6">
      <c r="A455" s="5">
        <f ca="1">IFERROR(__xludf.DUMMYFUNCTION("""COMPUTED_VALUE"""),42689.625)</f>
        <v>42689.625</v>
      </c>
      <c r="B455" s="2">
        <f ca="1">IFERROR(__xludf.DUMMYFUNCTION("""COMPUTED_VALUE"""),14300)</f>
        <v>14300</v>
      </c>
      <c r="C455" s="2">
        <f ca="1">IFERROR(__xludf.DUMMYFUNCTION("""COMPUTED_VALUE"""),14875)</f>
        <v>14875</v>
      </c>
      <c r="D455" s="2">
        <f ca="1">IFERROR(__xludf.DUMMYFUNCTION("""COMPUTED_VALUE"""),14100)</f>
        <v>14100</v>
      </c>
      <c r="E455" s="2">
        <f ca="1">IFERROR(__xludf.DUMMYFUNCTION("""COMPUTED_VALUE"""),14550)</f>
        <v>14550</v>
      </c>
      <c r="F455" s="2">
        <f ca="1">IFERROR(__xludf.DUMMYFUNCTION("""COMPUTED_VALUE"""),27094900)</f>
        <v>27094900</v>
      </c>
    </row>
    <row r="456" spans="1:6">
      <c r="A456" s="5">
        <f ca="1">IFERROR(__xludf.DUMMYFUNCTION("""COMPUTED_VALUE"""),42690.625)</f>
        <v>42690.625</v>
      </c>
      <c r="B456" s="2">
        <f ca="1">IFERROR(__xludf.DUMMYFUNCTION("""COMPUTED_VALUE"""),14575)</f>
        <v>14575</v>
      </c>
      <c r="C456" s="2">
        <f ca="1">IFERROR(__xludf.DUMMYFUNCTION("""COMPUTED_VALUE"""),14925)</f>
        <v>14925</v>
      </c>
      <c r="D456" s="2">
        <f ca="1">IFERROR(__xludf.DUMMYFUNCTION("""COMPUTED_VALUE"""),14575)</f>
        <v>14575</v>
      </c>
      <c r="E456" s="2">
        <f ca="1">IFERROR(__xludf.DUMMYFUNCTION("""COMPUTED_VALUE"""),14725)</f>
        <v>14725</v>
      </c>
      <c r="F456" s="2">
        <f ca="1">IFERROR(__xludf.DUMMYFUNCTION("""COMPUTED_VALUE"""),25807100)</f>
        <v>25807100</v>
      </c>
    </row>
    <row r="457" spans="1:6">
      <c r="A457" s="5">
        <f ca="1">IFERROR(__xludf.DUMMYFUNCTION("""COMPUTED_VALUE"""),42691.625)</f>
        <v>42691.625</v>
      </c>
      <c r="B457" s="2">
        <f ca="1">IFERROR(__xludf.DUMMYFUNCTION("""COMPUTED_VALUE"""),14750)</f>
        <v>14750</v>
      </c>
      <c r="C457" s="2">
        <f ca="1">IFERROR(__xludf.DUMMYFUNCTION("""COMPUTED_VALUE"""),14850)</f>
        <v>14850</v>
      </c>
      <c r="D457" s="2">
        <f ca="1">IFERROR(__xludf.DUMMYFUNCTION("""COMPUTED_VALUE"""),14700)</f>
        <v>14700</v>
      </c>
      <c r="E457" s="2">
        <f ca="1">IFERROR(__xludf.DUMMYFUNCTION("""COMPUTED_VALUE"""),14750)</f>
        <v>14750</v>
      </c>
      <c r="F457" s="2">
        <f ca="1">IFERROR(__xludf.DUMMYFUNCTION("""COMPUTED_VALUE"""),24099800)</f>
        <v>24099800</v>
      </c>
    </row>
    <row r="458" spans="1:6">
      <c r="A458" s="5">
        <f ca="1">IFERROR(__xludf.DUMMYFUNCTION("""COMPUTED_VALUE"""),42692.625)</f>
        <v>42692.625</v>
      </c>
      <c r="B458" s="2">
        <f ca="1">IFERROR(__xludf.DUMMYFUNCTION("""COMPUTED_VALUE"""),14700)</f>
        <v>14700</v>
      </c>
      <c r="C458" s="2">
        <f ca="1">IFERROR(__xludf.DUMMYFUNCTION("""COMPUTED_VALUE"""),14750)</f>
        <v>14750</v>
      </c>
      <c r="D458" s="2">
        <f ca="1">IFERROR(__xludf.DUMMYFUNCTION("""COMPUTED_VALUE"""),14625)</f>
        <v>14625</v>
      </c>
      <c r="E458" s="2">
        <f ca="1">IFERROR(__xludf.DUMMYFUNCTION("""COMPUTED_VALUE"""),14725)</f>
        <v>14725</v>
      </c>
      <c r="F458" s="2">
        <f ca="1">IFERROR(__xludf.DUMMYFUNCTION("""COMPUTED_VALUE"""),16140300)</f>
        <v>16140300</v>
      </c>
    </row>
    <row r="459" spans="1:6">
      <c r="A459" s="5">
        <f ca="1">IFERROR(__xludf.DUMMYFUNCTION("""COMPUTED_VALUE"""),42695.625)</f>
        <v>42695.625</v>
      </c>
      <c r="B459" s="2">
        <f ca="1">IFERROR(__xludf.DUMMYFUNCTION("""COMPUTED_VALUE"""),14700)</f>
        <v>14700</v>
      </c>
      <c r="C459" s="2">
        <f ca="1">IFERROR(__xludf.DUMMYFUNCTION("""COMPUTED_VALUE"""),14775)</f>
        <v>14775</v>
      </c>
      <c r="D459" s="2">
        <f ca="1">IFERROR(__xludf.DUMMYFUNCTION("""COMPUTED_VALUE"""),14625)</f>
        <v>14625</v>
      </c>
      <c r="E459" s="2">
        <f ca="1">IFERROR(__xludf.DUMMYFUNCTION("""COMPUTED_VALUE"""),14725)</f>
        <v>14725</v>
      </c>
      <c r="F459" s="2">
        <f ca="1">IFERROR(__xludf.DUMMYFUNCTION("""COMPUTED_VALUE"""),17475000)</f>
        <v>17475000</v>
      </c>
    </row>
    <row r="460" spans="1:6">
      <c r="A460" s="5">
        <f ca="1">IFERROR(__xludf.DUMMYFUNCTION("""COMPUTED_VALUE"""),42696.625)</f>
        <v>42696.625</v>
      </c>
      <c r="B460" s="2">
        <f ca="1">IFERROR(__xludf.DUMMYFUNCTION("""COMPUTED_VALUE"""),14500)</f>
        <v>14500</v>
      </c>
      <c r="C460" s="2">
        <f ca="1">IFERROR(__xludf.DUMMYFUNCTION("""COMPUTED_VALUE"""),14725)</f>
        <v>14725</v>
      </c>
      <c r="D460" s="2">
        <f ca="1">IFERROR(__xludf.DUMMYFUNCTION("""COMPUTED_VALUE"""),14500)</f>
        <v>14500</v>
      </c>
      <c r="E460" s="2">
        <f ca="1">IFERROR(__xludf.DUMMYFUNCTION("""COMPUTED_VALUE"""),14650)</f>
        <v>14650</v>
      </c>
      <c r="F460" s="2">
        <f ca="1">IFERROR(__xludf.DUMMYFUNCTION("""COMPUTED_VALUE"""),25863400)</f>
        <v>25863400</v>
      </c>
    </row>
    <row r="461" spans="1:6">
      <c r="A461" s="5">
        <f ca="1">IFERROR(__xludf.DUMMYFUNCTION("""COMPUTED_VALUE"""),42697.625)</f>
        <v>42697.625</v>
      </c>
      <c r="B461" s="2">
        <f ca="1">IFERROR(__xludf.DUMMYFUNCTION("""COMPUTED_VALUE"""),14650)</f>
        <v>14650</v>
      </c>
      <c r="C461" s="2">
        <f ca="1">IFERROR(__xludf.DUMMYFUNCTION("""COMPUTED_VALUE"""),14750)</f>
        <v>14750</v>
      </c>
      <c r="D461" s="2">
        <f ca="1">IFERROR(__xludf.DUMMYFUNCTION("""COMPUTED_VALUE"""),14625)</f>
        <v>14625</v>
      </c>
      <c r="E461" s="2">
        <f ca="1">IFERROR(__xludf.DUMMYFUNCTION("""COMPUTED_VALUE"""),14700)</f>
        <v>14700</v>
      </c>
      <c r="F461" s="2">
        <f ca="1">IFERROR(__xludf.DUMMYFUNCTION("""COMPUTED_VALUE"""),10228700)</f>
        <v>10228700</v>
      </c>
    </row>
    <row r="462" spans="1:6">
      <c r="A462" s="5">
        <f ca="1">IFERROR(__xludf.DUMMYFUNCTION("""COMPUTED_VALUE"""),42698.625)</f>
        <v>42698.625</v>
      </c>
      <c r="B462" s="2">
        <f ca="1">IFERROR(__xludf.DUMMYFUNCTION("""COMPUTED_VALUE"""),14500)</f>
        <v>14500</v>
      </c>
      <c r="C462" s="2">
        <f ca="1">IFERROR(__xludf.DUMMYFUNCTION("""COMPUTED_VALUE"""),14700)</f>
        <v>14700</v>
      </c>
      <c r="D462" s="2">
        <f ca="1">IFERROR(__xludf.DUMMYFUNCTION("""COMPUTED_VALUE"""),14400)</f>
        <v>14400</v>
      </c>
      <c r="E462" s="2">
        <f ca="1">IFERROR(__xludf.DUMMYFUNCTION("""COMPUTED_VALUE"""),14550)</f>
        <v>14550</v>
      </c>
      <c r="F462" s="2">
        <f ca="1">IFERROR(__xludf.DUMMYFUNCTION("""COMPUTED_VALUE"""),16662600)</f>
        <v>16662600</v>
      </c>
    </row>
    <row r="463" spans="1:6">
      <c r="A463" s="5">
        <f ca="1">IFERROR(__xludf.DUMMYFUNCTION("""COMPUTED_VALUE"""),42699.625)</f>
        <v>42699.625</v>
      </c>
      <c r="B463" s="2">
        <f ca="1">IFERROR(__xludf.DUMMYFUNCTION("""COMPUTED_VALUE"""),14500)</f>
        <v>14500</v>
      </c>
      <c r="C463" s="2">
        <f ca="1">IFERROR(__xludf.DUMMYFUNCTION("""COMPUTED_VALUE"""),14550)</f>
        <v>14550</v>
      </c>
      <c r="D463" s="2">
        <f ca="1">IFERROR(__xludf.DUMMYFUNCTION("""COMPUTED_VALUE"""),14450)</f>
        <v>14450</v>
      </c>
      <c r="E463" s="2">
        <f ca="1">IFERROR(__xludf.DUMMYFUNCTION("""COMPUTED_VALUE"""),14525)</f>
        <v>14525</v>
      </c>
      <c r="F463" s="2">
        <f ca="1">IFERROR(__xludf.DUMMYFUNCTION("""COMPUTED_VALUE"""),14252500)</f>
        <v>14252500</v>
      </c>
    </row>
    <row r="464" spans="1:6">
      <c r="A464" s="5">
        <f ca="1">IFERROR(__xludf.DUMMYFUNCTION("""COMPUTED_VALUE"""),42702.625)</f>
        <v>42702.625</v>
      </c>
      <c r="B464" s="2">
        <f ca="1">IFERROR(__xludf.DUMMYFUNCTION("""COMPUTED_VALUE"""),14450)</f>
        <v>14450</v>
      </c>
      <c r="C464" s="2">
        <f ca="1">IFERROR(__xludf.DUMMYFUNCTION("""COMPUTED_VALUE"""),14525)</f>
        <v>14525</v>
      </c>
      <c r="D464" s="2">
        <f ca="1">IFERROR(__xludf.DUMMYFUNCTION("""COMPUTED_VALUE"""),14325)</f>
        <v>14325</v>
      </c>
      <c r="E464" s="2">
        <f ca="1">IFERROR(__xludf.DUMMYFUNCTION("""COMPUTED_VALUE"""),14375)</f>
        <v>14375</v>
      </c>
      <c r="F464" s="2">
        <f ca="1">IFERROR(__xludf.DUMMYFUNCTION("""COMPUTED_VALUE"""),15157200)</f>
        <v>15157200</v>
      </c>
    </row>
    <row r="465" spans="1:6">
      <c r="A465" s="5">
        <f ca="1">IFERROR(__xludf.DUMMYFUNCTION("""COMPUTED_VALUE"""),42703.625)</f>
        <v>42703.625</v>
      </c>
      <c r="B465" s="2">
        <f ca="1">IFERROR(__xludf.DUMMYFUNCTION("""COMPUTED_VALUE"""),14325)</f>
        <v>14325</v>
      </c>
      <c r="C465" s="2">
        <f ca="1">IFERROR(__xludf.DUMMYFUNCTION("""COMPUTED_VALUE"""),14425)</f>
        <v>14425</v>
      </c>
      <c r="D465" s="2">
        <f ca="1">IFERROR(__xludf.DUMMYFUNCTION("""COMPUTED_VALUE"""),14125)</f>
        <v>14125</v>
      </c>
      <c r="E465" s="2">
        <f ca="1">IFERROR(__xludf.DUMMYFUNCTION("""COMPUTED_VALUE"""),14350)</f>
        <v>14350</v>
      </c>
      <c r="F465" s="2">
        <f ca="1">IFERROR(__xludf.DUMMYFUNCTION("""COMPUTED_VALUE"""),20393800)</f>
        <v>20393800</v>
      </c>
    </row>
    <row r="466" spans="1:6">
      <c r="A466" s="5">
        <f ca="1">IFERROR(__xludf.DUMMYFUNCTION("""COMPUTED_VALUE"""),42704.625)</f>
        <v>42704.625</v>
      </c>
      <c r="B466" s="2">
        <f ca="1">IFERROR(__xludf.DUMMYFUNCTION("""COMPUTED_VALUE"""),14350)</f>
        <v>14350</v>
      </c>
      <c r="C466" s="2">
        <f ca="1">IFERROR(__xludf.DUMMYFUNCTION("""COMPUTED_VALUE"""),14400)</f>
        <v>14400</v>
      </c>
      <c r="D466" s="2">
        <f ca="1">IFERROR(__xludf.DUMMYFUNCTION("""COMPUTED_VALUE"""),14275)</f>
        <v>14275</v>
      </c>
      <c r="E466" s="2">
        <f ca="1">IFERROR(__xludf.DUMMYFUNCTION("""COMPUTED_VALUE"""),14300)</f>
        <v>14300</v>
      </c>
      <c r="F466" s="2">
        <f ca="1">IFERROR(__xludf.DUMMYFUNCTION("""COMPUTED_VALUE"""),32615700)</f>
        <v>32615700</v>
      </c>
    </row>
    <row r="467" spans="1:6">
      <c r="A467" s="5">
        <f ca="1">IFERROR(__xludf.DUMMYFUNCTION("""COMPUTED_VALUE"""),42705.625)</f>
        <v>42705.625</v>
      </c>
      <c r="B467" s="2">
        <f ca="1">IFERROR(__xludf.DUMMYFUNCTION("""COMPUTED_VALUE"""),14300)</f>
        <v>14300</v>
      </c>
      <c r="C467" s="2">
        <f ca="1">IFERROR(__xludf.DUMMYFUNCTION("""COMPUTED_VALUE"""),14575)</f>
        <v>14575</v>
      </c>
      <c r="D467" s="2">
        <f ca="1">IFERROR(__xludf.DUMMYFUNCTION("""COMPUTED_VALUE"""),14275)</f>
        <v>14275</v>
      </c>
      <c r="E467" s="2">
        <f ca="1">IFERROR(__xludf.DUMMYFUNCTION("""COMPUTED_VALUE"""),14500)</f>
        <v>14500</v>
      </c>
      <c r="F467" s="2">
        <f ca="1">IFERROR(__xludf.DUMMYFUNCTION("""COMPUTED_VALUE"""),21425500)</f>
        <v>21425500</v>
      </c>
    </row>
    <row r="468" spans="1:6">
      <c r="A468" s="5">
        <f ca="1">IFERROR(__xludf.DUMMYFUNCTION("""COMPUTED_VALUE"""),42706.625)</f>
        <v>42706.625</v>
      </c>
      <c r="B468" s="2">
        <f ca="1">IFERROR(__xludf.DUMMYFUNCTION("""COMPUTED_VALUE"""),14650)</f>
        <v>14650</v>
      </c>
      <c r="C468" s="2">
        <f ca="1">IFERROR(__xludf.DUMMYFUNCTION("""COMPUTED_VALUE"""),15125)</f>
        <v>15125</v>
      </c>
      <c r="D468" s="2">
        <f ca="1">IFERROR(__xludf.DUMMYFUNCTION("""COMPUTED_VALUE"""),14575)</f>
        <v>14575</v>
      </c>
      <c r="E468" s="2">
        <f ca="1">IFERROR(__xludf.DUMMYFUNCTION("""COMPUTED_VALUE"""),14675)</f>
        <v>14675</v>
      </c>
      <c r="F468" s="2">
        <f ca="1">IFERROR(__xludf.DUMMYFUNCTION("""COMPUTED_VALUE"""),27482300)</f>
        <v>27482300</v>
      </c>
    </row>
    <row r="469" spans="1:6">
      <c r="A469" s="5">
        <f ca="1">IFERROR(__xludf.DUMMYFUNCTION("""COMPUTED_VALUE"""),42709.625)</f>
        <v>42709.625</v>
      </c>
      <c r="B469" s="2">
        <f ca="1">IFERROR(__xludf.DUMMYFUNCTION("""COMPUTED_VALUE"""),14675)</f>
        <v>14675</v>
      </c>
      <c r="C469" s="2">
        <f ca="1">IFERROR(__xludf.DUMMYFUNCTION("""COMPUTED_VALUE"""),14825)</f>
        <v>14825</v>
      </c>
      <c r="D469" s="2">
        <f ca="1">IFERROR(__xludf.DUMMYFUNCTION("""COMPUTED_VALUE"""),14500)</f>
        <v>14500</v>
      </c>
      <c r="E469" s="2">
        <f ca="1">IFERROR(__xludf.DUMMYFUNCTION("""COMPUTED_VALUE"""),14650)</f>
        <v>14650</v>
      </c>
      <c r="F469" s="2">
        <f ca="1">IFERROR(__xludf.DUMMYFUNCTION("""COMPUTED_VALUE"""),12975800)</f>
        <v>12975800</v>
      </c>
    </row>
    <row r="470" spans="1:6">
      <c r="A470" s="5">
        <f ca="1">IFERROR(__xludf.DUMMYFUNCTION("""COMPUTED_VALUE"""),42710.625)</f>
        <v>42710.625</v>
      </c>
      <c r="B470" s="2">
        <f ca="1">IFERROR(__xludf.DUMMYFUNCTION("""COMPUTED_VALUE"""),14700)</f>
        <v>14700</v>
      </c>
      <c r="C470" s="2">
        <f ca="1">IFERROR(__xludf.DUMMYFUNCTION("""COMPUTED_VALUE"""),14750)</f>
        <v>14750</v>
      </c>
      <c r="D470" s="2">
        <f ca="1">IFERROR(__xludf.DUMMYFUNCTION("""COMPUTED_VALUE"""),14600)</f>
        <v>14600</v>
      </c>
      <c r="E470" s="2">
        <f ca="1">IFERROR(__xludf.DUMMYFUNCTION("""COMPUTED_VALUE"""),14675)</f>
        <v>14675</v>
      </c>
      <c r="F470" s="2">
        <f ca="1">IFERROR(__xludf.DUMMYFUNCTION("""COMPUTED_VALUE"""),11801900)</f>
        <v>11801900</v>
      </c>
    </row>
    <row r="471" spans="1:6">
      <c r="A471" s="5">
        <f ca="1">IFERROR(__xludf.DUMMYFUNCTION("""COMPUTED_VALUE"""),42711.625)</f>
        <v>42711.625</v>
      </c>
      <c r="B471" s="2">
        <f ca="1">IFERROR(__xludf.DUMMYFUNCTION("""COMPUTED_VALUE"""),14700)</f>
        <v>14700</v>
      </c>
      <c r="C471" s="2">
        <f ca="1">IFERROR(__xludf.DUMMYFUNCTION("""COMPUTED_VALUE"""),14725)</f>
        <v>14725</v>
      </c>
      <c r="D471" s="2">
        <f ca="1">IFERROR(__xludf.DUMMYFUNCTION("""COMPUTED_VALUE"""),14600)</f>
        <v>14600</v>
      </c>
      <c r="E471" s="2">
        <f ca="1">IFERROR(__xludf.DUMMYFUNCTION("""COMPUTED_VALUE"""),14650)</f>
        <v>14650</v>
      </c>
      <c r="F471" s="2">
        <f ca="1">IFERROR(__xludf.DUMMYFUNCTION("""COMPUTED_VALUE"""),13904900)</f>
        <v>13904900</v>
      </c>
    </row>
    <row r="472" spans="1:6">
      <c r="A472" s="5">
        <f ca="1">IFERROR(__xludf.DUMMYFUNCTION("""COMPUTED_VALUE"""),42712.625)</f>
        <v>42712.625</v>
      </c>
      <c r="B472" s="2">
        <f ca="1">IFERROR(__xludf.DUMMYFUNCTION("""COMPUTED_VALUE"""),14500)</f>
        <v>14500</v>
      </c>
      <c r="C472" s="2">
        <f ca="1">IFERROR(__xludf.DUMMYFUNCTION("""COMPUTED_VALUE"""),14875)</f>
        <v>14875</v>
      </c>
      <c r="D472" s="2">
        <f ca="1">IFERROR(__xludf.DUMMYFUNCTION("""COMPUTED_VALUE"""),14500)</f>
        <v>14500</v>
      </c>
      <c r="E472" s="2">
        <f ca="1">IFERROR(__xludf.DUMMYFUNCTION("""COMPUTED_VALUE"""),14700)</f>
        <v>14700</v>
      </c>
      <c r="F472" s="2">
        <f ca="1">IFERROR(__xludf.DUMMYFUNCTION("""COMPUTED_VALUE"""),24359100)</f>
        <v>24359100</v>
      </c>
    </row>
    <row r="473" spans="1:6">
      <c r="A473" s="5">
        <f ca="1">IFERROR(__xludf.DUMMYFUNCTION("""COMPUTED_VALUE"""),42713.625)</f>
        <v>42713.625</v>
      </c>
      <c r="B473" s="2">
        <f ca="1">IFERROR(__xludf.DUMMYFUNCTION("""COMPUTED_VALUE"""),14800)</f>
        <v>14800</v>
      </c>
      <c r="C473" s="2">
        <f ca="1">IFERROR(__xludf.DUMMYFUNCTION("""COMPUTED_VALUE"""),14800)</f>
        <v>14800</v>
      </c>
      <c r="D473" s="2">
        <f ca="1">IFERROR(__xludf.DUMMYFUNCTION("""COMPUTED_VALUE"""),14650)</f>
        <v>14650</v>
      </c>
      <c r="E473" s="2">
        <f ca="1">IFERROR(__xludf.DUMMYFUNCTION("""COMPUTED_VALUE"""),14700)</f>
        <v>14700</v>
      </c>
      <c r="F473" s="2">
        <f ca="1">IFERROR(__xludf.DUMMYFUNCTION("""COMPUTED_VALUE"""),17319200)</f>
        <v>17319200</v>
      </c>
    </row>
    <row r="474" spans="1:6">
      <c r="A474" s="5">
        <f ca="1">IFERROR(__xludf.DUMMYFUNCTION("""COMPUTED_VALUE"""),42717.625)</f>
        <v>42717.625</v>
      </c>
      <c r="B474" s="2">
        <f ca="1">IFERROR(__xludf.DUMMYFUNCTION("""COMPUTED_VALUE"""),14675)</f>
        <v>14675</v>
      </c>
      <c r="C474" s="2">
        <f ca="1">IFERROR(__xludf.DUMMYFUNCTION("""COMPUTED_VALUE"""),14775)</f>
        <v>14775</v>
      </c>
      <c r="D474" s="2">
        <f ca="1">IFERROR(__xludf.DUMMYFUNCTION("""COMPUTED_VALUE"""),14500)</f>
        <v>14500</v>
      </c>
      <c r="E474" s="2">
        <f ca="1">IFERROR(__xludf.DUMMYFUNCTION("""COMPUTED_VALUE"""),14700)</f>
        <v>14700</v>
      </c>
      <c r="F474" s="2">
        <f ca="1">IFERROR(__xludf.DUMMYFUNCTION("""COMPUTED_VALUE"""),24272000)</f>
        <v>24272000</v>
      </c>
    </row>
    <row r="475" spans="1:6">
      <c r="A475" s="5">
        <f ca="1">IFERROR(__xludf.DUMMYFUNCTION("""COMPUTED_VALUE"""),42718.625)</f>
        <v>42718.625</v>
      </c>
      <c r="B475" s="2">
        <f ca="1">IFERROR(__xludf.DUMMYFUNCTION("""COMPUTED_VALUE"""),14700)</f>
        <v>14700</v>
      </c>
      <c r="C475" s="2">
        <f ca="1">IFERROR(__xludf.DUMMYFUNCTION("""COMPUTED_VALUE"""),15000)</f>
        <v>15000</v>
      </c>
      <c r="D475" s="2">
        <f ca="1">IFERROR(__xludf.DUMMYFUNCTION("""COMPUTED_VALUE"""),14700)</f>
        <v>14700</v>
      </c>
      <c r="E475" s="2">
        <f ca="1">IFERROR(__xludf.DUMMYFUNCTION("""COMPUTED_VALUE"""),14750)</f>
        <v>14750</v>
      </c>
      <c r="F475" s="2">
        <f ca="1">IFERROR(__xludf.DUMMYFUNCTION("""COMPUTED_VALUE"""),25671200)</f>
        <v>25671200</v>
      </c>
    </row>
    <row r="476" spans="1:6">
      <c r="A476" s="5">
        <f ca="1">IFERROR(__xludf.DUMMYFUNCTION("""COMPUTED_VALUE"""),42719.625)</f>
        <v>42719.625</v>
      </c>
      <c r="B476" s="2">
        <f ca="1">IFERROR(__xludf.DUMMYFUNCTION("""COMPUTED_VALUE"""),14725)</f>
        <v>14725</v>
      </c>
      <c r="C476" s="2">
        <f ca="1">IFERROR(__xludf.DUMMYFUNCTION("""COMPUTED_VALUE"""),14825)</f>
        <v>14825</v>
      </c>
      <c r="D476" s="2">
        <f ca="1">IFERROR(__xludf.DUMMYFUNCTION("""COMPUTED_VALUE"""),14700)</f>
        <v>14700</v>
      </c>
      <c r="E476" s="2">
        <f ca="1">IFERROR(__xludf.DUMMYFUNCTION("""COMPUTED_VALUE"""),14775)</f>
        <v>14775</v>
      </c>
      <c r="F476" s="2">
        <f ca="1">IFERROR(__xludf.DUMMYFUNCTION("""COMPUTED_VALUE"""),25083400)</f>
        <v>25083400</v>
      </c>
    </row>
    <row r="477" spans="1:6">
      <c r="A477" s="5">
        <f ca="1">IFERROR(__xludf.DUMMYFUNCTION("""COMPUTED_VALUE"""),42720.625)</f>
        <v>42720.625</v>
      </c>
      <c r="B477" s="2">
        <f ca="1">IFERROR(__xludf.DUMMYFUNCTION("""COMPUTED_VALUE"""),14700)</f>
        <v>14700</v>
      </c>
      <c r="C477" s="2">
        <f ca="1">IFERROR(__xludf.DUMMYFUNCTION("""COMPUTED_VALUE"""),15000)</f>
        <v>15000</v>
      </c>
      <c r="D477" s="2">
        <f ca="1">IFERROR(__xludf.DUMMYFUNCTION("""COMPUTED_VALUE"""),14650)</f>
        <v>14650</v>
      </c>
      <c r="E477" s="2">
        <f ca="1">IFERROR(__xludf.DUMMYFUNCTION("""COMPUTED_VALUE"""),14800)</f>
        <v>14800</v>
      </c>
      <c r="F477" s="2">
        <f ca="1">IFERROR(__xludf.DUMMYFUNCTION("""COMPUTED_VALUE"""),21125700)</f>
        <v>21125700</v>
      </c>
    </row>
    <row r="478" spans="1:6">
      <c r="A478" s="5">
        <f ca="1">IFERROR(__xludf.DUMMYFUNCTION("""COMPUTED_VALUE"""),42723.625)</f>
        <v>42723.625</v>
      </c>
      <c r="B478" s="2">
        <f ca="1">IFERROR(__xludf.DUMMYFUNCTION("""COMPUTED_VALUE"""),14500)</f>
        <v>14500</v>
      </c>
      <c r="C478" s="2">
        <f ca="1">IFERROR(__xludf.DUMMYFUNCTION("""COMPUTED_VALUE"""),14825)</f>
        <v>14825</v>
      </c>
      <c r="D478" s="2">
        <f ca="1">IFERROR(__xludf.DUMMYFUNCTION("""COMPUTED_VALUE"""),14500)</f>
        <v>14500</v>
      </c>
      <c r="E478" s="2">
        <f ca="1">IFERROR(__xludf.DUMMYFUNCTION("""COMPUTED_VALUE"""),14725)</f>
        <v>14725</v>
      </c>
      <c r="F478" s="2">
        <f ca="1">IFERROR(__xludf.DUMMYFUNCTION("""COMPUTED_VALUE"""),10731600)</f>
        <v>10731600</v>
      </c>
    </row>
    <row r="479" spans="1:6">
      <c r="A479" s="5">
        <f ca="1">IFERROR(__xludf.DUMMYFUNCTION("""COMPUTED_VALUE"""),42724.625)</f>
        <v>42724.625</v>
      </c>
      <c r="B479" s="2">
        <f ca="1">IFERROR(__xludf.DUMMYFUNCTION("""COMPUTED_VALUE"""),14550)</f>
        <v>14550</v>
      </c>
      <c r="C479" s="2">
        <f ca="1">IFERROR(__xludf.DUMMYFUNCTION("""COMPUTED_VALUE"""),14800)</f>
        <v>14800</v>
      </c>
      <c r="D479" s="2">
        <f ca="1">IFERROR(__xludf.DUMMYFUNCTION("""COMPUTED_VALUE"""),14550)</f>
        <v>14550</v>
      </c>
      <c r="E479" s="2">
        <f ca="1">IFERROR(__xludf.DUMMYFUNCTION("""COMPUTED_VALUE"""),14775)</f>
        <v>14775</v>
      </c>
      <c r="F479" s="2">
        <f ca="1">IFERROR(__xludf.DUMMYFUNCTION("""COMPUTED_VALUE"""),7429000)</f>
        <v>7429000</v>
      </c>
    </row>
    <row r="480" spans="1:6">
      <c r="A480" s="5">
        <f ca="1">IFERROR(__xludf.DUMMYFUNCTION("""COMPUTED_VALUE"""),42725.625)</f>
        <v>42725.625</v>
      </c>
      <c r="B480" s="2">
        <f ca="1">IFERROR(__xludf.DUMMYFUNCTION("""COMPUTED_VALUE"""),14800)</f>
        <v>14800</v>
      </c>
      <c r="C480" s="2">
        <f ca="1">IFERROR(__xludf.DUMMYFUNCTION("""COMPUTED_VALUE"""),14800)</f>
        <v>14800</v>
      </c>
      <c r="D480" s="2">
        <f ca="1">IFERROR(__xludf.DUMMYFUNCTION("""COMPUTED_VALUE"""),14625)</f>
        <v>14625</v>
      </c>
      <c r="E480" s="2">
        <f ca="1">IFERROR(__xludf.DUMMYFUNCTION("""COMPUTED_VALUE"""),14675)</f>
        <v>14675</v>
      </c>
      <c r="F480" s="2">
        <f ca="1">IFERROR(__xludf.DUMMYFUNCTION("""COMPUTED_VALUE"""),19433000)</f>
        <v>19433000</v>
      </c>
    </row>
    <row r="481" spans="1:6">
      <c r="A481" s="5">
        <f ca="1">IFERROR(__xludf.DUMMYFUNCTION("""COMPUTED_VALUE"""),42726.625)</f>
        <v>42726.625</v>
      </c>
      <c r="B481" s="2">
        <f ca="1">IFERROR(__xludf.DUMMYFUNCTION("""COMPUTED_VALUE"""),14500)</f>
        <v>14500</v>
      </c>
      <c r="C481" s="2">
        <f ca="1">IFERROR(__xludf.DUMMYFUNCTION("""COMPUTED_VALUE"""),14575)</f>
        <v>14575</v>
      </c>
      <c r="D481" s="2">
        <f ca="1">IFERROR(__xludf.DUMMYFUNCTION("""COMPUTED_VALUE"""),14400)</f>
        <v>14400</v>
      </c>
      <c r="E481" s="2">
        <f ca="1">IFERROR(__xludf.DUMMYFUNCTION("""COMPUTED_VALUE"""),14550)</f>
        <v>14550</v>
      </c>
      <c r="F481" s="2">
        <f ca="1">IFERROR(__xludf.DUMMYFUNCTION("""COMPUTED_VALUE"""),15154600)</f>
        <v>15154600</v>
      </c>
    </row>
    <row r="482" spans="1:6">
      <c r="A482" s="5">
        <f ca="1">IFERROR(__xludf.DUMMYFUNCTION("""COMPUTED_VALUE"""),42727.625)</f>
        <v>42727.625</v>
      </c>
      <c r="B482" s="2">
        <f ca="1">IFERROR(__xludf.DUMMYFUNCTION("""COMPUTED_VALUE"""),14400)</f>
        <v>14400</v>
      </c>
      <c r="C482" s="2">
        <f ca="1">IFERROR(__xludf.DUMMYFUNCTION("""COMPUTED_VALUE"""),14600)</f>
        <v>14600</v>
      </c>
      <c r="D482" s="2">
        <f ca="1">IFERROR(__xludf.DUMMYFUNCTION("""COMPUTED_VALUE"""),14275)</f>
        <v>14275</v>
      </c>
      <c r="E482" s="2">
        <f ca="1">IFERROR(__xludf.DUMMYFUNCTION("""COMPUTED_VALUE"""),14450)</f>
        <v>14450</v>
      </c>
      <c r="F482" s="2">
        <f ca="1">IFERROR(__xludf.DUMMYFUNCTION("""COMPUTED_VALUE"""),14731300)</f>
        <v>14731300</v>
      </c>
    </row>
    <row r="483" spans="1:6">
      <c r="A483" s="5">
        <f ca="1">IFERROR(__xludf.DUMMYFUNCTION("""COMPUTED_VALUE"""),42731.625)</f>
        <v>42731.625</v>
      </c>
      <c r="B483" s="2">
        <f ca="1">IFERROR(__xludf.DUMMYFUNCTION("""COMPUTED_VALUE"""),14300)</f>
        <v>14300</v>
      </c>
      <c r="C483" s="2">
        <f ca="1">IFERROR(__xludf.DUMMYFUNCTION("""COMPUTED_VALUE"""),14850)</f>
        <v>14850</v>
      </c>
      <c r="D483" s="2">
        <f ca="1">IFERROR(__xludf.DUMMYFUNCTION("""COMPUTED_VALUE"""),14125)</f>
        <v>14125</v>
      </c>
      <c r="E483" s="2">
        <f ca="1">IFERROR(__xludf.DUMMYFUNCTION("""COMPUTED_VALUE"""),14800)</f>
        <v>14800</v>
      </c>
      <c r="F483" s="2">
        <f ca="1">IFERROR(__xludf.DUMMYFUNCTION("""COMPUTED_VALUE"""),8349800)</f>
        <v>8349800</v>
      </c>
    </row>
    <row r="484" spans="1:6">
      <c r="A484" s="5">
        <f ca="1">IFERROR(__xludf.DUMMYFUNCTION("""COMPUTED_VALUE"""),42732.625)</f>
        <v>42732.625</v>
      </c>
      <c r="B484" s="2">
        <f ca="1">IFERROR(__xludf.DUMMYFUNCTION("""COMPUTED_VALUE"""),14900)</f>
        <v>14900</v>
      </c>
      <c r="C484" s="2">
        <f ca="1">IFERROR(__xludf.DUMMYFUNCTION("""COMPUTED_VALUE"""),15025)</f>
        <v>15025</v>
      </c>
      <c r="D484" s="2">
        <f ca="1">IFERROR(__xludf.DUMMYFUNCTION("""COMPUTED_VALUE"""),14725)</f>
        <v>14725</v>
      </c>
      <c r="E484" s="2">
        <f ca="1">IFERROR(__xludf.DUMMYFUNCTION("""COMPUTED_VALUE"""),14725)</f>
        <v>14725</v>
      </c>
      <c r="F484" s="2">
        <f ca="1">IFERROR(__xludf.DUMMYFUNCTION("""COMPUTED_VALUE"""),14019600)</f>
        <v>14019600</v>
      </c>
    </row>
    <row r="485" spans="1:6">
      <c r="A485" s="5">
        <f ca="1">IFERROR(__xludf.DUMMYFUNCTION("""COMPUTED_VALUE"""),42733.625)</f>
        <v>42733.625</v>
      </c>
      <c r="B485" s="2">
        <f ca="1">IFERROR(__xludf.DUMMYFUNCTION("""COMPUTED_VALUE"""),14800)</f>
        <v>14800</v>
      </c>
      <c r="C485" s="2">
        <f ca="1">IFERROR(__xludf.DUMMYFUNCTION("""COMPUTED_VALUE"""),15425)</f>
        <v>15425</v>
      </c>
      <c r="D485" s="2">
        <f ca="1">IFERROR(__xludf.DUMMYFUNCTION("""COMPUTED_VALUE"""),14725)</f>
        <v>14725</v>
      </c>
      <c r="E485" s="2">
        <f ca="1">IFERROR(__xludf.DUMMYFUNCTION("""COMPUTED_VALUE"""),15350)</f>
        <v>15350</v>
      </c>
      <c r="F485" s="2">
        <f ca="1">IFERROR(__xludf.DUMMYFUNCTION("""COMPUTED_VALUE"""),24463300)</f>
        <v>24463300</v>
      </c>
    </row>
    <row r="486" spans="1:6">
      <c r="A486" s="5">
        <f ca="1">IFERROR(__xludf.DUMMYFUNCTION("""COMPUTED_VALUE"""),42734.625)</f>
        <v>42734.625</v>
      </c>
      <c r="B486" s="2">
        <f ca="1">IFERROR(__xludf.DUMMYFUNCTION("""COMPUTED_VALUE"""),15350)</f>
        <v>15350</v>
      </c>
      <c r="C486" s="2">
        <f ca="1">IFERROR(__xludf.DUMMYFUNCTION("""COMPUTED_VALUE"""),15550)</f>
        <v>15550</v>
      </c>
      <c r="D486" s="2">
        <f ca="1">IFERROR(__xludf.DUMMYFUNCTION("""COMPUTED_VALUE"""),15325)</f>
        <v>15325</v>
      </c>
      <c r="E486" s="2">
        <f ca="1">IFERROR(__xludf.DUMMYFUNCTION("""COMPUTED_VALUE"""),15500)</f>
        <v>15500</v>
      </c>
      <c r="F486" s="2">
        <f ca="1">IFERROR(__xludf.DUMMYFUNCTION("""COMPUTED_VALUE"""),47100100)</f>
        <v>47100100</v>
      </c>
    </row>
    <row r="487" spans="1:6">
      <c r="A487" s="5">
        <f ca="1">IFERROR(__xludf.DUMMYFUNCTION("""COMPUTED_VALUE"""),42738.625)</f>
        <v>42738.625</v>
      </c>
      <c r="B487" s="2">
        <f ca="1">IFERROR(__xludf.DUMMYFUNCTION("""COMPUTED_VALUE"""),15500)</f>
        <v>15500</v>
      </c>
      <c r="C487" s="2">
        <f ca="1">IFERROR(__xludf.DUMMYFUNCTION("""COMPUTED_VALUE"""),15775)</f>
        <v>15775</v>
      </c>
      <c r="D487" s="2">
        <f ca="1">IFERROR(__xludf.DUMMYFUNCTION("""COMPUTED_VALUE"""),15225)</f>
        <v>15225</v>
      </c>
      <c r="E487" s="2">
        <f ca="1">IFERROR(__xludf.DUMMYFUNCTION("""COMPUTED_VALUE"""),15775)</f>
        <v>15775</v>
      </c>
      <c r="F487" s="2">
        <f ca="1">IFERROR(__xludf.DUMMYFUNCTION("""COMPUTED_VALUE"""),9349600)</f>
        <v>9349600</v>
      </c>
    </row>
    <row r="488" spans="1:6">
      <c r="A488" s="5">
        <f ca="1">IFERROR(__xludf.DUMMYFUNCTION("""COMPUTED_VALUE"""),42739.625)</f>
        <v>42739.625</v>
      </c>
      <c r="B488" s="2">
        <f ca="1">IFERROR(__xludf.DUMMYFUNCTION("""COMPUTED_VALUE"""),15850)</f>
        <v>15850</v>
      </c>
      <c r="C488" s="2">
        <f ca="1">IFERROR(__xludf.DUMMYFUNCTION("""COMPUTED_VALUE"""),15875)</f>
        <v>15875</v>
      </c>
      <c r="D488" s="2">
        <f ca="1">IFERROR(__xludf.DUMMYFUNCTION("""COMPUTED_VALUE"""),15650)</f>
        <v>15650</v>
      </c>
      <c r="E488" s="2">
        <f ca="1">IFERROR(__xludf.DUMMYFUNCTION("""COMPUTED_VALUE"""),15700)</f>
        <v>15700</v>
      </c>
      <c r="F488" s="2">
        <f ca="1">IFERROR(__xludf.DUMMYFUNCTION("""COMPUTED_VALUE"""),17043300)</f>
        <v>17043300</v>
      </c>
    </row>
    <row r="489" spans="1:6">
      <c r="A489" s="5">
        <f ca="1">IFERROR(__xludf.DUMMYFUNCTION("""COMPUTED_VALUE"""),42740.625)</f>
        <v>42740.625</v>
      </c>
      <c r="B489" s="2">
        <f ca="1">IFERROR(__xludf.DUMMYFUNCTION("""COMPUTED_VALUE"""),15700)</f>
        <v>15700</v>
      </c>
      <c r="C489" s="2">
        <f ca="1">IFERROR(__xludf.DUMMYFUNCTION("""COMPUTED_VALUE"""),15775)</f>
        <v>15775</v>
      </c>
      <c r="D489" s="2">
        <f ca="1">IFERROR(__xludf.DUMMYFUNCTION("""COMPUTED_VALUE"""),15625)</f>
        <v>15625</v>
      </c>
      <c r="E489" s="2">
        <f ca="1">IFERROR(__xludf.DUMMYFUNCTION("""COMPUTED_VALUE"""),15675)</f>
        <v>15675</v>
      </c>
      <c r="F489" s="2">
        <f ca="1">IFERROR(__xludf.DUMMYFUNCTION("""COMPUTED_VALUE"""),19581800)</f>
        <v>19581800</v>
      </c>
    </row>
    <row r="490" spans="1:6">
      <c r="A490" s="5">
        <f ca="1">IFERROR(__xludf.DUMMYFUNCTION("""COMPUTED_VALUE"""),42741.625)</f>
        <v>42741.625</v>
      </c>
      <c r="B490" s="2">
        <f ca="1">IFERROR(__xludf.DUMMYFUNCTION("""COMPUTED_VALUE"""),15450)</f>
        <v>15450</v>
      </c>
      <c r="C490" s="2">
        <f ca="1">IFERROR(__xludf.DUMMYFUNCTION("""COMPUTED_VALUE"""),15700)</f>
        <v>15700</v>
      </c>
      <c r="D490" s="2">
        <f ca="1">IFERROR(__xludf.DUMMYFUNCTION("""COMPUTED_VALUE"""),15450)</f>
        <v>15450</v>
      </c>
      <c r="E490" s="2">
        <f ca="1">IFERROR(__xludf.DUMMYFUNCTION("""COMPUTED_VALUE"""),15600)</f>
        <v>15600</v>
      </c>
      <c r="F490" s="2">
        <f ca="1">IFERROR(__xludf.DUMMYFUNCTION("""COMPUTED_VALUE"""),7320600)</f>
        <v>7320600</v>
      </c>
    </row>
    <row r="491" spans="1:6">
      <c r="A491" s="5">
        <f ca="1">IFERROR(__xludf.DUMMYFUNCTION("""COMPUTED_VALUE"""),42744.625)</f>
        <v>42744.625</v>
      </c>
      <c r="B491" s="2">
        <f ca="1">IFERROR(__xludf.DUMMYFUNCTION("""COMPUTED_VALUE"""),15550)</f>
        <v>15550</v>
      </c>
      <c r="C491" s="2">
        <f ca="1">IFERROR(__xludf.DUMMYFUNCTION("""COMPUTED_VALUE"""),15600)</f>
        <v>15600</v>
      </c>
      <c r="D491" s="2">
        <f ca="1">IFERROR(__xludf.DUMMYFUNCTION("""COMPUTED_VALUE"""),15150)</f>
        <v>15150</v>
      </c>
      <c r="E491" s="2">
        <f ca="1">IFERROR(__xludf.DUMMYFUNCTION("""COMPUTED_VALUE"""),15350)</f>
        <v>15350</v>
      </c>
      <c r="F491" s="2">
        <f ca="1">IFERROR(__xludf.DUMMYFUNCTION("""COMPUTED_VALUE"""),17617500)</f>
        <v>17617500</v>
      </c>
    </row>
    <row r="492" spans="1:6">
      <c r="A492" s="5">
        <f ca="1">IFERROR(__xludf.DUMMYFUNCTION("""COMPUTED_VALUE"""),42745.625)</f>
        <v>42745.625</v>
      </c>
      <c r="B492" s="2">
        <f ca="1">IFERROR(__xludf.DUMMYFUNCTION("""COMPUTED_VALUE"""),15450)</f>
        <v>15450</v>
      </c>
      <c r="C492" s="2">
        <f ca="1">IFERROR(__xludf.DUMMYFUNCTION("""COMPUTED_VALUE"""),15500)</f>
        <v>15500</v>
      </c>
      <c r="D492" s="2">
        <f ca="1">IFERROR(__xludf.DUMMYFUNCTION("""COMPUTED_VALUE"""),15325)</f>
        <v>15325</v>
      </c>
      <c r="E492" s="2">
        <f ca="1">IFERROR(__xludf.DUMMYFUNCTION("""COMPUTED_VALUE"""),15400)</f>
        <v>15400</v>
      </c>
      <c r="F492" s="2">
        <f ca="1">IFERROR(__xludf.DUMMYFUNCTION("""COMPUTED_VALUE"""),10400900)</f>
        <v>10400900</v>
      </c>
    </row>
    <row r="493" spans="1:6">
      <c r="A493" s="5">
        <f ca="1">IFERROR(__xludf.DUMMYFUNCTION("""COMPUTED_VALUE"""),42746.625)</f>
        <v>42746.625</v>
      </c>
      <c r="B493" s="2">
        <f ca="1">IFERROR(__xludf.DUMMYFUNCTION("""COMPUTED_VALUE"""),15550)</f>
        <v>15550</v>
      </c>
      <c r="C493" s="2">
        <f ca="1">IFERROR(__xludf.DUMMYFUNCTION("""COMPUTED_VALUE"""),15575)</f>
        <v>15575</v>
      </c>
      <c r="D493" s="2">
        <f ca="1">IFERROR(__xludf.DUMMYFUNCTION("""COMPUTED_VALUE"""),15300)</f>
        <v>15300</v>
      </c>
      <c r="E493" s="2">
        <f ca="1">IFERROR(__xludf.DUMMYFUNCTION("""COMPUTED_VALUE"""),15300)</f>
        <v>15300</v>
      </c>
      <c r="F493" s="2">
        <f ca="1">IFERROR(__xludf.DUMMYFUNCTION("""COMPUTED_VALUE"""),8754500)</f>
        <v>8754500</v>
      </c>
    </row>
    <row r="494" spans="1:6">
      <c r="A494" s="5">
        <f ca="1">IFERROR(__xludf.DUMMYFUNCTION("""COMPUTED_VALUE"""),42747.625)</f>
        <v>42747.625</v>
      </c>
      <c r="B494" s="2">
        <f ca="1">IFERROR(__xludf.DUMMYFUNCTION("""COMPUTED_VALUE"""),15300)</f>
        <v>15300</v>
      </c>
      <c r="C494" s="2">
        <f ca="1">IFERROR(__xludf.DUMMYFUNCTION("""COMPUTED_VALUE"""),15450)</f>
        <v>15450</v>
      </c>
      <c r="D494" s="2">
        <f ca="1">IFERROR(__xludf.DUMMYFUNCTION("""COMPUTED_VALUE"""),15275)</f>
        <v>15275</v>
      </c>
      <c r="E494" s="2">
        <f ca="1">IFERROR(__xludf.DUMMYFUNCTION("""COMPUTED_VALUE"""),15325)</f>
        <v>15325</v>
      </c>
      <c r="F494" s="2">
        <f ca="1">IFERROR(__xludf.DUMMYFUNCTION("""COMPUTED_VALUE"""),6156200)</f>
        <v>6156200</v>
      </c>
    </row>
    <row r="495" spans="1:6">
      <c r="A495" s="5">
        <f ca="1">IFERROR(__xludf.DUMMYFUNCTION("""COMPUTED_VALUE"""),42748.625)</f>
        <v>42748.625</v>
      </c>
      <c r="B495" s="2">
        <f ca="1">IFERROR(__xludf.DUMMYFUNCTION("""COMPUTED_VALUE"""),15200)</f>
        <v>15200</v>
      </c>
      <c r="C495" s="2">
        <f ca="1">IFERROR(__xludf.DUMMYFUNCTION("""COMPUTED_VALUE"""),15575)</f>
        <v>15575</v>
      </c>
      <c r="D495" s="2">
        <f ca="1">IFERROR(__xludf.DUMMYFUNCTION("""COMPUTED_VALUE"""),15200)</f>
        <v>15200</v>
      </c>
      <c r="E495" s="2">
        <f ca="1">IFERROR(__xludf.DUMMYFUNCTION("""COMPUTED_VALUE"""),15275)</f>
        <v>15275</v>
      </c>
      <c r="F495" s="2">
        <f ca="1">IFERROR(__xludf.DUMMYFUNCTION("""COMPUTED_VALUE"""),13902500)</f>
        <v>13902500</v>
      </c>
    </row>
    <row r="496" spans="1:6">
      <c r="A496" s="5">
        <f ca="1">IFERROR(__xludf.DUMMYFUNCTION("""COMPUTED_VALUE"""),42751.625)</f>
        <v>42751.625</v>
      </c>
      <c r="B496" s="2">
        <f ca="1">IFERROR(__xludf.DUMMYFUNCTION("""COMPUTED_VALUE"""),15200)</f>
        <v>15200</v>
      </c>
      <c r="C496" s="2">
        <f ca="1">IFERROR(__xludf.DUMMYFUNCTION("""COMPUTED_VALUE"""),15250)</f>
        <v>15250</v>
      </c>
      <c r="D496" s="2">
        <f ca="1">IFERROR(__xludf.DUMMYFUNCTION("""COMPUTED_VALUE"""),15000)</f>
        <v>15000</v>
      </c>
      <c r="E496" s="2">
        <f ca="1">IFERROR(__xludf.DUMMYFUNCTION("""COMPUTED_VALUE"""),15175)</f>
        <v>15175</v>
      </c>
      <c r="F496" s="2">
        <f ca="1">IFERROR(__xludf.DUMMYFUNCTION("""COMPUTED_VALUE"""),12407900)</f>
        <v>12407900</v>
      </c>
    </row>
    <row r="497" spans="1:6">
      <c r="A497" s="5">
        <f ca="1">IFERROR(__xludf.DUMMYFUNCTION("""COMPUTED_VALUE"""),42752.625)</f>
        <v>42752.625</v>
      </c>
      <c r="B497" s="2">
        <f ca="1">IFERROR(__xludf.DUMMYFUNCTION("""COMPUTED_VALUE"""),15175)</f>
        <v>15175</v>
      </c>
      <c r="C497" s="2">
        <f ca="1">IFERROR(__xludf.DUMMYFUNCTION("""COMPUTED_VALUE"""),15250)</f>
        <v>15250</v>
      </c>
      <c r="D497" s="2">
        <f ca="1">IFERROR(__xludf.DUMMYFUNCTION("""COMPUTED_VALUE"""),15150)</f>
        <v>15150</v>
      </c>
      <c r="E497" s="2">
        <f ca="1">IFERROR(__xludf.DUMMYFUNCTION("""COMPUTED_VALUE"""),15175)</f>
        <v>15175</v>
      </c>
      <c r="F497" s="2">
        <f ca="1">IFERROR(__xludf.DUMMYFUNCTION("""COMPUTED_VALUE"""),4473700)</f>
        <v>4473700</v>
      </c>
    </row>
    <row r="498" spans="1:6">
      <c r="A498" s="5">
        <f ca="1">IFERROR(__xludf.DUMMYFUNCTION("""COMPUTED_VALUE"""),42753.625)</f>
        <v>42753.625</v>
      </c>
      <c r="B498" s="2">
        <f ca="1">IFERROR(__xludf.DUMMYFUNCTION("""COMPUTED_VALUE"""),15275)</f>
        <v>15275</v>
      </c>
      <c r="C498" s="2">
        <f ca="1">IFERROR(__xludf.DUMMYFUNCTION("""COMPUTED_VALUE"""),15300)</f>
        <v>15300</v>
      </c>
      <c r="D498" s="2">
        <f ca="1">IFERROR(__xludf.DUMMYFUNCTION("""COMPUTED_VALUE"""),15150)</f>
        <v>15150</v>
      </c>
      <c r="E498" s="2">
        <f ca="1">IFERROR(__xludf.DUMMYFUNCTION("""COMPUTED_VALUE"""),15300)</f>
        <v>15300</v>
      </c>
      <c r="F498" s="2">
        <f ca="1">IFERROR(__xludf.DUMMYFUNCTION("""COMPUTED_VALUE"""),18682100)</f>
        <v>18682100</v>
      </c>
    </row>
    <row r="499" spans="1:6">
      <c r="A499" s="5">
        <f ca="1">IFERROR(__xludf.DUMMYFUNCTION("""COMPUTED_VALUE"""),42754.625)</f>
        <v>42754.625</v>
      </c>
      <c r="B499" s="2">
        <f ca="1">IFERROR(__xludf.DUMMYFUNCTION("""COMPUTED_VALUE"""),15350)</f>
        <v>15350</v>
      </c>
      <c r="C499" s="2">
        <f ca="1">IFERROR(__xludf.DUMMYFUNCTION("""COMPUTED_VALUE"""),15400)</f>
        <v>15400</v>
      </c>
      <c r="D499" s="2">
        <f ca="1">IFERROR(__xludf.DUMMYFUNCTION("""COMPUTED_VALUE"""),15250)</f>
        <v>15250</v>
      </c>
      <c r="E499" s="2">
        <f ca="1">IFERROR(__xludf.DUMMYFUNCTION("""COMPUTED_VALUE"""),15375)</f>
        <v>15375</v>
      </c>
      <c r="F499" s="2">
        <f ca="1">IFERROR(__xludf.DUMMYFUNCTION("""COMPUTED_VALUE"""),6872100)</f>
        <v>6872100</v>
      </c>
    </row>
    <row r="500" spans="1:6">
      <c r="A500" s="5">
        <f ca="1">IFERROR(__xludf.DUMMYFUNCTION("""COMPUTED_VALUE"""),42755.625)</f>
        <v>42755.625</v>
      </c>
      <c r="B500" s="2">
        <f ca="1">IFERROR(__xludf.DUMMYFUNCTION("""COMPUTED_VALUE"""),15250)</f>
        <v>15250</v>
      </c>
      <c r="C500" s="2">
        <f ca="1">IFERROR(__xludf.DUMMYFUNCTION("""COMPUTED_VALUE"""),15275)</f>
        <v>15275</v>
      </c>
      <c r="D500" s="2">
        <f ca="1">IFERROR(__xludf.DUMMYFUNCTION("""COMPUTED_VALUE"""),15050)</f>
        <v>15050</v>
      </c>
      <c r="E500" s="2">
        <f ca="1">IFERROR(__xludf.DUMMYFUNCTION("""COMPUTED_VALUE"""),15250)</f>
        <v>15250</v>
      </c>
      <c r="F500" s="2">
        <f ca="1">IFERROR(__xludf.DUMMYFUNCTION("""COMPUTED_VALUE"""),8848500)</f>
        <v>8848500</v>
      </c>
    </row>
    <row r="501" spans="1:6">
      <c r="A501" s="5">
        <f ca="1">IFERROR(__xludf.DUMMYFUNCTION("""COMPUTED_VALUE"""),42758.625)</f>
        <v>42758.625</v>
      </c>
      <c r="B501" s="2">
        <f ca="1">IFERROR(__xludf.DUMMYFUNCTION("""COMPUTED_VALUE"""),15200)</f>
        <v>15200</v>
      </c>
      <c r="C501" s="2">
        <f ca="1">IFERROR(__xludf.DUMMYFUNCTION("""COMPUTED_VALUE"""),15300)</f>
        <v>15300</v>
      </c>
      <c r="D501" s="2">
        <f ca="1">IFERROR(__xludf.DUMMYFUNCTION("""COMPUTED_VALUE"""),15050)</f>
        <v>15050</v>
      </c>
      <c r="E501" s="2">
        <f ca="1">IFERROR(__xludf.DUMMYFUNCTION("""COMPUTED_VALUE"""),15050)</f>
        <v>15050</v>
      </c>
      <c r="F501" s="2">
        <f ca="1">IFERROR(__xludf.DUMMYFUNCTION("""COMPUTED_VALUE"""),4392400)</f>
        <v>4392400</v>
      </c>
    </row>
    <row r="502" spans="1:6">
      <c r="A502" s="5">
        <f ca="1">IFERROR(__xludf.DUMMYFUNCTION("""COMPUTED_VALUE"""),42759.625)</f>
        <v>42759.625</v>
      </c>
      <c r="B502" s="2">
        <f ca="1">IFERROR(__xludf.DUMMYFUNCTION("""COMPUTED_VALUE"""),15200)</f>
        <v>15200</v>
      </c>
      <c r="C502" s="2">
        <f ca="1">IFERROR(__xludf.DUMMYFUNCTION("""COMPUTED_VALUE"""),15250)</f>
        <v>15250</v>
      </c>
      <c r="D502" s="2">
        <f ca="1">IFERROR(__xludf.DUMMYFUNCTION("""COMPUTED_VALUE"""),15050)</f>
        <v>15050</v>
      </c>
      <c r="E502" s="2">
        <f ca="1">IFERROR(__xludf.DUMMYFUNCTION("""COMPUTED_VALUE"""),15050)</f>
        <v>15050</v>
      </c>
      <c r="F502" s="2">
        <f ca="1">IFERROR(__xludf.DUMMYFUNCTION("""COMPUTED_VALUE"""),7250200)</f>
        <v>7250200</v>
      </c>
    </row>
    <row r="503" spans="1:6">
      <c r="A503" s="5">
        <f ca="1">IFERROR(__xludf.DUMMYFUNCTION("""COMPUTED_VALUE"""),42760.625)</f>
        <v>42760.625</v>
      </c>
      <c r="B503" s="2">
        <f ca="1">IFERROR(__xludf.DUMMYFUNCTION("""COMPUTED_VALUE"""),15250)</f>
        <v>15250</v>
      </c>
      <c r="C503" s="2">
        <f ca="1">IFERROR(__xludf.DUMMYFUNCTION("""COMPUTED_VALUE"""),15275)</f>
        <v>15275</v>
      </c>
      <c r="D503" s="2">
        <f ca="1">IFERROR(__xludf.DUMMYFUNCTION("""COMPUTED_VALUE"""),14950)</f>
        <v>14950</v>
      </c>
      <c r="E503" s="2">
        <f ca="1">IFERROR(__xludf.DUMMYFUNCTION("""COMPUTED_VALUE"""),14950)</f>
        <v>14950</v>
      </c>
      <c r="F503" s="2">
        <f ca="1">IFERROR(__xludf.DUMMYFUNCTION("""COMPUTED_VALUE"""),6632300)</f>
        <v>6632300</v>
      </c>
    </row>
    <row r="504" spans="1:6">
      <c r="A504" s="5">
        <f ca="1">IFERROR(__xludf.DUMMYFUNCTION("""COMPUTED_VALUE"""),42761.625)</f>
        <v>42761.625</v>
      </c>
      <c r="B504" s="2">
        <f ca="1">IFERROR(__xludf.DUMMYFUNCTION("""COMPUTED_VALUE"""),15000)</f>
        <v>15000</v>
      </c>
      <c r="C504" s="2">
        <f ca="1">IFERROR(__xludf.DUMMYFUNCTION("""COMPUTED_VALUE"""),15425)</f>
        <v>15425</v>
      </c>
      <c r="D504" s="2">
        <f ca="1">IFERROR(__xludf.DUMMYFUNCTION("""COMPUTED_VALUE"""),15000)</f>
        <v>15000</v>
      </c>
      <c r="E504" s="2">
        <f ca="1">IFERROR(__xludf.DUMMYFUNCTION("""COMPUTED_VALUE"""),15300)</f>
        <v>15300</v>
      </c>
      <c r="F504" s="2">
        <f ca="1">IFERROR(__xludf.DUMMYFUNCTION("""COMPUTED_VALUE"""),10721200)</f>
        <v>10721200</v>
      </c>
    </row>
    <row r="505" spans="1:6">
      <c r="A505" s="5">
        <f ca="1">IFERROR(__xludf.DUMMYFUNCTION("""COMPUTED_VALUE"""),42762.625)</f>
        <v>42762.625</v>
      </c>
      <c r="B505" s="2">
        <f ca="1">IFERROR(__xludf.DUMMYFUNCTION("""COMPUTED_VALUE"""),15150)</f>
        <v>15150</v>
      </c>
      <c r="C505" s="2">
        <f ca="1">IFERROR(__xludf.DUMMYFUNCTION("""COMPUTED_VALUE"""),15550)</f>
        <v>15550</v>
      </c>
      <c r="D505" s="2">
        <f ca="1">IFERROR(__xludf.DUMMYFUNCTION("""COMPUTED_VALUE"""),15150)</f>
        <v>15150</v>
      </c>
      <c r="E505" s="2">
        <f ca="1">IFERROR(__xludf.DUMMYFUNCTION("""COMPUTED_VALUE"""),15400)</f>
        <v>15400</v>
      </c>
      <c r="F505" s="2">
        <f ca="1">IFERROR(__xludf.DUMMYFUNCTION("""COMPUTED_VALUE"""),7511100)</f>
        <v>7511100</v>
      </c>
    </row>
    <row r="506" spans="1:6">
      <c r="A506" s="5">
        <f ca="1">IFERROR(__xludf.DUMMYFUNCTION("""COMPUTED_VALUE"""),42765.625)</f>
        <v>42765.625</v>
      </c>
      <c r="B506" s="2">
        <f ca="1">IFERROR(__xludf.DUMMYFUNCTION("""COMPUTED_VALUE"""),15575)</f>
        <v>15575</v>
      </c>
      <c r="C506" s="2">
        <f ca="1">IFERROR(__xludf.DUMMYFUNCTION("""COMPUTED_VALUE"""),15575)</f>
        <v>15575</v>
      </c>
      <c r="D506" s="2">
        <f ca="1">IFERROR(__xludf.DUMMYFUNCTION("""COMPUTED_VALUE"""),15325)</f>
        <v>15325</v>
      </c>
      <c r="E506" s="2">
        <f ca="1">IFERROR(__xludf.DUMMYFUNCTION("""COMPUTED_VALUE"""),15450)</f>
        <v>15450</v>
      </c>
      <c r="F506" s="2">
        <f ca="1">IFERROR(__xludf.DUMMYFUNCTION("""COMPUTED_VALUE"""),6734600)</f>
        <v>6734600</v>
      </c>
    </row>
    <row r="507" spans="1:6">
      <c r="A507" s="5">
        <f ca="1">IFERROR(__xludf.DUMMYFUNCTION("""COMPUTED_VALUE"""),42766.625)</f>
        <v>42766.625</v>
      </c>
      <c r="B507" s="2">
        <f ca="1">IFERROR(__xludf.DUMMYFUNCTION("""COMPUTED_VALUE"""),15500)</f>
        <v>15500</v>
      </c>
      <c r="C507" s="2">
        <f ca="1">IFERROR(__xludf.DUMMYFUNCTION("""COMPUTED_VALUE"""),15550)</f>
        <v>15550</v>
      </c>
      <c r="D507" s="2">
        <f ca="1">IFERROR(__xludf.DUMMYFUNCTION("""COMPUTED_VALUE"""),15250)</f>
        <v>15250</v>
      </c>
      <c r="E507" s="2">
        <f ca="1">IFERROR(__xludf.DUMMYFUNCTION("""COMPUTED_VALUE"""),15300)</f>
        <v>15300</v>
      </c>
      <c r="F507" s="2">
        <f ca="1">IFERROR(__xludf.DUMMYFUNCTION("""COMPUTED_VALUE"""),7389300)</f>
        <v>7389300</v>
      </c>
    </row>
    <row r="508" spans="1:6">
      <c r="A508" s="5">
        <f ca="1">IFERROR(__xludf.DUMMYFUNCTION("""COMPUTED_VALUE"""),42767.625)</f>
        <v>42767.625</v>
      </c>
      <c r="B508" s="2">
        <f ca="1">IFERROR(__xludf.DUMMYFUNCTION("""COMPUTED_VALUE"""),15500)</f>
        <v>15500</v>
      </c>
      <c r="C508" s="2">
        <f ca="1">IFERROR(__xludf.DUMMYFUNCTION("""COMPUTED_VALUE"""),15500)</f>
        <v>15500</v>
      </c>
      <c r="D508" s="2">
        <f ca="1">IFERROR(__xludf.DUMMYFUNCTION("""COMPUTED_VALUE"""),15425)</f>
        <v>15425</v>
      </c>
      <c r="E508" s="2">
        <f ca="1">IFERROR(__xludf.DUMMYFUNCTION("""COMPUTED_VALUE"""),15425)</f>
        <v>15425</v>
      </c>
      <c r="F508" s="2">
        <f ca="1">IFERROR(__xludf.DUMMYFUNCTION("""COMPUTED_VALUE"""),8671800)</f>
        <v>8671800</v>
      </c>
    </row>
    <row r="509" spans="1:6">
      <c r="A509" s="5">
        <f ca="1">IFERROR(__xludf.DUMMYFUNCTION("""COMPUTED_VALUE"""),42768.625)</f>
        <v>42768.625</v>
      </c>
      <c r="B509" s="2">
        <f ca="1">IFERROR(__xludf.DUMMYFUNCTION("""COMPUTED_VALUE"""),15325)</f>
        <v>15325</v>
      </c>
      <c r="C509" s="2">
        <f ca="1">IFERROR(__xludf.DUMMYFUNCTION("""COMPUTED_VALUE"""),15475)</f>
        <v>15475</v>
      </c>
      <c r="D509" s="2">
        <f ca="1">IFERROR(__xludf.DUMMYFUNCTION("""COMPUTED_VALUE"""),15275)</f>
        <v>15275</v>
      </c>
      <c r="E509" s="2">
        <f ca="1">IFERROR(__xludf.DUMMYFUNCTION("""COMPUTED_VALUE"""),15450)</f>
        <v>15450</v>
      </c>
      <c r="F509" s="2">
        <f ca="1">IFERROR(__xludf.DUMMYFUNCTION("""COMPUTED_VALUE"""),12316800)</f>
        <v>12316800</v>
      </c>
    </row>
    <row r="510" spans="1:6">
      <c r="A510" s="5">
        <f ca="1">IFERROR(__xludf.DUMMYFUNCTION("""COMPUTED_VALUE"""),42769.625)</f>
        <v>42769.625</v>
      </c>
      <c r="B510" s="2">
        <f ca="1">IFERROR(__xludf.DUMMYFUNCTION("""COMPUTED_VALUE"""),15450)</f>
        <v>15450</v>
      </c>
      <c r="C510" s="2">
        <f ca="1">IFERROR(__xludf.DUMMYFUNCTION("""COMPUTED_VALUE"""),15500)</f>
        <v>15500</v>
      </c>
      <c r="D510" s="2">
        <f ca="1">IFERROR(__xludf.DUMMYFUNCTION("""COMPUTED_VALUE"""),15425)</f>
        <v>15425</v>
      </c>
      <c r="E510" s="2">
        <f ca="1">IFERROR(__xludf.DUMMYFUNCTION("""COMPUTED_VALUE"""),15475)</f>
        <v>15475</v>
      </c>
      <c r="F510" s="2">
        <f ca="1">IFERROR(__xludf.DUMMYFUNCTION("""COMPUTED_VALUE"""),8950800)</f>
        <v>8950800</v>
      </c>
    </row>
    <row r="511" spans="1:6">
      <c r="A511" s="5">
        <f ca="1">IFERROR(__xludf.DUMMYFUNCTION("""COMPUTED_VALUE"""),42772.625)</f>
        <v>42772.625</v>
      </c>
      <c r="B511" s="2">
        <f ca="1">IFERROR(__xludf.DUMMYFUNCTION("""COMPUTED_VALUE"""),15575)</f>
        <v>15575</v>
      </c>
      <c r="C511" s="2">
        <f ca="1">IFERROR(__xludf.DUMMYFUNCTION("""COMPUTED_VALUE"""),15675)</f>
        <v>15675</v>
      </c>
      <c r="D511" s="2">
        <f ca="1">IFERROR(__xludf.DUMMYFUNCTION("""COMPUTED_VALUE"""),15500)</f>
        <v>15500</v>
      </c>
      <c r="E511" s="2">
        <f ca="1">IFERROR(__xludf.DUMMYFUNCTION("""COMPUTED_VALUE"""),15600)</f>
        <v>15600</v>
      </c>
      <c r="F511" s="2">
        <f ca="1">IFERROR(__xludf.DUMMYFUNCTION("""COMPUTED_VALUE"""),12655000)</f>
        <v>12655000</v>
      </c>
    </row>
    <row r="512" spans="1:6">
      <c r="A512" s="5">
        <f ca="1">IFERROR(__xludf.DUMMYFUNCTION("""COMPUTED_VALUE"""),42773.625)</f>
        <v>42773.625</v>
      </c>
      <c r="B512" s="2">
        <f ca="1">IFERROR(__xludf.DUMMYFUNCTION("""COMPUTED_VALUE"""),15425)</f>
        <v>15425</v>
      </c>
      <c r="C512" s="2">
        <f ca="1">IFERROR(__xludf.DUMMYFUNCTION("""COMPUTED_VALUE"""),15625)</f>
        <v>15625</v>
      </c>
      <c r="D512" s="2">
        <f ca="1">IFERROR(__xludf.DUMMYFUNCTION("""COMPUTED_VALUE"""),15425)</f>
        <v>15425</v>
      </c>
      <c r="E512" s="2">
        <f ca="1">IFERROR(__xludf.DUMMYFUNCTION("""COMPUTED_VALUE"""),15625)</f>
        <v>15625</v>
      </c>
      <c r="F512" s="2">
        <f ca="1">IFERROR(__xludf.DUMMYFUNCTION("""COMPUTED_VALUE"""),9574700)</f>
        <v>9574700</v>
      </c>
    </row>
    <row r="513" spans="1:6">
      <c r="A513" s="5">
        <f ca="1">IFERROR(__xludf.DUMMYFUNCTION("""COMPUTED_VALUE"""),42774.625)</f>
        <v>42774.625</v>
      </c>
      <c r="B513" s="2">
        <f ca="1">IFERROR(__xludf.DUMMYFUNCTION("""COMPUTED_VALUE"""),15625)</f>
        <v>15625</v>
      </c>
      <c r="C513" s="2">
        <f ca="1">IFERROR(__xludf.DUMMYFUNCTION("""COMPUTED_VALUE"""),15650)</f>
        <v>15650</v>
      </c>
      <c r="D513" s="2">
        <f ca="1">IFERROR(__xludf.DUMMYFUNCTION("""COMPUTED_VALUE"""),15525)</f>
        <v>15525</v>
      </c>
      <c r="E513" s="2">
        <f ca="1">IFERROR(__xludf.DUMMYFUNCTION("""COMPUTED_VALUE"""),15600)</f>
        <v>15600</v>
      </c>
      <c r="F513" s="2">
        <f ca="1">IFERROR(__xludf.DUMMYFUNCTION("""COMPUTED_VALUE"""),14793600)</f>
        <v>14793600</v>
      </c>
    </row>
    <row r="514" spans="1:6">
      <c r="A514" s="5">
        <f ca="1">IFERROR(__xludf.DUMMYFUNCTION("""COMPUTED_VALUE"""),42775.625)</f>
        <v>42775.625</v>
      </c>
      <c r="B514" s="2">
        <f ca="1">IFERROR(__xludf.DUMMYFUNCTION("""COMPUTED_VALUE"""),15600)</f>
        <v>15600</v>
      </c>
      <c r="C514" s="2">
        <f ca="1">IFERROR(__xludf.DUMMYFUNCTION("""COMPUTED_VALUE"""),15650)</f>
        <v>15650</v>
      </c>
      <c r="D514" s="2">
        <f ca="1">IFERROR(__xludf.DUMMYFUNCTION("""COMPUTED_VALUE"""),15600)</f>
        <v>15600</v>
      </c>
      <c r="E514" s="2">
        <f ca="1">IFERROR(__xludf.DUMMYFUNCTION("""COMPUTED_VALUE"""),15625)</f>
        <v>15625</v>
      </c>
      <c r="F514" s="2">
        <f ca="1">IFERROR(__xludf.DUMMYFUNCTION("""COMPUTED_VALUE"""),26961300)</f>
        <v>26961300</v>
      </c>
    </row>
    <row r="515" spans="1:6">
      <c r="A515" s="5">
        <f ca="1">IFERROR(__xludf.DUMMYFUNCTION("""COMPUTED_VALUE"""),42776.625)</f>
        <v>42776.625</v>
      </c>
      <c r="B515" s="2">
        <f ca="1">IFERROR(__xludf.DUMMYFUNCTION("""COMPUTED_VALUE"""),15625)</f>
        <v>15625</v>
      </c>
      <c r="C515" s="2">
        <f ca="1">IFERROR(__xludf.DUMMYFUNCTION("""COMPUTED_VALUE"""),15700)</f>
        <v>15700</v>
      </c>
      <c r="D515" s="2">
        <f ca="1">IFERROR(__xludf.DUMMYFUNCTION("""COMPUTED_VALUE"""),15000)</f>
        <v>15000</v>
      </c>
      <c r="E515" s="2">
        <f ca="1">IFERROR(__xludf.DUMMYFUNCTION("""COMPUTED_VALUE"""),15000)</f>
        <v>15000</v>
      </c>
      <c r="F515" s="2">
        <f ca="1">IFERROR(__xludf.DUMMYFUNCTION("""COMPUTED_VALUE"""),16584200)</f>
        <v>16584200</v>
      </c>
    </row>
    <row r="516" spans="1:6">
      <c r="A516" s="5">
        <f ca="1">IFERROR(__xludf.DUMMYFUNCTION("""COMPUTED_VALUE"""),42779.625)</f>
        <v>42779.625</v>
      </c>
      <c r="B516" s="2">
        <f ca="1">IFERROR(__xludf.DUMMYFUNCTION("""COMPUTED_VALUE"""),15500)</f>
        <v>15500</v>
      </c>
      <c r="C516" s="2">
        <f ca="1">IFERROR(__xludf.DUMMYFUNCTION("""COMPUTED_VALUE"""),15650)</f>
        <v>15650</v>
      </c>
      <c r="D516" s="2">
        <f ca="1">IFERROR(__xludf.DUMMYFUNCTION("""COMPUTED_VALUE"""),15350)</f>
        <v>15350</v>
      </c>
      <c r="E516" s="2">
        <f ca="1">IFERROR(__xludf.DUMMYFUNCTION("""COMPUTED_VALUE"""),15525)</f>
        <v>15525</v>
      </c>
      <c r="F516" s="2">
        <f ca="1">IFERROR(__xludf.DUMMYFUNCTION("""COMPUTED_VALUE"""),19755100)</f>
        <v>19755100</v>
      </c>
    </row>
    <row r="517" spans="1:6">
      <c r="A517" s="5">
        <f ca="1">IFERROR(__xludf.DUMMYFUNCTION("""COMPUTED_VALUE"""),42780.625)</f>
        <v>42780.625</v>
      </c>
      <c r="B517" s="2">
        <f ca="1">IFERROR(__xludf.DUMMYFUNCTION("""COMPUTED_VALUE"""),15450)</f>
        <v>15450</v>
      </c>
      <c r="C517" s="2">
        <f ca="1">IFERROR(__xludf.DUMMYFUNCTION("""COMPUTED_VALUE"""),15550)</f>
        <v>15550</v>
      </c>
      <c r="D517" s="2">
        <f ca="1">IFERROR(__xludf.DUMMYFUNCTION("""COMPUTED_VALUE"""),15375)</f>
        <v>15375</v>
      </c>
      <c r="E517" s="2">
        <f ca="1">IFERROR(__xludf.DUMMYFUNCTION("""COMPUTED_VALUE"""),15500)</f>
        <v>15500</v>
      </c>
      <c r="F517" s="2">
        <f ca="1">IFERROR(__xludf.DUMMYFUNCTION("""COMPUTED_VALUE"""),13698400)</f>
        <v>13698400</v>
      </c>
    </row>
    <row r="518" spans="1:6">
      <c r="A518" s="5">
        <f ca="1">IFERROR(__xludf.DUMMYFUNCTION("""COMPUTED_VALUE"""),42782.625)</f>
        <v>42782.625</v>
      </c>
      <c r="B518" s="2">
        <f ca="1">IFERROR(__xludf.DUMMYFUNCTION("""COMPUTED_VALUE"""),15600)</f>
        <v>15600</v>
      </c>
      <c r="C518" s="2">
        <f ca="1">IFERROR(__xludf.DUMMYFUNCTION("""COMPUTED_VALUE"""),15600)</f>
        <v>15600</v>
      </c>
      <c r="D518" s="2">
        <f ca="1">IFERROR(__xludf.DUMMYFUNCTION("""COMPUTED_VALUE"""),15375)</f>
        <v>15375</v>
      </c>
      <c r="E518" s="2">
        <f ca="1">IFERROR(__xludf.DUMMYFUNCTION("""COMPUTED_VALUE"""),15500)</f>
        <v>15500</v>
      </c>
      <c r="F518" s="2">
        <f ca="1">IFERROR(__xludf.DUMMYFUNCTION("""COMPUTED_VALUE"""),21986900)</f>
        <v>21986900</v>
      </c>
    </row>
    <row r="519" spans="1:6">
      <c r="A519" s="5">
        <f ca="1">IFERROR(__xludf.DUMMYFUNCTION("""COMPUTED_VALUE"""),42783.625)</f>
        <v>42783.625</v>
      </c>
      <c r="B519" s="2">
        <f ca="1">IFERROR(__xludf.DUMMYFUNCTION("""COMPUTED_VALUE"""),15450)</f>
        <v>15450</v>
      </c>
      <c r="C519" s="2">
        <f ca="1">IFERROR(__xludf.DUMMYFUNCTION("""COMPUTED_VALUE"""),15575)</f>
        <v>15575</v>
      </c>
      <c r="D519" s="2">
        <f ca="1">IFERROR(__xludf.DUMMYFUNCTION("""COMPUTED_VALUE"""),15350)</f>
        <v>15350</v>
      </c>
      <c r="E519" s="2">
        <f ca="1">IFERROR(__xludf.DUMMYFUNCTION("""COMPUTED_VALUE"""),15475)</f>
        <v>15475</v>
      </c>
      <c r="F519" s="2">
        <f ca="1">IFERROR(__xludf.DUMMYFUNCTION("""COMPUTED_VALUE"""),10822300)</f>
        <v>10822300</v>
      </c>
    </row>
    <row r="520" spans="1:6">
      <c r="A520" s="5">
        <f ca="1">IFERROR(__xludf.DUMMYFUNCTION("""COMPUTED_VALUE"""),42786.625)</f>
        <v>42786.625</v>
      </c>
      <c r="B520" s="2">
        <f ca="1">IFERROR(__xludf.DUMMYFUNCTION("""COMPUTED_VALUE"""),15600)</f>
        <v>15600</v>
      </c>
      <c r="C520" s="2">
        <f ca="1">IFERROR(__xludf.DUMMYFUNCTION("""COMPUTED_VALUE"""),15600)</f>
        <v>15600</v>
      </c>
      <c r="D520" s="2">
        <f ca="1">IFERROR(__xludf.DUMMYFUNCTION("""COMPUTED_VALUE"""),15400)</f>
        <v>15400</v>
      </c>
      <c r="E520" s="2">
        <f ca="1">IFERROR(__xludf.DUMMYFUNCTION("""COMPUTED_VALUE"""),15450)</f>
        <v>15450</v>
      </c>
      <c r="F520" s="2">
        <f ca="1">IFERROR(__xludf.DUMMYFUNCTION("""COMPUTED_VALUE"""),9845000)</f>
        <v>9845000</v>
      </c>
    </row>
    <row r="521" spans="1:6">
      <c r="A521" s="5">
        <f ca="1">IFERROR(__xludf.DUMMYFUNCTION("""COMPUTED_VALUE"""),42787.625)</f>
        <v>42787.625</v>
      </c>
      <c r="B521" s="2">
        <f ca="1">IFERROR(__xludf.DUMMYFUNCTION("""COMPUTED_VALUE"""),15400)</f>
        <v>15400</v>
      </c>
      <c r="C521" s="2">
        <f ca="1">IFERROR(__xludf.DUMMYFUNCTION("""COMPUTED_VALUE"""),15525)</f>
        <v>15525</v>
      </c>
      <c r="D521" s="2">
        <f ca="1">IFERROR(__xludf.DUMMYFUNCTION("""COMPUTED_VALUE"""),15400)</f>
        <v>15400</v>
      </c>
      <c r="E521" s="2">
        <f ca="1">IFERROR(__xludf.DUMMYFUNCTION("""COMPUTED_VALUE"""),15500)</f>
        <v>15500</v>
      </c>
      <c r="F521" s="2">
        <f ca="1">IFERROR(__xludf.DUMMYFUNCTION("""COMPUTED_VALUE"""),9403300)</f>
        <v>9403300</v>
      </c>
    </row>
    <row r="522" spans="1:6">
      <c r="A522" s="5">
        <f ca="1">IFERROR(__xludf.DUMMYFUNCTION("""COMPUTED_VALUE"""),42788.625)</f>
        <v>42788.625</v>
      </c>
      <c r="B522" s="2">
        <f ca="1">IFERROR(__xludf.DUMMYFUNCTION("""COMPUTED_VALUE"""),15400)</f>
        <v>15400</v>
      </c>
      <c r="C522" s="2">
        <f ca="1">IFERROR(__xludf.DUMMYFUNCTION("""COMPUTED_VALUE"""),15575)</f>
        <v>15575</v>
      </c>
      <c r="D522" s="2">
        <f ca="1">IFERROR(__xludf.DUMMYFUNCTION("""COMPUTED_VALUE"""),15400)</f>
        <v>15400</v>
      </c>
      <c r="E522" s="2">
        <f ca="1">IFERROR(__xludf.DUMMYFUNCTION("""COMPUTED_VALUE"""),15500)</f>
        <v>15500</v>
      </c>
      <c r="F522" s="2">
        <f ca="1">IFERROR(__xludf.DUMMYFUNCTION("""COMPUTED_VALUE"""),9553500)</f>
        <v>9553500</v>
      </c>
    </row>
    <row r="523" spans="1:6">
      <c r="A523" s="5">
        <f ca="1">IFERROR(__xludf.DUMMYFUNCTION("""COMPUTED_VALUE"""),42789.625)</f>
        <v>42789.625</v>
      </c>
      <c r="B523" s="2">
        <f ca="1">IFERROR(__xludf.DUMMYFUNCTION("""COMPUTED_VALUE"""),15400)</f>
        <v>15400</v>
      </c>
      <c r="C523" s="2">
        <f ca="1">IFERROR(__xludf.DUMMYFUNCTION("""COMPUTED_VALUE"""),15575)</f>
        <v>15575</v>
      </c>
      <c r="D523" s="2">
        <f ca="1">IFERROR(__xludf.DUMMYFUNCTION("""COMPUTED_VALUE"""),15400)</f>
        <v>15400</v>
      </c>
      <c r="E523" s="2">
        <f ca="1">IFERROR(__xludf.DUMMYFUNCTION("""COMPUTED_VALUE"""),15500)</f>
        <v>15500</v>
      </c>
      <c r="F523" s="2">
        <f ca="1">IFERROR(__xludf.DUMMYFUNCTION("""COMPUTED_VALUE"""),16331100)</f>
        <v>16331100</v>
      </c>
    </row>
    <row r="524" spans="1:6">
      <c r="A524" s="5">
        <f ca="1">IFERROR(__xludf.DUMMYFUNCTION("""COMPUTED_VALUE"""),42790.625)</f>
        <v>42790.625</v>
      </c>
      <c r="B524" s="2">
        <f ca="1">IFERROR(__xludf.DUMMYFUNCTION("""COMPUTED_VALUE"""),15525)</f>
        <v>15525</v>
      </c>
      <c r="C524" s="2">
        <f ca="1">IFERROR(__xludf.DUMMYFUNCTION("""COMPUTED_VALUE"""),15600)</f>
        <v>15600</v>
      </c>
      <c r="D524" s="2">
        <f ca="1">IFERROR(__xludf.DUMMYFUNCTION("""COMPUTED_VALUE"""),15500)</f>
        <v>15500</v>
      </c>
      <c r="E524" s="2">
        <f ca="1">IFERROR(__xludf.DUMMYFUNCTION("""COMPUTED_VALUE"""),15500)</f>
        <v>15500</v>
      </c>
      <c r="F524" s="2">
        <f ca="1">IFERROR(__xludf.DUMMYFUNCTION("""COMPUTED_VALUE"""),6656100)</f>
        <v>6656100</v>
      </c>
    </row>
    <row r="525" spans="1:6">
      <c r="A525" s="5">
        <f ca="1">IFERROR(__xludf.DUMMYFUNCTION("""COMPUTED_VALUE"""),42793.625)</f>
        <v>42793.625</v>
      </c>
      <c r="B525" s="2">
        <f ca="1">IFERROR(__xludf.DUMMYFUNCTION("""COMPUTED_VALUE"""),15500)</f>
        <v>15500</v>
      </c>
      <c r="C525" s="2">
        <f ca="1">IFERROR(__xludf.DUMMYFUNCTION("""COMPUTED_VALUE"""),15525)</f>
        <v>15525</v>
      </c>
      <c r="D525" s="2">
        <f ca="1">IFERROR(__xludf.DUMMYFUNCTION("""COMPUTED_VALUE"""),15400)</f>
        <v>15400</v>
      </c>
      <c r="E525" s="2">
        <f ca="1">IFERROR(__xludf.DUMMYFUNCTION("""COMPUTED_VALUE"""),15500)</f>
        <v>15500</v>
      </c>
      <c r="F525" s="2">
        <f ca="1">IFERROR(__xludf.DUMMYFUNCTION("""COMPUTED_VALUE"""),5723600)</f>
        <v>5723600</v>
      </c>
    </row>
    <row r="526" spans="1:6">
      <c r="A526" s="5">
        <f ca="1">IFERROR(__xludf.DUMMYFUNCTION("""COMPUTED_VALUE"""),42794.625)</f>
        <v>42794.625</v>
      </c>
      <c r="B526" s="2">
        <f ca="1">IFERROR(__xludf.DUMMYFUNCTION("""COMPUTED_VALUE"""),15500)</f>
        <v>15500</v>
      </c>
      <c r="C526" s="2">
        <f ca="1">IFERROR(__xludf.DUMMYFUNCTION("""COMPUTED_VALUE"""),15550)</f>
        <v>15550</v>
      </c>
      <c r="D526" s="2">
        <f ca="1">IFERROR(__xludf.DUMMYFUNCTION("""COMPUTED_VALUE"""),15400)</f>
        <v>15400</v>
      </c>
      <c r="E526" s="2">
        <f ca="1">IFERROR(__xludf.DUMMYFUNCTION("""COMPUTED_VALUE"""),15450)</f>
        <v>15450</v>
      </c>
      <c r="F526" s="2">
        <f ca="1">IFERROR(__xludf.DUMMYFUNCTION("""COMPUTED_VALUE"""),22036900)</f>
        <v>22036900</v>
      </c>
    </row>
    <row r="527" spans="1:6">
      <c r="A527" s="5">
        <f ca="1">IFERROR(__xludf.DUMMYFUNCTION("""COMPUTED_VALUE"""),42795.625)</f>
        <v>42795.625</v>
      </c>
      <c r="B527" s="2">
        <f ca="1">IFERROR(__xludf.DUMMYFUNCTION("""COMPUTED_VALUE"""),15400)</f>
        <v>15400</v>
      </c>
      <c r="C527" s="2">
        <f ca="1">IFERROR(__xludf.DUMMYFUNCTION("""COMPUTED_VALUE"""),15525)</f>
        <v>15525</v>
      </c>
      <c r="D527" s="2">
        <f ca="1">IFERROR(__xludf.DUMMYFUNCTION("""COMPUTED_VALUE"""),15400)</f>
        <v>15400</v>
      </c>
      <c r="E527" s="2">
        <f ca="1">IFERROR(__xludf.DUMMYFUNCTION("""COMPUTED_VALUE"""),15500)</f>
        <v>15500</v>
      </c>
      <c r="F527" s="2">
        <f ca="1">IFERROR(__xludf.DUMMYFUNCTION("""COMPUTED_VALUE"""),20441800)</f>
        <v>20441800</v>
      </c>
    </row>
    <row r="528" spans="1:6">
      <c r="A528" s="5">
        <f ca="1">IFERROR(__xludf.DUMMYFUNCTION("""COMPUTED_VALUE"""),42796.625)</f>
        <v>42796.625</v>
      </c>
      <c r="B528" s="2">
        <f ca="1">IFERROR(__xludf.DUMMYFUNCTION("""COMPUTED_VALUE"""),15650)</f>
        <v>15650</v>
      </c>
      <c r="C528" s="2">
        <f ca="1">IFERROR(__xludf.DUMMYFUNCTION("""COMPUTED_VALUE"""),15675)</f>
        <v>15675</v>
      </c>
      <c r="D528" s="2">
        <f ca="1">IFERROR(__xludf.DUMMYFUNCTION("""COMPUTED_VALUE"""),15475)</f>
        <v>15475</v>
      </c>
      <c r="E528" s="2">
        <f ca="1">IFERROR(__xludf.DUMMYFUNCTION("""COMPUTED_VALUE"""),15500)</f>
        <v>15500</v>
      </c>
      <c r="F528" s="2">
        <f ca="1">IFERROR(__xludf.DUMMYFUNCTION("""COMPUTED_VALUE"""),15661900)</f>
        <v>15661900</v>
      </c>
    </row>
    <row r="529" spans="1:6">
      <c r="A529" s="5">
        <f ca="1">IFERROR(__xludf.DUMMYFUNCTION("""COMPUTED_VALUE"""),42797.625)</f>
        <v>42797.625</v>
      </c>
      <c r="B529" s="2">
        <f ca="1">IFERROR(__xludf.DUMMYFUNCTION("""COMPUTED_VALUE"""),15450)</f>
        <v>15450</v>
      </c>
      <c r="C529" s="2">
        <f ca="1">IFERROR(__xludf.DUMMYFUNCTION("""COMPUTED_VALUE"""),15550)</f>
        <v>15550</v>
      </c>
      <c r="D529" s="2">
        <f ca="1">IFERROR(__xludf.DUMMYFUNCTION("""COMPUTED_VALUE"""),15425)</f>
        <v>15425</v>
      </c>
      <c r="E529" s="2">
        <f ca="1">IFERROR(__xludf.DUMMYFUNCTION("""COMPUTED_VALUE"""),15475)</f>
        <v>15475</v>
      </c>
      <c r="F529" s="2">
        <f ca="1">IFERROR(__xludf.DUMMYFUNCTION("""COMPUTED_VALUE"""),17690800)</f>
        <v>17690800</v>
      </c>
    </row>
    <row r="530" spans="1:6">
      <c r="A530" s="5">
        <f ca="1">IFERROR(__xludf.DUMMYFUNCTION("""COMPUTED_VALUE"""),42800.625)</f>
        <v>42800.625</v>
      </c>
      <c r="B530" s="2">
        <f ca="1">IFERROR(__xludf.DUMMYFUNCTION("""COMPUTED_VALUE"""),15400)</f>
        <v>15400</v>
      </c>
      <c r="C530" s="2">
        <f ca="1">IFERROR(__xludf.DUMMYFUNCTION("""COMPUTED_VALUE"""),15475)</f>
        <v>15475</v>
      </c>
      <c r="D530" s="2">
        <f ca="1">IFERROR(__xludf.DUMMYFUNCTION("""COMPUTED_VALUE"""),15350)</f>
        <v>15350</v>
      </c>
      <c r="E530" s="2">
        <f ca="1">IFERROR(__xludf.DUMMYFUNCTION("""COMPUTED_VALUE"""),15475)</f>
        <v>15475</v>
      </c>
      <c r="F530" s="2">
        <f ca="1">IFERROR(__xludf.DUMMYFUNCTION("""COMPUTED_VALUE"""),8932300)</f>
        <v>8932300</v>
      </c>
    </row>
    <row r="531" spans="1:6">
      <c r="A531" s="5">
        <f ca="1">IFERROR(__xludf.DUMMYFUNCTION("""COMPUTED_VALUE"""),42801.625)</f>
        <v>42801.625</v>
      </c>
      <c r="B531" s="2">
        <f ca="1">IFERROR(__xludf.DUMMYFUNCTION("""COMPUTED_VALUE"""),15400)</f>
        <v>15400</v>
      </c>
      <c r="C531" s="2">
        <f ca="1">IFERROR(__xludf.DUMMYFUNCTION("""COMPUTED_VALUE"""),15500)</f>
        <v>15500</v>
      </c>
      <c r="D531" s="2">
        <f ca="1">IFERROR(__xludf.DUMMYFUNCTION("""COMPUTED_VALUE"""),15400)</f>
        <v>15400</v>
      </c>
      <c r="E531" s="2">
        <f ca="1">IFERROR(__xludf.DUMMYFUNCTION("""COMPUTED_VALUE"""),15450)</f>
        <v>15450</v>
      </c>
      <c r="F531" s="2">
        <f ca="1">IFERROR(__xludf.DUMMYFUNCTION("""COMPUTED_VALUE"""),10516400)</f>
        <v>10516400</v>
      </c>
    </row>
    <row r="532" spans="1:6">
      <c r="A532" s="5">
        <f ca="1">IFERROR(__xludf.DUMMYFUNCTION("""COMPUTED_VALUE"""),42802.625)</f>
        <v>42802.625</v>
      </c>
      <c r="B532" s="2">
        <f ca="1">IFERROR(__xludf.DUMMYFUNCTION("""COMPUTED_VALUE"""),15500)</f>
        <v>15500</v>
      </c>
      <c r="C532" s="2">
        <f ca="1">IFERROR(__xludf.DUMMYFUNCTION("""COMPUTED_VALUE"""),15525)</f>
        <v>15525</v>
      </c>
      <c r="D532" s="2">
        <f ca="1">IFERROR(__xludf.DUMMYFUNCTION("""COMPUTED_VALUE"""),15450)</f>
        <v>15450</v>
      </c>
      <c r="E532" s="2">
        <f ca="1">IFERROR(__xludf.DUMMYFUNCTION("""COMPUTED_VALUE"""),15500)</f>
        <v>15500</v>
      </c>
      <c r="F532" s="2">
        <f ca="1">IFERROR(__xludf.DUMMYFUNCTION("""COMPUTED_VALUE"""),17478300)</f>
        <v>17478300</v>
      </c>
    </row>
    <row r="533" spans="1:6">
      <c r="A533" s="5">
        <f ca="1">IFERROR(__xludf.DUMMYFUNCTION("""COMPUTED_VALUE"""),42803.625)</f>
        <v>42803.625</v>
      </c>
      <c r="B533" s="2">
        <f ca="1">IFERROR(__xludf.DUMMYFUNCTION("""COMPUTED_VALUE"""),15500)</f>
        <v>15500</v>
      </c>
      <c r="C533" s="2">
        <f ca="1">IFERROR(__xludf.DUMMYFUNCTION("""COMPUTED_VALUE"""),15700)</f>
        <v>15700</v>
      </c>
      <c r="D533" s="2">
        <f ca="1">IFERROR(__xludf.DUMMYFUNCTION("""COMPUTED_VALUE"""),15500)</f>
        <v>15500</v>
      </c>
      <c r="E533" s="2">
        <f ca="1">IFERROR(__xludf.DUMMYFUNCTION("""COMPUTED_VALUE"""),15625)</f>
        <v>15625</v>
      </c>
      <c r="F533" s="2">
        <f ca="1">IFERROR(__xludf.DUMMYFUNCTION("""COMPUTED_VALUE"""),9464400)</f>
        <v>9464400</v>
      </c>
    </row>
    <row r="534" spans="1:6">
      <c r="A534" s="5">
        <f ca="1">IFERROR(__xludf.DUMMYFUNCTION("""COMPUTED_VALUE"""),42804.625)</f>
        <v>42804.625</v>
      </c>
      <c r="B534" s="2">
        <f ca="1">IFERROR(__xludf.DUMMYFUNCTION("""COMPUTED_VALUE"""),15700)</f>
        <v>15700</v>
      </c>
      <c r="C534" s="2">
        <f ca="1">IFERROR(__xludf.DUMMYFUNCTION("""COMPUTED_VALUE"""),15700)</f>
        <v>15700</v>
      </c>
      <c r="D534" s="2">
        <f ca="1">IFERROR(__xludf.DUMMYFUNCTION("""COMPUTED_VALUE"""),15475)</f>
        <v>15475</v>
      </c>
      <c r="E534" s="2">
        <f ca="1">IFERROR(__xludf.DUMMYFUNCTION("""COMPUTED_VALUE"""),15625)</f>
        <v>15625</v>
      </c>
      <c r="F534" s="2">
        <f ca="1">IFERROR(__xludf.DUMMYFUNCTION("""COMPUTED_VALUE"""),6877200)</f>
        <v>6877200</v>
      </c>
    </row>
    <row r="535" spans="1:6">
      <c r="A535" s="5">
        <f ca="1">IFERROR(__xludf.DUMMYFUNCTION("""COMPUTED_VALUE"""),42807.625)</f>
        <v>42807.625</v>
      </c>
      <c r="B535" s="2">
        <f ca="1">IFERROR(__xludf.DUMMYFUNCTION("""COMPUTED_VALUE"""),15600)</f>
        <v>15600</v>
      </c>
      <c r="C535" s="2">
        <f ca="1">IFERROR(__xludf.DUMMYFUNCTION("""COMPUTED_VALUE"""),15650)</f>
        <v>15650</v>
      </c>
      <c r="D535" s="2">
        <f ca="1">IFERROR(__xludf.DUMMYFUNCTION("""COMPUTED_VALUE"""),15475)</f>
        <v>15475</v>
      </c>
      <c r="E535" s="2">
        <f ca="1">IFERROR(__xludf.DUMMYFUNCTION("""COMPUTED_VALUE"""),15550)</f>
        <v>15550</v>
      </c>
      <c r="F535" s="2">
        <f ca="1">IFERROR(__xludf.DUMMYFUNCTION("""COMPUTED_VALUE"""),4986600)</f>
        <v>4986600</v>
      </c>
    </row>
    <row r="536" spans="1:6">
      <c r="A536" s="5">
        <f ca="1">IFERROR(__xludf.DUMMYFUNCTION("""COMPUTED_VALUE"""),42808.625)</f>
        <v>42808.625</v>
      </c>
      <c r="B536" s="2">
        <f ca="1">IFERROR(__xludf.DUMMYFUNCTION("""COMPUTED_VALUE"""),15700)</f>
        <v>15700</v>
      </c>
      <c r="C536" s="2">
        <f ca="1">IFERROR(__xludf.DUMMYFUNCTION("""COMPUTED_VALUE"""),15900)</f>
        <v>15900</v>
      </c>
      <c r="D536" s="2">
        <f ca="1">IFERROR(__xludf.DUMMYFUNCTION("""COMPUTED_VALUE"""),15650)</f>
        <v>15650</v>
      </c>
      <c r="E536" s="2">
        <f ca="1">IFERROR(__xludf.DUMMYFUNCTION("""COMPUTED_VALUE"""),15675)</f>
        <v>15675</v>
      </c>
      <c r="F536" s="2">
        <f ca="1">IFERROR(__xludf.DUMMYFUNCTION("""COMPUTED_VALUE"""),12445000)</f>
        <v>12445000</v>
      </c>
    </row>
    <row r="537" spans="1:6">
      <c r="A537" s="5">
        <f ca="1">IFERROR(__xludf.DUMMYFUNCTION("""COMPUTED_VALUE"""),42809.625)</f>
        <v>42809.625</v>
      </c>
      <c r="B537" s="2">
        <f ca="1">IFERROR(__xludf.DUMMYFUNCTION("""COMPUTED_VALUE"""),15775)</f>
        <v>15775</v>
      </c>
      <c r="C537" s="2">
        <f ca="1">IFERROR(__xludf.DUMMYFUNCTION("""COMPUTED_VALUE"""),15775)</f>
        <v>15775</v>
      </c>
      <c r="D537" s="2">
        <f ca="1">IFERROR(__xludf.DUMMYFUNCTION("""COMPUTED_VALUE"""),15525)</f>
        <v>15525</v>
      </c>
      <c r="E537" s="2">
        <f ca="1">IFERROR(__xludf.DUMMYFUNCTION("""COMPUTED_VALUE"""),15650)</f>
        <v>15650</v>
      </c>
      <c r="F537" s="2">
        <f ca="1">IFERROR(__xludf.DUMMYFUNCTION("""COMPUTED_VALUE"""),14057200)</f>
        <v>14057200</v>
      </c>
    </row>
    <row r="538" spans="1:6">
      <c r="A538" s="5">
        <f ca="1">IFERROR(__xludf.DUMMYFUNCTION("""COMPUTED_VALUE"""),42810.625)</f>
        <v>42810.625</v>
      </c>
      <c r="B538" s="2">
        <f ca="1">IFERROR(__xludf.DUMMYFUNCTION("""COMPUTED_VALUE"""),15900)</f>
        <v>15900</v>
      </c>
      <c r="C538" s="2">
        <f ca="1">IFERROR(__xludf.DUMMYFUNCTION("""COMPUTED_VALUE"""),16000)</f>
        <v>16000</v>
      </c>
      <c r="D538" s="2">
        <f ca="1">IFERROR(__xludf.DUMMYFUNCTION("""COMPUTED_VALUE"""),15800)</f>
        <v>15800</v>
      </c>
      <c r="E538" s="2">
        <f ca="1">IFERROR(__xludf.DUMMYFUNCTION("""COMPUTED_VALUE"""),15875)</f>
        <v>15875</v>
      </c>
      <c r="F538" s="2">
        <f ca="1">IFERROR(__xludf.DUMMYFUNCTION("""COMPUTED_VALUE"""),37204300)</f>
        <v>37204300</v>
      </c>
    </row>
    <row r="539" spans="1:6">
      <c r="A539" s="5">
        <f ca="1">IFERROR(__xludf.DUMMYFUNCTION("""COMPUTED_VALUE"""),42811.625)</f>
        <v>42811.625</v>
      </c>
      <c r="B539" s="2">
        <f ca="1">IFERROR(__xludf.DUMMYFUNCTION("""COMPUTED_VALUE"""),16000)</f>
        <v>16000</v>
      </c>
      <c r="C539" s="2">
        <f ca="1">IFERROR(__xludf.DUMMYFUNCTION("""COMPUTED_VALUE"""),16200)</f>
        <v>16200</v>
      </c>
      <c r="D539" s="2">
        <f ca="1">IFERROR(__xludf.DUMMYFUNCTION("""COMPUTED_VALUE"""),15875)</f>
        <v>15875</v>
      </c>
      <c r="E539" s="2">
        <f ca="1">IFERROR(__xludf.DUMMYFUNCTION("""COMPUTED_VALUE"""),15950)</f>
        <v>15950</v>
      </c>
      <c r="F539" s="2">
        <f ca="1">IFERROR(__xludf.DUMMYFUNCTION("""COMPUTED_VALUE"""),44761700)</f>
        <v>44761700</v>
      </c>
    </row>
    <row r="540" spans="1:6">
      <c r="A540" s="5">
        <f ca="1">IFERROR(__xludf.DUMMYFUNCTION("""COMPUTED_VALUE"""),42814.625)</f>
        <v>42814.625</v>
      </c>
      <c r="B540" s="2">
        <f ca="1">IFERROR(__xludf.DUMMYFUNCTION("""COMPUTED_VALUE"""),16100)</f>
        <v>16100</v>
      </c>
      <c r="C540" s="2">
        <f ca="1">IFERROR(__xludf.DUMMYFUNCTION("""COMPUTED_VALUE"""),16225)</f>
        <v>16225</v>
      </c>
      <c r="D540" s="2">
        <f ca="1">IFERROR(__xludf.DUMMYFUNCTION("""COMPUTED_VALUE"""),15950)</f>
        <v>15950</v>
      </c>
      <c r="E540" s="2">
        <f ca="1">IFERROR(__xludf.DUMMYFUNCTION("""COMPUTED_VALUE"""),16075)</f>
        <v>16075</v>
      </c>
      <c r="F540" s="2">
        <f ca="1">IFERROR(__xludf.DUMMYFUNCTION("""COMPUTED_VALUE"""),38255300)</f>
        <v>38255300</v>
      </c>
    </row>
    <row r="541" spans="1:6">
      <c r="A541" s="5">
        <f ca="1">IFERROR(__xludf.DUMMYFUNCTION("""COMPUTED_VALUE"""),42815.625)</f>
        <v>42815.625</v>
      </c>
      <c r="B541" s="2">
        <f ca="1">IFERROR(__xludf.DUMMYFUNCTION("""COMPUTED_VALUE"""),16225)</f>
        <v>16225</v>
      </c>
      <c r="C541" s="2">
        <f ca="1">IFERROR(__xludf.DUMMYFUNCTION("""COMPUTED_VALUE"""),16275)</f>
        <v>16275</v>
      </c>
      <c r="D541" s="2">
        <f ca="1">IFERROR(__xludf.DUMMYFUNCTION("""COMPUTED_VALUE"""),16150)</f>
        <v>16150</v>
      </c>
      <c r="E541" s="2">
        <f ca="1">IFERROR(__xludf.DUMMYFUNCTION("""COMPUTED_VALUE"""),16250)</f>
        <v>16250</v>
      </c>
      <c r="F541" s="2">
        <f ca="1">IFERROR(__xludf.DUMMYFUNCTION("""COMPUTED_VALUE"""),26646300)</f>
        <v>26646300</v>
      </c>
    </row>
    <row r="542" spans="1:6">
      <c r="A542" s="5">
        <f ca="1">IFERROR(__xludf.DUMMYFUNCTION("""COMPUTED_VALUE"""),42816.625)</f>
        <v>42816.625</v>
      </c>
      <c r="B542" s="2">
        <f ca="1">IFERROR(__xludf.DUMMYFUNCTION("""COMPUTED_VALUE"""),16050)</f>
        <v>16050</v>
      </c>
      <c r="C542" s="2">
        <f ca="1">IFERROR(__xludf.DUMMYFUNCTION("""COMPUTED_VALUE"""),16350)</f>
        <v>16350</v>
      </c>
      <c r="D542" s="2">
        <f ca="1">IFERROR(__xludf.DUMMYFUNCTION("""COMPUTED_VALUE"""),16050)</f>
        <v>16050</v>
      </c>
      <c r="E542" s="2">
        <f ca="1">IFERROR(__xludf.DUMMYFUNCTION("""COMPUTED_VALUE"""),16325)</f>
        <v>16325</v>
      </c>
      <c r="F542" s="2">
        <f ca="1">IFERROR(__xludf.DUMMYFUNCTION("""COMPUTED_VALUE"""),35764200)</f>
        <v>35764200</v>
      </c>
    </row>
    <row r="543" spans="1:6">
      <c r="A543" s="5">
        <f ca="1">IFERROR(__xludf.DUMMYFUNCTION("""COMPUTED_VALUE"""),42817.625)</f>
        <v>42817.625</v>
      </c>
      <c r="B543" s="2">
        <f ca="1">IFERROR(__xludf.DUMMYFUNCTION("""COMPUTED_VALUE"""),16400)</f>
        <v>16400</v>
      </c>
      <c r="C543" s="2">
        <f ca="1">IFERROR(__xludf.DUMMYFUNCTION("""COMPUTED_VALUE"""),16750)</f>
        <v>16750</v>
      </c>
      <c r="D543" s="2">
        <f ca="1">IFERROR(__xludf.DUMMYFUNCTION("""COMPUTED_VALUE"""),16375)</f>
        <v>16375</v>
      </c>
      <c r="E543" s="2">
        <f ca="1">IFERROR(__xludf.DUMMYFUNCTION("""COMPUTED_VALUE"""),16600)</f>
        <v>16600</v>
      </c>
      <c r="F543" s="2">
        <f ca="1">IFERROR(__xludf.DUMMYFUNCTION("""COMPUTED_VALUE"""),39154800)</f>
        <v>39154800</v>
      </c>
    </row>
    <row r="544" spans="1:6">
      <c r="A544" s="5">
        <f ca="1">IFERROR(__xludf.DUMMYFUNCTION("""COMPUTED_VALUE"""),42818.625)</f>
        <v>42818.625</v>
      </c>
      <c r="B544" s="2">
        <f ca="1">IFERROR(__xludf.DUMMYFUNCTION("""COMPUTED_VALUE"""),16800)</f>
        <v>16800</v>
      </c>
      <c r="C544" s="2">
        <f ca="1">IFERROR(__xludf.DUMMYFUNCTION("""COMPUTED_VALUE"""),16800)</f>
        <v>16800</v>
      </c>
      <c r="D544" s="2">
        <f ca="1">IFERROR(__xludf.DUMMYFUNCTION("""COMPUTED_VALUE"""),16450)</f>
        <v>16450</v>
      </c>
      <c r="E544" s="2">
        <f ca="1">IFERROR(__xludf.DUMMYFUNCTION("""COMPUTED_VALUE"""),16550)</f>
        <v>16550</v>
      </c>
      <c r="F544" s="2">
        <f ca="1">IFERROR(__xludf.DUMMYFUNCTION("""COMPUTED_VALUE"""),17280600)</f>
        <v>17280600</v>
      </c>
    </row>
    <row r="545" spans="1:6">
      <c r="A545" s="5">
        <f ca="1">IFERROR(__xludf.DUMMYFUNCTION("""COMPUTED_VALUE"""),42821.625)</f>
        <v>42821.625</v>
      </c>
      <c r="B545" s="2">
        <f ca="1">IFERROR(__xludf.DUMMYFUNCTION("""COMPUTED_VALUE"""),16550)</f>
        <v>16550</v>
      </c>
      <c r="C545" s="2">
        <f ca="1">IFERROR(__xludf.DUMMYFUNCTION("""COMPUTED_VALUE"""),16625)</f>
        <v>16625</v>
      </c>
      <c r="D545" s="2">
        <f ca="1">IFERROR(__xludf.DUMMYFUNCTION("""COMPUTED_VALUE"""),16500)</f>
        <v>16500</v>
      </c>
      <c r="E545" s="2">
        <f ca="1">IFERROR(__xludf.DUMMYFUNCTION("""COMPUTED_VALUE"""),16550)</f>
        <v>16550</v>
      </c>
      <c r="F545" s="2">
        <f ca="1">IFERROR(__xludf.DUMMYFUNCTION("""COMPUTED_VALUE"""),14904800)</f>
        <v>14904800</v>
      </c>
    </row>
    <row r="546" spans="1:6">
      <c r="A546" s="5">
        <f ca="1">IFERROR(__xludf.DUMMYFUNCTION("""COMPUTED_VALUE"""),42823.625)</f>
        <v>42823.625</v>
      </c>
      <c r="B546" s="2">
        <f ca="1">IFERROR(__xludf.DUMMYFUNCTION("""COMPUTED_VALUE"""),16675)</f>
        <v>16675</v>
      </c>
      <c r="C546" s="2">
        <f ca="1">IFERROR(__xludf.DUMMYFUNCTION("""COMPUTED_VALUE"""),16825)</f>
        <v>16825</v>
      </c>
      <c r="D546" s="2">
        <f ca="1">IFERROR(__xludf.DUMMYFUNCTION("""COMPUTED_VALUE"""),16625)</f>
        <v>16625</v>
      </c>
      <c r="E546" s="2">
        <f ca="1">IFERROR(__xludf.DUMMYFUNCTION("""COMPUTED_VALUE"""),16700)</f>
        <v>16700</v>
      </c>
      <c r="F546" s="2">
        <f ca="1">IFERROR(__xludf.DUMMYFUNCTION("""COMPUTED_VALUE"""),22529100)</f>
        <v>22529100</v>
      </c>
    </row>
    <row r="547" spans="1:6">
      <c r="A547" s="5">
        <f ca="1">IFERROR(__xludf.DUMMYFUNCTION("""COMPUTED_VALUE"""),42824.625)</f>
        <v>42824.625</v>
      </c>
      <c r="B547" s="2">
        <f ca="1">IFERROR(__xludf.DUMMYFUNCTION("""COMPUTED_VALUE"""),16700)</f>
        <v>16700</v>
      </c>
      <c r="C547" s="2">
        <f ca="1">IFERROR(__xludf.DUMMYFUNCTION("""COMPUTED_VALUE"""),16875)</f>
        <v>16875</v>
      </c>
      <c r="D547" s="2">
        <f ca="1">IFERROR(__xludf.DUMMYFUNCTION("""COMPUTED_VALUE"""),16700)</f>
        <v>16700</v>
      </c>
      <c r="E547" s="2">
        <f ca="1">IFERROR(__xludf.DUMMYFUNCTION("""COMPUTED_VALUE"""),16825)</f>
        <v>16825</v>
      </c>
      <c r="F547" s="2">
        <f ca="1">IFERROR(__xludf.DUMMYFUNCTION("""COMPUTED_VALUE"""),19297600)</f>
        <v>19297600</v>
      </c>
    </row>
    <row r="548" spans="1:6">
      <c r="A548" s="5">
        <f ca="1">IFERROR(__xludf.DUMMYFUNCTION("""COMPUTED_VALUE"""),42825.625)</f>
        <v>42825.625</v>
      </c>
      <c r="B548" s="2">
        <f ca="1">IFERROR(__xludf.DUMMYFUNCTION("""COMPUTED_VALUE"""),16825)</f>
        <v>16825</v>
      </c>
      <c r="C548" s="2">
        <f ca="1">IFERROR(__xludf.DUMMYFUNCTION("""COMPUTED_VALUE"""),17000)</f>
        <v>17000</v>
      </c>
      <c r="D548" s="2">
        <f ca="1">IFERROR(__xludf.DUMMYFUNCTION("""COMPUTED_VALUE"""),16550)</f>
        <v>16550</v>
      </c>
      <c r="E548" s="2">
        <f ca="1">IFERROR(__xludf.DUMMYFUNCTION("""COMPUTED_VALUE"""),16550)</f>
        <v>16550</v>
      </c>
      <c r="F548" s="2">
        <f ca="1">IFERROR(__xludf.DUMMYFUNCTION("""COMPUTED_VALUE"""),16328500)</f>
        <v>16328500</v>
      </c>
    </row>
    <row r="549" spans="1:6">
      <c r="A549" s="5">
        <f ca="1">IFERROR(__xludf.DUMMYFUNCTION("""COMPUTED_VALUE"""),42828.625)</f>
        <v>42828.625</v>
      </c>
      <c r="B549" s="2">
        <f ca="1">IFERROR(__xludf.DUMMYFUNCTION("""COMPUTED_VALUE"""),16575)</f>
        <v>16575</v>
      </c>
      <c r="C549" s="2">
        <f ca="1">IFERROR(__xludf.DUMMYFUNCTION("""COMPUTED_VALUE"""),16950)</f>
        <v>16950</v>
      </c>
      <c r="D549" s="2">
        <f ca="1">IFERROR(__xludf.DUMMYFUNCTION("""COMPUTED_VALUE"""),16575)</f>
        <v>16575</v>
      </c>
      <c r="E549" s="2">
        <f ca="1">IFERROR(__xludf.DUMMYFUNCTION("""COMPUTED_VALUE"""),16575)</f>
        <v>16575</v>
      </c>
      <c r="F549" s="2">
        <f ca="1">IFERROR(__xludf.DUMMYFUNCTION("""COMPUTED_VALUE"""),37377800)</f>
        <v>37377800</v>
      </c>
    </row>
    <row r="550" spans="1:6">
      <c r="A550" s="5">
        <f ca="1">IFERROR(__xludf.DUMMYFUNCTION("""COMPUTED_VALUE"""),42829.625)</f>
        <v>42829.625</v>
      </c>
      <c r="B550" s="2">
        <f ca="1">IFERROR(__xludf.DUMMYFUNCTION("""COMPUTED_VALUE"""),16750)</f>
        <v>16750</v>
      </c>
      <c r="C550" s="2">
        <f ca="1">IFERROR(__xludf.DUMMYFUNCTION("""COMPUTED_VALUE"""),16900)</f>
        <v>16900</v>
      </c>
      <c r="D550" s="2">
        <f ca="1">IFERROR(__xludf.DUMMYFUNCTION("""COMPUTED_VALUE"""),16650)</f>
        <v>16650</v>
      </c>
      <c r="E550" s="2">
        <f ca="1">IFERROR(__xludf.DUMMYFUNCTION("""COMPUTED_VALUE"""),16750)</f>
        <v>16750</v>
      </c>
      <c r="F550" s="2">
        <f ca="1">IFERROR(__xludf.DUMMYFUNCTION("""COMPUTED_VALUE"""),14819300)</f>
        <v>14819300</v>
      </c>
    </row>
    <row r="551" spans="1:6">
      <c r="A551" s="5">
        <f ca="1">IFERROR(__xludf.DUMMYFUNCTION("""COMPUTED_VALUE"""),42830.625)</f>
        <v>42830.625</v>
      </c>
      <c r="B551" s="2">
        <f ca="1">IFERROR(__xludf.DUMMYFUNCTION("""COMPUTED_VALUE"""),16850)</f>
        <v>16850</v>
      </c>
      <c r="C551" s="2">
        <f ca="1">IFERROR(__xludf.DUMMYFUNCTION("""COMPUTED_VALUE"""),17275)</f>
        <v>17275</v>
      </c>
      <c r="D551" s="2">
        <f ca="1">IFERROR(__xludf.DUMMYFUNCTION("""COMPUTED_VALUE"""),16825)</f>
        <v>16825</v>
      </c>
      <c r="E551" s="2">
        <f ca="1">IFERROR(__xludf.DUMMYFUNCTION("""COMPUTED_VALUE"""),17025)</f>
        <v>17025</v>
      </c>
      <c r="F551" s="2">
        <f ca="1">IFERROR(__xludf.DUMMYFUNCTION("""COMPUTED_VALUE"""),48823900)</f>
        <v>48823900</v>
      </c>
    </row>
    <row r="552" spans="1:6">
      <c r="A552" s="5">
        <f ca="1">IFERROR(__xludf.DUMMYFUNCTION("""COMPUTED_VALUE"""),42831.625)</f>
        <v>42831.625</v>
      </c>
      <c r="B552" s="2">
        <f ca="1">IFERROR(__xludf.DUMMYFUNCTION("""COMPUTED_VALUE"""),17200)</f>
        <v>17200</v>
      </c>
      <c r="C552" s="2">
        <f ca="1">IFERROR(__xludf.DUMMYFUNCTION("""COMPUTED_VALUE"""),17375)</f>
        <v>17375</v>
      </c>
      <c r="D552" s="2">
        <f ca="1">IFERROR(__xludf.DUMMYFUNCTION("""COMPUTED_VALUE"""),17200)</f>
        <v>17200</v>
      </c>
      <c r="E552" s="2">
        <f ca="1">IFERROR(__xludf.DUMMYFUNCTION("""COMPUTED_VALUE"""),17325)</f>
        <v>17325</v>
      </c>
      <c r="F552" s="2">
        <f ca="1">IFERROR(__xludf.DUMMYFUNCTION("""COMPUTED_VALUE"""),23406900)</f>
        <v>23406900</v>
      </c>
    </row>
    <row r="553" spans="1:6">
      <c r="A553" s="5">
        <f ca="1">IFERROR(__xludf.DUMMYFUNCTION("""COMPUTED_VALUE"""),42832.625)</f>
        <v>42832.625</v>
      </c>
      <c r="B553" s="2">
        <f ca="1">IFERROR(__xludf.DUMMYFUNCTION("""COMPUTED_VALUE"""),17475)</f>
        <v>17475</v>
      </c>
      <c r="C553" s="2">
        <f ca="1">IFERROR(__xludf.DUMMYFUNCTION("""COMPUTED_VALUE"""),17475)</f>
        <v>17475</v>
      </c>
      <c r="D553" s="2">
        <f ca="1">IFERROR(__xludf.DUMMYFUNCTION("""COMPUTED_VALUE"""),17200)</f>
        <v>17200</v>
      </c>
      <c r="E553" s="2">
        <f ca="1">IFERROR(__xludf.DUMMYFUNCTION("""COMPUTED_VALUE"""),17350)</f>
        <v>17350</v>
      </c>
      <c r="F553" s="2">
        <f ca="1">IFERROR(__xludf.DUMMYFUNCTION("""COMPUTED_VALUE"""),26667400)</f>
        <v>26667400</v>
      </c>
    </row>
    <row r="554" spans="1:6">
      <c r="A554" s="5">
        <f ca="1">IFERROR(__xludf.DUMMYFUNCTION("""COMPUTED_VALUE"""),42835.625)</f>
        <v>42835.625</v>
      </c>
      <c r="B554" s="2">
        <f ca="1">IFERROR(__xludf.DUMMYFUNCTION("""COMPUTED_VALUE"""),17625)</f>
        <v>17625</v>
      </c>
      <c r="C554" s="2">
        <f ca="1">IFERROR(__xludf.DUMMYFUNCTION("""COMPUTED_VALUE"""),17750)</f>
        <v>17750</v>
      </c>
      <c r="D554" s="2">
        <f ca="1">IFERROR(__xludf.DUMMYFUNCTION("""COMPUTED_VALUE"""),17250)</f>
        <v>17250</v>
      </c>
      <c r="E554" s="2">
        <f ca="1">IFERROR(__xludf.DUMMYFUNCTION("""COMPUTED_VALUE"""),17350)</f>
        <v>17350</v>
      </c>
      <c r="F554" s="2">
        <f ca="1">IFERROR(__xludf.DUMMYFUNCTION("""COMPUTED_VALUE"""),15961100)</f>
        <v>15961100</v>
      </c>
    </row>
    <row r="555" spans="1:6">
      <c r="A555" s="5">
        <f ca="1">IFERROR(__xludf.DUMMYFUNCTION("""COMPUTED_VALUE"""),42836.625)</f>
        <v>42836.625</v>
      </c>
      <c r="B555" s="2">
        <f ca="1">IFERROR(__xludf.DUMMYFUNCTION("""COMPUTED_VALUE"""),17500)</f>
        <v>17500</v>
      </c>
      <c r="C555" s="2">
        <f ca="1">IFERROR(__xludf.DUMMYFUNCTION("""COMPUTED_VALUE"""),17600)</f>
        <v>17600</v>
      </c>
      <c r="D555" s="2">
        <f ca="1">IFERROR(__xludf.DUMMYFUNCTION("""COMPUTED_VALUE"""),17250)</f>
        <v>17250</v>
      </c>
      <c r="E555" s="2">
        <f ca="1">IFERROR(__xludf.DUMMYFUNCTION("""COMPUTED_VALUE"""),17450)</f>
        <v>17450</v>
      </c>
      <c r="F555" s="2">
        <f ca="1">IFERROR(__xludf.DUMMYFUNCTION("""COMPUTED_VALUE"""),17740400)</f>
        <v>17740400</v>
      </c>
    </row>
    <row r="556" spans="1:6">
      <c r="A556" s="5">
        <f ca="1">IFERROR(__xludf.DUMMYFUNCTION("""COMPUTED_VALUE"""),42837.625)</f>
        <v>42837.625</v>
      </c>
      <c r="B556" s="2">
        <f ca="1">IFERROR(__xludf.DUMMYFUNCTION("""COMPUTED_VALUE"""),17450)</f>
        <v>17450</v>
      </c>
      <c r="C556" s="2">
        <f ca="1">IFERROR(__xludf.DUMMYFUNCTION("""COMPUTED_VALUE"""),17700)</f>
        <v>17700</v>
      </c>
      <c r="D556" s="2">
        <f ca="1">IFERROR(__xludf.DUMMYFUNCTION("""COMPUTED_VALUE"""),17425)</f>
        <v>17425</v>
      </c>
      <c r="E556" s="2">
        <f ca="1">IFERROR(__xludf.DUMMYFUNCTION("""COMPUTED_VALUE"""),17650)</f>
        <v>17650</v>
      </c>
      <c r="F556" s="2">
        <f ca="1">IFERROR(__xludf.DUMMYFUNCTION("""COMPUTED_VALUE"""),11365100)</f>
        <v>11365100</v>
      </c>
    </row>
    <row r="557" spans="1:6">
      <c r="A557" s="5">
        <f ca="1">IFERROR(__xludf.DUMMYFUNCTION("""COMPUTED_VALUE"""),42838.625)</f>
        <v>42838.625</v>
      </c>
      <c r="B557" s="2">
        <f ca="1">IFERROR(__xludf.DUMMYFUNCTION("""COMPUTED_VALUE"""),17700)</f>
        <v>17700</v>
      </c>
      <c r="C557" s="2">
        <f ca="1">IFERROR(__xludf.DUMMYFUNCTION("""COMPUTED_VALUE"""),17700)</f>
        <v>17700</v>
      </c>
      <c r="D557" s="2">
        <f ca="1">IFERROR(__xludf.DUMMYFUNCTION("""COMPUTED_VALUE"""),17200)</f>
        <v>17200</v>
      </c>
      <c r="E557" s="2">
        <f ca="1">IFERROR(__xludf.DUMMYFUNCTION("""COMPUTED_VALUE"""),17350)</f>
        <v>17350</v>
      </c>
      <c r="F557" s="2">
        <f ca="1">IFERROR(__xludf.DUMMYFUNCTION("""COMPUTED_VALUE"""),10557200)</f>
        <v>10557200</v>
      </c>
    </row>
    <row r="558" spans="1:6">
      <c r="A558" s="5">
        <f ca="1">IFERROR(__xludf.DUMMYFUNCTION("""COMPUTED_VALUE"""),42842.625)</f>
        <v>42842.625</v>
      </c>
      <c r="B558" s="2">
        <f ca="1">IFERROR(__xludf.DUMMYFUNCTION("""COMPUTED_VALUE"""),17350)</f>
        <v>17350</v>
      </c>
      <c r="C558" s="2">
        <f ca="1">IFERROR(__xludf.DUMMYFUNCTION("""COMPUTED_VALUE"""),17350)</f>
        <v>17350</v>
      </c>
      <c r="D558" s="2">
        <f ca="1">IFERROR(__xludf.DUMMYFUNCTION("""COMPUTED_VALUE"""),16700)</f>
        <v>16700</v>
      </c>
      <c r="E558" s="2">
        <f ca="1">IFERROR(__xludf.DUMMYFUNCTION("""COMPUTED_VALUE"""),16925)</f>
        <v>16925</v>
      </c>
      <c r="F558" s="2">
        <f ca="1">IFERROR(__xludf.DUMMYFUNCTION("""COMPUTED_VALUE"""),18796800)</f>
        <v>18796800</v>
      </c>
    </row>
    <row r="559" spans="1:6">
      <c r="A559" s="5">
        <f ca="1">IFERROR(__xludf.DUMMYFUNCTION("""COMPUTED_VALUE"""),42843.625)</f>
        <v>42843.625</v>
      </c>
      <c r="B559" s="2">
        <f ca="1">IFERROR(__xludf.DUMMYFUNCTION("""COMPUTED_VALUE"""),16975)</f>
        <v>16975</v>
      </c>
      <c r="C559" s="2">
        <f ca="1">IFERROR(__xludf.DUMMYFUNCTION("""COMPUTED_VALUE"""),17050)</f>
        <v>17050</v>
      </c>
      <c r="D559" s="2">
        <f ca="1">IFERROR(__xludf.DUMMYFUNCTION("""COMPUTED_VALUE"""),16850)</f>
        <v>16850</v>
      </c>
      <c r="E559" s="2">
        <f ca="1">IFERROR(__xludf.DUMMYFUNCTION("""COMPUTED_VALUE"""),16925)</f>
        <v>16925</v>
      </c>
      <c r="F559" s="2">
        <f ca="1">IFERROR(__xludf.DUMMYFUNCTION("""COMPUTED_VALUE"""),20443900)</f>
        <v>20443900</v>
      </c>
    </row>
    <row r="560" spans="1:6">
      <c r="A560" s="5">
        <f ca="1">IFERROR(__xludf.DUMMYFUNCTION("""COMPUTED_VALUE"""),42845.625)</f>
        <v>42845.625</v>
      </c>
      <c r="B560" s="2">
        <f ca="1">IFERROR(__xludf.DUMMYFUNCTION("""COMPUTED_VALUE"""),17200)</f>
        <v>17200</v>
      </c>
      <c r="C560" s="2">
        <f ca="1">IFERROR(__xludf.DUMMYFUNCTION("""COMPUTED_VALUE"""),17650)</f>
        <v>17650</v>
      </c>
      <c r="D560" s="2">
        <f ca="1">IFERROR(__xludf.DUMMYFUNCTION("""COMPUTED_VALUE"""),17125)</f>
        <v>17125</v>
      </c>
      <c r="E560" s="2">
        <f ca="1">IFERROR(__xludf.DUMMYFUNCTION("""COMPUTED_VALUE"""),17325)</f>
        <v>17325</v>
      </c>
      <c r="F560" s="2">
        <f ca="1">IFERROR(__xludf.DUMMYFUNCTION("""COMPUTED_VALUE"""),29369300)</f>
        <v>29369300</v>
      </c>
    </row>
    <row r="561" spans="1:6">
      <c r="A561" s="5">
        <f ca="1">IFERROR(__xludf.DUMMYFUNCTION("""COMPUTED_VALUE"""),42846.625)</f>
        <v>42846.625</v>
      </c>
      <c r="B561" s="2">
        <f ca="1">IFERROR(__xludf.DUMMYFUNCTION("""COMPUTED_VALUE"""),17075)</f>
        <v>17075</v>
      </c>
      <c r="C561" s="2">
        <f ca="1">IFERROR(__xludf.DUMMYFUNCTION("""COMPUTED_VALUE"""),17500)</f>
        <v>17500</v>
      </c>
      <c r="D561" s="2">
        <f ca="1">IFERROR(__xludf.DUMMYFUNCTION("""COMPUTED_VALUE"""),17025)</f>
        <v>17025</v>
      </c>
      <c r="E561" s="2">
        <f ca="1">IFERROR(__xludf.DUMMYFUNCTION("""COMPUTED_VALUE"""),17475)</f>
        <v>17475</v>
      </c>
      <c r="F561" s="2">
        <f ca="1">IFERROR(__xludf.DUMMYFUNCTION("""COMPUTED_VALUE"""),17331100)</f>
        <v>17331100</v>
      </c>
    </row>
    <row r="562" spans="1:6">
      <c r="A562" s="5">
        <f ca="1">IFERROR(__xludf.DUMMYFUNCTION("""COMPUTED_VALUE"""),42850.625)</f>
        <v>42850.625</v>
      </c>
      <c r="B562" s="2">
        <f ca="1">IFERROR(__xludf.DUMMYFUNCTION("""COMPUTED_VALUE"""),17650)</f>
        <v>17650</v>
      </c>
      <c r="C562" s="2">
        <f ca="1">IFERROR(__xludf.DUMMYFUNCTION("""COMPUTED_VALUE"""),17650)</f>
        <v>17650</v>
      </c>
      <c r="D562" s="2">
        <f ca="1">IFERROR(__xludf.DUMMYFUNCTION("""COMPUTED_VALUE"""),17300)</f>
        <v>17300</v>
      </c>
      <c r="E562" s="2">
        <f ca="1">IFERROR(__xludf.DUMMYFUNCTION("""COMPUTED_VALUE"""),17400)</f>
        <v>17400</v>
      </c>
      <c r="F562" s="2">
        <f ca="1">IFERROR(__xludf.DUMMYFUNCTION("""COMPUTED_VALUE"""),22236100)</f>
        <v>22236100</v>
      </c>
    </row>
    <row r="563" spans="1:6">
      <c r="A563" s="5">
        <f ca="1">IFERROR(__xludf.DUMMYFUNCTION("""COMPUTED_VALUE"""),42851.625)</f>
        <v>42851.625</v>
      </c>
      <c r="B563" s="2">
        <f ca="1">IFERROR(__xludf.DUMMYFUNCTION("""COMPUTED_VALUE"""),17650)</f>
        <v>17650</v>
      </c>
      <c r="C563" s="2">
        <f ca="1">IFERROR(__xludf.DUMMYFUNCTION("""COMPUTED_VALUE"""),18000)</f>
        <v>18000</v>
      </c>
      <c r="D563" s="2">
        <f ca="1">IFERROR(__xludf.DUMMYFUNCTION("""COMPUTED_VALUE"""),17300)</f>
        <v>17300</v>
      </c>
      <c r="E563" s="2">
        <f ca="1">IFERROR(__xludf.DUMMYFUNCTION("""COMPUTED_VALUE"""),18000)</f>
        <v>18000</v>
      </c>
      <c r="F563" s="2">
        <f ca="1">IFERROR(__xludf.DUMMYFUNCTION("""COMPUTED_VALUE"""),16433200)</f>
        <v>16433200</v>
      </c>
    </row>
    <row r="564" spans="1:6">
      <c r="A564" s="5">
        <f ca="1">IFERROR(__xludf.DUMMYFUNCTION("""COMPUTED_VALUE"""),42852.625)</f>
        <v>42852.625</v>
      </c>
      <c r="B564" s="2">
        <f ca="1">IFERROR(__xludf.DUMMYFUNCTION("""COMPUTED_VALUE"""),17400)</f>
        <v>17400</v>
      </c>
      <c r="C564" s="2">
        <f ca="1">IFERROR(__xludf.DUMMYFUNCTION("""COMPUTED_VALUE"""),17625)</f>
        <v>17625</v>
      </c>
      <c r="D564" s="2">
        <f ca="1">IFERROR(__xludf.DUMMYFUNCTION("""COMPUTED_VALUE"""),17400)</f>
        <v>17400</v>
      </c>
      <c r="E564" s="2">
        <f ca="1">IFERROR(__xludf.DUMMYFUNCTION("""COMPUTED_VALUE"""),17525)</f>
        <v>17525</v>
      </c>
      <c r="F564" s="2">
        <f ca="1">IFERROR(__xludf.DUMMYFUNCTION("""COMPUTED_VALUE"""),13663300)</f>
        <v>13663300</v>
      </c>
    </row>
    <row r="565" spans="1:6">
      <c r="A565" s="5">
        <f ca="1">IFERROR(__xludf.DUMMYFUNCTION("""COMPUTED_VALUE"""),42853.625)</f>
        <v>42853.625</v>
      </c>
      <c r="B565" s="2">
        <f ca="1">IFERROR(__xludf.DUMMYFUNCTION("""COMPUTED_VALUE"""),17525)</f>
        <v>17525</v>
      </c>
      <c r="C565" s="2">
        <f ca="1">IFERROR(__xludf.DUMMYFUNCTION("""COMPUTED_VALUE"""),17775)</f>
        <v>17775</v>
      </c>
      <c r="D565" s="2">
        <f ca="1">IFERROR(__xludf.DUMMYFUNCTION("""COMPUTED_VALUE"""),17525)</f>
        <v>17525</v>
      </c>
      <c r="E565" s="2">
        <f ca="1">IFERROR(__xludf.DUMMYFUNCTION("""COMPUTED_VALUE"""),17750)</f>
        <v>17750</v>
      </c>
      <c r="F565" s="2">
        <f ca="1">IFERROR(__xludf.DUMMYFUNCTION("""COMPUTED_VALUE"""),13794200)</f>
        <v>13794200</v>
      </c>
    </row>
    <row r="566" spans="1:6">
      <c r="A566" s="5">
        <f ca="1">IFERROR(__xludf.DUMMYFUNCTION("""COMPUTED_VALUE"""),42857.625)</f>
        <v>42857.625</v>
      </c>
      <c r="B566" s="2">
        <f ca="1">IFERROR(__xludf.DUMMYFUNCTION("""COMPUTED_VALUE"""),17750)</f>
        <v>17750</v>
      </c>
      <c r="C566" s="2">
        <f ca="1">IFERROR(__xludf.DUMMYFUNCTION("""COMPUTED_VALUE"""),17950)</f>
        <v>17950</v>
      </c>
      <c r="D566" s="2">
        <f ca="1">IFERROR(__xludf.DUMMYFUNCTION("""COMPUTED_VALUE"""),17750)</f>
        <v>17750</v>
      </c>
      <c r="E566" s="2">
        <f ca="1">IFERROR(__xludf.DUMMYFUNCTION("""COMPUTED_VALUE"""),17900)</f>
        <v>17900</v>
      </c>
      <c r="F566" s="2">
        <f ca="1">IFERROR(__xludf.DUMMYFUNCTION("""COMPUTED_VALUE"""),27694600)</f>
        <v>27694600</v>
      </c>
    </row>
    <row r="567" spans="1:6">
      <c r="A567" s="5">
        <f ca="1">IFERROR(__xludf.DUMMYFUNCTION("""COMPUTED_VALUE"""),42858.625)</f>
        <v>42858.625</v>
      </c>
      <c r="B567" s="2">
        <f ca="1">IFERROR(__xludf.DUMMYFUNCTION("""COMPUTED_VALUE"""),17800)</f>
        <v>17800</v>
      </c>
      <c r="C567" s="2">
        <f ca="1">IFERROR(__xludf.DUMMYFUNCTION("""COMPUTED_VALUE"""),17850)</f>
        <v>17850</v>
      </c>
      <c r="D567" s="2">
        <f ca="1">IFERROR(__xludf.DUMMYFUNCTION("""COMPUTED_VALUE"""),17750)</f>
        <v>17750</v>
      </c>
      <c r="E567" s="2">
        <f ca="1">IFERROR(__xludf.DUMMYFUNCTION("""COMPUTED_VALUE"""),17750)</f>
        <v>17750</v>
      </c>
      <c r="F567" s="2">
        <f ca="1">IFERROR(__xludf.DUMMYFUNCTION("""COMPUTED_VALUE"""),8704300)</f>
        <v>8704300</v>
      </c>
    </row>
    <row r="568" spans="1:6">
      <c r="A568" s="5">
        <f ca="1">IFERROR(__xludf.DUMMYFUNCTION("""COMPUTED_VALUE"""),42859.625)</f>
        <v>42859.625</v>
      </c>
      <c r="B568" s="2">
        <f ca="1">IFERROR(__xludf.DUMMYFUNCTION("""COMPUTED_VALUE"""),17800)</f>
        <v>17800</v>
      </c>
      <c r="C568" s="2">
        <f ca="1">IFERROR(__xludf.DUMMYFUNCTION("""COMPUTED_VALUE"""),18000)</f>
        <v>18000</v>
      </c>
      <c r="D568" s="2">
        <f ca="1">IFERROR(__xludf.DUMMYFUNCTION("""COMPUTED_VALUE"""),17775)</f>
        <v>17775</v>
      </c>
      <c r="E568" s="2">
        <f ca="1">IFERROR(__xludf.DUMMYFUNCTION("""COMPUTED_VALUE"""),17825)</f>
        <v>17825</v>
      </c>
      <c r="F568" s="2">
        <f ca="1">IFERROR(__xludf.DUMMYFUNCTION("""COMPUTED_VALUE"""),24610100)</f>
        <v>24610100</v>
      </c>
    </row>
    <row r="569" spans="1:6">
      <c r="A569" s="5">
        <f ca="1">IFERROR(__xludf.DUMMYFUNCTION("""COMPUTED_VALUE"""),42860.625)</f>
        <v>42860.625</v>
      </c>
      <c r="B569" s="2">
        <f ca="1">IFERROR(__xludf.DUMMYFUNCTION("""COMPUTED_VALUE"""),17750)</f>
        <v>17750</v>
      </c>
      <c r="C569" s="2">
        <f ca="1">IFERROR(__xludf.DUMMYFUNCTION("""COMPUTED_VALUE"""),17825)</f>
        <v>17825</v>
      </c>
      <c r="D569" s="2">
        <f ca="1">IFERROR(__xludf.DUMMYFUNCTION("""COMPUTED_VALUE"""),17575)</f>
        <v>17575</v>
      </c>
      <c r="E569" s="2">
        <f ca="1">IFERROR(__xludf.DUMMYFUNCTION("""COMPUTED_VALUE"""),17775)</f>
        <v>17775</v>
      </c>
      <c r="F569" s="2">
        <f ca="1">IFERROR(__xludf.DUMMYFUNCTION("""COMPUTED_VALUE"""),6716700)</f>
        <v>6716700</v>
      </c>
    </row>
    <row r="570" spans="1:6">
      <c r="A570" s="5">
        <f ca="1">IFERROR(__xludf.DUMMYFUNCTION("""COMPUTED_VALUE"""),42863.625)</f>
        <v>42863.625</v>
      </c>
      <c r="B570" s="2">
        <f ca="1">IFERROR(__xludf.DUMMYFUNCTION("""COMPUTED_VALUE"""),17875)</f>
        <v>17875</v>
      </c>
      <c r="C570" s="2">
        <f ca="1">IFERROR(__xludf.DUMMYFUNCTION("""COMPUTED_VALUE"""),18150)</f>
        <v>18150</v>
      </c>
      <c r="D570" s="2">
        <f ca="1">IFERROR(__xludf.DUMMYFUNCTION("""COMPUTED_VALUE"""),17825)</f>
        <v>17825</v>
      </c>
      <c r="E570" s="2">
        <f ca="1">IFERROR(__xludf.DUMMYFUNCTION("""COMPUTED_VALUE"""),17950)</f>
        <v>17950</v>
      </c>
      <c r="F570" s="2">
        <f ca="1">IFERROR(__xludf.DUMMYFUNCTION("""COMPUTED_VALUE"""),12808500)</f>
        <v>12808500</v>
      </c>
    </row>
    <row r="571" spans="1:6">
      <c r="A571" s="5">
        <f ca="1">IFERROR(__xludf.DUMMYFUNCTION("""COMPUTED_VALUE"""),42864.625)</f>
        <v>42864.625</v>
      </c>
      <c r="B571" s="2">
        <f ca="1">IFERROR(__xludf.DUMMYFUNCTION("""COMPUTED_VALUE"""),18300)</f>
        <v>18300</v>
      </c>
      <c r="C571" s="2">
        <f ca="1">IFERROR(__xludf.DUMMYFUNCTION("""COMPUTED_VALUE"""),18350)</f>
        <v>18350</v>
      </c>
      <c r="D571" s="2">
        <f ca="1">IFERROR(__xludf.DUMMYFUNCTION("""COMPUTED_VALUE"""),17850)</f>
        <v>17850</v>
      </c>
      <c r="E571" s="2">
        <f ca="1">IFERROR(__xludf.DUMMYFUNCTION("""COMPUTED_VALUE"""),18000)</f>
        <v>18000</v>
      </c>
      <c r="F571" s="2">
        <f ca="1">IFERROR(__xludf.DUMMYFUNCTION("""COMPUTED_VALUE"""),10029700)</f>
        <v>10029700</v>
      </c>
    </row>
    <row r="572" spans="1:6">
      <c r="A572" s="5">
        <f ca="1">IFERROR(__xludf.DUMMYFUNCTION("""COMPUTED_VALUE"""),42865.625)</f>
        <v>42865.625</v>
      </c>
      <c r="B572" s="2">
        <f ca="1">IFERROR(__xludf.DUMMYFUNCTION("""COMPUTED_VALUE"""),17750)</f>
        <v>17750</v>
      </c>
      <c r="C572" s="2">
        <f ca="1">IFERROR(__xludf.DUMMYFUNCTION("""COMPUTED_VALUE"""),18075)</f>
        <v>18075</v>
      </c>
      <c r="D572" s="2">
        <f ca="1">IFERROR(__xludf.DUMMYFUNCTION("""COMPUTED_VALUE"""),17750)</f>
        <v>17750</v>
      </c>
      <c r="E572" s="2">
        <f ca="1">IFERROR(__xludf.DUMMYFUNCTION("""COMPUTED_VALUE"""),17925)</f>
        <v>17925</v>
      </c>
      <c r="F572" s="2">
        <f ca="1">IFERROR(__xludf.DUMMYFUNCTION("""COMPUTED_VALUE"""),15784400)</f>
        <v>15784400</v>
      </c>
    </row>
    <row r="573" spans="1:6">
      <c r="A573" s="5">
        <f ca="1">IFERROR(__xludf.DUMMYFUNCTION("""COMPUTED_VALUE"""),42867.625)</f>
        <v>42867.625</v>
      </c>
      <c r="B573" s="2">
        <f ca="1">IFERROR(__xludf.DUMMYFUNCTION("""COMPUTED_VALUE"""),18525)</f>
        <v>18525</v>
      </c>
      <c r="C573" s="2">
        <f ca="1">IFERROR(__xludf.DUMMYFUNCTION("""COMPUTED_VALUE"""),18550)</f>
        <v>18550</v>
      </c>
      <c r="D573" s="2">
        <f ca="1">IFERROR(__xludf.DUMMYFUNCTION("""COMPUTED_VALUE"""),17850)</f>
        <v>17850</v>
      </c>
      <c r="E573" s="2">
        <f ca="1">IFERROR(__xludf.DUMMYFUNCTION("""COMPUTED_VALUE"""),18000)</f>
        <v>18000</v>
      </c>
      <c r="F573" s="2">
        <f ca="1">IFERROR(__xludf.DUMMYFUNCTION("""COMPUTED_VALUE"""),28399300)</f>
        <v>28399300</v>
      </c>
    </row>
    <row r="574" spans="1:6">
      <c r="A574" s="5">
        <f ca="1">IFERROR(__xludf.DUMMYFUNCTION("""COMPUTED_VALUE"""),42870.625)</f>
        <v>42870.625</v>
      </c>
      <c r="B574" s="2">
        <f ca="1">IFERROR(__xludf.DUMMYFUNCTION("""COMPUTED_VALUE"""),18000)</f>
        <v>18000</v>
      </c>
      <c r="C574" s="2">
        <f ca="1">IFERROR(__xludf.DUMMYFUNCTION("""COMPUTED_VALUE"""),18250)</f>
        <v>18250</v>
      </c>
      <c r="D574" s="2">
        <f ca="1">IFERROR(__xludf.DUMMYFUNCTION("""COMPUTED_VALUE"""),18000)</f>
        <v>18000</v>
      </c>
      <c r="E574" s="2">
        <f ca="1">IFERROR(__xludf.DUMMYFUNCTION("""COMPUTED_VALUE"""),18250)</f>
        <v>18250</v>
      </c>
      <c r="F574" s="2">
        <f ca="1">IFERROR(__xludf.DUMMYFUNCTION("""COMPUTED_VALUE"""),8258100)</f>
        <v>8258100</v>
      </c>
    </row>
    <row r="575" spans="1:6">
      <c r="A575" s="5">
        <f ca="1">IFERROR(__xludf.DUMMYFUNCTION("""COMPUTED_VALUE"""),42871.625)</f>
        <v>42871.625</v>
      </c>
      <c r="B575" s="2">
        <f ca="1">IFERROR(__xludf.DUMMYFUNCTION("""COMPUTED_VALUE"""),17900)</f>
        <v>17900</v>
      </c>
      <c r="C575" s="2">
        <f ca="1">IFERROR(__xludf.DUMMYFUNCTION("""COMPUTED_VALUE"""),17950)</f>
        <v>17950</v>
      </c>
      <c r="D575" s="2">
        <f ca="1">IFERROR(__xludf.DUMMYFUNCTION("""COMPUTED_VALUE"""),17225)</f>
        <v>17225</v>
      </c>
      <c r="E575" s="2">
        <f ca="1">IFERROR(__xludf.DUMMYFUNCTION("""COMPUTED_VALUE"""),17400)</f>
        <v>17400</v>
      </c>
      <c r="F575" s="2">
        <f ca="1">IFERROR(__xludf.DUMMYFUNCTION("""COMPUTED_VALUE"""),47554900)</f>
        <v>47554900</v>
      </c>
    </row>
    <row r="576" spans="1:6">
      <c r="A576" s="5">
        <f ca="1">IFERROR(__xludf.DUMMYFUNCTION("""COMPUTED_VALUE"""),42872.625)</f>
        <v>42872.625</v>
      </c>
      <c r="B576" s="2">
        <f ca="1">IFERROR(__xludf.DUMMYFUNCTION("""COMPUTED_VALUE"""),17400)</f>
        <v>17400</v>
      </c>
      <c r="C576" s="2">
        <f ca="1">IFERROR(__xludf.DUMMYFUNCTION("""COMPUTED_VALUE"""),17425)</f>
        <v>17425</v>
      </c>
      <c r="D576" s="2">
        <f ca="1">IFERROR(__xludf.DUMMYFUNCTION("""COMPUTED_VALUE"""),16925)</f>
        <v>16925</v>
      </c>
      <c r="E576" s="2">
        <f ca="1">IFERROR(__xludf.DUMMYFUNCTION("""COMPUTED_VALUE"""),16950)</f>
        <v>16950</v>
      </c>
      <c r="F576" s="2">
        <f ca="1">IFERROR(__xludf.DUMMYFUNCTION("""COMPUTED_VALUE"""),33357200)</f>
        <v>33357200</v>
      </c>
    </row>
    <row r="577" spans="1:6">
      <c r="A577" s="5">
        <f ca="1">IFERROR(__xludf.DUMMYFUNCTION("""COMPUTED_VALUE"""),42873.625)</f>
        <v>42873.625</v>
      </c>
      <c r="B577" s="2">
        <f ca="1">IFERROR(__xludf.DUMMYFUNCTION("""COMPUTED_VALUE"""),16800)</f>
        <v>16800</v>
      </c>
      <c r="C577" s="2">
        <f ca="1">IFERROR(__xludf.DUMMYFUNCTION("""COMPUTED_VALUE"""),17450)</f>
        <v>17450</v>
      </c>
      <c r="D577" s="2">
        <f ca="1">IFERROR(__xludf.DUMMYFUNCTION("""COMPUTED_VALUE"""),16800)</f>
        <v>16800</v>
      </c>
      <c r="E577" s="2">
        <f ca="1">IFERROR(__xludf.DUMMYFUNCTION("""COMPUTED_VALUE"""),17400)</f>
        <v>17400</v>
      </c>
      <c r="F577" s="2">
        <f ca="1">IFERROR(__xludf.DUMMYFUNCTION("""COMPUTED_VALUE"""),40627300)</f>
        <v>40627300</v>
      </c>
    </row>
    <row r="578" spans="1:6">
      <c r="A578" s="5">
        <f ca="1">IFERROR(__xludf.DUMMYFUNCTION("""COMPUTED_VALUE"""),42874.625)</f>
        <v>42874.625</v>
      </c>
      <c r="B578" s="2">
        <f ca="1">IFERROR(__xludf.DUMMYFUNCTION("""COMPUTED_VALUE"""),17400)</f>
        <v>17400</v>
      </c>
      <c r="C578" s="2">
        <f ca="1">IFERROR(__xludf.DUMMYFUNCTION("""COMPUTED_VALUE"""),18075)</f>
        <v>18075</v>
      </c>
      <c r="D578" s="2">
        <f ca="1">IFERROR(__xludf.DUMMYFUNCTION("""COMPUTED_VALUE"""),17100)</f>
        <v>17100</v>
      </c>
      <c r="E578" s="2">
        <f ca="1">IFERROR(__xludf.DUMMYFUNCTION("""COMPUTED_VALUE"""),17900)</f>
        <v>17900</v>
      </c>
      <c r="F578" s="2">
        <f ca="1">IFERROR(__xludf.DUMMYFUNCTION("""COMPUTED_VALUE"""),36589600)</f>
        <v>36589600</v>
      </c>
    </row>
    <row r="579" spans="1:6">
      <c r="A579" s="5">
        <f ca="1">IFERROR(__xludf.DUMMYFUNCTION("""COMPUTED_VALUE"""),42877.625)</f>
        <v>42877.625</v>
      </c>
      <c r="B579" s="2">
        <f ca="1">IFERROR(__xludf.DUMMYFUNCTION("""COMPUTED_VALUE"""),18150)</f>
        <v>18150</v>
      </c>
      <c r="C579" s="2">
        <f ca="1">IFERROR(__xludf.DUMMYFUNCTION("""COMPUTED_VALUE"""),18250)</f>
        <v>18250</v>
      </c>
      <c r="D579" s="2">
        <f ca="1">IFERROR(__xludf.DUMMYFUNCTION("""COMPUTED_VALUE"""),17425)</f>
        <v>17425</v>
      </c>
      <c r="E579" s="2">
        <f ca="1">IFERROR(__xludf.DUMMYFUNCTION("""COMPUTED_VALUE"""),17650)</f>
        <v>17650</v>
      </c>
      <c r="F579" s="2">
        <f ca="1">IFERROR(__xludf.DUMMYFUNCTION("""COMPUTED_VALUE"""),16350300)</f>
        <v>16350300</v>
      </c>
    </row>
    <row r="580" spans="1:6">
      <c r="A580" s="5">
        <f ca="1">IFERROR(__xludf.DUMMYFUNCTION("""COMPUTED_VALUE"""),42878.625)</f>
        <v>42878.625</v>
      </c>
      <c r="B580" s="2">
        <f ca="1">IFERROR(__xludf.DUMMYFUNCTION("""COMPUTED_VALUE"""),17650)</f>
        <v>17650</v>
      </c>
      <c r="C580" s="2">
        <f ca="1">IFERROR(__xludf.DUMMYFUNCTION("""COMPUTED_VALUE"""),17750)</f>
        <v>17750</v>
      </c>
      <c r="D580" s="2">
        <f ca="1">IFERROR(__xludf.DUMMYFUNCTION("""COMPUTED_VALUE"""),17325)</f>
        <v>17325</v>
      </c>
      <c r="E580" s="2">
        <f ca="1">IFERROR(__xludf.DUMMYFUNCTION("""COMPUTED_VALUE"""),17700)</f>
        <v>17700</v>
      </c>
      <c r="F580" s="2">
        <f ca="1">IFERROR(__xludf.DUMMYFUNCTION("""COMPUTED_VALUE"""),17521900)</f>
        <v>17521900</v>
      </c>
    </row>
    <row r="581" spans="1:6">
      <c r="A581" s="5">
        <f ca="1">IFERROR(__xludf.DUMMYFUNCTION("""COMPUTED_VALUE"""),42879.625)</f>
        <v>42879.625</v>
      </c>
      <c r="B581" s="2">
        <f ca="1">IFERROR(__xludf.DUMMYFUNCTION("""COMPUTED_VALUE"""),17450)</f>
        <v>17450</v>
      </c>
      <c r="C581" s="2">
        <f ca="1">IFERROR(__xludf.DUMMYFUNCTION("""COMPUTED_VALUE"""),17475)</f>
        <v>17475</v>
      </c>
      <c r="D581" s="2">
        <f ca="1">IFERROR(__xludf.DUMMYFUNCTION("""COMPUTED_VALUE"""),17375)</f>
        <v>17375</v>
      </c>
      <c r="E581" s="2">
        <f ca="1">IFERROR(__xludf.DUMMYFUNCTION("""COMPUTED_VALUE"""),17475)</f>
        <v>17475</v>
      </c>
      <c r="F581" s="2">
        <f ca="1">IFERROR(__xludf.DUMMYFUNCTION("""COMPUTED_VALUE"""),19532700)</f>
        <v>19532700</v>
      </c>
    </row>
    <row r="582" spans="1:6">
      <c r="A582" s="5">
        <f ca="1">IFERROR(__xludf.DUMMYFUNCTION("""COMPUTED_VALUE"""),42881.625)</f>
        <v>42881.625</v>
      </c>
      <c r="B582" s="2">
        <f ca="1">IFERROR(__xludf.DUMMYFUNCTION("""COMPUTED_VALUE"""),17500)</f>
        <v>17500</v>
      </c>
      <c r="C582" s="2">
        <f ca="1">IFERROR(__xludf.DUMMYFUNCTION("""COMPUTED_VALUE"""),17725)</f>
        <v>17725</v>
      </c>
      <c r="D582" s="2">
        <f ca="1">IFERROR(__xludf.DUMMYFUNCTION("""COMPUTED_VALUE"""),17450)</f>
        <v>17450</v>
      </c>
      <c r="E582" s="2">
        <f ca="1">IFERROR(__xludf.DUMMYFUNCTION("""COMPUTED_VALUE"""),17575)</f>
        <v>17575</v>
      </c>
      <c r="F582" s="2">
        <f ca="1">IFERROR(__xludf.DUMMYFUNCTION("""COMPUTED_VALUE"""),25213300)</f>
        <v>25213300</v>
      </c>
    </row>
    <row r="583" spans="1:6">
      <c r="A583" s="5">
        <f ca="1">IFERROR(__xludf.DUMMYFUNCTION("""COMPUTED_VALUE"""),42884.625)</f>
        <v>42884.625</v>
      </c>
      <c r="B583" s="2">
        <f ca="1">IFERROR(__xludf.DUMMYFUNCTION("""COMPUTED_VALUE"""),17675)</f>
        <v>17675</v>
      </c>
      <c r="C583" s="2">
        <f ca="1">IFERROR(__xludf.DUMMYFUNCTION("""COMPUTED_VALUE"""),17950)</f>
        <v>17950</v>
      </c>
      <c r="D583" s="2">
        <f ca="1">IFERROR(__xludf.DUMMYFUNCTION("""COMPUTED_VALUE"""),17525)</f>
        <v>17525</v>
      </c>
      <c r="E583" s="2">
        <f ca="1">IFERROR(__xludf.DUMMYFUNCTION("""COMPUTED_VALUE"""),17775)</f>
        <v>17775</v>
      </c>
      <c r="F583" s="2">
        <f ca="1">IFERROR(__xludf.DUMMYFUNCTION("""COMPUTED_VALUE"""),20668100)</f>
        <v>20668100</v>
      </c>
    </row>
    <row r="584" spans="1:6">
      <c r="A584" s="5">
        <f ca="1">IFERROR(__xludf.DUMMYFUNCTION("""COMPUTED_VALUE"""),42885.625)</f>
        <v>42885.625</v>
      </c>
      <c r="B584" s="2">
        <f ca="1">IFERROR(__xludf.DUMMYFUNCTION("""COMPUTED_VALUE"""),17700)</f>
        <v>17700</v>
      </c>
      <c r="C584" s="2">
        <f ca="1">IFERROR(__xludf.DUMMYFUNCTION("""COMPUTED_VALUE"""),17800)</f>
        <v>17800</v>
      </c>
      <c r="D584" s="2">
        <f ca="1">IFERROR(__xludf.DUMMYFUNCTION("""COMPUTED_VALUE"""),17600)</f>
        <v>17600</v>
      </c>
      <c r="E584" s="2">
        <f ca="1">IFERROR(__xludf.DUMMYFUNCTION("""COMPUTED_VALUE"""),17600)</f>
        <v>17600</v>
      </c>
      <c r="F584" s="2">
        <f ca="1">IFERROR(__xludf.DUMMYFUNCTION("""COMPUTED_VALUE"""),11372400)</f>
        <v>11372400</v>
      </c>
    </row>
    <row r="585" spans="1:6">
      <c r="A585" s="5">
        <f ca="1">IFERROR(__xludf.DUMMYFUNCTION("""COMPUTED_VALUE"""),42886.625)</f>
        <v>42886.625</v>
      </c>
      <c r="B585" s="2">
        <f ca="1">IFERROR(__xludf.DUMMYFUNCTION("""COMPUTED_VALUE"""),17600)</f>
        <v>17600</v>
      </c>
      <c r="C585" s="2">
        <f ca="1">IFERROR(__xludf.DUMMYFUNCTION("""COMPUTED_VALUE"""),17650)</f>
        <v>17650</v>
      </c>
      <c r="D585" s="2">
        <f ca="1">IFERROR(__xludf.DUMMYFUNCTION("""COMPUTED_VALUE"""),17150)</f>
        <v>17150</v>
      </c>
      <c r="E585" s="2">
        <f ca="1">IFERROR(__xludf.DUMMYFUNCTION("""COMPUTED_VALUE"""),17150)</f>
        <v>17150</v>
      </c>
      <c r="F585" s="2">
        <f ca="1">IFERROR(__xludf.DUMMYFUNCTION("""COMPUTED_VALUE"""),212572300)</f>
        <v>212572300</v>
      </c>
    </row>
    <row r="586" spans="1:6">
      <c r="A586" s="5">
        <f ca="1">IFERROR(__xludf.DUMMYFUNCTION("""COMPUTED_VALUE"""),42888.625)</f>
        <v>42888.625</v>
      </c>
      <c r="B586" s="2">
        <f ca="1">IFERROR(__xludf.DUMMYFUNCTION("""COMPUTED_VALUE"""),17425)</f>
        <v>17425</v>
      </c>
      <c r="C586" s="2">
        <f ca="1">IFERROR(__xludf.DUMMYFUNCTION("""COMPUTED_VALUE"""),17650)</f>
        <v>17650</v>
      </c>
      <c r="D586" s="2">
        <f ca="1">IFERROR(__xludf.DUMMYFUNCTION("""COMPUTED_VALUE"""),17325)</f>
        <v>17325</v>
      </c>
      <c r="E586" s="2">
        <f ca="1">IFERROR(__xludf.DUMMYFUNCTION("""COMPUTED_VALUE"""),17550)</f>
        <v>17550</v>
      </c>
      <c r="F586" s="2">
        <f ca="1">IFERROR(__xludf.DUMMYFUNCTION("""COMPUTED_VALUE"""),48331300)</f>
        <v>48331300</v>
      </c>
    </row>
    <row r="587" spans="1:6">
      <c r="A587" s="5">
        <f ca="1">IFERROR(__xludf.DUMMYFUNCTION("""COMPUTED_VALUE"""),42891.625)</f>
        <v>42891.625</v>
      </c>
      <c r="B587" s="2">
        <f ca="1">IFERROR(__xludf.DUMMYFUNCTION("""COMPUTED_VALUE"""),17800)</f>
        <v>17800</v>
      </c>
      <c r="C587" s="2">
        <f ca="1">IFERROR(__xludf.DUMMYFUNCTION("""COMPUTED_VALUE"""),17825)</f>
        <v>17825</v>
      </c>
      <c r="D587" s="2">
        <f ca="1">IFERROR(__xludf.DUMMYFUNCTION("""COMPUTED_VALUE"""),17475)</f>
        <v>17475</v>
      </c>
      <c r="E587" s="2">
        <f ca="1">IFERROR(__xludf.DUMMYFUNCTION("""COMPUTED_VALUE"""),17725)</f>
        <v>17725</v>
      </c>
      <c r="F587" s="2">
        <f ca="1">IFERROR(__xludf.DUMMYFUNCTION("""COMPUTED_VALUE"""),20515000)</f>
        <v>20515000</v>
      </c>
    </row>
    <row r="588" spans="1:6">
      <c r="A588" s="5">
        <f ca="1">IFERROR(__xludf.DUMMYFUNCTION("""COMPUTED_VALUE"""),42892.625)</f>
        <v>42892.625</v>
      </c>
      <c r="B588" s="2">
        <f ca="1">IFERROR(__xludf.DUMMYFUNCTION("""COMPUTED_VALUE"""),17500)</f>
        <v>17500</v>
      </c>
      <c r="C588" s="2">
        <f ca="1">IFERROR(__xludf.DUMMYFUNCTION("""COMPUTED_VALUE"""),17675)</f>
        <v>17675</v>
      </c>
      <c r="D588" s="2">
        <f ca="1">IFERROR(__xludf.DUMMYFUNCTION("""COMPUTED_VALUE"""),17500)</f>
        <v>17500</v>
      </c>
      <c r="E588" s="2">
        <f ca="1">IFERROR(__xludf.DUMMYFUNCTION("""COMPUTED_VALUE"""),17550)</f>
        <v>17550</v>
      </c>
      <c r="F588" s="2">
        <f ca="1">IFERROR(__xludf.DUMMYFUNCTION("""COMPUTED_VALUE"""),17400700)</f>
        <v>17400700</v>
      </c>
    </row>
    <row r="589" spans="1:6">
      <c r="A589" s="5">
        <f ca="1">IFERROR(__xludf.DUMMYFUNCTION("""COMPUTED_VALUE"""),42893.625)</f>
        <v>42893.625</v>
      </c>
      <c r="B589" s="2">
        <f ca="1">IFERROR(__xludf.DUMMYFUNCTION("""COMPUTED_VALUE"""),17650)</f>
        <v>17650</v>
      </c>
      <c r="C589" s="2">
        <f ca="1">IFERROR(__xludf.DUMMYFUNCTION("""COMPUTED_VALUE"""),17850)</f>
        <v>17850</v>
      </c>
      <c r="D589" s="2">
        <f ca="1">IFERROR(__xludf.DUMMYFUNCTION("""COMPUTED_VALUE"""),17600)</f>
        <v>17600</v>
      </c>
      <c r="E589" s="2">
        <f ca="1">IFERROR(__xludf.DUMMYFUNCTION("""COMPUTED_VALUE"""),17800)</f>
        <v>17800</v>
      </c>
      <c r="F589" s="2">
        <f ca="1">IFERROR(__xludf.DUMMYFUNCTION("""COMPUTED_VALUE"""),14864800)</f>
        <v>14864800</v>
      </c>
    </row>
    <row r="590" spans="1:6">
      <c r="A590" s="5">
        <f ca="1">IFERROR(__xludf.DUMMYFUNCTION("""COMPUTED_VALUE"""),42894.625)</f>
        <v>42894.625</v>
      </c>
      <c r="B590" s="2">
        <f ca="1">IFERROR(__xludf.DUMMYFUNCTION("""COMPUTED_VALUE"""),17850)</f>
        <v>17850</v>
      </c>
      <c r="C590" s="2">
        <f ca="1">IFERROR(__xludf.DUMMYFUNCTION("""COMPUTED_VALUE"""),18050)</f>
        <v>18050</v>
      </c>
      <c r="D590" s="2">
        <f ca="1">IFERROR(__xludf.DUMMYFUNCTION("""COMPUTED_VALUE"""),17850)</f>
        <v>17850</v>
      </c>
      <c r="E590" s="2">
        <f ca="1">IFERROR(__xludf.DUMMYFUNCTION("""COMPUTED_VALUE"""),17925)</f>
        <v>17925</v>
      </c>
      <c r="F590" s="2">
        <f ca="1">IFERROR(__xludf.DUMMYFUNCTION("""COMPUTED_VALUE"""),18548600)</f>
        <v>18548600</v>
      </c>
    </row>
    <row r="591" spans="1:6">
      <c r="A591" s="5">
        <f ca="1">IFERROR(__xludf.DUMMYFUNCTION("""COMPUTED_VALUE"""),42895.625)</f>
        <v>42895.625</v>
      </c>
      <c r="B591" s="2">
        <f ca="1">IFERROR(__xludf.DUMMYFUNCTION("""COMPUTED_VALUE"""),18100)</f>
        <v>18100</v>
      </c>
      <c r="C591" s="2">
        <f ca="1">IFERROR(__xludf.DUMMYFUNCTION("""COMPUTED_VALUE"""),18100)</f>
        <v>18100</v>
      </c>
      <c r="D591" s="2">
        <f ca="1">IFERROR(__xludf.DUMMYFUNCTION("""COMPUTED_VALUE"""),17525)</f>
        <v>17525</v>
      </c>
      <c r="E591" s="2">
        <f ca="1">IFERROR(__xludf.DUMMYFUNCTION("""COMPUTED_VALUE"""),17700)</f>
        <v>17700</v>
      </c>
      <c r="F591" s="2">
        <f ca="1">IFERROR(__xludf.DUMMYFUNCTION("""COMPUTED_VALUE"""),20213300)</f>
        <v>20213300</v>
      </c>
    </row>
    <row r="592" spans="1:6">
      <c r="A592" s="5">
        <f ca="1">IFERROR(__xludf.DUMMYFUNCTION("""COMPUTED_VALUE"""),42898.625)</f>
        <v>42898.625</v>
      </c>
      <c r="B592" s="2">
        <f ca="1">IFERROR(__xludf.DUMMYFUNCTION("""COMPUTED_VALUE"""),17700)</f>
        <v>17700</v>
      </c>
      <c r="C592" s="2">
        <f ca="1">IFERROR(__xludf.DUMMYFUNCTION("""COMPUTED_VALUE"""),17900)</f>
        <v>17900</v>
      </c>
      <c r="D592" s="2">
        <f ca="1">IFERROR(__xludf.DUMMYFUNCTION("""COMPUTED_VALUE"""),17600)</f>
        <v>17600</v>
      </c>
      <c r="E592" s="2">
        <f ca="1">IFERROR(__xludf.DUMMYFUNCTION("""COMPUTED_VALUE"""),17750)</f>
        <v>17750</v>
      </c>
      <c r="F592" s="2">
        <f ca="1">IFERROR(__xludf.DUMMYFUNCTION("""COMPUTED_VALUE"""),7697900)</f>
        <v>7697900</v>
      </c>
    </row>
    <row r="593" spans="1:6">
      <c r="A593" s="5">
        <f ca="1">IFERROR(__xludf.DUMMYFUNCTION("""COMPUTED_VALUE"""),42899.625)</f>
        <v>42899.625</v>
      </c>
      <c r="B593" s="2">
        <f ca="1">IFERROR(__xludf.DUMMYFUNCTION("""COMPUTED_VALUE"""),17750)</f>
        <v>17750</v>
      </c>
      <c r="C593" s="2">
        <f ca="1">IFERROR(__xludf.DUMMYFUNCTION("""COMPUTED_VALUE"""),17950)</f>
        <v>17950</v>
      </c>
      <c r="D593" s="2">
        <f ca="1">IFERROR(__xludf.DUMMYFUNCTION("""COMPUTED_VALUE"""),17725)</f>
        <v>17725</v>
      </c>
      <c r="E593" s="2">
        <f ca="1">IFERROR(__xludf.DUMMYFUNCTION("""COMPUTED_VALUE"""),17875)</f>
        <v>17875</v>
      </c>
      <c r="F593" s="2">
        <f ca="1">IFERROR(__xludf.DUMMYFUNCTION("""COMPUTED_VALUE"""),9959400)</f>
        <v>9959400</v>
      </c>
    </row>
    <row r="594" spans="1:6">
      <c r="A594" s="5">
        <f ca="1">IFERROR(__xludf.DUMMYFUNCTION("""COMPUTED_VALUE"""),42900.625)</f>
        <v>42900.625</v>
      </c>
      <c r="B594" s="2">
        <f ca="1">IFERROR(__xludf.DUMMYFUNCTION("""COMPUTED_VALUE"""),17700)</f>
        <v>17700</v>
      </c>
      <c r="C594" s="2">
        <f ca="1">IFERROR(__xludf.DUMMYFUNCTION("""COMPUTED_VALUE"""),17975)</f>
        <v>17975</v>
      </c>
      <c r="D594" s="2">
        <f ca="1">IFERROR(__xludf.DUMMYFUNCTION("""COMPUTED_VALUE"""),17700)</f>
        <v>17700</v>
      </c>
      <c r="E594" s="2">
        <f ca="1">IFERROR(__xludf.DUMMYFUNCTION("""COMPUTED_VALUE"""),17975)</f>
        <v>17975</v>
      </c>
      <c r="F594" s="2">
        <f ca="1">IFERROR(__xludf.DUMMYFUNCTION("""COMPUTED_VALUE"""),15824300)</f>
        <v>15824300</v>
      </c>
    </row>
    <row r="595" spans="1:6">
      <c r="A595" s="5">
        <f ca="1">IFERROR(__xludf.DUMMYFUNCTION("""COMPUTED_VALUE"""),42901.625)</f>
        <v>42901.625</v>
      </c>
      <c r="B595" s="2">
        <f ca="1">IFERROR(__xludf.DUMMYFUNCTION("""COMPUTED_VALUE"""),18000)</f>
        <v>18000</v>
      </c>
      <c r="C595" s="2">
        <f ca="1">IFERROR(__xludf.DUMMYFUNCTION("""COMPUTED_VALUE"""),18100)</f>
        <v>18100</v>
      </c>
      <c r="D595" s="2">
        <f ca="1">IFERROR(__xludf.DUMMYFUNCTION("""COMPUTED_VALUE"""),17875)</f>
        <v>17875</v>
      </c>
      <c r="E595" s="2">
        <f ca="1">IFERROR(__xludf.DUMMYFUNCTION("""COMPUTED_VALUE"""),18050)</f>
        <v>18050</v>
      </c>
      <c r="F595" s="2">
        <f ca="1">IFERROR(__xludf.DUMMYFUNCTION("""COMPUTED_VALUE"""),23231800)</f>
        <v>23231800</v>
      </c>
    </row>
    <row r="596" spans="1:6">
      <c r="A596" s="5">
        <f ca="1">IFERROR(__xludf.DUMMYFUNCTION("""COMPUTED_VALUE"""),42902.625)</f>
        <v>42902.625</v>
      </c>
      <c r="B596" s="2">
        <f ca="1">IFERROR(__xludf.DUMMYFUNCTION("""COMPUTED_VALUE"""),18150)</f>
        <v>18150</v>
      </c>
      <c r="C596" s="2">
        <f ca="1">IFERROR(__xludf.DUMMYFUNCTION("""COMPUTED_VALUE"""),18150)</f>
        <v>18150</v>
      </c>
      <c r="D596" s="2">
        <f ca="1">IFERROR(__xludf.DUMMYFUNCTION("""COMPUTED_VALUE"""),17800)</f>
        <v>17800</v>
      </c>
      <c r="E596" s="2">
        <f ca="1">IFERROR(__xludf.DUMMYFUNCTION("""COMPUTED_VALUE"""),17800)</f>
        <v>17800</v>
      </c>
      <c r="F596" s="2">
        <f ca="1">IFERROR(__xludf.DUMMYFUNCTION("""COMPUTED_VALUE"""),121464400)</f>
        <v>121464400</v>
      </c>
    </row>
    <row r="597" spans="1:6">
      <c r="A597" s="5">
        <f ca="1">IFERROR(__xludf.DUMMYFUNCTION("""COMPUTED_VALUE"""),42905.625)</f>
        <v>42905.625</v>
      </c>
      <c r="B597" s="2">
        <f ca="1">IFERROR(__xludf.DUMMYFUNCTION("""COMPUTED_VALUE"""),18000)</f>
        <v>18000</v>
      </c>
      <c r="C597" s="2">
        <f ca="1">IFERROR(__xludf.DUMMYFUNCTION("""COMPUTED_VALUE"""),18050)</f>
        <v>18050</v>
      </c>
      <c r="D597" s="2">
        <f ca="1">IFERROR(__xludf.DUMMYFUNCTION("""COMPUTED_VALUE"""),17875)</f>
        <v>17875</v>
      </c>
      <c r="E597" s="2">
        <f ca="1">IFERROR(__xludf.DUMMYFUNCTION("""COMPUTED_VALUE"""),17925)</f>
        <v>17925</v>
      </c>
      <c r="F597" s="2">
        <f ca="1">IFERROR(__xludf.DUMMYFUNCTION("""COMPUTED_VALUE"""),11302300)</f>
        <v>11302300</v>
      </c>
    </row>
    <row r="598" spans="1:6">
      <c r="A598" s="5">
        <f ca="1">IFERROR(__xludf.DUMMYFUNCTION("""COMPUTED_VALUE"""),42906.625)</f>
        <v>42906.625</v>
      </c>
      <c r="B598" s="2">
        <f ca="1">IFERROR(__xludf.DUMMYFUNCTION("""COMPUTED_VALUE"""),17925)</f>
        <v>17925</v>
      </c>
      <c r="C598" s="2">
        <f ca="1">IFERROR(__xludf.DUMMYFUNCTION("""COMPUTED_VALUE"""),18175)</f>
        <v>18175</v>
      </c>
      <c r="D598" s="2">
        <f ca="1">IFERROR(__xludf.DUMMYFUNCTION("""COMPUTED_VALUE"""),17925)</f>
        <v>17925</v>
      </c>
      <c r="E598" s="2">
        <f ca="1">IFERROR(__xludf.DUMMYFUNCTION("""COMPUTED_VALUE"""),18100)</f>
        <v>18100</v>
      </c>
      <c r="F598" s="2">
        <f ca="1">IFERROR(__xludf.DUMMYFUNCTION("""COMPUTED_VALUE"""),17564900)</f>
        <v>17564900</v>
      </c>
    </row>
    <row r="599" spans="1:6">
      <c r="A599" s="5">
        <f ca="1">IFERROR(__xludf.DUMMYFUNCTION("""COMPUTED_VALUE"""),42907.625)</f>
        <v>42907.625</v>
      </c>
      <c r="B599" s="2">
        <f ca="1">IFERROR(__xludf.DUMMYFUNCTION("""COMPUTED_VALUE"""),18100)</f>
        <v>18100</v>
      </c>
      <c r="C599" s="2">
        <f ca="1">IFERROR(__xludf.DUMMYFUNCTION("""COMPUTED_VALUE"""),18225)</f>
        <v>18225</v>
      </c>
      <c r="D599" s="2">
        <f ca="1">IFERROR(__xludf.DUMMYFUNCTION("""COMPUTED_VALUE"""),18050)</f>
        <v>18050</v>
      </c>
      <c r="E599" s="2">
        <f ca="1">IFERROR(__xludf.DUMMYFUNCTION("""COMPUTED_VALUE"""),18200)</f>
        <v>18200</v>
      </c>
      <c r="F599" s="2">
        <f ca="1">IFERROR(__xludf.DUMMYFUNCTION("""COMPUTED_VALUE"""),13761800)</f>
        <v>13761800</v>
      </c>
    </row>
    <row r="600" spans="1:6">
      <c r="A600" s="5">
        <f ca="1">IFERROR(__xludf.DUMMYFUNCTION("""COMPUTED_VALUE"""),42908.625)</f>
        <v>42908.625</v>
      </c>
      <c r="B600" s="2">
        <f ca="1">IFERROR(__xludf.DUMMYFUNCTION("""COMPUTED_VALUE"""),18250)</f>
        <v>18250</v>
      </c>
      <c r="C600" s="2">
        <f ca="1">IFERROR(__xludf.DUMMYFUNCTION("""COMPUTED_VALUE"""),18325)</f>
        <v>18325</v>
      </c>
      <c r="D600" s="2">
        <f ca="1">IFERROR(__xludf.DUMMYFUNCTION("""COMPUTED_VALUE"""),17975)</f>
        <v>17975</v>
      </c>
      <c r="E600" s="2">
        <f ca="1">IFERROR(__xludf.DUMMYFUNCTION("""COMPUTED_VALUE"""),18150)</f>
        <v>18150</v>
      </c>
      <c r="F600" s="2">
        <f ca="1">IFERROR(__xludf.DUMMYFUNCTION("""COMPUTED_VALUE"""),16421500)</f>
        <v>16421500</v>
      </c>
    </row>
    <row r="601" spans="1:6">
      <c r="A601" s="5">
        <f ca="1">IFERROR(__xludf.DUMMYFUNCTION("""COMPUTED_VALUE"""),42919.625)</f>
        <v>42919.625</v>
      </c>
      <c r="B601" s="2">
        <f ca="1">IFERROR(__xludf.DUMMYFUNCTION("""COMPUTED_VALUE"""),18400)</f>
        <v>18400</v>
      </c>
      <c r="C601" s="2">
        <f ca="1">IFERROR(__xludf.DUMMYFUNCTION("""COMPUTED_VALUE"""),18500)</f>
        <v>18500</v>
      </c>
      <c r="D601" s="2">
        <f ca="1">IFERROR(__xludf.DUMMYFUNCTION("""COMPUTED_VALUE"""),18075)</f>
        <v>18075</v>
      </c>
      <c r="E601" s="2">
        <f ca="1">IFERROR(__xludf.DUMMYFUNCTION("""COMPUTED_VALUE"""),18500)</f>
        <v>18500</v>
      </c>
      <c r="F601" s="2">
        <f ca="1">IFERROR(__xludf.DUMMYFUNCTION("""COMPUTED_VALUE"""),42607700)</f>
        <v>42607700</v>
      </c>
    </row>
    <row r="602" spans="1:6">
      <c r="A602" s="5">
        <f ca="1">IFERROR(__xludf.DUMMYFUNCTION("""COMPUTED_VALUE"""),42920.625)</f>
        <v>42920.625</v>
      </c>
      <c r="B602" s="2">
        <f ca="1">IFERROR(__xludf.DUMMYFUNCTION("""COMPUTED_VALUE"""),18500)</f>
        <v>18500</v>
      </c>
      <c r="C602" s="2">
        <f ca="1">IFERROR(__xludf.DUMMYFUNCTION("""COMPUTED_VALUE"""),18725)</f>
        <v>18725</v>
      </c>
      <c r="D602" s="2">
        <f ca="1">IFERROR(__xludf.DUMMYFUNCTION("""COMPUTED_VALUE"""),18425)</f>
        <v>18425</v>
      </c>
      <c r="E602" s="2">
        <f ca="1">IFERROR(__xludf.DUMMYFUNCTION("""COMPUTED_VALUE"""),18550)</f>
        <v>18550</v>
      </c>
      <c r="F602" s="2">
        <f ca="1">IFERROR(__xludf.DUMMYFUNCTION("""COMPUTED_VALUE"""),12919800)</f>
        <v>12919800</v>
      </c>
    </row>
    <row r="603" spans="1:6">
      <c r="A603" s="5">
        <f ca="1">IFERROR(__xludf.DUMMYFUNCTION("""COMPUTED_VALUE"""),42921.625)</f>
        <v>42921.625</v>
      </c>
      <c r="B603" s="2">
        <f ca="1">IFERROR(__xludf.DUMMYFUNCTION("""COMPUTED_VALUE"""),18550)</f>
        <v>18550</v>
      </c>
      <c r="C603" s="2">
        <f ca="1">IFERROR(__xludf.DUMMYFUNCTION("""COMPUTED_VALUE"""),18675)</f>
        <v>18675</v>
      </c>
      <c r="D603" s="2">
        <f ca="1">IFERROR(__xludf.DUMMYFUNCTION("""COMPUTED_VALUE"""),18300)</f>
        <v>18300</v>
      </c>
      <c r="E603" s="2">
        <f ca="1">IFERROR(__xludf.DUMMYFUNCTION("""COMPUTED_VALUE"""),18350)</f>
        <v>18350</v>
      </c>
      <c r="F603" s="2">
        <f ca="1">IFERROR(__xludf.DUMMYFUNCTION("""COMPUTED_VALUE"""),11396200)</f>
        <v>11396200</v>
      </c>
    </row>
    <row r="604" spans="1:6">
      <c r="A604" s="5">
        <f ca="1">IFERROR(__xludf.DUMMYFUNCTION("""COMPUTED_VALUE"""),42922.625)</f>
        <v>42922.625</v>
      </c>
      <c r="B604" s="2">
        <f ca="1">IFERROR(__xludf.DUMMYFUNCTION("""COMPUTED_VALUE"""),18200)</f>
        <v>18200</v>
      </c>
      <c r="C604" s="2">
        <f ca="1">IFERROR(__xludf.DUMMYFUNCTION("""COMPUTED_VALUE"""),18350)</f>
        <v>18350</v>
      </c>
      <c r="D604" s="2">
        <f ca="1">IFERROR(__xludf.DUMMYFUNCTION("""COMPUTED_VALUE"""),18100)</f>
        <v>18100</v>
      </c>
      <c r="E604" s="2">
        <f ca="1">IFERROR(__xludf.DUMMYFUNCTION("""COMPUTED_VALUE"""),18225)</f>
        <v>18225</v>
      </c>
      <c r="F604" s="2">
        <f ca="1">IFERROR(__xludf.DUMMYFUNCTION("""COMPUTED_VALUE"""),17861300)</f>
        <v>17861300</v>
      </c>
    </row>
    <row r="605" spans="1:6">
      <c r="A605" s="5">
        <f ca="1">IFERROR(__xludf.DUMMYFUNCTION("""COMPUTED_VALUE"""),42923.625)</f>
        <v>42923.625</v>
      </c>
      <c r="B605" s="2">
        <f ca="1">IFERROR(__xludf.DUMMYFUNCTION("""COMPUTED_VALUE"""),18350)</f>
        <v>18350</v>
      </c>
      <c r="C605" s="2">
        <f ca="1">IFERROR(__xludf.DUMMYFUNCTION("""COMPUTED_VALUE"""),18550)</f>
        <v>18550</v>
      </c>
      <c r="D605" s="2">
        <f ca="1">IFERROR(__xludf.DUMMYFUNCTION("""COMPUTED_VALUE"""),18325)</f>
        <v>18325</v>
      </c>
      <c r="E605" s="2">
        <f ca="1">IFERROR(__xludf.DUMMYFUNCTION("""COMPUTED_VALUE"""),18500)</f>
        <v>18500</v>
      </c>
      <c r="F605" s="2">
        <f ca="1">IFERROR(__xludf.DUMMYFUNCTION("""COMPUTED_VALUE"""),16452000)</f>
        <v>16452000</v>
      </c>
    </row>
    <row r="606" spans="1:6">
      <c r="A606" s="5">
        <f ca="1">IFERROR(__xludf.DUMMYFUNCTION("""COMPUTED_VALUE"""),42926.625)</f>
        <v>42926.625</v>
      </c>
      <c r="B606" s="2">
        <f ca="1">IFERROR(__xludf.DUMMYFUNCTION("""COMPUTED_VALUE"""),18500)</f>
        <v>18500</v>
      </c>
      <c r="C606" s="2">
        <f ca="1">IFERROR(__xludf.DUMMYFUNCTION("""COMPUTED_VALUE"""),18650)</f>
        <v>18650</v>
      </c>
      <c r="D606" s="2">
        <f ca="1">IFERROR(__xludf.DUMMYFUNCTION("""COMPUTED_VALUE"""),18250)</f>
        <v>18250</v>
      </c>
      <c r="E606" s="2">
        <f ca="1">IFERROR(__xludf.DUMMYFUNCTION("""COMPUTED_VALUE"""),18300)</f>
        <v>18300</v>
      </c>
      <c r="F606" s="2">
        <f ca="1">IFERROR(__xludf.DUMMYFUNCTION("""COMPUTED_VALUE"""),7987500)</f>
        <v>7987500</v>
      </c>
    </row>
    <row r="607" spans="1:6">
      <c r="A607" s="5">
        <f ca="1">IFERROR(__xludf.DUMMYFUNCTION("""COMPUTED_VALUE"""),42927.625)</f>
        <v>42927.625</v>
      </c>
      <c r="B607" s="2">
        <f ca="1">IFERROR(__xludf.DUMMYFUNCTION("""COMPUTED_VALUE"""),18325)</f>
        <v>18325</v>
      </c>
      <c r="C607" s="2">
        <f ca="1">IFERROR(__xludf.DUMMYFUNCTION("""COMPUTED_VALUE"""),18450)</f>
        <v>18450</v>
      </c>
      <c r="D607" s="2">
        <f ca="1">IFERROR(__xludf.DUMMYFUNCTION("""COMPUTED_VALUE"""),18250)</f>
        <v>18250</v>
      </c>
      <c r="E607" s="2">
        <f ca="1">IFERROR(__xludf.DUMMYFUNCTION("""COMPUTED_VALUE"""),18325)</f>
        <v>18325</v>
      </c>
      <c r="F607" s="2">
        <f ca="1">IFERROR(__xludf.DUMMYFUNCTION("""COMPUTED_VALUE"""),12320700)</f>
        <v>12320700</v>
      </c>
    </row>
    <row r="608" spans="1:6">
      <c r="A608" s="5">
        <f ca="1">IFERROR(__xludf.DUMMYFUNCTION("""COMPUTED_VALUE"""),42928.625)</f>
        <v>42928.625</v>
      </c>
      <c r="B608" s="2">
        <f ca="1">IFERROR(__xludf.DUMMYFUNCTION("""COMPUTED_VALUE"""),18200)</f>
        <v>18200</v>
      </c>
      <c r="C608" s="2">
        <f ca="1">IFERROR(__xludf.DUMMYFUNCTION("""COMPUTED_VALUE"""),18475)</f>
        <v>18475</v>
      </c>
      <c r="D608" s="2">
        <f ca="1">IFERROR(__xludf.DUMMYFUNCTION("""COMPUTED_VALUE"""),18100)</f>
        <v>18100</v>
      </c>
      <c r="E608" s="2">
        <f ca="1">IFERROR(__xludf.DUMMYFUNCTION("""COMPUTED_VALUE"""),18425)</f>
        <v>18425</v>
      </c>
      <c r="F608" s="2">
        <f ca="1">IFERROR(__xludf.DUMMYFUNCTION("""COMPUTED_VALUE"""),17839300)</f>
        <v>17839300</v>
      </c>
    </row>
    <row r="609" spans="1:6">
      <c r="A609" s="5">
        <f ca="1">IFERROR(__xludf.DUMMYFUNCTION("""COMPUTED_VALUE"""),42929.625)</f>
        <v>42929.625</v>
      </c>
      <c r="B609" s="2">
        <f ca="1">IFERROR(__xludf.DUMMYFUNCTION("""COMPUTED_VALUE"""),18500)</f>
        <v>18500</v>
      </c>
      <c r="C609" s="2">
        <f ca="1">IFERROR(__xludf.DUMMYFUNCTION("""COMPUTED_VALUE"""),18525)</f>
        <v>18525</v>
      </c>
      <c r="D609" s="2">
        <f ca="1">IFERROR(__xludf.DUMMYFUNCTION("""COMPUTED_VALUE"""),18275)</f>
        <v>18275</v>
      </c>
      <c r="E609" s="2">
        <f ca="1">IFERROR(__xludf.DUMMYFUNCTION("""COMPUTED_VALUE"""),18500)</f>
        <v>18500</v>
      </c>
      <c r="F609" s="2">
        <f ca="1">IFERROR(__xludf.DUMMYFUNCTION("""COMPUTED_VALUE"""),12891200)</f>
        <v>12891200</v>
      </c>
    </row>
    <row r="610" spans="1:6">
      <c r="A610" s="5">
        <f ca="1">IFERROR(__xludf.DUMMYFUNCTION("""COMPUTED_VALUE"""),42930.625)</f>
        <v>42930.625</v>
      </c>
      <c r="B610" s="2">
        <f ca="1">IFERROR(__xludf.DUMMYFUNCTION("""COMPUTED_VALUE"""),18550)</f>
        <v>18550</v>
      </c>
      <c r="C610" s="2">
        <f ca="1">IFERROR(__xludf.DUMMYFUNCTION("""COMPUTED_VALUE"""),18550)</f>
        <v>18550</v>
      </c>
      <c r="D610" s="2">
        <f ca="1">IFERROR(__xludf.DUMMYFUNCTION("""COMPUTED_VALUE"""),18300)</f>
        <v>18300</v>
      </c>
      <c r="E610" s="2">
        <f ca="1">IFERROR(__xludf.DUMMYFUNCTION("""COMPUTED_VALUE"""),18400)</f>
        <v>18400</v>
      </c>
      <c r="F610" s="2">
        <f ca="1">IFERROR(__xludf.DUMMYFUNCTION("""COMPUTED_VALUE"""),8340000)</f>
        <v>8340000</v>
      </c>
    </row>
    <row r="611" spans="1:6">
      <c r="A611" s="5">
        <f ca="1">IFERROR(__xludf.DUMMYFUNCTION("""COMPUTED_VALUE"""),42933.625)</f>
        <v>42933.625</v>
      </c>
      <c r="B611" s="2">
        <f ca="1">IFERROR(__xludf.DUMMYFUNCTION("""COMPUTED_VALUE"""),18250)</f>
        <v>18250</v>
      </c>
      <c r="C611" s="2">
        <f ca="1">IFERROR(__xludf.DUMMYFUNCTION("""COMPUTED_VALUE"""),18400)</f>
        <v>18400</v>
      </c>
      <c r="D611" s="2">
        <f ca="1">IFERROR(__xludf.DUMMYFUNCTION("""COMPUTED_VALUE"""),18250)</f>
        <v>18250</v>
      </c>
      <c r="E611" s="2">
        <f ca="1">IFERROR(__xludf.DUMMYFUNCTION("""COMPUTED_VALUE"""),18300)</f>
        <v>18300</v>
      </c>
      <c r="F611" s="2">
        <f ca="1">IFERROR(__xludf.DUMMYFUNCTION("""COMPUTED_VALUE"""),12340400)</f>
        <v>12340400</v>
      </c>
    </row>
    <row r="612" spans="1:6">
      <c r="A612" s="5">
        <f ca="1">IFERROR(__xludf.DUMMYFUNCTION("""COMPUTED_VALUE"""),42934.625)</f>
        <v>42934.625</v>
      </c>
      <c r="B612" s="2">
        <f ca="1">IFERROR(__xludf.DUMMYFUNCTION("""COMPUTED_VALUE"""),18200)</f>
        <v>18200</v>
      </c>
      <c r="C612" s="2">
        <f ca="1">IFERROR(__xludf.DUMMYFUNCTION("""COMPUTED_VALUE"""),18350)</f>
        <v>18350</v>
      </c>
      <c r="D612" s="2">
        <f ca="1">IFERROR(__xludf.DUMMYFUNCTION("""COMPUTED_VALUE"""),18175)</f>
        <v>18175</v>
      </c>
      <c r="E612" s="2">
        <f ca="1">IFERROR(__xludf.DUMMYFUNCTION("""COMPUTED_VALUE"""),18350)</f>
        <v>18350</v>
      </c>
      <c r="F612" s="2">
        <f ca="1">IFERROR(__xludf.DUMMYFUNCTION("""COMPUTED_VALUE"""),7811300)</f>
        <v>7811300</v>
      </c>
    </row>
    <row r="613" spans="1:6">
      <c r="A613" s="5">
        <f ca="1">IFERROR(__xludf.DUMMYFUNCTION("""COMPUTED_VALUE"""),42935.625)</f>
        <v>42935.625</v>
      </c>
      <c r="B613" s="2">
        <f ca="1">IFERROR(__xludf.DUMMYFUNCTION("""COMPUTED_VALUE"""),18350)</f>
        <v>18350</v>
      </c>
      <c r="C613" s="2">
        <f ca="1">IFERROR(__xludf.DUMMYFUNCTION("""COMPUTED_VALUE"""),18475)</f>
        <v>18475</v>
      </c>
      <c r="D613" s="2">
        <f ca="1">IFERROR(__xludf.DUMMYFUNCTION("""COMPUTED_VALUE"""),18300)</f>
        <v>18300</v>
      </c>
      <c r="E613" s="2">
        <f ca="1">IFERROR(__xludf.DUMMYFUNCTION("""COMPUTED_VALUE"""),18475)</f>
        <v>18475</v>
      </c>
      <c r="F613" s="2">
        <f ca="1">IFERROR(__xludf.DUMMYFUNCTION("""COMPUTED_VALUE"""),9011500)</f>
        <v>9011500</v>
      </c>
    </row>
    <row r="614" spans="1:6">
      <c r="A614" s="5">
        <f ca="1">IFERROR(__xludf.DUMMYFUNCTION("""COMPUTED_VALUE"""),42936.625)</f>
        <v>42936.625</v>
      </c>
      <c r="B614" s="2">
        <f ca="1">IFERROR(__xludf.DUMMYFUNCTION("""COMPUTED_VALUE"""),18475)</f>
        <v>18475</v>
      </c>
      <c r="C614" s="2">
        <f ca="1">IFERROR(__xludf.DUMMYFUNCTION("""COMPUTED_VALUE"""),18500)</f>
        <v>18500</v>
      </c>
      <c r="D614" s="2">
        <f ca="1">IFERROR(__xludf.DUMMYFUNCTION("""COMPUTED_VALUE"""),18350)</f>
        <v>18350</v>
      </c>
      <c r="E614" s="2">
        <f ca="1">IFERROR(__xludf.DUMMYFUNCTION("""COMPUTED_VALUE"""),18450)</f>
        <v>18450</v>
      </c>
      <c r="F614" s="2">
        <f ca="1">IFERROR(__xludf.DUMMYFUNCTION("""COMPUTED_VALUE"""),11958000)</f>
        <v>11958000</v>
      </c>
    </row>
    <row r="615" spans="1:6">
      <c r="A615" s="5">
        <f ca="1">IFERROR(__xludf.DUMMYFUNCTION("""COMPUTED_VALUE"""),42937.625)</f>
        <v>42937.625</v>
      </c>
      <c r="B615" s="2">
        <f ca="1">IFERROR(__xludf.DUMMYFUNCTION("""COMPUTED_VALUE"""),18450)</f>
        <v>18450</v>
      </c>
      <c r="C615" s="2">
        <f ca="1">IFERROR(__xludf.DUMMYFUNCTION("""COMPUTED_VALUE"""),18475)</f>
        <v>18475</v>
      </c>
      <c r="D615" s="2">
        <f ca="1">IFERROR(__xludf.DUMMYFUNCTION("""COMPUTED_VALUE"""),18225)</f>
        <v>18225</v>
      </c>
      <c r="E615" s="2">
        <f ca="1">IFERROR(__xludf.DUMMYFUNCTION("""COMPUTED_VALUE"""),18225)</f>
        <v>18225</v>
      </c>
      <c r="F615" s="2">
        <f ca="1">IFERROR(__xludf.DUMMYFUNCTION("""COMPUTED_VALUE"""),5087700)</f>
        <v>5087700</v>
      </c>
    </row>
    <row r="616" spans="1:6">
      <c r="A616" s="5">
        <f ca="1">IFERROR(__xludf.DUMMYFUNCTION("""COMPUTED_VALUE"""),42940.625)</f>
        <v>42940.625</v>
      </c>
      <c r="B616" s="2">
        <f ca="1">IFERROR(__xludf.DUMMYFUNCTION("""COMPUTED_VALUE"""),18350)</f>
        <v>18350</v>
      </c>
      <c r="C616" s="2">
        <f ca="1">IFERROR(__xludf.DUMMYFUNCTION("""COMPUTED_VALUE"""),18625)</f>
        <v>18625</v>
      </c>
      <c r="D616" s="2">
        <f ca="1">IFERROR(__xludf.DUMMYFUNCTION("""COMPUTED_VALUE"""),18200)</f>
        <v>18200</v>
      </c>
      <c r="E616" s="2">
        <f ca="1">IFERROR(__xludf.DUMMYFUNCTION("""COMPUTED_VALUE"""),18575)</f>
        <v>18575</v>
      </c>
      <c r="F616" s="2">
        <f ca="1">IFERROR(__xludf.DUMMYFUNCTION("""COMPUTED_VALUE"""),18356200)</f>
        <v>18356200</v>
      </c>
    </row>
    <row r="617" spans="1:6">
      <c r="A617" s="5">
        <f ca="1">IFERROR(__xludf.DUMMYFUNCTION("""COMPUTED_VALUE"""),42941.625)</f>
        <v>42941.625</v>
      </c>
      <c r="B617" s="2">
        <f ca="1">IFERROR(__xludf.DUMMYFUNCTION("""COMPUTED_VALUE"""),18650)</f>
        <v>18650</v>
      </c>
      <c r="C617" s="2">
        <f ca="1">IFERROR(__xludf.DUMMYFUNCTION("""COMPUTED_VALUE"""),18675)</f>
        <v>18675</v>
      </c>
      <c r="D617" s="2">
        <f ca="1">IFERROR(__xludf.DUMMYFUNCTION("""COMPUTED_VALUE"""),18400)</f>
        <v>18400</v>
      </c>
      <c r="E617" s="2">
        <f ca="1">IFERROR(__xludf.DUMMYFUNCTION("""COMPUTED_VALUE"""),18575)</f>
        <v>18575</v>
      </c>
      <c r="F617" s="2">
        <f ca="1">IFERROR(__xludf.DUMMYFUNCTION("""COMPUTED_VALUE"""),12895900)</f>
        <v>12895900</v>
      </c>
    </row>
    <row r="618" spans="1:6">
      <c r="A618" s="5">
        <f ca="1">IFERROR(__xludf.DUMMYFUNCTION("""COMPUTED_VALUE"""),42942.625)</f>
        <v>42942.625</v>
      </c>
      <c r="B618" s="2">
        <f ca="1">IFERROR(__xludf.DUMMYFUNCTION("""COMPUTED_VALUE"""),18650)</f>
        <v>18650</v>
      </c>
      <c r="C618" s="2">
        <f ca="1">IFERROR(__xludf.DUMMYFUNCTION("""COMPUTED_VALUE"""),18900)</f>
        <v>18900</v>
      </c>
      <c r="D618" s="2">
        <f ca="1">IFERROR(__xludf.DUMMYFUNCTION("""COMPUTED_VALUE"""),18550)</f>
        <v>18550</v>
      </c>
      <c r="E618" s="2">
        <f ca="1">IFERROR(__xludf.DUMMYFUNCTION("""COMPUTED_VALUE"""),18775)</f>
        <v>18775</v>
      </c>
      <c r="F618" s="2">
        <f ca="1">IFERROR(__xludf.DUMMYFUNCTION("""COMPUTED_VALUE"""),23616200)</f>
        <v>23616200</v>
      </c>
    </row>
    <row r="619" spans="1:6">
      <c r="A619" s="5">
        <f ca="1">IFERROR(__xludf.DUMMYFUNCTION("""COMPUTED_VALUE"""),42943.625)</f>
        <v>42943.625</v>
      </c>
      <c r="B619" s="2">
        <f ca="1">IFERROR(__xludf.DUMMYFUNCTION("""COMPUTED_VALUE"""),18775)</f>
        <v>18775</v>
      </c>
      <c r="C619" s="2">
        <f ca="1">IFERROR(__xludf.DUMMYFUNCTION("""COMPUTED_VALUE"""),18850)</f>
        <v>18850</v>
      </c>
      <c r="D619" s="2">
        <f ca="1">IFERROR(__xludf.DUMMYFUNCTION("""COMPUTED_VALUE"""),18700)</f>
        <v>18700</v>
      </c>
      <c r="E619" s="2">
        <f ca="1">IFERROR(__xludf.DUMMYFUNCTION("""COMPUTED_VALUE"""),18800)</f>
        <v>18800</v>
      </c>
      <c r="F619" s="2">
        <f ca="1">IFERROR(__xludf.DUMMYFUNCTION("""COMPUTED_VALUE"""),12681900)</f>
        <v>12681900</v>
      </c>
    </row>
    <row r="620" spans="1:6">
      <c r="A620" s="5">
        <f ca="1">IFERROR(__xludf.DUMMYFUNCTION("""COMPUTED_VALUE"""),42944.625)</f>
        <v>42944.625</v>
      </c>
      <c r="B620" s="2">
        <f ca="1">IFERROR(__xludf.DUMMYFUNCTION("""COMPUTED_VALUE"""),19000)</f>
        <v>19000</v>
      </c>
      <c r="C620" s="2">
        <f ca="1">IFERROR(__xludf.DUMMYFUNCTION("""COMPUTED_VALUE"""),19000)</f>
        <v>19000</v>
      </c>
      <c r="D620" s="2">
        <f ca="1">IFERROR(__xludf.DUMMYFUNCTION("""COMPUTED_VALUE"""),18700)</f>
        <v>18700</v>
      </c>
      <c r="E620" s="2">
        <f ca="1">IFERROR(__xludf.DUMMYFUNCTION("""COMPUTED_VALUE"""),18800)</f>
        <v>18800</v>
      </c>
      <c r="F620" s="2">
        <f ca="1">IFERROR(__xludf.DUMMYFUNCTION("""COMPUTED_VALUE"""),16947000)</f>
        <v>16947000</v>
      </c>
    </row>
    <row r="621" spans="1:6">
      <c r="A621" s="5">
        <f ca="1">IFERROR(__xludf.DUMMYFUNCTION("""COMPUTED_VALUE"""),42947.625)</f>
        <v>42947.625</v>
      </c>
      <c r="B621" s="2">
        <f ca="1">IFERROR(__xludf.DUMMYFUNCTION("""COMPUTED_VALUE"""),18600)</f>
        <v>18600</v>
      </c>
      <c r="C621" s="2">
        <f ca="1">IFERROR(__xludf.DUMMYFUNCTION("""COMPUTED_VALUE"""),18825)</f>
        <v>18825</v>
      </c>
      <c r="D621" s="2">
        <f ca="1">IFERROR(__xludf.DUMMYFUNCTION("""COMPUTED_VALUE"""),18575)</f>
        <v>18575</v>
      </c>
      <c r="E621" s="2">
        <f ca="1">IFERROR(__xludf.DUMMYFUNCTION("""COMPUTED_VALUE"""),18700)</f>
        <v>18700</v>
      </c>
      <c r="F621" s="2">
        <f ca="1">IFERROR(__xludf.DUMMYFUNCTION("""COMPUTED_VALUE"""),13062200)</f>
        <v>13062200</v>
      </c>
    </row>
    <row r="622" spans="1:6">
      <c r="A622" s="5">
        <f ca="1">IFERROR(__xludf.DUMMYFUNCTION("""COMPUTED_VALUE"""),42948.625)</f>
        <v>42948.625</v>
      </c>
      <c r="B622" s="2">
        <f ca="1">IFERROR(__xludf.DUMMYFUNCTION("""COMPUTED_VALUE"""),18875)</f>
        <v>18875</v>
      </c>
      <c r="C622" s="2">
        <f ca="1">IFERROR(__xludf.DUMMYFUNCTION("""COMPUTED_VALUE"""),18975)</f>
        <v>18975</v>
      </c>
      <c r="D622" s="2">
        <f ca="1">IFERROR(__xludf.DUMMYFUNCTION("""COMPUTED_VALUE"""),18725)</f>
        <v>18725</v>
      </c>
      <c r="E622" s="2">
        <f ca="1">IFERROR(__xludf.DUMMYFUNCTION("""COMPUTED_VALUE"""),18925)</f>
        <v>18925</v>
      </c>
      <c r="F622" s="2">
        <f ca="1">IFERROR(__xludf.DUMMYFUNCTION("""COMPUTED_VALUE"""),17762000)</f>
        <v>17762000</v>
      </c>
    </row>
    <row r="623" spans="1:6">
      <c r="A623" s="5">
        <f ca="1">IFERROR(__xludf.DUMMYFUNCTION("""COMPUTED_VALUE"""),42949.625)</f>
        <v>42949.625</v>
      </c>
      <c r="B623" s="2">
        <f ca="1">IFERROR(__xludf.DUMMYFUNCTION("""COMPUTED_VALUE"""),18900)</f>
        <v>18900</v>
      </c>
      <c r="C623" s="2">
        <f ca="1">IFERROR(__xludf.DUMMYFUNCTION("""COMPUTED_VALUE"""),18975)</f>
        <v>18975</v>
      </c>
      <c r="D623" s="2">
        <f ca="1">IFERROR(__xludf.DUMMYFUNCTION("""COMPUTED_VALUE"""),18825)</f>
        <v>18825</v>
      </c>
      <c r="E623" s="2">
        <f ca="1">IFERROR(__xludf.DUMMYFUNCTION("""COMPUTED_VALUE"""),18925)</f>
        <v>18925</v>
      </c>
      <c r="F623" s="2">
        <f ca="1">IFERROR(__xludf.DUMMYFUNCTION("""COMPUTED_VALUE"""),12536300)</f>
        <v>12536300</v>
      </c>
    </row>
    <row r="624" spans="1:6">
      <c r="A624" s="5">
        <f ca="1">IFERROR(__xludf.DUMMYFUNCTION("""COMPUTED_VALUE"""),42950.625)</f>
        <v>42950.625</v>
      </c>
      <c r="B624" s="2">
        <f ca="1">IFERROR(__xludf.DUMMYFUNCTION("""COMPUTED_VALUE"""),19050)</f>
        <v>19050</v>
      </c>
      <c r="C624" s="2">
        <f ca="1">IFERROR(__xludf.DUMMYFUNCTION("""COMPUTED_VALUE"""),19050)</f>
        <v>19050</v>
      </c>
      <c r="D624" s="2">
        <f ca="1">IFERROR(__xludf.DUMMYFUNCTION("""COMPUTED_VALUE"""),18550)</f>
        <v>18550</v>
      </c>
      <c r="E624" s="2">
        <f ca="1">IFERROR(__xludf.DUMMYFUNCTION("""COMPUTED_VALUE"""),18750)</f>
        <v>18750</v>
      </c>
      <c r="F624" s="2">
        <f ca="1">IFERROR(__xludf.DUMMYFUNCTION("""COMPUTED_VALUE"""),8783500)</f>
        <v>8783500</v>
      </c>
    </row>
    <row r="625" spans="1:6">
      <c r="A625" s="5">
        <f ca="1">IFERROR(__xludf.DUMMYFUNCTION("""COMPUTED_VALUE"""),42951.625)</f>
        <v>42951.625</v>
      </c>
      <c r="B625" s="2">
        <f ca="1">IFERROR(__xludf.DUMMYFUNCTION("""COMPUTED_VALUE"""),18750)</f>
        <v>18750</v>
      </c>
      <c r="C625" s="2">
        <f ca="1">IFERROR(__xludf.DUMMYFUNCTION("""COMPUTED_VALUE"""),18750)</f>
        <v>18750</v>
      </c>
      <c r="D625" s="2">
        <f ca="1">IFERROR(__xludf.DUMMYFUNCTION("""COMPUTED_VALUE"""),18550)</f>
        <v>18550</v>
      </c>
      <c r="E625" s="2">
        <f ca="1">IFERROR(__xludf.DUMMYFUNCTION("""COMPUTED_VALUE"""),18575)</f>
        <v>18575</v>
      </c>
      <c r="F625" s="2">
        <f ca="1">IFERROR(__xludf.DUMMYFUNCTION("""COMPUTED_VALUE"""),14001400)</f>
        <v>14001400</v>
      </c>
    </row>
    <row r="626" spans="1:6">
      <c r="A626" s="5">
        <f ca="1">IFERROR(__xludf.DUMMYFUNCTION("""COMPUTED_VALUE"""),42954.625)</f>
        <v>42954.625</v>
      </c>
      <c r="B626" s="2">
        <f ca="1">IFERROR(__xludf.DUMMYFUNCTION("""COMPUTED_VALUE"""),18750)</f>
        <v>18750</v>
      </c>
      <c r="C626" s="2">
        <f ca="1">IFERROR(__xludf.DUMMYFUNCTION("""COMPUTED_VALUE"""),18750)</f>
        <v>18750</v>
      </c>
      <c r="D626" s="2">
        <f ca="1">IFERROR(__xludf.DUMMYFUNCTION("""COMPUTED_VALUE"""),18575)</f>
        <v>18575</v>
      </c>
      <c r="E626" s="2">
        <f ca="1">IFERROR(__xludf.DUMMYFUNCTION("""COMPUTED_VALUE"""),18625)</f>
        <v>18625</v>
      </c>
      <c r="F626" s="2">
        <f ca="1">IFERROR(__xludf.DUMMYFUNCTION("""COMPUTED_VALUE"""),11521800)</f>
        <v>11521800</v>
      </c>
    </row>
    <row r="627" spans="1:6">
      <c r="A627" s="5">
        <f ca="1">IFERROR(__xludf.DUMMYFUNCTION("""COMPUTED_VALUE"""),42955.625)</f>
        <v>42955.625</v>
      </c>
      <c r="B627" s="2">
        <f ca="1">IFERROR(__xludf.DUMMYFUNCTION("""COMPUTED_VALUE"""),18700)</f>
        <v>18700</v>
      </c>
      <c r="C627" s="2">
        <f ca="1">IFERROR(__xludf.DUMMYFUNCTION("""COMPUTED_VALUE"""),19050)</f>
        <v>19050</v>
      </c>
      <c r="D627" s="2">
        <f ca="1">IFERROR(__xludf.DUMMYFUNCTION("""COMPUTED_VALUE"""),18700)</f>
        <v>18700</v>
      </c>
      <c r="E627" s="2">
        <f ca="1">IFERROR(__xludf.DUMMYFUNCTION("""COMPUTED_VALUE"""),19000)</f>
        <v>19000</v>
      </c>
      <c r="F627" s="2">
        <f ca="1">IFERROR(__xludf.DUMMYFUNCTION("""COMPUTED_VALUE"""),11602600)</f>
        <v>11602600</v>
      </c>
    </row>
    <row r="628" spans="1:6">
      <c r="A628" s="5">
        <f ca="1">IFERROR(__xludf.DUMMYFUNCTION("""COMPUTED_VALUE"""),42956.625)</f>
        <v>42956.625</v>
      </c>
      <c r="B628" s="2">
        <f ca="1">IFERROR(__xludf.DUMMYFUNCTION("""COMPUTED_VALUE"""),19025)</f>
        <v>19025</v>
      </c>
      <c r="C628" s="2">
        <f ca="1">IFERROR(__xludf.DUMMYFUNCTION("""COMPUTED_VALUE"""),19025)</f>
        <v>19025</v>
      </c>
      <c r="D628" s="2">
        <f ca="1">IFERROR(__xludf.DUMMYFUNCTION("""COMPUTED_VALUE"""),18750)</f>
        <v>18750</v>
      </c>
      <c r="E628" s="2">
        <f ca="1">IFERROR(__xludf.DUMMYFUNCTION("""COMPUTED_VALUE"""),18975)</f>
        <v>18975</v>
      </c>
      <c r="F628" s="2">
        <f ca="1">IFERROR(__xludf.DUMMYFUNCTION("""COMPUTED_VALUE"""),12467100)</f>
        <v>12467100</v>
      </c>
    </row>
    <row r="629" spans="1:6">
      <c r="A629" s="5">
        <f ca="1">IFERROR(__xludf.DUMMYFUNCTION("""COMPUTED_VALUE"""),42957.625)</f>
        <v>42957.625</v>
      </c>
      <c r="B629" s="2">
        <f ca="1">IFERROR(__xludf.DUMMYFUNCTION("""COMPUTED_VALUE"""),19050)</f>
        <v>19050</v>
      </c>
      <c r="C629" s="2">
        <f ca="1">IFERROR(__xludf.DUMMYFUNCTION("""COMPUTED_VALUE"""),19050)</f>
        <v>19050</v>
      </c>
      <c r="D629" s="2">
        <f ca="1">IFERROR(__xludf.DUMMYFUNCTION("""COMPUTED_VALUE"""),18725)</f>
        <v>18725</v>
      </c>
      <c r="E629" s="2">
        <f ca="1">IFERROR(__xludf.DUMMYFUNCTION("""COMPUTED_VALUE"""),18825)</f>
        <v>18825</v>
      </c>
      <c r="F629" s="2">
        <f ca="1">IFERROR(__xludf.DUMMYFUNCTION("""COMPUTED_VALUE"""),7693300)</f>
        <v>7693300</v>
      </c>
    </row>
    <row r="630" spans="1:6">
      <c r="A630" s="5">
        <f ca="1">IFERROR(__xludf.DUMMYFUNCTION("""COMPUTED_VALUE"""),42958.625)</f>
        <v>42958.625</v>
      </c>
      <c r="B630" s="2">
        <f ca="1">IFERROR(__xludf.DUMMYFUNCTION("""COMPUTED_VALUE"""),18725)</f>
        <v>18725</v>
      </c>
      <c r="C630" s="2">
        <f ca="1">IFERROR(__xludf.DUMMYFUNCTION("""COMPUTED_VALUE"""),18825)</f>
        <v>18825</v>
      </c>
      <c r="D630" s="2">
        <f ca="1">IFERROR(__xludf.DUMMYFUNCTION("""COMPUTED_VALUE"""),18575)</f>
        <v>18575</v>
      </c>
      <c r="E630" s="2">
        <f ca="1">IFERROR(__xludf.DUMMYFUNCTION("""COMPUTED_VALUE"""),18675)</f>
        <v>18675</v>
      </c>
      <c r="F630" s="2">
        <f ca="1">IFERROR(__xludf.DUMMYFUNCTION("""COMPUTED_VALUE"""),13767400)</f>
        <v>13767400</v>
      </c>
    </row>
    <row r="631" spans="1:6">
      <c r="A631" s="5">
        <f ca="1">IFERROR(__xludf.DUMMYFUNCTION("""COMPUTED_VALUE"""),42961.625)</f>
        <v>42961.625</v>
      </c>
      <c r="B631" s="2">
        <f ca="1">IFERROR(__xludf.DUMMYFUNCTION("""COMPUTED_VALUE"""),18675)</f>
        <v>18675</v>
      </c>
      <c r="C631" s="2">
        <f ca="1">IFERROR(__xludf.DUMMYFUNCTION("""COMPUTED_VALUE"""),18825)</f>
        <v>18825</v>
      </c>
      <c r="D631" s="2">
        <f ca="1">IFERROR(__xludf.DUMMYFUNCTION("""COMPUTED_VALUE"""),18650)</f>
        <v>18650</v>
      </c>
      <c r="E631" s="2">
        <f ca="1">IFERROR(__xludf.DUMMYFUNCTION("""COMPUTED_VALUE"""),18750)</f>
        <v>18750</v>
      </c>
      <c r="F631" s="2">
        <f ca="1">IFERROR(__xludf.DUMMYFUNCTION("""COMPUTED_VALUE"""),6450800)</f>
        <v>6450800</v>
      </c>
    </row>
    <row r="632" spans="1:6">
      <c r="A632" s="5">
        <f ca="1">IFERROR(__xludf.DUMMYFUNCTION("""COMPUTED_VALUE"""),42962.625)</f>
        <v>42962.625</v>
      </c>
      <c r="B632" s="2">
        <f ca="1">IFERROR(__xludf.DUMMYFUNCTION("""COMPUTED_VALUE"""),18700)</f>
        <v>18700</v>
      </c>
      <c r="C632" s="2">
        <f ca="1">IFERROR(__xludf.DUMMYFUNCTION("""COMPUTED_VALUE"""),18800)</f>
        <v>18800</v>
      </c>
      <c r="D632" s="2">
        <f ca="1">IFERROR(__xludf.DUMMYFUNCTION("""COMPUTED_VALUE"""),18500)</f>
        <v>18500</v>
      </c>
      <c r="E632" s="2">
        <f ca="1">IFERROR(__xludf.DUMMYFUNCTION("""COMPUTED_VALUE"""),18675)</f>
        <v>18675</v>
      </c>
      <c r="F632" s="2">
        <f ca="1">IFERROR(__xludf.DUMMYFUNCTION("""COMPUTED_VALUE"""),8562800)</f>
        <v>8562800</v>
      </c>
    </row>
    <row r="633" spans="1:6">
      <c r="A633" s="5">
        <f ca="1">IFERROR(__xludf.DUMMYFUNCTION("""COMPUTED_VALUE"""),42963.625)</f>
        <v>42963.625</v>
      </c>
      <c r="B633" s="2">
        <f ca="1">IFERROR(__xludf.DUMMYFUNCTION("""COMPUTED_VALUE"""),18725)</f>
        <v>18725</v>
      </c>
      <c r="C633" s="2">
        <f ca="1">IFERROR(__xludf.DUMMYFUNCTION("""COMPUTED_VALUE"""),18925)</f>
        <v>18925</v>
      </c>
      <c r="D633" s="2">
        <f ca="1">IFERROR(__xludf.DUMMYFUNCTION("""COMPUTED_VALUE"""),18650)</f>
        <v>18650</v>
      </c>
      <c r="E633" s="2">
        <f ca="1">IFERROR(__xludf.DUMMYFUNCTION("""COMPUTED_VALUE"""),18900)</f>
        <v>18900</v>
      </c>
      <c r="F633" s="2">
        <f ca="1">IFERROR(__xludf.DUMMYFUNCTION("""COMPUTED_VALUE"""),10837700)</f>
        <v>10837700</v>
      </c>
    </row>
    <row r="634" spans="1:6">
      <c r="A634" s="5">
        <f ca="1">IFERROR(__xludf.DUMMYFUNCTION("""COMPUTED_VALUE"""),42965.625)</f>
        <v>42965.625</v>
      </c>
      <c r="B634" s="2">
        <f ca="1">IFERROR(__xludf.DUMMYFUNCTION("""COMPUTED_VALUE"""),18750)</f>
        <v>18750</v>
      </c>
      <c r="C634" s="2">
        <f ca="1">IFERROR(__xludf.DUMMYFUNCTION("""COMPUTED_VALUE"""),18900)</f>
        <v>18900</v>
      </c>
      <c r="D634" s="2">
        <f ca="1">IFERROR(__xludf.DUMMYFUNCTION("""COMPUTED_VALUE"""),18625)</f>
        <v>18625</v>
      </c>
      <c r="E634" s="2">
        <f ca="1">IFERROR(__xludf.DUMMYFUNCTION("""COMPUTED_VALUE"""),18700)</f>
        <v>18700</v>
      </c>
      <c r="F634" s="2">
        <f ca="1">IFERROR(__xludf.DUMMYFUNCTION("""COMPUTED_VALUE"""),10888700)</f>
        <v>10888700</v>
      </c>
    </row>
    <row r="635" spans="1:6">
      <c r="A635" s="5">
        <f ca="1">IFERROR(__xludf.DUMMYFUNCTION("""COMPUTED_VALUE"""),42968.625)</f>
        <v>42968.625</v>
      </c>
      <c r="B635" s="2">
        <f ca="1">IFERROR(__xludf.DUMMYFUNCTION("""COMPUTED_VALUE"""),18800)</f>
        <v>18800</v>
      </c>
      <c r="C635" s="2">
        <f ca="1">IFERROR(__xludf.DUMMYFUNCTION("""COMPUTED_VALUE"""),18825)</f>
        <v>18825</v>
      </c>
      <c r="D635" s="2">
        <f ca="1">IFERROR(__xludf.DUMMYFUNCTION("""COMPUTED_VALUE"""),18700)</f>
        <v>18700</v>
      </c>
      <c r="E635" s="2">
        <f ca="1">IFERROR(__xludf.DUMMYFUNCTION("""COMPUTED_VALUE"""),18800)</f>
        <v>18800</v>
      </c>
      <c r="F635" s="2">
        <f ca="1">IFERROR(__xludf.DUMMYFUNCTION("""COMPUTED_VALUE"""),4146800)</f>
        <v>4146800</v>
      </c>
    </row>
    <row r="636" spans="1:6">
      <c r="A636" s="5">
        <f ca="1">IFERROR(__xludf.DUMMYFUNCTION("""COMPUTED_VALUE"""),42969.625)</f>
        <v>42969.625</v>
      </c>
      <c r="B636" s="2">
        <f ca="1">IFERROR(__xludf.DUMMYFUNCTION("""COMPUTED_VALUE"""),18800)</f>
        <v>18800</v>
      </c>
      <c r="C636" s="2">
        <f ca="1">IFERROR(__xludf.DUMMYFUNCTION("""COMPUTED_VALUE"""),18875)</f>
        <v>18875</v>
      </c>
      <c r="D636" s="2">
        <f ca="1">IFERROR(__xludf.DUMMYFUNCTION("""COMPUTED_VALUE"""),18800)</f>
        <v>18800</v>
      </c>
      <c r="E636" s="2">
        <f ca="1">IFERROR(__xludf.DUMMYFUNCTION("""COMPUTED_VALUE"""),18800)</f>
        <v>18800</v>
      </c>
      <c r="F636" s="2">
        <f ca="1">IFERROR(__xludf.DUMMYFUNCTION("""COMPUTED_VALUE"""),7163400)</f>
        <v>7163400</v>
      </c>
    </row>
    <row r="637" spans="1:6">
      <c r="A637" s="5">
        <f ca="1">IFERROR(__xludf.DUMMYFUNCTION("""COMPUTED_VALUE"""),42970.625)</f>
        <v>42970.625</v>
      </c>
      <c r="B637" s="2">
        <f ca="1">IFERROR(__xludf.DUMMYFUNCTION("""COMPUTED_VALUE"""),18900)</f>
        <v>18900</v>
      </c>
      <c r="C637" s="2">
        <f ca="1">IFERROR(__xludf.DUMMYFUNCTION("""COMPUTED_VALUE"""),19150)</f>
        <v>19150</v>
      </c>
      <c r="D637" s="2">
        <f ca="1">IFERROR(__xludf.DUMMYFUNCTION("""COMPUTED_VALUE"""),18850)</f>
        <v>18850</v>
      </c>
      <c r="E637" s="2">
        <f ca="1">IFERROR(__xludf.DUMMYFUNCTION("""COMPUTED_VALUE"""),19150)</f>
        <v>19150</v>
      </c>
      <c r="F637" s="2">
        <f ca="1">IFERROR(__xludf.DUMMYFUNCTION("""COMPUTED_VALUE"""),9715300)</f>
        <v>9715300</v>
      </c>
    </row>
    <row r="638" spans="1:6">
      <c r="A638" s="5">
        <f ca="1">IFERROR(__xludf.DUMMYFUNCTION("""COMPUTED_VALUE"""),42971.625)</f>
        <v>42971.625</v>
      </c>
      <c r="B638" s="2">
        <f ca="1">IFERROR(__xludf.DUMMYFUNCTION("""COMPUTED_VALUE"""),19150)</f>
        <v>19150</v>
      </c>
      <c r="C638" s="2">
        <f ca="1">IFERROR(__xludf.DUMMYFUNCTION("""COMPUTED_VALUE"""),19150)</f>
        <v>19150</v>
      </c>
      <c r="D638" s="2">
        <f ca="1">IFERROR(__xludf.DUMMYFUNCTION("""COMPUTED_VALUE"""),18875)</f>
        <v>18875</v>
      </c>
      <c r="E638" s="2">
        <f ca="1">IFERROR(__xludf.DUMMYFUNCTION("""COMPUTED_VALUE"""),18950)</f>
        <v>18950</v>
      </c>
      <c r="F638" s="2">
        <f ca="1">IFERROR(__xludf.DUMMYFUNCTION("""COMPUTED_VALUE"""),11528200)</f>
        <v>11528200</v>
      </c>
    </row>
    <row r="639" spans="1:6">
      <c r="A639" s="5">
        <f ca="1">IFERROR(__xludf.DUMMYFUNCTION("""COMPUTED_VALUE"""),42972.625)</f>
        <v>42972.625</v>
      </c>
      <c r="B639" s="2">
        <f ca="1">IFERROR(__xludf.DUMMYFUNCTION("""COMPUTED_VALUE"""),19100)</f>
        <v>19100</v>
      </c>
      <c r="C639" s="2">
        <f ca="1">IFERROR(__xludf.DUMMYFUNCTION("""COMPUTED_VALUE"""),19200)</f>
        <v>19200</v>
      </c>
      <c r="D639" s="2">
        <f ca="1">IFERROR(__xludf.DUMMYFUNCTION("""COMPUTED_VALUE"""),18975)</f>
        <v>18975</v>
      </c>
      <c r="E639" s="2">
        <f ca="1">IFERROR(__xludf.DUMMYFUNCTION("""COMPUTED_VALUE"""),19100)</f>
        <v>19100</v>
      </c>
      <c r="F639" s="2">
        <f ca="1">IFERROR(__xludf.DUMMYFUNCTION("""COMPUTED_VALUE"""),8771100)</f>
        <v>8771100</v>
      </c>
    </row>
    <row r="640" spans="1:6">
      <c r="A640" s="5">
        <f ca="1">IFERROR(__xludf.DUMMYFUNCTION("""COMPUTED_VALUE"""),42975.625)</f>
        <v>42975.625</v>
      </c>
      <c r="B640" s="2">
        <f ca="1">IFERROR(__xludf.DUMMYFUNCTION("""COMPUTED_VALUE"""),18900)</f>
        <v>18900</v>
      </c>
      <c r="C640" s="2">
        <f ca="1">IFERROR(__xludf.DUMMYFUNCTION("""COMPUTED_VALUE"""),19100)</f>
        <v>19100</v>
      </c>
      <c r="D640" s="2">
        <f ca="1">IFERROR(__xludf.DUMMYFUNCTION("""COMPUTED_VALUE"""),18875)</f>
        <v>18875</v>
      </c>
      <c r="E640" s="2">
        <f ca="1">IFERROR(__xludf.DUMMYFUNCTION("""COMPUTED_VALUE"""),19075)</f>
        <v>19075</v>
      </c>
      <c r="F640" s="2">
        <f ca="1">IFERROR(__xludf.DUMMYFUNCTION("""COMPUTED_VALUE"""),5768100)</f>
        <v>5768100</v>
      </c>
    </row>
    <row r="641" spans="1:6">
      <c r="A641" s="5">
        <f ca="1">IFERROR(__xludf.DUMMYFUNCTION("""COMPUTED_VALUE"""),42976.625)</f>
        <v>42976.625</v>
      </c>
      <c r="B641" s="2">
        <f ca="1">IFERROR(__xludf.DUMMYFUNCTION("""COMPUTED_VALUE"""),19050)</f>
        <v>19050</v>
      </c>
      <c r="C641" s="2">
        <f ca="1">IFERROR(__xludf.DUMMYFUNCTION("""COMPUTED_VALUE"""),19075)</f>
        <v>19075</v>
      </c>
      <c r="D641" s="2">
        <f ca="1">IFERROR(__xludf.DUMMYFUNCTION("""COMPUTED_VALUE"""),18900)</f>
        <v>18900</v>
      </c>
      <c r="E641" s="2">
        <f ca="1">IFERROR(__xludf.DUMMYFUNCTION("""COMPUTED_VALUE"""),19075)</f>
        <v>19075</v>
      </c>
      <c r="F641" s="2">
        <f ca="1">IFERROR(__xludf.DUMMYFUNCTION("""COMPUTED_VALUE"""),6431000)</f>
        <v>6431000</v>
      </c>
    </row>
    <row r="642" spans="1:6">
      <c r="A642" s="5">
        <f ca="1">IFERROR(__xludf.DUMMYFUNCTION("""COMPUTED_VALUE"""),42977.625)</f>
        <v>42977.625</v>
      </c>
      <c r="B642" s="2">
        <f ca="1">IFERROR(__xludf.DUMMYFUNCTION("""COMPUTED_VALUE"""),19200)</f>
        <v>19200</v>
      </c>
      <c r="C642" s="2">
        <f ca="1">IFERROR(__xludf.DUMMYFUNCTION("""COMPUTED_VALUE"""),19200)</f>
        <v>19200</v>
      </c>
      <c r="D642" s="2">
        <f ca="1">IFERROR(__xludf.DUMMYFUNCTION("""COMPUTED_VALUE"""),18925)</f>
        <v>18925</v>
      </c>
      <c r="E642" s="2">
        <f ca="1">IFERROR(__xludf.DUMMYFUNCTION("""COMPUTED_VALUE"""),19100)</f>
        <v>19100</v>
      </c>
      <c r="F642" s="2">
        <f ca="1">IFERROR(__xludf.DUMMYFUNCTION("""COMPUTED_VALUE"""),8450800)</f>
        <v>8450800</v>
      </c>
    </row>
    <row r="643" spans="1:6">
      <c r="A643" s="5">
        <f ca="1">IFERROR(__xludf.DUMMYFUNCTION("""COMPUTED_VALUE"""),42978.625)</f>
        <v>42978.625</v>
      </c>
      <c r="B643" s="2">
        <f ca="1">IFERROR(__xludf.DUMMYFUNCTION("""COMPUTED_VALUE"""),18950)</f>
        <v>18950</v>
      </c>
      <c r="C643" s="2">
        <f ca="1">IFERROR(__xludf.DUMMYFUNCTION("""COMPUTED_VALUE"""),19200)</f>
        <v>19200</v>
      </c>
      <c r="D643" s="2">
        <f ca="1">IFERROR(__xludf.DUMMYFUNCTION("""COMPUTED_VALUE"""),18950)</f>
        <v>18950</v>
      </c>
      <c r="E643" s="2">
        <f ca="1">IFERROR(__xludf.DUMMYFUNCTION("""COMPUTED_VALUE"""),18950)</f>
        <v>18950</v>
      </c>
      <c r="F643" s="2">
        <f ca="1">IFERROR(__xludf.DUMMYFUNCTION("""COMPUTED_VALUE"""),13122100)</f>
        <v>13122100</v>
      </c>
    </row>
    <row r="644" spans="1:6">
      <c r="A644" s="5">
        <f ca="1">IFERROR(__xludf.DUMMYFUNCTION("""COMPUTED_VALUE"""),42982.625)</f>
        <v>42982.625</v>
      </c>
      <c r="B644" s="2">
        <f ca="1">IFERROR(__xludf.DUMMYFUNCTION("""COMPUTED_VALUE"""),18975)</f>
        <v>18975</v>
      </c>
      <c r="C644" s="2">
        <f ca="1">IFERROR(__xludf.DUMMYFUNCTION("""COMPUTED_VALUE"""),19000)</f>
        <v>19000</v>
      </c>
      <c r="D644" s="2">
        <f ca="1">IFERROR(__xludf.DUMMYFUNCTION("""COMPUTED_VALUE"""),18700)</f>
        <v>18700</v>
      </c>
      <c r="E644" s="2">
        <f ca="1">IFERROR(__xludf.DUMMYFUNCTION("""COMPUTED_VALUE"""),18875)</f>
        <v>18875</v>
      </c>
      <c r="F644" s="2">
        <f ca="1">IFERROR(__xludf.DUMMYFUNCTION("""COMPUTED_VALUE"""),7442700)</f>
        <v>7442700</v>
      </c>
    </row>
    <row r="645" spans="1:6">
      <c r="A645" s="5">
        <f ca="1">IFERROR(__xludf.DUMMYFUNCTION("""COMPUTED_VALUE"""),42983.625)</f>
        <v>42983.625</v>
      </c>
      <c r="B645" s="2">
        <f ca="1">IFERROR(__xludf.DUMMYFUNCTION("""COMPUTED_VALUE"""),19000)</f>
        <v>19000</v>
      </c>
      <c r="C645" s="2">
        <f ca="1">IFERROR(__xludf.DUMMYFUNCTION("""COMPUTED_VALUE"""),19000)</f>
        <v>19000</v>
      </c>
      <c r="D645" s="2">
        <f ca="1">IFERROR(__xludf.DUMMYFUNCTION("""COMPUTED_VALUE"""),18675)</f>
        <v>18675</v>
      </c>
      <c r="E645" s="2">
        <f ca="1">IFERROR(__xludf.DUMMYFUNCTION("""COMPUTED_VALUE"""),19000)</f>
        <v>19000</v>
      </c>
      <c r="F645" s="2">
        <f ca="1">IFERROR(__xludf.DUMMYFUNCTION("""COMPUTED_VALUE"""),14740300)</f>
        <v>14740300</v>
      </c>
    </row>
    <row r="646" spans="1:6">
      <c r="A646" s="5">
        <f ca="1">IFERROR(__xludf.DUMMYFUNCTION("""COMPUTED_VALUE"""),42984.625)</f>
        <v>42984.625</v>
      </c>
      <c r="B646" s="2">
        <f ca="1">IFERROR(__xludf.DUMMYFUNCTION("""COMPUTED_VALUE"""),19000)</f>
        <v>19000</v>
      </c>
      <c r="C646" s="2">
        <f ca="1">IFERROR(__xludf.DUMMYFUNCTION("""COMPUTED_VALUE"""),19025)</f>
        <v>19025</v>
      </c>
      <c r="D646" s="2">
        <f ca="1">IFERROR(__xludf.DUMMYFUNCTION("""COMPUTED_VALUE"""),18800)</f>
        <v>18800</v>
      </c>
      <c r="E646" s="2">
        <f ca="1">IFERROR(__xludf.DUMMYFUNCTION("""COMPUTED_VALUE"""),18900)</f>
        <v>18900</v>
      </c>
      <c r="F646" s="2">
        <f ca="1">IFERROR(__xludf.DUMMYFUNCTION("""COMPUTED_VALUE"""),11954200)</f>
        <v>11954200</v>
      </c>
    </row>
    <row r="647" spans="1:6">
      <c r="A647" s="5">
        <f ca="1">IFERROR(__xludf.DUMMYFUNCTION("""COMPUTED_VALUE"""),42985.625)</f>
        <v>42985.625</v>
      </c>
      <c r="B647" s="2">
        <f ca="1">IFERROR(__xludf.DUMMYFUNCTION("""COMPUTED_VALUE"""),19100)</f>
        <v>19100</v>
      </c>
      <c r="C647" s="2">
        <f ca="1">IFERROR(__xludf.DUMMYFUNCTION("""COMPUTED_VALUE"""),19100)</f>
        <v>19100</v>
      </c>
      <c r="D647" s="2">
        <f ca="1">IFERROR(__xludf.DUMMYFUNCTION("""COMPUTED_VALUE"""),18750)</f>
        <v>18750</v>
      </c>
      <c r="E647" s="2">
        <f ca="1">IFERROR(__xludf.DUMMYFUNCTION("""COMPUTED_VALUE"""),18950)</f>
        <v>18950</v>
      </c>
      <c r="F647" s="2">
        <f ca="1">IFERROR(__xludf.DUMMYFUNCTION("""COMPUTED_VALUE"""),8992800)</f>
        <v>8992800</v>
      </c>
    </row>
    <row r="648" spans="1:6">
      <c r="A648" s="5">
        <f ca="1">IFERROR(__xludf.DUMMYFUNCTION("""COMPUTED_VALUE"""),42986.625)</f>
        <v>42986.625</v>
      </c>
      <c r="B648" s="2">
        <f ca="1">IFERROR(__xludf.DUMMYFUNCTION("""COMPUTED_VALUE"""),18725)</f>
        <v>18725</v>
      </c>
      <c r="C648" s="2">
        <f ca="1">IFERROR(__xludf.DUMMYFUNCTION("""COMPUTED_VALUE"""),19025)</f>
        <v>19025</v>
      </c>
      <c r="D648" s="2">
        <f ca="1">IFERROR(__xludf.DUMMYFUNCTION("""COMPUTED_VALUE"""),18700)</f>
        <v>18700</v>
      </c>
      <c r="E648" s="2">
        <f ca="1">IFERROR(__xludf.DUMMYFUNCTION("""COMPUTED_VALUE"""),18850)</f>
        <v>18850</v>
      </c>
      <c r="F648" s="2">
        <f ca="1">IFERROR(__xludf.DUMMYFUNCTION("""COMPUTED_VALUE"""),10316600)</f>
        <v>10316600</v>
      </c>
    </row>
    <row r="649" spans="1:6">
      <c r="A649" s="5">
        <f ca="1">IFERROR(__xludf.DUMMYFUNCTION("""COMPUTED_VALUE"""),42989.625)</f>
        <v>42989.625</v>
      </c>
      <c r="B649" s="2">
        <f ca="1">IFERROR(__xludf.DUMMYFUNCTION("""COMPUTED_VALUE"""),18975)</f>
        <v>18975</v>
      </c>
      <c r="C649" s="2">
        <f ca="1">IFERROR(__xludf.DUMMYFUNCTION("""COMPUTED_VALUE"""),19025)</f>
        <v>19025</v>
      </c>
      <c r="D649" s="2">
        <f ca="1">IFERROR(__xludf.DUMMYFUNCTION("""COMPUTED_VALUE"""),18900)</f>
        <v>18900</v>
      </c>
      <c r="E649" s="2">
        <f ca="1">IFERROR(__xludf.DUMMYFUNCTION("""COMPUTED_VALUE"""),18900)</f>
        <v>18900</v>
      </c>
      <c r="F649" s="2">
        <f ca="1">IFERROR(__xludf.DUMMYFUNCTION("""COMPUTED_VALUE"""),7299300)</f>
        <v>7299300</v>
      </c>
    </row>
    <row r="650" spans="1:6">
      <c r="A650" s="5">
        <f ca="1">IFERROR(__xludf.DUMMYFUNCTION("""COMPUTED_VALUE"""),42990.625)</f>
        <v>42990.625</v>
      </c>
      <c r="B650" s="2">
        <f ca="1">IFERROR(__xludf.DUMMYFUNCTION("""COMPUTED_VALUE"""),18950)</f>
        <v>18950</v>
      </c>
      <c r="C650" s="2">
        <f ca="1">IFERROR(__xludf.DUMMYFUNCTION("""COMPUTED_VALUE"""),19100)</f>
        <v>19100</v>
      </c>
      <c r="D650" s="2">
        <f ca="1">IFERROR(__xludf.DUMMYFUNCTION("""COMPUTED_VALUE"""),18925)</f>
        <v>18925</v>
      </c>
      <c r="E650" s="2">
        <f ca="1">IFERROR(__xludf.DUMMYFUNCTION("""COMPUTED_VALUE"""),19025)</f>
        <v>19025</v>
      </c>
      <c r="F650" s="2">
        <f ca="1">IFERROR(__xludf.DUMMYFUNCTION("""COMPUTED_VALUE"""),10445000)</f>
        <v>10445000</v>
      </c>
    </row>
    <row r="651" spans="1:6">
      <c r="A651" s="5">
        <f ca="1">IFERROR(__xludf.DUMMYFUNCTION("""COMPUTED_VALUE"""),42991.625)</f>
        <v>42991.625</v>
      </c>
      <c r="B651" s="2">
        <f ca="1">IFERROR(__xludf.DUMMYFUNCTION("""COMPUTED_VALUE"""),18850)</f>
        <v>18850</v>
      </c>
      <c r="C651" s="2">
        <f ca="1">IFERROR(__xludf.DUMMYFUNCTION("""COMPUTED_VALUE"""),19125)</f>
        <v>19125</v>
      </c>
      <c r="D651" s="2">
        <f ca="1">IFERROR(__xludf.DUMMYFUNCTION("""COMPUTED_VALUE"""),18850)</f>
        <v>18850</v>
      </c>
      <c r="E651" s="2">
        <f ca="1">IFERROR(__xludf.DUMMYFUNCTION("""COMPUTED_VALUE"""),19050)</f>
        <v>19050</v>
      </c>
      <c r="F651" s="2">
        <f ca="1">IFERROR(__xludf.DUMMYFUNCTION("""COMPUTED_VALUE"""),5967000)</f>
        <v>5967000</v>
      </c>
    </row>
    <row r="652" spans="1:6">
      <c r="A652" s="5">
        <f ca="1">IFERROR(__xludf.DUMMYFUNCTION("""COMPUTED_VALUE"""),42992.625)</f>
        <v>42992.625</v>
      </c>
      <c r="B652" s="2">
        <f ca="1">IFERROR(__xludf.DUMMYFUNCTION("""COMPUTED_VALUE"""),19125)</f>
        <v>19125</v>
      </c>
      <c r="C652" s="2">
        <f ca="1">IFERROR(__xludf.DUMMYFUNCTION("""COMPUTED_VALUE"""),19150)</f>
        <v>19150</v>
      </c>
      <c r="D652" s="2">
        <f ca="1">IFERROR(__xludf.DUMMYFUNCTION("""COMPUTED_VALUE"""),19050)</f>
        <v>19050</v>
      </c>
      <c r="E652" s="2">
        <f ca="1">IFERROR(__xludf.DUMMYFUNCTION("""COMPUTED_VALUE"""),19100)</f>
        <v>19100</v>
      </c>
      <c r="F652" s="2">
        <f ca="1">IFERROR(__xludf.DUMMYFUNCTION("""COMPUTED_VALUE"""),7550800)</f>
        <v>7550800</v>
      </c>
    </row>
    <row r="653" spans="1:6">
      <c r="A653" s="5">
        <f ca="1">IFERROR(__xludf.DUMMYFUNCTION("""COMPUTED_VALUE"""),42993.625)</f>
        <v>42993.625</v>
      </c>
      <c r="B653" s="2">
        <f ca="1">IFERROR(__xludf.DUMMYFUNCTION("""COMPUTED_VALUE"""),19000)</f>
        <v>19000</v>
      </c>
      <c r="C653" s="2">
        <f ca="1">IFERROR(__xludf.DUMMYFUNCTION("""COMPUTED_VALUE"""),19025)</f>
        <v>19025</v>
      </c>
      <c r="D653" s="2">
        <f ca="1">IFERROR(__xludf.DUMMYFUNCTION("""COMPUTED_VALUE"""),18825)</f>
        <v>18825</v>
      </c>
      <c r="E653" s="2">
        <f ca="1">IFERROR(__xludf.DUMMYFUNCTION("""COMPUTED_VALUE"""),18875)</f>
        <v>18875</v>
      </c>
      <c r="F653" s="2">
        <f ca="1">IFERROR(__xludf.DUMMYFUNCTION("""COMPUTED_VALUE"""),32694700)</f>
        <v>32694700</v>
      </c>
    </row>
    <row r="654" spans="1:6">
      <c r="A654" s="5">
        <f ca="1">IFERROR(__xludf.DUMMYFUNCTION("""COMPUTED_VALUE"""),42996.625)</f>
        <v>42996.625</v>
      </c>
      <c r="B654" s="2">
        <f ca="1">IFERROR(__xludf.DUMMYFUNCTION("""COMPUTED_VALUE"""),19000)</f>
        <v>19000</v>
      </c>
      <c r="C654" s="2">
        <f ca="1">IFERROR(__xludf.DUMMYFUNCTION("""COMPUTED_VALUE"""),19000)</f>
        <v>19000</v>
      </c>
      <c r="D654" s="2">
        <f ca="1">IFERROR(__xludf.DUMMYFUNCTION("""COMPUTED_VALUE"""),18825)</f>
        <v>18825</v>
      </c>
      <c r="E654" s="2">
        <f ca="1">IFERROR(__xludf.DUMMYFUNCTION("""COMPUTED_VALUE"""),18975)</f>
        <v>18975</v>
      </c>
      <c r="F654" s="2">
        <f ca="1">IFERROR(__xludf.DUMMYFUNCTION("""COMPUTED_VALUE"""),6180700)</f>
        <v>6180700</v>
      </c>
    </row>
    <row r="655" spans="1:6">
      <c r="A655" s="5">
        <f ca="1">IFERROR(__xludf.DUMMYFUNCTION("""COMPUTED_VALUE"""),42997.625)</f>
        <v>42997.625</v>
      </c>
      <c r="B655" s="2">
        <f ca="1">IFERROR(__xludf.DUMMYFUNCTION("""COMPUTED_VALUE"""),18850)</f>
        <v>18850</v>
      </c>
      <c r="C655" s="2">
        <f ca="1">IFERROR(__xludf.DUMMYFUNCTION("""COMPUTED_VALUE"""),19175)</f>
        <v>19175</v>
      </c>
      <c r="D655" s="2">
        <f ca="1">IFERROR(__xludf.DUMMYFUNCTION("""COMPUTED_VALUE"""),18825)</f>
        <v>18825</v>
      </c>
      <c r="E655" s="2">
        <f ca="1">IFERROR(__xludf.DUMMYFUNCTION("""COMPUTED_VALUE"""),19075)</f>
        <v>19075</v>
      </c>
      <c r="F655" s="2">
        <f ca="1">IFERROR(__xludf.DUMMYFUNCTION("""COMPUTED_VALUE"""),11915900)</f>
        <v>11915900</v>
      </c>
    </row>
    <row r="656" spans="1:6">
      <c r="A656" s="5">
        <f ca="1">IFERROR(__xludf.DUMMYFUNCTION("""COMPUTED_VALUE"""),42998.625)</f>
        <v>42998.625</v>
      </c>
      <c r="B656" s="2">
        <f ca="1">IFERROR(__xludf.DUMMYFUNCTION("""COMPUTED_VALUE"""),19100)</f>
        <v>19100</v>
      </c>
      <c r="C656" s="2">
        <f ca="1">IFERROR(__xludf.DUMMYFUNCTION("""COMPUTED_VALUE"""),19100)</f>
        <v>19100</v>
      </c>
      <c r="D656" s="2">
        <f ca="1">IFERROR(__xludf.DUMMYFUNCTION("""COMPUTED_VALUE"""),18975)</f>
        <v>18975</v>
      </c>
      <c r="E656" s="2">
        <f ca="1">IFERROR(__xludf.DUMMYFUNCTION("""COMPUTED_VALUE"""),19050)</f>
        <v>19050</v>
      </c>
      <c r="F656" s="2">
        <f ca="1">IFERROR(__xludf.DUMMYFUNCTION("""COMPUTED_VALUE"""),15276400)</f>
        <v>15276400</v>
      </c>
    </row>
    <row r="657" spans="1:6">
      <c r="A657" s="5">
        <f ca="1">IFERROR(__xludf.DUMMYFUNCTION("""COMPUTED_VALUE"""),43000.625)</f>
        <v>43000.625</v>
      </c>
      <c r="B657" s="2">
        <f ca="1">IFERROR(__xludf.DUMMYFUNCTION("""COMPUTED_VALUE"""),19100)</f>
        <v>19100</v>
      </c>
      <c r="C657" s="2">
        <f ca="1">IFERROR(__xludf.DUMMYFUNCTION("""COMPUTED_VALUE"""),19975)</f>
        <v>19975</v>
      </c>
      <c r="D657" s="2">
        <f ca="1">IFERROR(__xludf.DUMMYFUNCTION("""COMPUTED_VALUE"""),19025)</f>
        <v>19025</v>
      </c>
      <c r="E657" s="2">
        <f ca="1">IFERROR(__xludf.DUMMYFUNCTION("""COMPUTED_VALUE"""),19875)</f>
        <v>19875</v>
      </c>
      <c r="F657" s="2">
        <f ca="1">IFERROR(__xludf.DUMMYFUNCTION("""COMPUTED_VALUE"""),25174200)</f>
        <v>25174200</v>
      </c>
    </row>
    <row r="658" spans="1:6">
      <c r="A658" s="5">
        <f ca="1">IFERROR(__xludf.DUMMYFUNCTION("""COMPUTED_VALUE"""),43003.625)</f>
        <v>43003.625</v>
      </c>
      <c r="B658" s="2">
        <f ca="1">IFERROR(__xludf.DUMMYFUNCTION("""COMPUTED_VALUE"""),19750)</f>
        <v>19750</v>
      </c>
      <c r="C658" s="2">
        <f ca="1">IFERROR(__xludf.DUMMYFUNCTION("""COMPUTED_VALUE"""),19800)</f>
        <v>19800</v>
      </c>
      <c r="D658" s="2">
        <f ca="1">IFERROR(__xludf.DUMMYFUNCTION("""COMPUTED_VALUE"""),19625)</f>
        <v>19625</v>
      </c>
      <c r="E658" s="2">
        <f ca="1">IFERROR(__xludf.DUMMYFUNCTION("""COMPUTED_VALUE"""),19675)</f>
        <v>19675</v>
      </c>
      <c r="F658" s="2">
        <f ca="1">IFERROR(__xludf.DUMMYFUNCTION("""COMPUTED_VALUE"""),19509900)</f>
        <v>19509900</v>
      </c>
    </row>
    <row r="659" spans="1:6">
      <c r="A659" s="5">
        <f ca="1">IFERROR(__xludf.DUMMYFUNCTION("""COMPUTED_VALUE"""),43004.625)</f>
        <v>43004.625</v>
      </c>
      <c r="B659" s="2">
        <f ca="1">IFERROR(__xludf.DUMMYFUNCTION("""COMPUTED_VALUE"""),19675)</f>
        <v>19675</v>
      </c>
      <c r="C659" s="2">
        <f ca="1">IFERROR(__xludf.DUMMYFUNCTION("""COMPUTED_VALUE"""),19775)</f>
        <v>19775</v>
      </c>
      <c r="D659" s="2">
        <f ca="1">IFERROR(__xludf.DUMMYFUNCTION("""COMPUTED_VALUE"""),19600)</f>
        <v>19600</v>
      </c>
      <c r="E659" s="2">
        <f ca="1">IFERROR(__xludf.DUMMYFUNCTION("""COMPUTED_VALUE"""),19650)</f>
        <v>19650</v>
      </c>
      <c r="F659" s="2">
        <f ca="1">IFERROR(__xludf.DUMMYFUNCTION("""COMPUTED_VALUE"""),19986900)</f>
        <v>19986900</v>
      </c>
    </row>
    <row r="660" spans="1:6">
      <c r="A660" s="5">
        <f ca="1">IFERROR(__xludf.DUMMYFUNCTION("""COMPUTED_VALUE"""),43005.625)</f>
        <v>43005.625</v>
      </c>
      <c r="B660" s="2">
        <f ca="1">IFERROR(__xludf.DUMMYFUNCTION("""COMPUTED_VALUE"""),19800)</f>
        <v>19800</v>
      </c>
      <c r="C660" s="2">
        <f ca="1">IFERROR(__xludf.DUMMYFUNCTION("""COMPUTED_VALUE"""),19800)</f>
        <v>19800</v>
      </c>
      <c r="D660" s="2">
        <f ca="1">IFERROR(__xludf.DUMMYFUNCTION("""COMPUTED_VALUE"""),19650)</f>
        <v>19650</v>
      </c>
      <c r="E660" s="2">
        <f ca="1">IFERROR(__xludf.DUMMYFUNCTION("""COMPUTED_VALUE"""),19750)</f>
        <v>19750</v>
      </c>
      <c r="F660" s="2">
        <f ca="1">IFERROR(__xludf.DUMMYFUNCTION("""COMPUTED_VALUE"""),24434700)</f>
        <v>24434700</v>
      </c>
    </row>
    <row r="661" spans="1:6">
      <c r="A661" s="5">
        <f ca="1">IFERROR(__xludf.DUMMYFUNCTION("""COMPUTED_VALUE"""),43006.625)</f>
        <v>43006.625</v>
      </c>
      <c r="B661" s="2">
        <f ca="1">IFERROR(__xludf.DUMMYFUNCTION("""COMPUTED_VALUE"""),19825)</f>
        <v>19825</v>
      </c>
      <c r="C661" s="2">
        <f ca="1">IFERROR(__xludf.DUMMYFUNCTION("""COMPUTED_VALUE"""),19850)</f>
        <v>19850</v>
      </c>
      <c r="D661" s="2">
        <f ca="1">IFERROR(__xludf.DUMMYFUNCTION("""COMPUTED_VALUE"""),19650)</f>
        <v>19650</v>
      </c>
      <c r="E661" s="2">
        <f ca="1">IFERROR(__xludf.DUMMYFUNCTION("""COMPUTED_VALUE"""),19825)</f>
        <v>19825</v>
      </c>
      <c r="F661" s="2">
        <f ca="1">IFERROR(__xludf.DUMMYFUNCTION("""COMPUTED_VALUE"""),20340700)</f>
        <v>20340700</v>
      </c>
    </row>
    <row r="662" spans="1:6">
      <c r="A662" s="5">
        <f ca="1">IFERROR(__xludf.DUMMYFUNCTION("""COMPUTED_VALUE"""),43007.625)</f>
        <v>43007.625</v>
      </c>
      <c r="B662" s="2">
        <f ca="1">IFERROR(__xludf.DUMMYFUNCTION("""COMPUTED_VALUE"""),19975)</f>
        <v>19975</v>
      </c>
      <c r="C662" s="2">
        <f ca="1">IFERROR(__xludf.DUMMYFUNCTION("""COMPUTED_VALUE"""),20375)</f>
        <v>20375</v>
      </c>
      <c r="D662" s="2">
        <f ca="1">IFERROR(__xludf.DUMMYFUNCTION("""COMPUTED_VALUE"""),19825)</f>
        <v>19825</v>
      </c>
      <c r="E662" s="2">
        <f ca="1">IFERROR(__xludf.DUMMYFUNCTION("""COMPUTED_VALUE"""),20300)</f>
        <v>20300</v>
      </c>
      <c r="F662" s="2">
        <f ca="1">IFERROR(__xludf.DUMMYFUNCTION("""COMPUTED_VALUE"""),37720500)</f>
        <v>37720500</v>
      </c>
    </row>
    <row r="663" spans="1:6">
      <c r="A663" s="5">
        <f ca="1">IFERROR(__xludf.DUMMYFUNCTION("""COMPUTED_VALUE"""),43010.625)</f>
        <v>43010.625</v>
      </c>
      <c r="B663" s="2">
        <f ca="1">IFERROR(__xludf.DUMMYFUNCTION("""COMPUTED_VALUE"""),20550)</f>
        <v>20550</v>
      </c>
      <c r="C663" s="2">
        <f ca="1">IFERROR(__xludf.DUMMYFUNCTION("""COMPUTED_VALUE"""),20600)</f>
        <v>20600</v>
      </c>
      <c r="D663" s="2">
        <f ca="1">IFERROR(__xludf.DUMMYFUNCTION("""COMPUTED_VALUE"""),20225)</f>
        <v>20225</v>
      </c>
      <c r="E663" s="2">
        <f ca="1">IFERROR(__xludf.DUMMYFUNCTION("""COMPUTED_VALUE"""),20325)</f>
        <v>20325</v>
      </c>
      <c r="F663" s="2">
        <f ca="1">IFERROR(__xludf.DUMMYFUNCTION("""COMPUTED_VALUE"""),10573100)</f>
        <v>10573100</v>
      </c>
    </row>
    <row r="664" spans="1:6">
      <c r="A664" s="5">
        <f ca="1">IFERROR(__xludf.DUMMYFUNCTION("""COMPUTED_VALUE"""),43011.625)</f>
        <v>43011.625</v>
      </c>
      <c r="B664" s="2">
        <f ca="1">IFERROR(__xludf.DUMMYFUNCTION("""COMPUTED_VALUE"""),20325)</f>
        <v>20325</v>
      </c>
      <c r="C664" s="2">
        <f ca="1">IFERROR(__xludf.DUMMYFUNCTION("""COMPUTED_VALUE"""),20500)</f>
        <v>20500</v>
      </c>
      <c r="D664" s="2">
        <f ca="1">IFERROR(__xludf.DUMMYFUNCTION("""COMPUTED_VALUE"""),20200)</f>
        <v>20200</v>
      </c>
      <c r="E664" s="2">
        <f ca="1">IFERROR(__xludf.DUMMYFUNCTION("""COMPUTED_VALUE"""),20350)</f>
        <v>20350</v>
      </c>
      <c r="F664" s="2">
        <f ca="1">IFERROR(__xludf.DUMMYFUNCTION("""COMPUTED_VALUE"""),9641900)</f>
        <v>9641900</v>
      </c>
    </row>
    <row r="665" spans="1:6">
      <c r="A665" s="5">
        <f ca="1">IFERROR(__xludf.DUMMYFUNCTION("""COMPUTED_VALUE"""),43012.625)</f>
        <v>43012.625</v>
      </c>
      <c r="B665" s="2">
        <f ca="1">IFERROR(__xludf.DUMMYFUNCTION("""COMPUTED_VALUE"""),20550)</f>
        <v>20550</v>
      </c>
      <c r="C665" s="2">
        <f ca="1">IFERROR(__xludf.DUMMYFUNCTION("""COMPUTED_VALUE"""),20550)</f>
        <v>20550</v>
      </c>
      <c r="D665" s="2">
        <f ca="1">IFERROR(__xludf.DUMMYFUNCTION("""COMPUTED_VALUE"""),20275)</f>
        <v>20275</v>
      </c>
      <c r="E665" s="2">
        <f ca="1">IFERROR(__xludf.DUMMYFUNCTION("""COMPUTED_VALUE"""),20325)</f>
        <v>20325</v>
      </c>
      <c r="F665" s="2">
        <f ca="1">IFERROR(__xludf.DUMMYFUNCTION("""COMPUTED_VALUE"""),20322100)</f>
        <v>20322100</v>
      </c>
    </row>
    <row r="666" spans="1:6">
      <c r="A666" s="5">
        <f ca="1">IFERROR(__xludf.DUMMYFUNCTION("""COMPUTED_VALUE"""),43013.625)</f>
        <v>43013.625</v>
      </c>
      <c r="B666" s="2">
        <f ca="1">IFERROR(__xludf.DUMMYFUNCTION("""COMPUTED_VALUE"""),20325)</f>
        <v>20325</v>
      </c>
      <c r="C666" s="2">
        <f ca="1">IFERROR(__xludf.DUMMYFUNCTION("""COMPUTED_VALUE"""),20325)</f>
        <v>20325</v>
      </c>
      <c r="D666" s="2">
        <f ca="1">IFERROR(__xludf.DUMMYFUNCTION("""COMPUTED_VALUE"""),20075)</f>
        <v>20075</v>
      </c>
      <c r="E666" s="2">
        <f ca="1">IFERROR(__xludf.DUMMYFUNCTION("""COMPUTED_VALUE"""),20275)</f>
        <v>20275</v>
      </c>
      <c r="F666" s="2">
        <f ca="1">IFERROR(__xludf.DUMMYFUNCTION("""COMPUTED_VALUE"""),24113800)</f>
        <v>24113800</v>
      </c>
    </row>
    <row r="667" spans="1:6">
      <c r="A667" s="5">
        <f ca="1">IFERROR(__xludf.DUMMYFUNCTION("""COMPUTED_VALUE"""),43014.625)</f>
        <v>43014.625</v>
      </c>
      <c r="B667" s="2">
        <f ca="1">IFERROR(__xludf.DUMMYFUNCTION("""COMPUTED_VALUE"""),20250)</f>
        <v>20250</v>
      </c>
      <c r="C667" s="2">
        <f ca="1">IFERROR(__xludf.DUMMYFUNCTION("""COMPUTED_VALUE"""),20525)</f>
        <v>20525</v>
      </c>
      <c r="D667" s="2">
        <f ca="1">IFERROR(__xludf.DUMMYFUNCTION("""COMPUTED_VALUE"""),20100)</f>
        <v>20100</v>
      </c>
      <c r="E667" s="2">
        <f ca="1">IFERROR(__xludf.DUMMYFUNCTION("""COMPUTED_VALUE"""),20450)</f>
        <v>20450</v>
      </c>
      <c r="F667" s="2">
        <f ca="1">IFERROR(__xludf.DUMMYFUNCTION("""COMPUTED_VALUE"""),20058100)</f>
        <v>20058100</v>
      </c>
    </row>
    <row r="668" spans="1:6">
      <c r="A668" s="5">
        <f ca="1">IFERROR(__xludf.DUMMYFUNCTION("""COMPUTED_VALUE"""),43017.625)</f>
        <v>43017.625</v>
      </c>
      <c r="B668" s="2">
        <f ca="1">IFERROR(__xludf.DUMMYFUNCTION("""COMPUTED_VALUE"""),20300)</f>
        <v>20300</v>
      </c>
      <c r="C668" s="2">
        <f ca="1">IFERROR(__xludf.DUMMYFUNCTION("""COMPUTED_VALUE"""),20400)</f>
        <v>20400</v>
      </c>
      <c r="D668" s="2">
        <f ca="1">IFERROR(__xludf.DUMMYFUNCTION("""COMPUTED_VALUE"""),20250)</f>
        <v>20250</v>
      </c>
      <c r="E668" s="2">
        <f ca="1">IFERROR(__xludf.DUMMYFUNCTION("""COMPUTED_VALUE"""),20350)</f>
        <v>20350</v>
      </c>
      <c r="F668" s="2">
        <f ca="1">IFERROR(__xludf.DUMMYFUNCTION("""COMPUTED_VALUE"""),13031300)</f>
        <v>13031300</v>
      </c>
    </row>
    <row r="669" spans="1:6">
      <c r="A669" s="5">
        <f ca="1">IFERROR(__xludf.DUMMYFUNCTION("""COMPUTED_VALUE"""),43018.625)</f>
        <v>43018.625</v>
      </c>
      <c r="B669" s="2">
        <f ca="1">IFERROR(__xludf.DUMMYFUNCTION("""COMPUTED_VALUE"""),20200)</f>
        <v>20200</v>
      </c>
      <c r="C669" s="2">
        <f ca="1">IFERROR(__xludf.DUMMYFUNCTION("""COMPUTED_VALUE"""),20400)</f>
        <v>20400</v>
      </c>
      <c r="D669" s="2">
        <f ca="1">IFERROR(__xludf.DUMMYFUNCTION("""COMPUTED_VALUE"""),20200)</f>
        <v>20200</v>
      </c>
      <c r="E669" s="2">
        <f ca="1">IFERROR(__xludf.DUMMYFUNCTION("""COMPUTED_VALUE"""),20375)</f>
        <v>20375</v>
      </c>
      <c r="F669" s="2">
        <f ca="1">IFERROR(__xludf.DUMMYFUNCTION("""COMPUTED_VALUE"""),11121200)</f>
        <v>11121200</v>
      </c>
    </row>
    <row r="670" spans="1:6">
      <c r="A670" s="5">
        <f ca="1">IFERROR(__xludf.DUMMYFUNCTION("""COMPUTED_VALUE"""),43019.625)</f>
        <v>43019.625</v>
      </c>
      <c r="B670" s="2">
        <f ca="1">IFERROR(__xludf.DUMMYFUNCTION("""COMPUTED_VALUE"""),20200)</f>
        <v>20200</v>
      </c>
      <c r="C670" s="2">
        <f ca="1">IFERROR(__xludf.DUMMYFUNCTION("""COMPUTED_VALUE"""),20425)</f>
        <v>20425</v>
      </c>
      <c r="D670" s="2">
        <f ca="1">IFERROR(__xludf.DUMMYFUNCTION("""COMPUTED_VALUE"""),20200)</f>
        <v>20200</v>
      </c>
      <c r="E670" s="2">
        <f ca="1">IFERROR(__xludf.DUMMYFUNCTION("""COMPUTED_VALUE"""),20375)</f>
        <v>20375</v>
      </c>
      <c r="F670" s="2">
        <f ca="1">IFERROR(__xludf.DUMMYFUNCTION("""COMPUTED_VALUE"""),13459600)</f>
        <v>13459600</v>
      </c>
    </row>
    <row r="671" spans="1:6">
      <c r="A671" s="5">
        <f ca="1">IFERROR(__xludf.DUMMYFUNCTION("""COMPUTED_VALUE"""),43020.625)</f>
        <v>43020.625</v>
      </c>
      <c r="B671" s="2">
        <f ca="1">IFERROR(__xludf.DUMMYFUNCTION("""COMPUTED_VALUE"""),20375)</f>
        <v>20375</v>
      </c>
      <c r="C671" s="2">
        <f ca="1">IFERROR(__xludf.DUMMYFUNCTION("""COMPUTED_VALUE"""),20825)</f>
        <v>20825</v>
      </c>
      <c r="D671" s="2">
        <f ca="1">IFERROR(__xludf.DUMMYFUNCTION("""COMPUTED_VALUE"""),20375)</f>
        <v>20375</v>
      </c>
      <c r="E671" s="2">
        <f ca="1">IFERROR(__xludf.DUMMYFUNCTION("""COMPUTED_VALUE"""),20800)</f>
        <v>20800</v>
      </c>
      <c r="F671" s="2">
        <f ca="1">IFERROR(__xludf.DUMMYFUNCTION("""COMPUTED_VALUE"""),20735300)</f>
        <v>20735300</v>
      </c>
    </row>
    <row r="672" spans="1:6">
      <c r="A672" s="5">
        <f ca="1">IFERROR(__xludf.DUMMYFUNCTION("""COMPUTED_VALUE"""),43021.625)</f>
        <v>43021.625</v>
      </c>
      <c r="B672" s="2">
        <f ca="1">IFERROR(__xludf.DUMMYFUNCTION("""COMPUTED_VALUE"""),20800)</f>
        <v>20800</v>
      </c>
      <c r="C672" s="2">
        <f ca="1">IFERROR(__xludf.DUMMYFUNCTION("""COMPUTED_VALUE"""),20950)</f>
        <v>20950</v>
      </c>
      <c r="D672" s="2">
        <f ca="1">IFERROR(__xludf.DUMMYFUNCTION("""COMPUTED_VALUE"""),20550)</f>
        <v>20550</v>
      </c>
      <c r="E672" s="2">
        <f ca="1">IFERROR(__xludf.DUMMYFUNCTION("""COMPUTED_VALUE"""),20675)</f>
        <v>20675</v>
      </c>
      <c r="F672" s="2">
        <f ca="1">IFERROR(__xludf.DUMMYFUNCTION("""COMPUTED_VALUE"""),11138000)</f>
        <v>11138000</v>
      </c>
    </row>
    <row r="673" spans="1:6">
      <c r="A673" s="5">
        <f ca="1">IFERROR(__xludf.DUMMYFUNCTION("""COMPUTED_VALUE"""),43024.625)</f>
        <v>43024.625</v>
      </c>
      <c r="B673" s="2">
        <f ca="1">IFERROR(__xludf.DUMMYFUNCTION("""COMPUTED_VALUE"""),20800)</f>
        <v>20800</v>
      </c>
      <c r="C673" s="2">
        <f ca="1">IFERROR(__xludf.DUMMYFUNCTION("""COMPUTED_VALUE"""),21050)</f>
        <v>21050</v>
      </c>
      <c r="D673" s="2">
        <f ca="1">IFERROR(__xludf.DUMMYFUNCTION("""COMPUTED_VALUE"""),20675)</f>
        <v>20675</v>
      </c>
      <c r="E673" s="2">
        <f ca="1">IFERROR(__xludf.DUMMYFUNCTION("""COMPUTED_VALUE"""),20725)</f>
        <v>20725</v>
      </c>
      <c r="F673" s="2">
        <f ca="1">IFERROR(__xludf.DUMMYFUNCTION("""COMPUTED_VALUE"""),10865600)</f>
        <v>10865600</v>
      </c>
    </row>
    <row r="674" spans="1:6">
      <c r="A674" s="5">
        <f ca="1">IFERROR(__xludf.DUMMYFUNCTION("""COMPUTED_VALUE"""),43025.625)</f>
        <v>43025.625</v>
      </c>
      <c r="B674" s="2">
        <f ca="1">IFERROR(__xludf.DUMMYFUNCTION("""COMPUTED_VALUE"""),20750)</f>
        <v>20750</v>
      </c>
      <c r="C674" s="2">
        <f ca="1">IFERROR(__xludf.DUMMYFUNCTION("""COMPUTED_VALUE"""),20750)</f>
        <v>20750</v>
      </c>
      <c r="D674" s="2">
        <f ca="1">IFERROR(__xludf.DUMMYFUNCTION("""COMPUTED_VALUE"""),20050)</f>
        <v>20050</v>
      </c>
      <c r="E674" s="2">
        <f ca="1">IFERROR(__xludf.DUMMYFUNCTION("""COMPUTED_VALUE"""),20500)</f>
        <v>20500</v>
      </c>
      <c r="F674" s="2">
        <f ca="1">IFERROR(__xludf.DUMMYFUNCTION("""COMPUTED_VALUE"""),23186900)</f>
        <v>23186900</v>
      </c>
    </row>
    <row r="675" spans="1:6">
      <c r="A675" s="5">
        <f ca="1">IFERROR(__xludf.DUMMYFUNCTION("""COMPUTED_VALUE"""),43026.625)</f>
        <v>43026.625</v>
      </c>
      <c r="B675" s="2">
        <f ca="1">IFERROR(__xludf.DUMMYFUNCTION("""COMPUTED_VALUE"""),20700)</f>
        <v>20700</v>
      </c>
      <c r="C675" s="2">
        <f ca="1">IFERROR(__xludf.DUMMYFUNCTION("""COMPUTED_VALUE"""),20700)</f>
        <v>20700</v>
      </c>
      <c r="D675" s="2">
        <f ca="1">IFERROR(__xludf.DUMMYFUNCTION("""COMPUTED_VALUE"""),20075)</f>
        <v>20075</v>
      </c>
      <c r="E675" s="2">
        <f ca="1">IFERROR(__xludf.DUMMYFUNCTION("""COMPUTED_VALUE"""),20200)</f>
        <v>20200</v>
      </c>
      <c r="F675" s="2">
        <f ca="1">IFERROR(__xludf.DUMMYFUNCTION("""COMPUTED_VALUE"""),24915200)</f>
        <v>24915200</v>
      </c>
    </row>
    <row r="676" spans="1:6">
      <c r="A676" s="5">
        <f ca="1">IFERROR(__xludf.DUMMYFUNCTION("""COMPUTED_VALUE"""),43027.625)</f>
        <v>43027.625</v>
      </c>
      <c r="B676" s="2">
        <f ca="1">IFERROR(__xludf.DUMMYFUNCTION("""COMPUTED_VALUE"""),20200)</f>
        <v>20200</v>
      </c>
      <c r="C676" s="2">
        <f ca="1">IFERROR(__xludf.DUMMYFUNCTION("""COMPUTED_VALUE"""),20350)</f>
        <v>20350</v>
      </c>
      <c r="D676" s="2">
        <f ca="1">IFERROR(__xludf.DUMMYFUNCTION("""COMPUTED_VALUE"""),20150)</f>
        <v>20150</v>
      </c>
      <c r="E676" s="2">
        <f ca="1">IFERROR(__xludf.DUMMYFUNCTION("""COMPUTED_VALUE"""),20325)</f>
        <v>20325</v>
      </c>
      <c r="F676" s="2">
        <f ca="1">IFERROR(__xludf.DUMMYFUNCTION("""COMPUTED_VALUE"""),13727800)</f>
        <v>13727800</v>
      </c>
    </row>
    <row r="677" spans="1:6">
      <c r="A677" s="5">
        <f ca="1">IFERROR(__xludf.DUMMYFUNCTION("""COMPUTED_VALUE"""),43028.625)</f>
        <v>43028.625</v>
      </c>
      <c r="B677" s="2">
        <f ca="1">IFERROR(__xludf.DUMMYFUNCTION("""COMPUTED_VALUE"""),20500)</f>
        <v>20500</v>
      </c>
      <c r="C677" s="2">
        <f ca="1">IFERROR(__xludf.DUMMYFUNCTION("""COMPUTED_VALUE"""),20950)</f>
        <v>20950</v>
      </c>
      <c r="D677" s="2">
        <f ca="1">IFERROR(__xludf.DUMMYFUNCTION("""COMPUTED_VALUE"""),20350)</f>
        <v>20350</v>
      </c>
      <c r="E677" s="2">
        <f ca="1">IFERROR(__xludf.DUMMYFUNCTION("""COMPUTED_VALUE"""),20350)</f>
        <v>20350</v>
      </c>
      <c r="F677" s="2">
        <f ca="1">IFERROR(__xludf.DUMMYFUNCTION("""COMPUTED_VALUE"""),12151600)</f>
        <v>12151600</v>
      </c>
    </row>
    <row r="678" spans="1:6">
      <c r="A678" s="5">
        <f ca="1">IFERROR(__xludf.DUMMYFUNCTION("""COMPUTED_VALUE"""),43031.625)</f>
        <v>43031.625</v>
      </c>
      <c r="B678" s="2">
        <f ca="1">IFERROR(__xludf.DUMMYFUNCTION("""COMPUTED_VALUE"""),20650)</f>
        <v>20650</v>
      </c>
      <c r="C678" s="2">
        <f ca="1">IFERROR(__xludf.DUMMYFUNCTION("""COMPUTED_VALUE"""),21375)</f>
        <v>21375</v>
      </c>
      <c r="D678" s="2">
        <f ca="1">IFERROR(__xludf.DUMMYFUNCTION("""COMPUTED_VALUE"""),20650)</f>
        <v>20650</v>
      </c>
      <c r="E678" s="2">
        <f ca="1">IFERROR(__xludf.DUMMYFUNCTION("""COMPUTED_VALUE"""),21000)</f>
        <v>21000</v>
      </c>
      <c r="F678" s="2">
        <f ca="1">IFERROR(__xludf.DUMMYFUNCTION("""COMPUTED_VALUE"""),12568700)</f>
        <v>12568700</v>
      </c>
    </row>
    <row r="679" spans="1:6">
      <c r="A679" s="5">
        <f ca="1">IFERROR(__xludf.DUMMYFUNCTION("""COMPUTED_VALUE"""),43032.625)</f>
        <v>43032.625</v>
      </c>
      <c r="B679" s="2">
        <f ca="1">IFERROR(__xludf.DUMMYFUNCTION("""COMPUTED_VALUE"""),21000)</f>
        <v>21000</v>
      </c>
      <c r="C679" s="2">
        <f ca="1">IFERROR(__xludf.DUMMYFUNCTION("""COMPUTED_VALUE"""),21250)</f>
        <v>21250</v>
      </c>
      <c r="D679" s="2">
        <f ca="1">IFERROR(__xludf.DUMMYFUNCTION("""COMPUTED_VALUE"""),20600)</f>
        <v>20600</v>
      </c>
      <c r="E679" s="2">
        <f ca="1">IFERROR(__xludf.DUMMYFUNCTION("""COMPUTED_VALUE"""),20600)</f>
        <v>20600</v>
      </c>
      <c r="F679" s="2">
        <f ca="1">IFERROR(__xludf.DUMMYFUNCTION("""COMPUTED_VALUE"""),13076000)</f>
        <v>13076000</v>
      </c>
    </row>
    <row r="680" spans="1:6">
      <c r="A680" s="5">
        <f ca="1">IFERROR(__xludf.DUMMYFUNCTION("""COMPUTED_VALUE"""),43033.625)</f>
        <v>43033.625</v>
      </c>
      <c r="B680" s="2">
        <f ca="1">IFERROR(__xludf.DUMMYFUNCTION("""COMPUTED_VALUE"""),20600)</f>
        <v>20600</v>
      </c>
      <c r="C680" s="2">
        <f ca="1">IFERROR(__xludf.DUMMYFUNCTION("""COMPUTED_VALUE"""),21050)</f>
        <v>21050</v>
      </c>
      <c r="D680" s="2">
        <f ca="1">IFERROR(__xludf.DUMMYFUNCTION("""COMPUTED_VALUE"""),20400)</f>
        <v>20400</v>
      </c>
      <c r="E680" s="2">
        <f ca="1">IFERROR(__xludf.DUMMYFUNCTION("""COMPUTED_VALUE"""),21050)</f>
        <v>21050</v>
      </c>
      <c r="F680" s="2">
        <f ca="1">IFERROR(__xludf.DUMMYFUNCTION("""COMPUTED_VALUE"""),13884300)</f>
        <v>13884300</v>
      </c>
    </row>
    <row r="681" spans="1:6">
      <c r="A681" s="5">
        <f ca="1">IFERROR(__xludf.DUMMYFUNCTION("""COMPUTED_VALUE"""),43034.625)</f>
        <v>43034.625</v>
      </c>
      <c r="B681" s="2">
        <f ca="1">IFERROR(__xludf.DUMMYFUNCTION("""COMPUTED_VALUE"""),20800)</f>
        <v>20800</v>
      </c>
      <c r="C681" s="2">
        <f ca="1">IFERROR(__xludf.DUMMYFUNCTION("""COMPUTED_VALUE"""),21000)</f>
        <v>21000</v>
      </c>
      <c r="D681" s="2">
        <f ca="1">IFERROR(__xludf.DUMMYFUNCTION("""COMPUTED_VALUE"""),20600)</f>
        <v>20600</v>
      </c>
      <c r="E681" s="2">
        <f ca="1">IFERROR(__xludf.DUMMYFUNCTION("""COMPUTED_VALUE"""),20775)</f>
        <v>20775</v>
      </c>
      <c r="F681" s="2">
        <f ca="1">IFERROR(__xludf.DUMMYFUNCTION("""COMPUTED_VALUE"""),8267200)</f>
        <v>8267200</v>
      </c>
    </row>
    <row r="682" spans="1:6">
      <c r="A682" s="5">
        <f ca="1">IFERROR(__xludf.DUMMYFUNCTION("""COMPUTED_VALUE"""),43035.625)</f>
        <v>43035.625</v>
      </c>
      <c r="B682" s="2">
        <f ca="1">IFERROR(__xludf.DUMMYFUNCTION("""COMPUTED_VALUE"""),20750)</f>
        <v>20750</v>
      </c>
      <c r="C682" s="2">
        <f ca="1">IFERROR(__xludf.DUMMYFUNCTION("""COMPUTED_VALUE"""),20750)</f>
        <v>20750</v>
      </c>
      <c r="D682" s="2">
        <f ca="1">IFERROR(__xludf.DUMMYFUNCTION("""COMPUTED_VALUE"""),20200)</f>
        <v>20200</v>
      </c>
      <c r="E682" s="2">
        <f ca="1">IFERROR(__xludf.DUMMYFUNCTION("""COMPUTED_VALUE"""),20300)</f>
        <v>20300</v>
      </c>
      <c r="F682" s="2">
        <f ca="1">IFERROR(__xludf.DUMMYFUNCTION("""COMPUTED_VALUE"""),20340200)</f>
        <v>20340200</v>
      </c>
    </row>
    <row r="683" spans="1:6">
      <c r="A683" s="5">
        <f ca="1">IFERROR(__xludf.DUMMYFUNCTION("""COMPUTED_VALUE"""),43038.625)</f>
        <v>43038.625</v>
      </c>
      <c r="B683" s="2">
        <f ca="1">IFERROR(__xludf.DUMMYFUNCTION("""COMPUTED_VALUE"""),20325)</f>
        <v>20325</v>
      </c>
      <c r="C683" s="2">
        <f ca="1">IFERROR(__xludf.DUMMYFUNCTION("""COMPUTED_VALUE"""),20475)</f>
        <v>20475</v>
      </c>
      <c r="D683" s="2">
        <f ca="1">IFERROR(__xludf.DUMMYFUNCTION("""COMPUTED_VALUE"""),20300)</f>
        <v>20300</v>
      </c>
      <c r="E683" s="2">
        <f ca="1">IFERROR(__xludf.DUMMYFUNCTION("""COMPUTED_VALUE"""),20425)</f>
        <v>20425</v>
      </c>
      <c r="F683" s="2">
        <f ca="1">IFERROR(__xludf.DUMMYFUNCTION("""COMPUTED_VALUE"""),11042100)</f>
        <v>11042100</v>
      </c>
    </row>
    <row r="684" spans="1:6">
      <c r="A684" s="5">
        <f ca="1">IFERROR(__xludf.DUMMYFUNCTION("""COMPUTED_VALUE"""),43039.625)</f>
        <v>43039.625</v>
      </c>
      <c r="B684" s="2">
        <f ca="1">IFERROR(__xludf.DUMMYFUNCTION("""COMPUTED_VALUE"""),20825)</f>
        <v>20825</v>
      </c>
      <c r="C684" s="2">
        <f ca="1">IFERROR(__xludf.DUMMYFUNCTION("""COMPUTED_VALUE"""),20925)</f>
        <v>20925</v>
      </c>
      <c r="D684" s="2">
        <f ca="1">IFERROR(__xludf.DUMMYFUNCTION("""COMPUTED_VALUE"""),20525)</f>
        <v>20525</v>
      </c>
      <c r="E684" s="2">
        <f ca="1">IFERROR(__xludf.DUMMYFUNCTION("""COMPUTED_VALUE"""),20900)</f>
        <v>20900</v>
      </c>
      <c r="F684" s="2">
        <f ca="1">IFERROR(__xludf.DUMMYFUNCTION("""COMPUTED_VALUE"""),15601800)</f>
        <v>15601800</v>
      </c>
    </row>
    <row r="685" spans="1:6">
      <c r="A685" s="5">
        <f ca="1">IFERROR(__xludf.DUMMYFUNCTION("""COMPUTED_VALUE"""),43040.625)</f>
        <v>43040.625</v>
      </c>
      <c r="B685" s="2">
        <f ca="1">IFERROR(__xludf.DUMMYFUNCTION("""COMPUTED_VALUE"""),21000)</f>
        <v>21000</v>
      </c>
      <c r="C685" s="2">
        <f ca="1">IFERROR(__xludf.DUMMYFUNCTION("""COMPUTED_VALUE"""),21375)</f>
        <v>21375</v>
      </c>
      <c r="D685" s="2">
        <f ca="1">IFERROR(__xludf.DUMMYFUNCTION("""COMPUTED_VALUE"""),21000)</f>
        <v>21000</v>
      </c>
      <c r="E685" s="2">
        <f ca="1">IFERROR(__xludf.DUMMYFUNCTION("""COMPUTED_VALUE"""),21325)</f>
        <v>21325</v>
      </c>
      <c r="F685" s="2">
        <f ca="1">IFERROR(__xludf.DUMMYFUNCTION("""COMPUTED_VALUE"""),20755300)</f>
        <v>20755300</v>
      </c>
    </row>
    <row r="686" spans="1:6">
      <c r="A686" s="5">
        <f ca="1">IFERROR(__xludf.DUMMYFUNCTION("""COMPUTED_VALUE"""),43041.625)</f>
        <v>43041.625</v>
      </c>
      <c r="B686" s="2">
        <f ca="1">IFERROR(__xludf.DUMMYFUNCTION("""COMPUTED_VALUE"""),21500)</f>
        <v>21500</v>
      </c>
      <c r="C686" s="2">
        <f ca="1">IFERROR(__xludf.DUMMYFUNCTION("""COMPUTED_VALUE"""),21625)</f>
        <v>21625</v>
      </c>
      <c r="D686" s="2">
        <f ca="1">IFERROR(__xludf.DUMMYFUNCTION("""COMPUTED_VALUE"""),21400)</f>
        <v>21400</v>
      </c>
      <c r="E686" s="2">
        <f ca="1">IFERROR(__xludf.DUMMYFUNCTION("""COMPUTED_VALUE"""),21475)</f>
        <v>21475</v>
      </c>
      <c r="F686" s="2">
        <f ca="1">IFERROR(__xludf.DUMMYFUNCTION("""COMPUTED_VALUE"""),19167800)</f>
        <v>19167800</v>
      </c>
    </row>
    <row r="687" spans="1:6">
      <c r="A687" s="5">
        <f ca="1">IFERROR(__xludf.DUMMYFUNCTION("""COMPUTED_VALUE"""),43042.625)</f>
        <v>43042.625</v>
      </c>
      <c r="B687" s="2">
        <f ca="1">IFERROR(__xludf.DUMMYFUNCTION("""COMPUTED_VALUE"""),21500)</f>
        <v>21500</v>
      </c>
      <c r="C687" s="2">
        <f ca="1">IFERROR(__xludf.DUMMYFUNCTION("""COMPUTED_VALUE"""),21500)</f>
        <v>21500</v>
      </c>
      <c r="D687" s="2">
        <f ca="1">IFERROR(__xludf.DUMMYFUNCTION("""COMPUTED_VALUE"""),20700)</f>
        <v>20700</v>
      </c>
      <c r="E687" s="2">
        <f ca="1">IFERROR(__xludf.DUMMYFUNCTION("""COMPUTED_VALUE"""),21025)</f>
        <v>21025</v>
      </c>
      <c r="F687" s="2">
        <f ca="1">IFERROR(__xludf.DUMMYFUNCTION("""COMPUTED_VALUE"""),14014000)</f>
        <v>14014000</v>
      </c>
    </row>
    <row r="688" spans="1:6">
      <c r="A688" s="5">
        <f ca="1">IFERROR(__xludf.DUMMYFUNCTION("""COMPUTED_VALUE"""),43045.625)</f>
        <v>43045.625</v>
      </c>
      <c r="B688" s="2">
        <f ca="1">IFERROR(__xludf.DUMMYFUNCTION("""COMPUTED_VALUE"""),21200)</f>
        <v>21200</v>
      </c>
      <c r="C688" s="2">
        <f ca="1">IFERROR(__xludf.DUMMYFUNCTION("""COMPUTED_VALUE"""),21200)</f>
        <v>21200</v>
      </c>
      <c r="D688" s="2">
        <f ca="1">IFERROR(__xludf.DUMMYFUNCTION("""COMPUTED_VALUE"""),21000)</f>
        <v>21000</v>
      </c>
      <c r="E688" s="2">
        <f ca="1">IFERROR(__xludf.DUMMYFUNCTION("""COMPUTED_VALUE"""),21000)</f>
        <v>21000</v>
      </c>
      <c r="F688" s="2">
        <f ca="1">IFERROR(__xludf.DUMMYFUNCTION("""COMPUTED_VALUE"""),7646800)</f>
        <v>7646800</v>
      </c>
    </row>
    <row r="689" spans="1:6">
      <c r="A689" s="5">
        <f ca="1">IFERROR(__xludf.DUMMYFUNCTION("""COMPUTED_VALUE"""),43046.625)</f>
        <v>43046.625</v>
      </c>
      <c r="B689" s="2">
        <f ca="1">IFERROR(__xludf.DUMMYFUNCTION("""COMPUTED_VALUE"""),20850)</f>
        <v>20850</v>
      </c>
      <c r="C689" s="2">
        <f ca="1">IFERROR(__xludf.DUMMYFUNCTION("""COMPUTED_VALUE"""),21075)</f>
        <v>21075</v>
      </c>
      <c r="D689" s="2">
        <f ca="1">IFERROR(__xludf.DUMMYFUNCTION("""COMPUTED_VALUE"""),20750)</f>
        <v>20750</v>
      </c>
      <c r="E689" s="2">
        <f ca="1">IFERROR(__xludf.DUMMYFUNCTION("""COMPUTED_VALUE"""),21050)</f>
        <v>21050</v>
      </c>
      <c r="F689" s="2">
        <f ca="1">IFERROR(__xludf.DUMMYFUNCTION("""COMPUTED_VALUE"""),9846900)</f>
        <v>9846900</v>
      </c>
    </row>
    <row r="690" spans="1:6">
      <c r="A690" s="5">
        <f ca="1">IFERROR(__xludf.DUMMYFUNCTION("""COMPUTED_VALUE"""),43047.625)</f>
        <v>43047.625</v>
      </c>
      <c r="B690" s="2">
        <f ca="1">IFERROR(__xludf.DUMMYFUNCTION("""COMPUTED_VALUE"""),20900)</f>
        <v>20900</v>
      </c>
      <c r="C690" s="2">
        <f ca="1">IFERROR(__xludf.DUMMYFUNCTION("""COMPUTED_VALUE"""),21125)</f>
        <v>21125</v>
      </c>
      <c r="D690" s="2">
        <f ca="1">IFERROR(__xludf.DUMMYFUNCTION("""COMPUTED_VALUE"""),20800)</f>
        <v>20800</v>
      </c>
      <c r="E690" s="2">
        <f ca="1">IFERROR(__xludf.DUMMYFUNCTION("""COMPUTED_VALUE"""),20800)</f>
        <v>20800</v>
      </c>
      <c r="F690" s="2">
        <f ca="1">IFERROR(__xludf.DUMMYFUNCTION("""COMPUTED_VALUE"""),12303600)</f>
        <v>12303600</v>
      </c>
    </row>
    <row r="691" spans="1:6">
      <c r="A691" s="5">
        <f ca="1">IFERROR(__xludf.DUMMYFUNCTION("""COMPUTED_VALUE"""),43048.625)</f>
        <v>43048.625</v>
      </c>
      <c r="B691" s="2">
        <f ca="1">IFERROR(__xludf.DUMMYFUNCTION("""COMPUTED_VALUE"""),20950)</f>
        <v>20950</v>
      </c>
      <c r="C691" s="2">
        <f ca="1">IFERROR(__xludf.DUMMYFUNCTION("""COMPUTED_VALUE"""),21050)</f>
        <v>21050</v>
      </c>
      <c r="D691" s="2">
        <f ca="1">IFERROR(__xludf.DUMMYFUNCTION("""COMPUTED_VALUE"""),20775)</f>
        <v>20775</v>
      </c>
      <c r="E691" s="2">
        <f ca="1">IFERROR(__xludf.DUMMYFUNCTION("""COMPUTED_VALUE"""),20800)</f>
        <v>20800</v>
      </c>
      <c r="F691" s="2">
        <f ca="1">IFERROR(__xludf.DUMMYFUNCTION("""COMPUTED_VALUE"""),10308200)</f>
        <v>10308200</v>
      </c>
    </row>
    <row r="692" spans="1:6">
      <c r="A692" s="5">
        <f ca="1">IFERROR(__xludf.DUMMYFUNCTION("""COMPUTED_VALUE"""),43049.625)</f>
        <v>43049.625</v>
      </c>
      <c r="B692" s="2">
        <f ca="1">IFERROR(__xludf.DUMMYFUNCTION("""COMPUTED_VALUE"""),20800)</f>
        <v>20800</v>
      </c>
      <c r="C692" s="2">
        <f ca="1">IFERROR(__xludf.DUMMYFUNCTION("""COMPUTED_VALUE"""),20900)</f>
        <v>20900</v>
      </c>
      <c r="D692" s="2">
        <f ca="1">IFERROR(__xludf.DUMMYFUNCTION("""COMPUTED_VALUE"""),20600)</f>
        <v>20600</v>
      </c>
      <c r="E692" s="2">
        <f ca="1">IFERROR(__xludf.DUMMYFUNCTION("""COMPUTED_VALUE"""),20650)</f>
        <v>20650</v>
      </c>
      <c r="F692" s="2">
        <f ca="1">IFERROR(__xludf.DUMMYFUNCTION("""COMPUTED_VALUE"""),15835700)</f>
        <v>15835700</v>
      </c>
    </row>
    <row r="693" spans="1:6">
      <c r="A693" s="5">
        <f ca="1">IFERROR(__xludf.DUMMYFUNCTION("""COMPUTED_VALUE"""),43052.625)</f>
        <v>43052.625</v>
      </c>
      <c r="B693" s="2">
        <f ca="1">IFERROR(__xludf.DUMMYFUNCTION("""COMPUTED_VALUE"""),20525)</f>
        <v>20525</v>
      </c>
      <c r="C693" s="2">
        <f ca="1">IFERROR(__xludf.DUMMYFUNCTION("""COMPUTED_VALUE"""),20700)</f>
        <v>20700</v>
      </c>
      <c r="D693" s="2">
        <f ca="1">IFERROR(__xludf.DUMMYFUNCTION("""COMPUTED_VALUE"""),20400)</f>
        <v>20400</v>
      </c>
      <c r="E693" s="2">
        <f ca="1">IFERROR(__xludf.DUMMYFUNCTION("""COMPUTED_VALUE"""),20475)</f>
        <v>20475</v>
      </c>
      <c r="F693" s="2">
        <f ca="1">IFERROR(__xludf.DUMMYFUNCTION("""COMPUTED_VALUE"""),11392600)</f>
        <v>11392600</v>
      </c>
    </row>
    <row r="694" spans="1:6">
      <c r="A694" s="5">
        <f ca="1">IFERROR(__xludf.DUMMYFUNCTION("""COMPUTED_VALUE"""),43053.625)</f>
        <v>43053.625</v>
      </c>
      <c r="B694" s="2">
        <f ca="1">IFERROR(__xludf.DUMMYFUNCTION("""COMPUTED_VALUE"""),20500)</f>
        <v>20500</v>
      </c>
      <c r="C694" s="2">
        <f ca="1">IFERROR(__xludf.DUMMYFUNCTION("""COMPUTED_VALUE"""),20550)</f>
        <v>20550</v>
      </c>
      <c r="D694" s="2">
        <f ca="1">IFERROR(__xludf.DUMMYFUNCTION("""COMPUTED_VALUE"""),20425)</f>
        <v>20425</v>
      </c>
      <c r="E694" s="2">
        <f ca="1">IFERROR(__xludf.DUMMYFUNCTION("""COMPUTED_VALUE"""),20475)</f>
        <v>20475</v>
      </c>
      <c r="F694" s="2">
        <f ca="1">IFERROR(__xludf.DUMMYFUNCTION("""COMPUTED_VALUE"""),10997200)</f>
        <v>10997200</v>
      </c>
    </row>
    <row r="695" spans="1:6">
      <c r="A695" s="5">
        <f ca="1">IFERROR(__xludf.DUMMYFUNCTION("""COMPUTED_VALUE"""),43054.625)</f>
        <v>43054.625</v>
      </c>
      <c r="B695" s="2">
        <f ca="1">IFERROR(__xludf.DUMMYFUNCTION("""COMPUTED_VALUE"""),20600)</f>
        <v>20600</v>
      </c>
      <c r="C695" s="2">
        <f ca="1">IFERROR(__xludf.DUMMYFUNCTION("""COMPUTED_VALUE"""),21150)</f>
        <v>21150</v>
      </c>
      <c r="D695" s="2">
        <f ca="1">IFERROR(__xludf.DUMMYFUNCTION("""COMPUTED_VALUE"""),20500)</f>
        <v>20500</v>
      </c>
      <c r="E695" s="2">
        <f ca="1">IFERROR(__xludf.DUMMYFUNCTION("""COMPUTED_VALUE"""),21025)</f>
        <v>21025</v>
      </c>
      <c r="F695" s="2">
        <f ca="1">IFERROR(__xludf.DUMMYFUNCTION("""COMPUTED_VALUE"""),18850700)</f>
        <v>18850700</v>
      </c>
    </row>
    <row r="696" spans="1:6">
      <c r="A696" s="5">
        <f ca="1">IFERROR(__xludf.DUMMYFUNCTION("""COMPUTED_VALUE"""),43055.625)</f>
        <v>43055.625</v>
      </c>
      <c r="B696" s="2">
        <f ca="1">IFERROR(__xludf.DUMMYFUNCTION("""COMPUTED_VALUE"""),21200)</f>
        <v>21200</v>
      </c>
      <c r="C696" s="2">
        <f ca="1">IFERROR(__xludf.DUMMYFUNCTION("""COMPUTED_VALUE"""),21200)</f>
        <v>21200</v>
      </c>
      <c r="D696" s="2">
        <f ca="1">IFERROR(__xludf.DUMMYFUNCTION("""COMPUTED_VALUE"""),20950)</f>
        <v>20950</v>
      </c>
      <c r="E696" s="2">
        <f ca="1">IFERROR(__xludf.DUMMYFUNCTION("""COMPUTED_VALUE"""),21025)</f>
        <v>21025</v>
      </c>
      <c r="F696" s="2">
        <f ca="1">IFERROR(__xludf.DUMMYFUNCTION("""COMPUTED_VALUE"""),12302500)</f>
        <v>12302500</v>
      </c>
    </row>
    <row r="697" spans="1:6">
      <c r="A697" s="5">
        <f ca="1">IFERROR(__xludf.DUMMYFUNCTION("""COMPUTED_VALUE"""),43056.625)</f>
        <v>43056.625</v>
      </c>
      <c r="B697" s="2">
        <f ca="1">IFERROR(__xludf.DUMMYFUNCTION("""COMPUTED_VALUE"""),21150)</f>
        <v>21150</v>
      </c>
      <c r="C697" s="2">
        <f ca="1">IFERROR(__xludf.DUMMYFUNCTION("""COMPUTED_VALUE"""),21200)</f>
        <v>21200</v>
      </c>
      <c r="D697" s="2">
        <f ca="1">IFERROR(__xludf.DUMMYFUNCTION("""COMPUTED_VALUE"""),20825)</f>
        <v>20825</v>
      </c>
      <c r="E697" s="2">
        <f ca="1">IFERROR(__xludf.DUMMYFUNCTION("""COMPUTED_VALUE"""),21175)</f>
        <v>21175</v>
      </c>
      <c r="F697" s="2">
        <f ca="1">IFERROR(__xludf.DUMMYFUNCTION("""COMPUTED_VALUE"""),25376300)</f>
        <v>25376300</v>
      </c>
    </row>
    <row r="698" spans="1:6">
      <c r="A698" s="5">
        <f ca="1">IFERROR(__xludf.DUMMYFUNCTION("""COMPUTED_VALUE"""),43059.625)</f>
        <v>43059.625</v>
      </c>
      <c r="B698" s="2">
        <f ca="1">IFERROR(__xludf.DUMMYFUNCTION("""COMPUTED_VALUE"""),21175)</f>
        <v>21175</v>
      </c>
      <c r="C698" s="2">
        <f ca="1">IFERROR(__xludf.DUMMYFUNCTION("""COMPUTED_VALUE"""),21275)</f>
        <v>21275</v>
      </c>
      <c r="D698" s="2">
        <f ca="1">IFERROR(__xludf.DUMMYFUNCTION("""COMPUTED_VALUE"""),21025)</f>
        <v>21025</v>
      </c>
      <c r="E698" s="2">
        <f ca="1">IFERROR(__xludf.DUMMYFUNCTION("""COMPUTED_VALUE"""),21025)</f>
        <v>21025</v>
      </c>
      <c r="F698" s="2">
        <f ca="1">IFERROR(__xludf.DUMMYFUNCTION("""COMPUTED_VALUE"""),18180500)</f>
        <v>18180500</v>
      </c>
    </row>
    <row r="699" spans="1:6">
      <c r="A699" s="5">
        <f ca="1">IFERROR(__xludf.DUMMYFUNCTION("""COMPUTED_VALUE"""),43060.625)</f>
        <v>43060.625</v>
      </c>
      <c r="B699" s="2">
        <f ca="1">IFERROR(__xludf.DUMMYFUNCTION("""COMPUTED_VALUE"""),21225)</f>
        <v>21225</v>
      </c>
      <c r="C699" s="2">
        <f ca="1">IFERROR(__xludf.DUMMYFUNCTION("""COMPUTED_VALUE"""),21225)</f>
        <v>21225</v>
      </c>
      <c r="D699" s="2">
        <f ca="1">IFERROR(__xludf.DUMMYFUNCTION("""COMPUTED_VALUE"""),20875)</f>
        <v>20875</v>
      </c>
      <c r="E699" s="2">
        <f ca="1">IFERROR(__xludf.DUMMYFUNCTION("""COMPUTED_VALUE"""),21125)</f>
        <v>21125</v>
      </c>
      <c r="F699" s="2">
        <f ca="1">IFERROR(__xludf.DUMMYFUNCTION("""COMPUTED_VALUE"""),12739000)</f>
        <v>12739000</v>
      </c>
    </row>
    <row r="700" spans="1:6">
      <c r="A700" s="5">
        <f ca="1">IFERROR(__xludf.DUMMYFUNCTION("""COMPUTED_VALUE"""),43061.625)</f>
        <v>43061.625</v>
      </c>
      <c r="B700" s="2">
        <f ca="1">IFERROR(__xludf.DUMMYFUNCTION("""COMPUTED_VALUE"""),21000)</f>
        <v>21000</v>
      </c>
      <c r="C700" s="2">
        <f ca="1">IFERROR(__xludf.DUMMYFUNCTION("""COMPUTED_VALUE"""),21225)</f>
        <v>21225</v>
      </c>
      <c r="D700" s="2">
        <f ca="1">IFERROR(__xludf.DUMMYFUNCTION("""COMPUTED_VALUE"""),21000)</f>
        <v>21000</v>
      </c>
      <c r="E700" s="2">
        <f ca="1">IFERROR(__xludf.DUMMYFUNCTION("""COMPUTED_VALUE"""),21175)</f>
        <v>21175</v>
      </c>
      <c r="F700" s="2">
        <f ca="1">IFERROR(__xludf.DUMMYFUNCTION("""COMPUTED_VALUE"""),17343800)</f>
        <v>17343800</v>
      </c>
    </row>
    <row r="701" spans="1:6">
      <c r="A701" s="5">
        <f ca="1">IFERROR(__xludf.DUMMYFUNCTION("""COMPUTED_VALUE"""),43062.625)</f>
        <v>43062.625</v>
      </c>
      <c r="B701" s="2">
        <f ca="1">IFERROR(__xludf.DUMMYFUNCTION("""COMPUTED_VALUE"""),21250)</f>
        <v>21250</v>
      </c>
      <c r="C701" s="2">
        <f ca="1">IFERROR(__xludf.DUMMYFUNCTION("""COMPUTED_VALUE"""),21250)</f>
        <v>21250</v>
      </c>
      <c r="D701" s="2">
        <f ca="1">IFERROR(__xludf.DUMMYFUNCTION("""COMPUTED_VALUE"""),20850)</f>
        <v>20850</v>
      </c>
      <c r="E701" s="2">
        <f ca="1">IFERROR(__xludf.DUMMYFUNCTION("""COMPUTED_VALUE"""),21000)</f>
        <v>21000</v>
      </c>
      <c r="F701" s="2">
        <f ca="1">IFERROR(__xludf.DUMMYFUNCTION("""COMPUTED_VALUE"""),13200700)</f>
        <v>13200700</v>
      </c>
    </row>
    <row r="702" spans="1:6">
      <c r="A702" s="5">
        <f ca="1">IFERROR(__xludf.DUMMYFUNCTION("""COMPUTED_VALUE"""),43063.625)</f>
        <v>43063.625</v>
      </c>
      <c r="B702" s="2">
        <f ca="1">IFERROR(__xludf.DUMMYFUNCTION("""COMPUTED_VALUE"""),20875)</f>
        <v>20875</v>
      </c>
      <c r="C702" s="2">
        <f ca="1">IFERROR(__xludf.DUMMYFUNCTION("""COMPUTED_VALUE"""),21050)</f>
        <v>21050</v>
      </c>
      <c r="D702" s="2">
        <f ca="1">IFERROR(__xludf.DUMMYFUNCTION("""COMPUTED_VALUE"""),20775)</f>
        <v>20775</v>
      </c>
      <c r="E702" s="2">
        <f ca="1">IFERROR(__xludf.DUMMYFUNCTION("""COMPUTED_VALUE"""),21000)</f>
        <v>21000</v>
      </c>
      <c r="F702" s="2">
        <f ca="1">IFERROR(__xludf.DUMMYFUNCTION("""COMPUTED_VALUE"""),12177600)</f>
        <v>12177600</v>
      </c>
    </row>
    <row r="703" spans="1:6">
      <c r="A703" s="5">
        <f ca="1">IFERROR(__xludf.DUMMYFUNCTION("""COMPUTED_VALUE"""),43066.625)</f>
        <v>43066.625</v>
      </c>
      <c r="B703" s="2">
        <f ca="1">IFERROR(__xludf.DUMMYFUNCTION("""COMPUTED_VALUE"""),20825)</f>
        <v>20825</v>
      </c>
      <c r="C703" s="2">
        <f ca="1">IFERROR(__xludf.DUMMYFUNCTION("""COMPUTED_VALUE"""),21300)</f>
        <v>21300</v>
      </c>
      <c r="D703" s="2">
        <f ca="1">IFERROR(__xludf.DUMMYFUNCTION("""COMPUTED_VALUE"""),20825)</f>
        <v>20825</v>
      </c>
      <c r="E703" s="2">
        <f ca="1">IFERROR(__xludf.DUMMYFUNCTION("""COMPUTED_VALUE"""),21300)</f>
        <v>21300</v>
      </c>
      <c r="F703" s="2">
        <f ca="1">IFERROR(__xludf.DUMMYFUNCTION("""COMPUTED_VALUE"""),15629300)</f>
        <v>15629300</v>
      </c>
    </row>
    <row r="704" spans="1:6">
      <c r="A704" s="5">
        <f ca="1">IFERROR(__xludf.DUMMYFUNCTION("""COMPUTED_VALUE"""),43067.625)</f>
        <v>43067.625</v>
      </c>
      <c r="B704" s="2">
        <f ca="1">IFERROR(__xludf.DUMMYFUNCTION("""COMPUTED_VALUE"""),21300)</f>
        <v>21300</v>
      </c>
      <c r="C704" s="2">
        <f ca="1">IFERROR(__xludf.DUMMYFUNCTION("""COMPUTED_VALUE"""),21300)</f>
        <v>21300</v>
      </c>
      <c r="D704" s="2">
        <f ca="1">IFERROR(__xludf.DUMMYFUNCTION("""COMPUTED_VALUE"""),21050)</f>
        <v>21050</v>
      </c>
      <c r="E704" s="2">
        <f ca="1">IFERROR(__xludf.DUMMYFUNCTION("""COMPUTED_VALUE"""),21300)</f>
        <v>21300</v>
      </c>
      <c r="F704" s="2">
        <f ca="1">IFERROR(__xludf.DUMMYFUNCTION("""COMPUTED_VALUE"""),15486400)</f>
        <v>15486400</v>
      </c>
    </row>
    <row r="705" spans="1:6">
      <c r="A705" s="5">
        <f ca="1">IFERROR(__xludf.DUMMYFUNCTION("""COMPUTED_VALUE"""),43068.625)</f>
        <v>43068.625</v>
      </c>
      <c r="B705" s="2">
        <f ca="1">IFERROR(__xludf.DUMMYFUNCTION("""COMPUTED_VALUE"""),21300)</f>
        <v>21300</v>
      </c>
      <c r="C705" s="2">
        <f ca="1">IFERROR(__xludf.DUMMYFUNCTION("""COMPUTED_VALUE"""),21325)</f>
        <v>21325</v>
      </c>
      <c r="D705" s="2">
        <f ca="1">IFERROR(__xludf.DUMMYFUNCTION("""COMPUTED_VALUE"""),20925)</f>
        <v>20925</v>
      </c>
      <c r="E705" s="2">
        <f ca="1">IFERROR(__xludf.DUMMYFUNCTION("""COMPUTED_VALUE"""),21175)</f>
        <v>21175</v>
      </c>
      <c r="F705" s="2">
        <f ca="1">IFERROR(__xludf.DUMMYFUNCTION("""COMPUTED_VALUE"""),20674100)</f>
        <v>20674100</v>
      </c>
    </row>
    <row r="706" spans="1:6">
      <c r="A706" s="5">
        <f ca="1">IFERROR(__xludf.DUMMYFUNCTION("""COMPUTED_VALUE"""),43073.625)</f>
        <v>43073.625</v>
      </c>
      <c r="B706" s="2">
        <f ca="1">IFERROR(__xludf.DUMMYFUNCTION("""COMPUTED_VALUE"""),20825)</f>
        <v>20825</v>
      </c>
      <c r="C706" s="2">
        <f ca="1">IFERROR(__xludf.DUMMYFUNCTION("""COMPUTED_VALUE"""),21150)</f>
        <v>21150</v>
      </c>
      <c r="D706" s="2">
        <f ca="1">IFERROR(__xludf.DUMMYFUNCTION("""COMPUTED_VALUE"""),20650)</f>
        <v>20650</v>
      </c>
      <c r="E706" s="2">
        <f ca="1">IFERROR(__xludf.DUMMYFUNCTION("""COMPUTED_VALUE"""),20800)</f>
        <v>20800</v>
      </c>
      <c r="F706" s="2">
        <f ca="1">IFERROR(__xludf.DUMMYFUNCTION("""COMPUTED_VALUE"""),25680500)</f>
        <v>25680500</v>
      </c>
    </row>
    <row r="707" spans="1:6">
      <c r="A707" s="5">
        <f ca="1">IFERROR(__xludf.DUMMYFUNCTION("""COMPUTED_VALUE"""),43074.625)</f>
        <v>43074.625</v>
      </c>
      <c r="B707" s="2">
        <f ca="1">IFERROR(__xludf.DUMMYFUNCTION("""COMPUTED_VALUE"""),21050)</f>
        <v>21050</v>
      </c>
      <c r="C707" s="2">
        <f ca="1">IFERROR(__xludf.DUMMYFUNCTION("""COMPUTED_VALUE"""),21125)</f>
        <v>21125</v>
      </c>
      <c r="D707" s="2">
        <f ca="1">IFERROR(__xludf.DUMMYFUNCTION("""COMPUTED_VALUE"""),20900)</f>
        <v>20900</v>
      </c>
      <c r="E707" s="2">
        <f ca="1">IFERROR(__xludf.DUMMYFUNCTION("""COMPUTED_VALUE"""),21000)</f>
        <v>21000</v>
      </c>
      <c r="F707" s="2">
        <f ca="1">IFERROR(__xludf.DUMMYFUNCTION("""COMPUTED_VALUE"""),12534100)</f>
        <v>12534100</v>
      </c>
    </row>
    <row r="708" spans="1:6">
      <c r="A708" s="5">
        <f ca="1">IFERROR(__xludf.DUMMYFUNCTION("""COMPUTED_VALUE"""),43075.625)</f>
        <v>43075.625</v>
      </c>
      <c r="B708" s="2">
        <f ca="1">IFERROR(__xludf.DUMMYFUNCTION("""COMPUTED_VALUE"""),21150)</f>
        <v>21150</v>
      </c>
      <c r="C708" s="2">
        <f ca="1">IFERROR(__xludf.DUMMYFUNCTION("""COMPUTED_VALUE"""),21375)</f>
        <v>21375</v>
      </c>
      <c r="D708" s="2">
        <f ca="1">IFERROR(__xludf.DUMMYFUNCTION("""COMPUTED_VALUE"""),21000)</f>
        <v>21000</v>
      </c>
      <c r="E708" s="2">
        <f ca="1">IFERROR(__xludf.DUMMYFUNCTION("""COMPUTED_VALUE"""),21300)</f>
        <v>21300</v>
      </c>
      <c r="F708" s="2">
        <f ca="1">IFERROR(__xludf.DUMMYFUNCTION("""COMPUTED_VALUE"""),21259900)</f>
        <v>21259900</v>
      </c>
    </row>
    <row r="709" spans="1:6">
      <c r="A709" s="5">
        <f ca="1">IFERROR(__xludf.DUMMYFUNCTION("""COMPUTED_VALUE"""),43076.625)</f>
        <v>43076.625</v>
      </c>
      <c r="B709" s="2">
        <f ca="1">IFERROR(__xludf.DUMMYFUNCTION("""COMPUTED_VALUE"""),21300)</f>
        <v>21300</v>
      </c>
      <c r="C709" s="2">
        <f ca="1">IFERROR(__xludf.DUMMYFUNCTION("""COMPUTED_VALUE"""),21300)</f>
        <v>21300</v>
      </c>
      <c r="D709" s="2">
        <f ca="1">IFERROR(__xludf.DUMMYFUNCTION("""COMPUTED_VALUE"""),20875)</f>
        <v>20875</v>
      </c>
      <c r="E709" s="2">
        <f ca="1">IFERROR(__xludf.DUMMYFUNCTION("""COMPUTED_VALUE"""),20975)</f>
        <v>20975</v>
      </c>
      <c r="F709" s="2">
        <f ca="1">IFERROR(__xludf.DUMMYFUNCTION("""COMPUTED_VALUE"""),13932800)</f>
        <v>13932800</v>
      </c>
    </row>
    <row r="710" spans="1:6">
      <c r="A710" s="5">
        <f ca="1">IFERROR(__xludf.DUMMYFUNCTION("""COMPUTED_VALUE"""),43077.625)</f>
        <v>43077.625</v>
      </c>
      <c r="B710" s="2">
        <f ca="1">IFERROR(__xludf.DUMMYFUNCTION("""COMPUTED_VALUE"""),21100)</f>
        <v>21100</v>
      </c>
      <c r="C710" s="2">
        <f ca="1">IFERROR(__xludf.DUMMYFUNCTION("""COMPUTED_VALUE"""),21225)</f>
        <v>21225</v>
      </c>
      <c r="D710" s="2">
        <f ca="1">IFERROR(__xludf.DUMMYFUNCTION("""COMPUTED_VALUE"""),21025)</f>
        <v>21025</v>
      </c>
      <c r="E710" s="2">
        <f ca="1">IFERROR(__xludf.DUMMYFUNCTION("""COMPUTED_VALUE"""),21125)</f>
        <v>21125</v>
      </c>
      <c r="F710" s="2">
        <f ca="1">IFERROR(__xludf.DUMMYFUNCTION("""COMPUTED_VALUE"""),8096000)</f>
        <v>8096000</v>
      </c>
    </row>
    <row r="711" spans="1:6">
      <c r="A711" s="5">
        <f ca="1">IFERROR(__xludf.DUMMYFUNCTION("""COMPUTED_VALUE"""),43080.625)</f>
        <v>43080.625</v>
      </c>
      <c r="B711" s="2">
        <f ca="1">IFERROR(__xludf.DUMMYFUNCTION("""COMPUTED_VALUE"""),21250)</f>
        <v>21250</v>
      </c>
      <c r="C711" s="2">
        <f ca="1">IFERROR(__xludf.DUMMYFUNCTION("""COMPUTED_VALUE"""),21250)</f>
        <v>21250</v>
      </c>
      <c r="D711" s="2">
        <f ca="1">IFERROR(__xludf.DUMMYFUNCTION("""COMPUTED_VALUE"""),21000)</f>
        <v>21000</v>
      </c>
      <c r="E711" s="2">
        <f ca="1">IFERROR(__xludf.DUMMYFUNCTION("""COMPUTED_VALUE"""),21075)</f>
        <v>21075</v>
      </c>
      <c r="F711" s="2">
        <f ca="1">IFERROR(__xludf.DUMMYFUNCTION("""COMPUTED_VALUE"""),6594700)</f>
        <v>6594700</v>
      </c>
    </row>
    <row r="712" spans="1:6">
      <c r="A712" s="5">
        <f ca="1">IFERROR(__xludf.DUMMYFUNCTION("""COMPUTED_VALUE"""),43081.625)</f>
        <v>43081.625</v>
      </c>
      <c r="B712" s="2">
        <f ca="1">IFERROR(__xludf.DUMMYFUNCTION("""COMPUTED_VALUE"""),21175)</f>
        <v>21175</v>
      </c>
      <c r="C712" s="2">
        <f ca="1">IFERROR(__xludf.DUMMYFUNCTION("""COMPUTED_VALUE"""),21250)</f>
        <v>21250</v>
      </c>
      <c r="D712" s="2">
        <f ca="1">IFERROR(__xludf.DUMMYFUNCTION("""COMPUTED_VALUE"""),20850)</f>
        <v>20850</v>
      </c>
      <c r="E712" s="2">
        <f ca="1">IFERROR(__xludf.DUMMYFUNCTION("""COMPUTED_VALUE"""),21250)</f>
        <v>21250</v>
      </c>
      <c r="F712" s="2">
        <f ca="1">IFERROR(__xludf.DUMMYFUNCTION("""COMPUTED_VALUE"""),13570800)</f>
        <v>13570800</v>
      </c>
    </row>
    <row r="713" spans="1:6">
      <c r="A713" s="5">
        <f ca="1">IFERROR(__xludf.DUMMYFUNCTION("""COMPUTED_VALUE"""),43082.625)</f>
        <v>43082.625</v>
      </c>
      <c r="B713" s="2">
        <f ca="1">IFERROR(__xludf.DUMMYFUNCTION("""COMPUTED_VALUE"""),21175)</f>
        <v>21175</v>
      </c>
      <c r="C713" s="2">
        <f ca="1">IFERROR(__xludf.DUMMYFUNCTION("""COMPUTED_VALUE"""),21175)</f>
        <v>21175</v>
      </c>
      <c r="D713" s="2">
        <f ca="1">IFERROR(__xludf.DUMMYFUNCTION("""COMPUTED_VALUE"""),20925)</f>
        <v>20925</v>
      </c>
      <c r="E713" s="2">
        <f ca="1">IFERROR(__xludf.DUMMYFUNCTION("""COMPUTED_VALUE"""),20925)</f>
        <v>20925</v>
      </c>
      <c r="F713" s="2">
        <f ca="1">IFERROR(__xludf.DUMMYFUNCTION("""COMPUTED_VALUE"""),12226200)</f>
        <v>12226200</v>
      </c>
    </row>
    <row r="714" spans="1:6">
      <c r="A714" s="5">
        <f ca="1">IFERROR(__xludf.DUMMYFUNCTION("""COMPUTED_VALUE"""),43083.625)</f>
        <v>43083.625</v>
      </c>
      <c r="B714" s="2">
        <f ca="1">IFERROR(__xludf.DUMMYFUNCTION("""COMPUTED_VALUE"""),20925)</f>
        <v>20925</v>
      </c>
      <c r="C714" s="2">
        <f ca="1">IFERROR(__xludf.DUMMYFUNCTION("""COMPUTED_VALUE"""),21150)</f>
        <v>21150</v>
      </c>
      <c r="D714" s="2">
        <f ca="1">IFERROR(__xludf.DUMMYFUNCTION("""COMPUTED_VALUE"""),20875)</f>
        <v>20875</v>
      </c>
      <c r="E714" s="2">
        <f ca="1">IFERROR(__xludf.DUMMYFUNCTION("""COMPUTED_VALUE"""),21100)</f>
        <v>21100</v>
      </c>
      <c r="F714" s="2">
        <f ca="1">IFERROR(__xludf.DUMMYFUNCTION("""COMPUTED_VALUE"""),15110000)</f>
        <v>15110000</v>
      </c>
    </row>
    <row r="715" spans="1:6">
      <c r="A715" s="5">
        <f ca="1">IFERROR(__xludf.DUMMYFUNCTION("""COMPUTED_VALUE"""),43084.625)</f>
        <v>43084.625</v>
      </c>
      <c r="B715" s="2">
        <f ca="1">IFERROR(__xludf.DUMMYFUNCTION("""COMPUTED_VALUE"""),20900)</f>
        <v>20900</v>
      </c>
      <c r="C715" s="2">
        <f ca="1">IFERROR(__xludf.DUMMYFUNCTION("""COMPUTED_VALUE"""),21100)</f>
        <v>21100</v>
      </c>
      <c r="D715" s="2">
        <f ca="1">IFERROR(__xludf.DUMMYFUNCTION("""COMPUTED_VALUE"""),20900)</f>
        <v>20900</v>
      </c>
      <c r="E715" s="2">
        <f ca="1">IFERROR(__xludf.DUMMYFUNCTION("""COMPUTED_VALUE"""),21100)</f>
        <v>21100</v>
      </c>
      <c r="F715" s="2">
        <f ca="1">IFERROR(__xludf.DUMMYFUNCTION("""COMPUTED_VALUE"""),12926100)</f>
        <v>12926100</v>
      </c>
    </row>
    <row r="716" spans="1:6">
      <c r="A716" s="5">
        <f ca="1">IFERROR(__xludf.DUMMYFUNCTION("""COMPUTED_VALUE"""),43087.625)</f>
        <v>43087.625</v>
      </c>
      <c r="B716" s="2">
        <f ca="1">IFERROR(__xludf.DUMMYFUNCTION("""COMPUTED_VALUE"""),20900)</f>
        <v>20900</v>
      </c>
      <c r="C716" s="2">
        <f ca="1">IFERROR(__xludf.DUMMYFUNCTION("""COMPUTED_VALUE"""),21100)</f>
        <v>21100</v>
      </c>
      <c r="D716" s="2">
        <f ca="1">IFERROR(__xludf.DUMMYFUNCTION("""COMPUTED_VALUE"""),20850)</f>
        <v>20850</v>
      </c>
      <c r="E716" s="2">
        <f ca="1">IFERROR(__xludf.DUMMYFUNCTION("""COMPUTED_VALUE"""),21100)</f>
        <v>21100</v>
      </c>
      <c r="F716" s="2">
        <f ca="1">IFERROR(__xludf.DUMMYFUNCTION("""COMPUTED_VALUE"""),15294800)</f>
        <v>15294800</v>
      </c>
    </row>
    <row r="717" spans="1:6">
      <c r="A717" s="5">
        <f ca="1">IFERROR(__xludf.DUMMYFUNCTION("""COMPUTED_VALUE"""),43088.625)</f>
        <v>43088.625</v>
      </c>
      <c r="B717" s="2">
        <f ca="1">IFERROR(__xludf.DUMMYFUNCTION("""COMPUTED_VALUE"""),20950)</f>
        <v>20950</v>
      </c>
      <c r="C717" s="2">
        <f ca="1">IFERROR(__xludf.DUMMYFUNCTION("""COMPUTED_VALUE"""),21250)</f>
        <v>21250</v>
      </c>
      <c r="D717" s="2">
        <f ca="1">IFERROR(__xludf.DUMMYFUNCTION("""COMPUTED_VALUE"""),20950)</f>
        <v>20950</v>
      </c>
      <c r="E717" s="2">
        <f ca="1">IFERROR(__xludf.DUMMYFUNCTION("""COMPUTED_VALUE"""),21100)</f>
        <v>21100</v>
      </c>
      <c r="F717" s="2">
        <f ca="1">IFERROR(__xludf.DUMMYFUNCTION("""COMPUTED_VALUE"""),15310700)</f>
        <v>15310700</v>
      </c>
    </row>
    <row r="718" spans="1:6">
      <c r="A718" s="5">
        <f ca="1">IFERROR(__xludf.DUMMYFUNCTION("""COMPUTED_VALUE"""),43089.625)</f>
        <v>43089.625</v>
      </c>
      <c r="B718" s="2">
        <f ca="1">IFERROR(__xludf.DUMMYFUNCTION("""COMPUTED_VALUE"""),21050)</f>
        <v>21050</v>
      </c>
      <c r="C718" s="2">
        <f ca="1">IFERROR(__xludf.DUMMYFUNCTION("""COMPUTED_VALUE"""),21050)</f>
        <v>21050</v>
      </c>
      <c r="D718" s="2">
        <f ca="1">IFERROR(__xludf.DUMMYFUNCTION("""COMPUTED_VALUE"""),20875)</f>
        <v>20875</v>
      </c>
      <c r="E718" s="2">
        <f ca="1">IFERROR(__xludf.DUMMYFUNCTION("""COMPUTED_VALUE"""),20925)</f>
        <v>20925</v>
      </c>
      <c r="F718" s="2">
        <f ca="1">IFERROR(__xludf.DUMMYFUNCTION("""COMPUTED_VALUE"""),20592700)</f>
        <v>20592700</v>
      </c>
    </row>
    <row r="719" spans="1:6">
      <c r="A719" s="5">
        <f ca="1">IFERROR(__xludf.DUMMYFUNCTION("""COMPUTED_VALUE"""),43090.625)</f>
        <v>43090.625</v>
      </c>
      <c r="B719" s="2">
        <f ca="1">IFERROR(__xludf.DUMMYFUNCTION("""COMPUTED_VALUE"""),20950)</f>
        <v>20950</v>
      </c>
      <c r="C719" s="2">
        <f ca="1">IFERROR(__xludf.DUMMYFUNCTION("""COMPUTED_VALUE"""),21150)</f>
        <v>21150</v>
      </c>
      <c r="D719" s="2">
        <f ca="1">IFERROR(__xludf.DUMMYFUNCTION("""COMPUTED_VALUE"""),20950)</f>
        <v>20950</v>
      </c>
      <c r="E719" s="2">
        <f ca="1">IFERROR(__xludf.DUMMYFUNCTION("""COMPUTED_VALUE"""),21100)</f>
        <v>21100</v>
      </c>
      <c r="F719" s="2">
        <f ca="1">IFERROR(__xludf.DUMMYFUNCTION("""COMPUTED_VALUE"""),12220000)</f>
        <v>12220000</v>
      </c>
    </row>
    <row r="720" spans="1:6">
      <c r="A720" s="5">
        <f ca="1">IFERROR(__xludf.DUMMYFUNCTION("""COMPUTED_VALUE"""),43091.625)</f>
        <v>43091.625</v>
      </c>
      <c r="B720" s="2">
        <f ca="1">IFERROR(__xludf.DUMMYFUNCTION("""COMPUTED_VALUE"""),21175)</f>
        <v>21175</v>
      </c>
      <c r="C720" s="2">
        <f ca="1">IFERROR(__xludf.DUMMYFUNCTION("""COMPUTED_VALUE"""),21675)</f>
        <v>21675</v>
      </c>
      <c r="D720" s="2">
        <f ca="1">IFERROR(__xludf.DUMMYFUNCTION("""COMPUTED_VALUE"""),20975)</f>
        <v>20975</v>
      </c>
      <c r="E720" s="2">
        <f ca="1">IFERROR(__xludf.DUMMYFUNCTION("""COMPUTED_VALUE"""),21500)</f>
        <v>21500</v>
      </c>
      <c r="F720" s="2">
        <f ca="1">IFERROR(__xludf.DUMMYFUNCTION("""COMPUTED_VALUE"""),18914600)</f>
        <v>18914600</v>
      </c>
    </row>
    <row r="721" spans="1:6">
      <c r="A721" s="5">
        <f ca="1">IFERROR(__xludf.DUMMYFUNCTION("""COMPUTED_VALUE"""),43096.625)</f>
        <v>43096.625</v>
      </c>
      <c r="B721" s="2">
        <f ca="1">IFERROR(__xludf.DUMMYFUNCTION("""COMPUTED_VALUE"""),21500)</f>
        <v>21500</v>
      </c>
      <c r="C721" s="2">
        <f ca="1">IFERROR(__xludf.DUMMYFUNCTION("""COMPUTED_VALUE"""),21700)</f>
        <v>21700</v>
      </c>
      <c r="D721" s="2">
        <f ca="1">IFERROR(__xludf.DUMMYFUNCTION("""COMPUTED_VALUE"""),21400)</f>
        <v>21400</v>
      </c>
      <c r="E721" s="2">
        <f ca="1">IFERROR(__xludf.DUMMYFUNCTION("""COMPUTED_VALUE"""),21525)</f>
        <v>21525</v>
      </c>
      <c r="F721" s="2">
        <f ca="1">IFERROR(__xludf.DUMMYFUNCTION("""COMPUTED_VALUE"""),17337800)</f>
        <v>17337800</v>
      </c>
    </row>
    <row r="722" spans="1:6">
      <c r="A722" s="5">
        <f ca="1">IFERROR(__xludf.DUMMYFUNCTION("""COMPUTED_VALUE"""),43097.625)</f>
        <v>43097.625</v>
      </c>
      <c r="B722" s="2">
        <f ca="1">IFERROR(__xludf.DUMMYFUNCTION("""COMPUTED_VALUE"""),21500)</f>
        <v>21500</v>
      </c>
      <c r="C722" s="2">
        <f ca="1">IFERROR(__xludf.DUMMYFUNCTION("""COMPUTED_VALUE"""),22000)</f>
        <v>22000</v>
      </c>
      <c r="D722" s="2">
        <f ca="1">IFERROR(__xludf.DUMMYFUNCTION("""COMPUTED_VALUE"""),21475)</f>
        <v>21475</v>
      </c>
      <c r="E722" s="2">
        <f ca="1">IFERROR(__xludf.DUMMYFUNCTION("""COMPUTED_VALUE"""),21925)</f>
        <v>21925</v>
      </c>
      <c r="F722" s="2">
        <f ca="1">IFERROR(__xludf.DUMMYFUNCTION("""COMPUTED_VALUE"""),21300200)</f>
        <v>21300200</v>
      </c>
    </row>
    <row r="723" spans="1:6">
      <c r="A723" s="5">
        <f ca="1">IFERROR(__xludf.DUMMYFUNCTION("""COMPUTED_VALUE"""),43098.625)</f>
        <v>43098.625</v>
      </c>
      <c r="B723" s="2">
        <f ca="1">IFERROR(__xludf.DUMMYFUNCTION("""COMPUTED_VALUE"""),22050)</f>
        <v>22050</v>
      </c>
      <c r="C723" s="2">
        <f ca="1">IFERROR(__xludf.DUMMYFUNCTION("""COMPUTED_VALUE"""),22750)</f>
        <v>22750</v>
      </c>
      <c r="D723" s="2">
        <f ca="1">IFERROR(__xludf.DUMMYFUNCTION("""COMPUTED_VALUE"""),21650)</f>
        <v>21650</v>
      </c>
      <c r="E723" s="2">
        <f ca="1">IFERROR(__xludf.DUMMYFUNCTION("""COMPUTED_VALUE"""),21900)</f>
        <v>21900</v>
      </c>
      <c r="F723" s="2">
        <f ca="1">IFERROR(__xludf.DUMMYFUNCTION("""COMPUTED_VALUE"""),16269400)</f>
        <v>16269400</v>
      </c>
    </row>
    <row r="724" spans="1:6">
      <c r="A724" s="5">
        <f ca="1">IFERROR(__xludf.DUMMYFUNCTION("""COMPUTED_VALUE"""),43102.625)</f>
        <v>43102.625</v>
      </c>
      <c r="B724" s="2">
        <f ca="1">IFERROR(__xludf.DUMMYFUNCTION("""COMPUTED_VALUE"""),21900)</f>
        <v>21900</v>
      </c>
      <c r="C724" s="2">
        <f ca="1">IFERROR(__xludf.DUMMYFUNCTION("""COMPUTED_VALUE"""),22525)</f>
        <v>22525</v>
      </c>
      <c r="D724" s="2">
        <f ca="1">IFERROR(__xludf.DUMMYFUNCTION("""COMPUTED_VALUE"""),21825)</f>
        <v>21825</v>
      </c>
      <c r="E724" s="2">
        <f ca="1">IFERROR(__xludf.DUMMYFUNCTION("""COMPUTED_VALUE"""),21900)</f>
        <v>21900</v>
      </c>
      <c r="F724" s="2">
        <f ca="1">IFERROR(__xludf.DUMMYFUNCTION("""COMPUTED_VALUE"""),16460700)</f>
        <v>16460700</v>
      </c>
    </row>
    <row r="725" spans="1:6">
      <c r="A725" s="5">
        <f ca="1">IFERROR(__xludf.DUMMYFUNCTION("""COMPUTED_VALUE"""),43103.625)</f>
        <v>43103.625</v>
      </c>
      <c r="B725" s="2">
        <f ca="1">IFERROR(__xludf.DUMMYFUNCTION("""COMPUTED_VALUE"""),21925)</f>
        <v>21925</v>
      </c>
      <c r="C725" s="2">
        <f ca="1">IFERROR(__xludf.DUMMYFUNCTION("""COMPUTED_VALUE"""),21950)</f>
        <v>21950</v>
      </c>
      <c r="D725" s="2">
        <f ca="1">IFERROR(__xludf.DUMMYFUNCTION("""COMPUTED_VALUE"""),21325)</f>
        <v>21325</v>
      </c>
      <c r="E725" s="2">
        <f ca="1">IFERROR(__xludf.DUMMYFUNCTION("""COMPUTED_VALUE"""),21900)</f>
        <v>21900</v>
      </c>
      <c r="F725" s="2">
        <f ca="1">IFERROR(__xludf.DUMMYFUNCTION("""COMPUTED_VALUE"""),13642800)</f>
        <v>13642800</v>
      </c>
    </row>
    <row r="726" spans="1:6">
      <c r="A726" s="5">
        <f ca="1">IFERROR(__xludf.DUMMYFUNCTION("""COMPUTED_VALUE"""),43104.625)</f>
        <v>43104.625</v>
      </c>
      <c r="B726" s="2">
        <f ca="1">IFERROR(__xludf.DUMMYFUNCTION("""COMPUTED_VALUE"""),21900)</f>
        <v>21900</v>
      </c>
      <c r="C726" s="2">
        <f ca="1">IFERROR(__xludf.DUMMYFUNCTION("""COMPUTED_VALUE"""),22225)</f>
        <v>22225</v>
      </c>
      <c r="D726" s="2">
        <f ca="1">IFERROR(__xludf.DUMMYFUNCTION("""COMPUTED_VALUE"""),21900)</f>
        <v>21900</v>
      </c>
      <c r="E726" s="2">
        <f ca="1">IFERROR(__xludf.DUMMYFUNCTION("""COMPUTED_VALUE"""),22225)</f>
        <v>22225</v>
      </c>
      <c r="F726" s="2">
        <f ca="1">IFERROR(__xludf.DUMMYFUNCTION("""COMPUTED_VALUE"""),15313400)</f>
        <v>15313400</v>
      </c>
    </row>
    <row r="727" spans="1:6">
      <c r="A727" s="5">
        <f ca="1">IFERROR(__xludf.DUMMYFUNCTION("""COMPUTED_VALUE"""),43105.625)</f>
        <v>43105.625</v>
      </c>
      <c r="B727" s="2">
        <f ca="1">IFERROR(__xludf.DUMMYFUNCTION("""COMPUTED_VALUE"""),22300)</f>
        <v>22300</v>
      </c>
      <c r="C727" s="2">
        <f ca="1">IFERROR(__xludf.DUMMYFUNCTION("""COMPUTED_VALUE"""),22400)</f>
        <v>22400</v>
      </c>
      <c r="D727" s="2">
        <f ca="1">IFERROR(__xludf.DUMMYFUNCTION("""COMPUTED_VALUE"""),22175)</f>
        <v>22175</v>
      </c>
      <c r="E727" s="2">
        <f ca="1">IFERROR(__xludf.DUMMYFUNCTION("""COMPUTED_VALUE"""),22250)</f>
        <v>22250</v>
      </c>
      <c r="F727" s="2">
        <f ca="1">IFERROR(__xludf.DUMMYFUNCTION("""COMPUTED_VALUE"""),13053600)</f>
        <v>13053600</v>
      </c>
    </row>
    <row r="728" spans="1:6">
      <c r="A728" s="5">
        <f ca="1">IFERROR(__xludf.DUMMYFUNCTION("""COMPUTED_VALUE"""),43108.625)</f>
        <v>43108.625</v>
      </c>
      <c r="B728" s="2">
        <f ca="1">IFERROR(__xludf.DUMMYFUNCTION("""COMPUTED_VALUE"""),22250)</f>
        <v>22250</v>
      </c>
      <c r="C728" s="2">
        <f ca="1">IFERROR(__xludf.DUMMYFUNCTION("""COMPUTED_VALUE"""),22575)</f>
        <v>22575</v>
      </c>
      <c r="D728" s="2">
        <f ca="1">IFERROR(__xludf.DUMMYFUNCTION("""COMPUTED_VALUE"""),22225)</f>
        <v>22225</v>
      </c>
      <c r="E728" s="2">
        <f ca="1">IFERROR(__xludf.DUMMYFUNCTION("""COMPUTED_VALUE"""),22350)</f>
        <v>22350</v>
      </c>
      <c r="F728" s="2">
        <f ca="1">IFERROR(__xludf.DUMMYFUNCTION("""COMPUTED_VALUE"""),11585600)</f>
        <v>11585600</v>
      </c>
    </row>
    <row r="729" spans="1:6">
      <c r="A729" s="5">
        <f ca="1">IFERROR(__xludf.DUMMYFUNCTION("""COMPUTED_VALUE"""),43109.625)</f>
        <v>43109.625</v>
      </c>
      <c r="B729" s="2">
        <f ca="1">IFERROR(__xludf.DUMMYFUNCTION("""COMPUTED_VALUE"""),22500)</f>
        <v>22500</v>
      </c>
      <c r="C729" s="2">
        <f ca="1">IFERROR(__xludf.DUMMYFUNCTION("""COMPUTED_VALUE"""),22550)</f>
        <v>22550</v>
      </c>
      <c r="D729" s="2">
        <f ca="1">IFERROR(__xludf.DUMMYFUNCTION("""COMPUTED_VALUE"""),22450)</f>
        <v>22450</v>
      </c>
      <c r="E729" s="2">
        <f ca="1">IFERROR(__xludf.DUMMYFUNCTION("""COMPUTED_VALUE"""),22525)</f>
        <v>22525</v>
      </c>
      <c r="F729" s="2">
        <f ca="1">IFERROR(__xludf.DUMMYFUNCTION("""COMPUTED_VALUE"""),12242600)</f>
        <v>12242600</v>
      </c>
    </row>
    <row r="730" spans="1:6">
      <c r="A730" s="5">
        <f ca="1">IFERROR(__xludf.DUMMYFUNCTION("""COMPUTED_VALUE"""),43110.625)</f>
        <v>43110.625</v>
      </c>
      <c r="B730" s="2">
        <f ca="1">IFERROR(__xludf.DUMMYFUNCTION("""COMPUTED_VALUE"""),22525)</f>
        <v>22525</v>
      </c>
      <c r="C730" s="2">
        <f ca="1">IFERROR(__xludf.DUMMYFUNCTION("""COMPUTED_VALUE"""),22725)</f>
        <v>22725</v>
      </c>
      <c r="D730" s="2">
        <f ca="1">IFERROR(__xludf.DUMMYFUNCTION("""COMPUTED_VALUE"""),22325)</f>
        <v>22325</v>
      </c>
      <c r="E730" s="2">
        <f ca="1">IFERROR(__xludf.DUMMYFUNCTION("""COMPUTED_VALUE"""),22450)</f>
        <v>22450</v>
      </c>
      <c r="F730" s="2">
        <f ca="1">IFERROR(__xludf.DUMMYFUNCTION("""COMPUTED_VALUE"""),9458400)</f>
        <v>9458400</v>
      </c>
    </row>
    <row r="731" spans="1:6">
      <c r="A731" s="5">
        <f ca="1">IFERROR(__xludf.DUMMYFUNCTION("""COMPUTED_VALUE"""),43111.625)</f>
        <v>43111.625</v>
      </c>
      <c r="B731" s="2">
        <f ca="1">IFERROR(__xludf.DUMMYFUNCTION("""COMPUTED_VALUE"""),22450)</f>
        <v>22450</v>
      </c>
      <c r="C731" s="2">
        <f ca="1">IFERROR(__xludf.DUMMYFUNCTION("""COMPUTED_VALUE"""),22700)</f>
        <v>22700</v>
      </c>
      <c r="D731" s="2">
        <f ca="1">IFERROR(__xludf.DUMMYFUNCTION("""COMPUTED_VALUE"""),22300)</f>
        <v>22300</v>
      </c>
      <c r="E731" s="2">
        <f ca="1">IFERROR(__xludf.DUMMYFUNCTION("""COMPUTED_VALUE"""),22700)</f>
        <v>22700</v>
      </c>
      <c r="F731" s="2">
        <f ca="1">IFERROR(__xludf.DUMMYFUNCTION("""COMPUTED_VALUE"""),11513800)</f>
        <v>11513800</v>
      </c>
    </row>
    <row r="732" spans="1:6">
      <c r="A732" s="5">
        <f ca="1">IFERROR(__xludf.DUMMYFUNCTION("""COMPUTED_VALUE"""),43112.625)</f>
        <v>43112.625</v>
      </c>
      <c r="B732" s="2">
        <f ca="1">IFERROR(__xludf.DUMMYFUNCTION("""COMPUTED_VALUE"""),22700)</f>
        <v>22700</v>
      </c>
      <c r="C732" s="2">
        <f ca="1">IFERROR(__xludf.DUMMYFUNCTION("""COMPUTED_VALUE"""),22725)</f>
        <v>22725</v>
      </c>
      <c r="D732" s="2">
        <f ca="1">IFERROR(__xludf.DUMMYFUNCTION("""COMPUTED_VALUE"""),22325)</f>
        <v>22325</v>
      </c>
      <c r="E732" s="2">
        <f ca="1">IFERROR(__xludf.DUMMYFUNCTION("""COMPUTED_VALUE"""),22425)</f>
        <v>22425</v>
      </c>
      <c r="F732" s="2">
        <f ca="1">IFERROR(__xludf.DUMMYFUNCTION("""COMPUTED_VALUE"""),13318100)</f>
        <v>13318100</v>
      </c>
    </row>
    <row r="733" spans="1:6">
      <c r="A733" s="5">
        <f ca="1">IFERROR(__xludf.DUMMYFUNCTION("""COMPUTED_VALUE"""),43115.625)</f>
        <v>43115.625</v>
      </c>
      <c r="B733" s="2">
        <f ca="1">IFERROR(__xludf.DUMMYFUNCTION("""COMPUTED_VALUE"""),22450)</f>
        <v>22450</v>
      </c>
      <c r="C733" s="2">
        <f ca="1">IFERROR(__xludf.DUMMYFUNCTION("""COMPUTED_VALUE"""),22500)</f>
        <v>22500</v>
      </c>
      <c r="D733" s="2">
        <f ca="1">IFERROR(__xludf.DUMMYFUNCTION("""COMPUTED_VALUE"""),22300)</f>
        <v>22300</v>
      </c>
      <c r="E733" s="2">
        <f ca="1">IFERROR(__xludf.DUMMYFUNCTION("""COMPUTED_VALUE"""),22475)</f>
        <v>22475</v>
      </c>
      <c r="F733" s="2">
        <f ca="1">IFERROR(__xludf.DUMMYFUNCTION("""COMPUTED_VALUE"""),8375000)</f>
        <v>8375000</v>
      </c>
    </row>
    <row r="734" spans="1:6">
      <c r="A734" s="5">
        <f ca="1">IFERROR(__xludf.DUMMYFUNCTION("""COMPUTED_VALUE"""),43116.625)</f>
        <v>43116.625</v>
      </c>
      <c r="B734" s="2">
        <f ca="1">IFERROR(__xludf.DUMMYFUNCTION("""COMPUTED_VALUE"""),22450)</f>
        <v>22450</v>
      </c>
      <c r="C734" s="2">
        <f ca="1">IFERROR(__xludf.DUMMYFUNCTION("""COMPUTED_VALUE"""),22675)</f>
        <v>22675</v>
      </c>
      <c r="D734" s="2">
        <f ca="1">IFERROR(__xludf.DUMMYFUNCTION("""COMPUTED_VALUE"""),22450)</f>
        <v>22450</v>
      </c>
      <c r="E734" s="2">
        <f ca="1">IFERROR(__xludf.DUMMYFUNCTION("""COMPUTED_VALUE"""),22600)</f>
        <v>22600</v>
      </c>
      <c r="F734" s="2">
        <f ca="1">IFERROR(__xludf.DUMMYFUNCTION("""COMPUTED_VALUE"""),10011000)</f>
        <v>10011000</v>
      </c>
    </row>
    <row r="735" spans="1:6">
      <c r="A735" s="5">
        <f ca="1">IFERROR(__xludf.DUMMYFUNCTION("""COMPUTED_VALUE"""),43117.625)</f>
        <v>43117.625</v>
      </c>
      <c r="B735" s="2">
        <f ca="1">IFERROR(__xludf.DUMMYFUNCTION("""COMPUTED_VALUE"""),22700)</f>
        <v>22700</v>
      </c>
      <c r="C735" s="2">
        <f ca="1">IFERROR(__xludf.DUMMYFUNCTION("""COMPUTED_VALUE"""),22700)</f>
        <v>22700</v>
      </c>
      <c r="D735" s="2">
        <f ca="1">IFERROR(__xludf.DUMMYFUNCTION("""COMPUTED_VALUE"""),22150)</f>
        <v>22150</v>
      </c>
      <c r="E735" s="2">
        <f ca="1">IFERROR(__xludf.DUMMYFUNCTION("""COMPUTED_VALUE"""),22150)</f>
        <v>22150</v>
      </c>
      <c r="F735" s="2">
        <f ca="1">IFERROR(__xludf.DUMMYFUNCTION("""COMPUTED_VALUE"""),36600600)</f>
        <v>36600600</v>
      </c>
    </row>
    <row r="736" spans="1:6">
      <c r="A736" s="5">
        <f ca="1">IFERROR(__xludf.DUMMYFUNCTION("""COMPUTED_VALUE"""),43118.625)</f>
        <v>43118.625</v>
      </c>
      <c r="B736" s="2">
        <f ca="1">IFERROR(__xludf.DUMMYFUNCTION("""COMPUTED_VALUE"""),22250)</f>
        <v>22250</v>
      </c>
      <c r="C736" s="2">
        <f ca="1">IFERROR(__xludf.DUMMYFUNCTION("""COMPUTED_VALUE"""),22600)</f>
        <v>22600</v>
      </c>
      <c r="D736" s="2">
        <f ca="1">IFERROR(__xludf.DUMMYFUNCTION("""COMPUTED_VALUE"""),22250)</f>
        <v>22250</v>
      </c>
      <c r="E736" s="2">
        <f ca="1">IFERROR(__xludf.DUMMYFUNCTION("""COMPUTED_VALUE"""),22575)</f>
        <v>22575</v>
      </c>
      <c r="F736" s="2">
        <f ca="1">IFERROR(__xludf.DUMMYFUNCTION("""COMPUTED_VALUE"""),16996100)</f>
        <v>16996100</v>
      </c>
    </row>
    <row r="737" spans="1:6">
      <c r="A737" s="5">
        <f ca="1">IFERROR(__xludf.DUMMYFUNCTION("""COMPUTED_VALUE"""),43119.625)</f>
        <v>43119.625</v>
      </c>
      <c r="B737" s="2">
        <f ca="1">IFERROR(__xludf.DUMMYFUNCTION("""COMPUTED_VALUE"""),22625)</f>
        <v>22625</v>
      </c>
      <c r="C737" s="2">
        <f ca="1">IFERROR(__xludf.DUMMYFUNCTION("""COMPUTED_VALUE"""),22650)</f>
        <v>22650</v>
      </c>
      <c r="D737" s="2">
        <f ca="1">IFERROR(__xludf.DUMMYFUNCTION("""COMPUTED_VALUE"""),22400)</f>
        <v>22400</v>
      </c>
      <c r="E737" s="2">
        <f ca="1">IFERROR(__xludf.DUMMYFUNCTION("""COMPUTED_VALUE"""),22450)</f>
        <v>22450</v>
      </c>
      <c r="F737" s="2">
        <f ca="1">IFERROR(__xludf.DUMMYFUNCTION("""COMPUTED_VALUE"""),10090100)</f>
        <v>10090100</v>
      </c>
    </row>
    <row r="738" spans="1:6">
      <c r="A738" s="5">
        <f ca="1">IFERROR(__xludf.DUMMYFUNCTION("""COMPUTED_VALUE"""),43122.625)</f>
        <v>43122.625</v>
      </c>
      <c r="B738" s="2">
        <f ca="1">IFERROR(__xludf.DUMMYFUNCTION("""COMPUTED_VALUE"""),22550)</f>
        <v>22550</v>
      </c>
      <c r="C738" s="2">
        <f ca="1">IFERROR(__xludf.DUMMYFUNCTION("""COMPUTED_VALUE"""),22575)</f>
        <v>22575</v>
      </c>
      <c r="D738" s="2">
        <f ca="1">IFERROR(__xludf.DUMMYFUNCTION("""COMPUTED_VALUE"""),22425)</f>
        <v>22425</v>
      </c>
      <c r="E738" s="2">
        <f ca="1">IFERROR(__xludf.DUMMYFUNCTION("""COMPUTED_VALUE"""),22475)</f>
        <v>22475</v>
      </c>
      <c r="F738" s="2">
        <f ca="1">IFERROR(__xludf.DUMMYFUNCTION("""COMPUTED_VALUE"""),16273500)</f>
        <v>16273500</v>
      </c>
    </row>
    <row r="739" spans="1:6">
      <c r="A739" s="5">
        <f ca="1">IFERROR(__xludf.DUMMYFUNCTION("""COMPUTED_VALUE"""),43123.625)</f>
        <v>43123.625</v>
      </c>
      <c r="B739" s="2">
        <f ca="1">IFERROR(__xludf.DUMMYFUNCTION("""COMPUTED_VALUE"""),22650)</f>
        <v>22650</v>
      </c>
      <c r="C739" s="2">
        <f ca="1">IFERROR(__xludf.DUMMYFUNCTION("""COMPUTED_VALUE"""),22700)</f>
        <v>22700</v>
      </c>
      <c r="D739" s="2">
        <f ca="1">IFERROR(__xludf.DUMMYFUNCTION("""COMPUTED_VALUE"""),22525)</f>
        <v>22525</v>
      </c>
      <c r="E739" s="2">
        <f ca="1">IFERROR(__xludf.DUMMYFUNCTION("""COMPUTED_VALUE"""),22650)</f>
        <v>22650</v>
      </c>
      <c r="F739" s="2">
        <f ca="1">IFERROR(__xludf.DUMMYFUNCTION("""COMPUTED_VALUE"""),13750400)</f>
        <v>13750400</v>
      </c>
    </row>
    <row r="740" spans="1:6">
      <c r="A740" s="5">
        <f ca="1">IFERROR(__xludf.DUMMYFUNCTION("""COMPUTED_VALUE"""),43124.625)</f>
        <v>43124.625</v>
      </c>
      <c r="B740" s="2">
        <f ca="1">IFERROR(__xludf.DUMMYFUNCTION("""COMPUTED_VALUE"""),22625)</f>
        <v>22625</v>
      </c>
      <c r="C740" s="2">
        <f ca="1">IFERROR(__xludf.DUMMYFUNCTION("""COMPUTED_VALUE"""),22625)</f>
        <v>22625</v>
      </c>
      <c r="D740" s="2">
        <f ca="1">IFERROR(__xludf.DUMMYFUNCTION("""COMPUTED_VALUE"""),22500)</f>
        <v>22500</v>
      </c>
      <c r="E740" s="2">
        <f ca="1">IFERROR(__xludf.DUMMYFUNCTION("""COMPUTED_VALUE"""),22575)</f>
        <v>22575</v>
      </c>
      <c r="F740" s="2">
        <f ca="1">IFERROR(__xludf.DUMMYFUNCTION("""COMPUTED_VALUE"""),18850900)</f>
        <v>18850900</v>
      </c>
    </row>
    <row r="741" spans="1:6">
      <c r="A741" s="5">
        <f ca="1">IFERROR(__xludf.DUMMYFUNCTION("""COMPUTED_VALUE"""),43125.625)</f>
        <v>43125.625</v>
      </c>
      <c r="B741" s="2">
        <f ca="1">IFERROR(__xludf.DUMMYFUNCTION("""COMPUTED_VALUE"""),22550)</f>
        <v>22550</v>
      </c>
      <c r="C741" s="2">
        <f ca="1">IFERROR(__xludf.DUMMYFUNCTION("""COMPUTED_VALUE"""),22650)</f>
        <v>22650</v>
      </c>
      <c r="D741" s="2">
        <f ca="1">IFERROR(__xludf.DUMMYFUNCTION("""COMPUTED_VALUE"""),22450)</f>
        <v>22450</v>
      </c>
      <c r="E741" s="2">
        <f ca="1">IFERROR(__xludf.DUMMYFUNCTION("""COMPUTED_VALUE"""),22575)</f>
        <v>22575</v>
      </c>
      <c r="F741" s="2">
        <f ca="1">IFERROR(__xludf.DUMMYFUNCTION("""COMPUTED_VALUE"""),10730700)</f>
        <v>10730700</v>
      </c>
    </row>
    <row r="742" spans="1:6">
      <c r="A742" s="5">
        <f ca="1">IFERROR(__xludf.DUMMYFUNCTION("""COMPUTED_VALUE"""),43126.625)</f>
        <v>43126.625</v>
      </c>
      <c r="B742" s="2">
        <f ca="1">IFERROR(__xludf.DUMMYFUNCTION("""COMPUTED_VALUE"""),22625)</f>
        <v>22625</v>
      </c>
      <c r="C742" s="2">
        <f ca="1">IFERROR(__xludf.DUMMYFUNCTION("""COMPUTED_VALUE"""),22850)</f>
        <v>22850</v>
      </c>
      <c r="D742" s="2">
        <f ca="1">IFERROR(__xludf.DUMMYFUNCTION("""COMPUTED_VALUE"""),22525)</f>
        <v>22525</v>
      </c>
      <c r="E742" s="2">
        <f ca="1">IFERROR(__xludf.DUMMYFUNCTION("""COMPUTED_VALUE"""),22700)</f>
        <v>22700</v>
      </c>
      <c r="F742" s="2">
        <f ca="1">IFERROR(__xludf.DUMMYFUNCTION("""COMPUTED_VALUE"""),11624200)</f>
        <v>11624200</v>
      </c>
    </row>
    <row r="743" spans="1:6">
      <c r="A743" s="5">
        <f ca="1">IFERROR(__xludf.DUMMYFUNCTION("""COMPUTED_VALUE"""),43129.625)</f>
        <v>43129.625</v>
      </c>
      <c r="B743" s="2">
        <f ca="1">IFERROR(__xludf.DUMMYFUNCTION("""COMPUTED_VALUE"""),22800)</f>
        <v>22800</v>
      </c>
      <c r="C743" s="2">
        <f ca="1">IFERROR(__xludf.DUMMYFUNCTION("""COMPUTED_VALUE"""),22825)</f>
        <v>22825</v>
      </c>
      <c r="D743" s="2">
        <f ca="1">IFERROR(__xludf.DUMMYFUNCTION("""COMPUTED_VALUE"""),22550)</f>
        <v>22550</v>
      </c>
      <c r="E743" s="2">
        <f ca="1">IFERROR(__xludf.DUMMYFUNCTION("""COMPUTED_VALUE"""),22800)</f>
        <v>22800</v>
      </c>
      <c r="F743" s="2">
        <f ca="1">IFERROR(__xludf.DUMMYFUNCTION("""COMPUTED_VALUE"""),22962900)</f>
        <v>22962900</v>
      </c>
    </row>
    <row r="744" spans="1:6">
      <c r="A744" s="5">
        <f ca="1">IFERROR(__xludf.DUMMYFUNCTION("""COMPUTED_VALUE"""),43130.625)</f>
        <v>43130.625</v>
      </c>
      <c r="B744" s="2">
        <f ca="1">IFERROR(__xludf.DUMMYFUNCTION("""COMPUTED_VALUE"""),22700)</f>
        <v>22700</v>
      </c>
      <c r="C744" s="2">
        <f ca="1">IFERROR(__xludf.DUMMYFUNCTION("""COMPUTED_VALUE"""),23450)</f>
        <v>23450</v>
      </c>
      <c r="D744" s="2">
        <f ca="1">IFERROR(__xludf.DUMMYFUNCTION("""COMPUTED_VALUE"""),22650)</f>
        <v>22650</v>
      </c>
      <c r="E744" s="2">
        <f ca="1">IFERROR(__xludf.DUMMYFUNCTION("""COMPUTED_VALUE"""),22800)</f>
        <v>22800</v>
      </c>
      <c r="F744" s="2">
        <f ca="1">IFERROR(__xludf.DUMMYFUNCTION("""COMPUTED_VALUE"""),22811000)</f>
        <v>22811000</v>
      </c>
    </row>
    <row r="745" spans="1:6">
      <c r="A745" s="5">
        <f ca="1">IFERROR(__xludf.DUMMYFUNCTION("""COMPUTED_VALUE"""),43131.625)</f>
        <v>43131.625</v>
      </c>
      <c r="B745" s="2">
        <f ca="1">IFERROR(__xludf.DUMMYFUNCTION("""COMPUTED_VALUE"""),22800)</f>
        <v>22800</v>
      </c>
      <c r="C745" s="2">
        <f ca="1">IFERROR(__xludf.DUMMYFUNCTION("""COMPUTED_VALUE"""),22900)</f>
        <v>22900</v>
      </c>
      <c r="D745" s="2">
        <f ca="1">IFERROR(__xludf.DUMMYFUNCTION("""COMPUTED_VALUE"""),22700)</f>
        <v>22700</v>
      </c>
      <c r="E745" s="2">
        <f ca="1">IFERROR(__xludf.DUMMYFUNCTION("""COMPUTED_VALUE"""),22725)</f>
        <v>22725</v>
      </c>
      <c r="F745" s="2">
        <f ca="1">IFERROR(__xludf.DUMMYFUNCTION("""COMPUTED_VALUE"""),21360600)</f>
        <v>21360600</v>
      </c>
    </row>
    <row r="746" spans="1:6">
      <c r="A746" s="5">
        <f ca="1">IFERROR(__xludf.DUMMYFUNCTION("""COMPUTED_VALUE"""),43132.625)</f>
        <v>43132.625</v>
      </c>
      <c r="B746" s="2">
        <f ca="1">IFERROR(__xludf.DUMMYFUNCTION("""COMPUTED_VALUE"""),22850)</f>
        <v>22850</v>
      </c>
      <c r="C746" s="2">
        <f ca="1">IFERROR(__xludf.DUMMYFUNCTION("""COMPUTED_VALUE"""),23425)</f>
        <v>23425</v>
      </c>
      <c r="D746" s="2">
        <f ca="1">IFERROR(__xludf.DUMMYFUNCTION("""COMPUTED_VALUE"""),22850)</f>
        <v>22850</v>
      </c>
      <c r="E746" s="2">
        <f ca="1">IFERROR(__xludf.DUMMYFUNCTION("""COMPUTED_VALUE"""),23375)</f>
        <v>23375</v>
      </c>
      <c r="F746" s="2">
        <f ca="1">IFERROR(__xludf.DUMMYFUNCTION("""COMPUTED_VALUE"""),27641600)</f>
        <v>27641600</v>
      </c>
    </row>
    <row r="747" spans="1:6">
      <c r="A747" s="5">
        <f ca="1">IFERROR(__xludf.DUMMYFUNCTION("""COMPUTED_VALUE"""),43133.625)</f>
        <v>43133.625</v>
      </c>
      <c r="B747" s="2">
        <f ca="1">IFERROR(__xludf.DUMMYFUNCTION("""COMPUTED_VALUE"""),23625)</f>
        <v>23625</v>
      </c>
      <c r="C747" s="2">
        <f ca="1">IFERROR(__xludf.DUMMYFUNCTION("""COMPUTED_VALUE"""),24700)</f>
        <v>24700</v>
      </c>
      <c r="D747" s="2">
        <f ca="1">IFERROR(__xludf.DUMMYFUNCTION("""COMPUTED_VALUE"""),23600)</f>
        <v>23600</v>
      </c>
      <c r="E747" s="2">
        <f ca="1">IFERROR(__xludf.DUMMYFUNCTION("""COMPUTED_VALUE"""),23975)</f>
        <v>23975</v>
      </c>
      <c r="F747" s="2">
        <f ca="1">IFERROR(__xludf.DUMMYFUNCTION("""COMPUTED_VALUE"""),19694800)</f>
        <v>19694800</v>
      </c>
    </row>
    <row r="748" spans="1:6">
      <c r="A748" s="5">
        <f ca="1">IFERROR(__xludf.DUMMYFUNCTION("""COMPUTED_VALUE"""),43136.625)</f>
        <v>43136.625</v>
      </c>
      <c r="B748" s="2">
        <f ca="1">IFERROR(__xludf.DUMMYFUNCTION("""COMPUTED_VALUE"""),23750)</f>
        <v>23750</v>
      </c>
      <c r="C748" s="2">
        <f ca="1">IFERROR(__xludf.DUMMYFUNCTION("""COMPUTED_VALUE"""),24025)</f>
        <v>24025</v>
      </c>
      <c r="D748" s="2">
        <f ca="1">IFERROR(__xludf.DUMMYFUNCTION("""COMPUTED_VALUE"""),23500)</f>
        <v>23500</v>
      </c>
      <c r="E748" s="2">
        <f ca="1">IFERROR(__xludf.DUMMYFUNCTION("""COMPUTED_VALUE"""),23800)</f>
        <v>23800</v>
      </c>
      <c r="F748" s="2">
        <f ca="1">IFERROR(__xludf.DUMMYFUNCTION("""COMPUTED_VALUE"""),9900300)</f>
        <v>9900300</v>
      </c>
    </row>
    <row r="749" spans="1:6">
      <c r="A749" s="5">
        <f ca="1">IFERROR(__xludf.DUMMYFUNCTION("""COMPUTED_VALUE"""),43137.625)</f>
        <v>43137.625</v>
      </c>
      <c r="B749" s="2">
        <f ca="1">IFERROR(__xludf.DUMMYFUNCTION("""COMPUTED_VALUE"""),23450)</f>
        <v>23450</v>
      </c>
      <c r="C749" s="2">
        <f ca="1">IFERROR(__xludf.DUMMYFUNCTION("""COMPUTED_VALUE"""),23675)</f>
        <v>23675</v>
      </c>
      <c r="D749" s="2">
        <f ca="1">IFERROR(__xludf.DUMMYFUNCTION("""COMPUTED_VALUE"""),23300)</f>
        <v>23300</v>
      </c>
      <c r="E749" s="2">
        <f ca="1">IFERROR(__xludf.DUMMYFUNCTION("""COMPUTED_VALUE"""),23525)</f>
        <v>23525</v>
      </c>
      <c r="F749" s="2">
        <f ca="1">IFERROR(__xludf.DUMMYFUNCTION("""COMPUTED_VALUE"""),23517900)</f>
        <v>23517900</v>
      </c>
    </row>
    <row r="750" spans="1:6">
      <c r="A750" s="5">
        <f ca="1">IFERROR(__xludf.DUMMYFUNCTION("""COMPUTED_VALUE"""),43138.625)</f>
        <v>43138.625</v>
      </c>
      <c r="B750" s="2">
        <f ca="1">IFERROR(__xludf.DUMMYFUNCTION("""COMPUTED_VALUE"""),23650)</f>
        <v>23650</v>
      </c>
      <c r="C750" s="2">
        <f ca="1">IFERROR(__xludf.DUMMYFUNCTION("""COMPUTED_VALUE"""),23975)</f>
        <v>23975</v>
      </c>
      <c r="D750" s="2">
        <f ca="1">IFERROR(__xludf.DUMMYFUNCTION("""COMPUTED_VALUE"""),23475)</f>
        <v>23475</v>
      </c>
      <c r="E750" s="2">
        <f ca="1">IFERROR(__xludf.DUMMYFUNCTION("""COMPUTED_VALUE"""),23500)</f>
        <v>23500</v>
      </c>
      <c r="F750" s="2">
        <f ca="1">IFERROR(__xludf.DUMMYFUNCTION("""COMPUTED_VALUE"""),24389400)</f>
        <v>24389400</v>
      </c>
    </row>
    <row r="751" spans="1:6">
      <c r="A751" s="5">
        <f ca="1">IFERROR(__xludf.DUMMYFUNCTION("""COMPUTED_VALUE"""),43139.625)</f>
        <v>43139.625</v>
      </c>
      <c r="B751" s="2">
        <f ca="1">IFERROR(__xludf.DUMMYFUNCTION("""COMPUTED_VALUE"""),23550)</f>
        <v>23550</v>
      </c>
      <c r="C751" s="2">
        <f ca="1">IFERROR(__xludf.DUMMYFUNCTION("""COMPUTED_VALUE"""),23800)</f>
        <v>23800</v>
      </c>
      <c r="D751" s="2">
        <f ca="1">IFERROR(__xludf.DUMMYFUNCTION("""COMPUTED_VALUE"""),23500)</f>
        <v>23500</v>
      </c>
      <c r="E751" s="2">
        <f ca="1">IFERROR(__xludf.DUMMYFUNCTION("""COMPUTED_VALUE"""),23700)</f>
        <v>23700</v>
      </c>
      <c r="F751" s="2">
        <f ca="1">IFERROR(__xludf.DUMMYFUNCTION("""COMPUTED_VALUE"""),13692200)</f>
        <v>13692200</v>
      </c>
    </row>
    <row r="752" spans="1:6">
      <c r="A752" s="5">
        <f ca="1">IFERROR(__xludf.DUMMYFUNCTION("""COMPUTED_VALUE"""),43140.625)</f>
        <v>43140.625</v>
      </c>
      <c r="B752" s="2">
        <f ca="1">IFERROR(__xludf.DUMMYFUNCTION("""COMPUTED_VALUE"""),23400)</f>
        <v>23400</v>
      </c>
      <c r="C752" s="2">
        <f ca="1">IFERROR(__xludf.DUMMYFUNCTION("""COMPUTED_VALUE"""),23725)</f>
        <v>23725</v>
      </c>
      <c r="D752" s="2">
        <f ca="1">IFERROR(__xludf.DUMMYFUNCTION("""COMPUTED_VALUE"""),23350)</f>
        <v>23350</v>
      </c>
      <c r="E752" s="2">
        <f ca="1">IFERROR(__xludf.DUMMYFUNCTION("""COMPUTED_VALUE"""),23575)</f>
        <v>23575</v>
      </c>
      <c r="F752" s="2">
        <f ca="1">IFERROR(__xludf.DUMMYFUNCTION("""COMPUTED_VALUE"""),14215300)</f>
        <v>14215300</v>
      </c>
    </row>
    <row r="753" spans="1:6">
      <c r="A753" s="5">
        <f ca="1">IFERROR(__xludf.DUMMYFUNCTION("""COMPUTED_VALUE"""),43143.625)</f>
        <v>43143.625</v>
      </c>
      <c r="B753" s="2">
        <f ca="1">IFERROR(__xludf.DUMMYFUNCTION("""COMPUTED_VALUE"""),23800)</f>
        <v>23800</v>
      </c>
      <c r="C753" s="2">
        <f ca="1">IFERROR(__xludf.DUMMYFUNCTION("""COMPUTED_VALUE"""),23800)</f>
        <v>23800</v>
      </c>
      <c r="D753" s="2">
        <f ca="1">IFERROR(__xludf.DUMMYFUNCTION("""COMPUTED_VALUE"""),23500)</f>
        <v>23500</v>
      </c>
      <c r="E753" s="2">
        <f ca="1">IFERROR(__xludf.DUMMYFUNCTION("""COMPUTED_VALUE"""),23500)</f>
        <v>23500</v>
      </c>
      <c r="F753" s="2">
        <f ca="1">IFERROR(__xludf.DUMMYFUNCTION("""COMPUTED_VALUE"""),7681900)</f>
        <v>7681900</v>
      </c>
    </row>
    <row r="754" spans="1:6">
      <c r="A754" s="5">
        <f ca="1">IFERROR(__xludf.DUMMYFUNCTION("""COMPUTED_VALUE"""),43144.625)</f>
        <v>43144.625</v>
      </c>
      <c r="B754" s="2">
        <f ca="1">IFERROR(__xludf.DUMMYFUNCTION("""COMPUTED_VALUE"""),23800)</f>
        <v>23800</v>
      </c>
      <c r="C754" s="2">
        <f ca="1">IFERROR(__xludf.DUMMYFUNCTION("""COMPUTED_VALUE"""),23925)</f>
        <v>23925</v>
      </c>
      <c r="D754" s="2">
        <f ca="1">IFERROR(__xludf.DUMMYFUNCTION("""COMPUTED_VALUE"""),23750)</f>
        <v>23750</v>
      </c>
      <c r="E754" s="2">
        <f ca="1">IFERROR(__xludf.DUMMYFUNCTION("""COMPUTED_VALUE"""),23800)</f>
        <v>23800</v>
      </c>
      <c r="F754" s="2">
        <f ca="1">IFERROR(__xludf.DUMMYFUNCTION("""COMPUTED_VALUE"""),11881200)</f>
        <v>11881200</v>
      </c>
    </row>
    <row r="755" spans="1:6">
      <c r="A755" s="5">
        <f ca="1">IFERROR(__xludf.DUMMYFUNCTION("""COMPUTED_VALUE"""),43145.625)</f>
        <v>43145.625</v>
      </c>
      <c r="B755" s="2">
        <f ca="1">IFERROR(__xludf.DUMMYFUNCTION("""COMPUTED_VALUE"""),23725)</f>
        <v>23725</v>
      </c>
      <c r="C755" s="2">
        <f ca="1">IFERROR(__xludf.DUMMYFUNCTION("""COMPUTED_VALUE"""),23875)</f>
        <v>23875</v>
      </c>
      <c r="D755" s="2">
        <f ca="1">IFERROR(__xludf.DUMMYFUNCTION("""COMPUTED_VALUE"""),23550)</f>
        <v>23550</v>
      </c>
      <c r="E755" s="2">
        <f ca="1">IFERROR(__xludf.DUMMYFUNCTION("""COMPUTED_VALUE"""),23700)</f>
        <v>23700</v>
      </c>
      <c r="F755" s="2">
        <f ca="1">IFERROR(__xludf.DUMMYFUNCTION("""COMPUTED_VALUE"""),15110600)</f>
        <v>15110600</v>
      </c>
    </row>
    <row r="756" spans="1:6">
      <c r="A756" s="5">
        <f ca="1">IFERROR(__xludf.DUMMYFUNCTION("""COMPUTED_VALUE"""),43146.5416666666)</f>
        <v>43146.541666666599</v>
      </c>
      <c r="B756" s="2">
        <f ca="1">IFERROR(__xludf.DUMMYFUNCTION("""COMPUTED_VALUE"""),23900)</f>
        <v>23900</v>
      </c>
      <c r="C756" s="2">
        <f ca="1">IFERROR(__xludf.DUMMYFUNCTION("""COMPUTED_VALUE"""),23925)</f>
        <v>23925</v>
      </c>
      <c r="D756" s="2">
        <f ca="1">IFERROR(__xludf.DUMMYFUNCTION("""COMPUTED_VALUE"""),23450)</f>
        <v>23450</v>
      </c>
      <c r="E756" s="2">
        <f ca="1">IFERROR(__xludf.DUMMYFUNCTION("""COMPUTED_VALUE"""),23450)</f>
        <v>23450</v>
      </c>
      <c r="F756" s="2">
        <f ca="1">IFERROR(__xludf.DUMMYFUNCTION("""COMPUTED_VALUE"""),10591700)</f>
        <v>10591700</v>
      </c>
    </row>
    <row r="757" spans="1:6">
      <c r="A757" s="5">
        <f ca="1">IFERROR(__xludf.DUMMYFUNCTION("""COMPUTED_VALUE"""),43150.625)</f>
        <v>43150.625</v>
      </c>
      <c r="B757" s="2">
        <f ca="1">IFERROR(__xludf.DUMMYFUNCTION("""COMPUTED_VALUE"""),23675)</f>
        <v>23675</v>
      </c>
      <c r="C757" s="2">
        <f ca="1">IFERROR(__xludf.DUMMYFUNCTION("""COMPUTED_VALUE"""),24250)</f>
        <v>24250</v>
      </c>
      <c r="D757" s="2">
        <f ca="1">IFERROR(__xludf.DUMMYFUNCTION("""COMPUTED_VALUE"""),23650)</f>
        <v>23650</v>
      </c>
      <c r="E757" s="2">
        <f ca="1">IFERROR(__xludf.DUMMYFUNCTION("""COMPUTED_VALUE"""),24250)</f>
        <v>24250</v>
      </c>
      <c r="F757" s="2">
        <f ca="1">IFERROR(__xludf.DUMMYFUNCTION("""COMPUTED_VALUE"""),10037100)</f>
        <v>10037100</v>
      </c>
    </row>
    <row r="758" spans="1:6">
      <c r="A758" s="5">
        <f ca="1">IFERROR(__xludf.DUMMYFUNCTION("""COMPUTED_VALUE"""),43151.625)</f>
        <v>43151.625</v>
      </c>
      <c r="B758" s="2">
        <f ca="1">IFERROR(__xludf.DUMMYFUNCTION("""COMPUTED_VALUE"""),24100)</f>
        <v>24100</v>
      </c>
      <c r="C758" s="2">
        <f ca="1">IFERROR(__xludf.DUMMYFUNCTION("""COMPUTED_VALUE"""),24200)</f>
        <v>24200</v>
      </c>
      <c r="D758" s="2">
        <f ca="1">IFERROR(__xludf.DUMMYFUNCTION("""COMPUTED_VALUE"""),23875)</f>
        <v>23875</v>
      </c>
      <c r="E758" s="2">
        <f ca="1">IFERROR(__xludf.DUMMYFUNCTION("""COMPUTED_VALUE"""),24025)</f>
        <v>24025</v>
      </c>
      <c r="F758" s="2">
        <f ca="1">IFERROR(__xludf.DUMMYFUNCTION("""COMPUTED_VALUE"""),6966000)</f>
        <v>6966000</v>
      </c>
    </row>
    <row r="759" spans="1:6">
      <c r="A759" s="5">
        <f ca="1">IFERROR(__xludf.DUMMYFUNCTION("""COMPUTED_VALUE"""),43152.625)</f>
        <v>43152.625</v>
      </c>
      <c r="B759" s="2">
        <f ca="1">IFERROR(__xludf.DUMMYFUNCTION("""COMPUTED_VALUE"""),23950)</f>
        <v>23950</v>
      </c>
      <c r="C759" s="2">
        <f ca="1">IFERROR(__xludf.DUMMYFUNCTION("""COMPUTED_VALUE"""),24175)</f>
        <v>24175</v>
      </c>
      <c r="D759" s="2">
        <f ca="1">IFERROR(__xludf.DUMMYFUNCTION("""COMPUTED_VALUE"""),23725)</f>
        <v>23725</v>
      </c>
      <c r="E759" s="2">
        <f ca="1">IFERROR(__xludf.DUMMYFUNCTION("""COMPUTED_VALUE"""),24025)</f>
        <v>24025</v>
      </c>
      <c r="F759" s="2">
        <f ca="1">IFERROR(__xludf.DUMMYFUNCTION("""COMPUTED_VALUE"""),12499800)</f>
        <v>12499800</v>
      </c>
    </row>
    <row r="760" spans="1:6">
      <c r="A760" s="5">
        <f ca="1">IFERROR(__xludf.DUMMYFUNCTION("""COMPUTED_VALUE"""),43153.625)</f>
        <v>43153.625</v>
      </c>
      <c r="B760" s="2">
        <f ca="1">IFERROR(__xludf.DUMMYFUNCTION("""COMPUTED_VALUE"""),24100)</f>
        <v>24100</v>
      </c>
      <c r="C760" s="2">
        <f ca="1">IFERROR(__xludf.DUMMYFUNCTION("""COMPUTED_VALUE"""),24175)</f>
        <v>24175</v>
      </c>
      <c r="D760" s="2">
        <f ca="1">IFERROR(__xludf.DUMMYFUNCTION("""COMPUTED_VALUE"""),23750)</f>
        <v>23750</v>
      </c>
      <c r="E760" s="2">
        <f ca="1">IFERROR(__xludf.DUMMYFUNCTION("""COMPUTED_VALUE"""),23900)</f>
        <v>23900</v>
      </c>
      <c r="F760" s="2">
        <f ca="1">IFERROR(__xludf.DUMMYFUNCTION("""COMPUTED_VALUE"""),9443400)</f>
        <v>9443400</v>
      </c>
    </row>
    <row r="761" spans="1:6">
      <c r="A761" s="5">
        <f ca="1">IFERROR(__xludf.DUMMYFUNCTION("""COMPUTED_VALUE"""),43154.625)</f>
        <v>43154.625</v>
      </c>
      <c r="B761" s="2">
        <f ca="1">IFERROR(__xludf.DUMMYFUNCTION("""COMPUTED_VALUE"""),24025)</f>
        <v>24025</v>
      </c>
      <c r="C761" s="2">
        <f ca="1">IFERROR(__xludf.DUMMYFUNCTION("""COMPUTED_VALUE"""),24475)</f>
        <v>24475</v>
      </c>
      <c r="D761" s="2">
        <f ca="1">IFERROR(__xludf.DUMMYFUNCTION("""COMPUTED_VALUE"""),23950)</f>
        <v>23950</v>
      </c>
      <c r="E761" s="2">
        <f ca="1">IFERROR(__xludf.DUMMYFUNCTION("""COMPUTED_VALUE"""),24250)</f>
        <v>24250</v>
      </c>
      <c r="F761" s="2">
        <f ca="1">IFERROR(__xludf.DUMMYFUNCTION("""COMPUTED_VALUE"""),16446600)</f>
        <v>16446600</v>
      </c>
    </row>
    <row r="762" spans="1:6">
      <c r="A762" s="5">
        <f ca="1">IFERROR(__xludf.DUMMYFUNCTION("""COMPUTED_VALUE"""),43157.625)</f>
        <v>43157.625</v>
      </c>
      <c r="B762" s="2">
        <f ca="1">IFERROR(__xludf.DUMMYFUNCTION("""COMPUTED_VALUE"""),24150)</f>
        <v>24150</v>
      </c>
      <c r="C762" s="2">
        <f ca="1">IFERROR(__xludf.DUMMYFUNCTION("""COMPUTED_VALUE"""),24225)</f>
        <v>24225</v>
      </c>
      <c r="D762" s="2">
        <f ca="1">IFERROR(__xludf.DUMMYFUNCTION("""COMPUTED_VALUE"""),23500)</f>
        <v>23500</v>
      </c>
      <c r="E762" s="2">
        <f ca="1">IFERROR(__xludf.DUMMYFUNCTION("""COMPUTED_VALUE"""),23525)</f>
        <v>23525</v>
      </c>
      <c r="F762" s="2">
        <f ca="1">IFERROR(__xludf.DUMMYFUNCTION("""COMPUTED_VALUE"""),17045500)</f>
        <v>17045500</v>
      </c>
    </row>
    <row r="763" spans="1:6">
      <c r="A763" s="5">
        <f ca="1">IFERROR(__xludf.DUMMYFUNCTION("""COMPUTED_VALUE"""),43158.625)</f>
        <v>43158.625</v>
      </c>
      <c r="B763" s="2">
        <f ca="1">IFERROR(__xludf.DUMMYFUNCTION("""COMPUTED_VALUE"""),23725)</f>
        <v>23725</v>
      </c>
      <c r="C763" s="2">
        <f ca="1">IFERROR(__xludf.DUMMYFUNCTION("""COMPUTED_VALUE"""),23775)</f>
        <v>23775</v>
      </c>
      <c r="D763" s="2">
        <f ca="1">IFERROR(__xludf.DUMMYFUNCTION("""COMPUTED_VALUE"""),23300)</f>
        <v>23300</v>
      </c>
      <c r="E763" s="2">
        <f ca="1">IFERROR(__xludf.DUMMYFUNCTION("""COMPUTED_VALUE"""),23550)</f>
        <v>23550</v>
      </c>
      <c r="F763" s="2">
        <f ca="1">IFERROR(__xludf.DUMMYFUNCTION("""COMPUTED_VALUE"""),17485900)</f>
        <v>17485900</v>
      </c>
    </row>
    <row r="764" spans="1:6">
      <c r="A764" s="5">
        <f ca="1">IFERROR(__xludf.DUMMYFUNCTION("""COMPUTED_VALUE"""),43159.625)</f>
        <v>43159.625</v>
      </c>
      <c r="B764" s="2">
        <f ca="1">IFERROR(__xludf.DUMMYFUNCTION("""COMPUTED_VALUE"""),23400)</f>
        <v>23400</v>
      </c>
      <c r="C764" s="2">
        <f ca="1">IFERROR(__xludf.DUMMYFUNCTION("""COMPUTED_VALUE"""),23450)</f>
        <v>23450</v>
      </c>
      <c r="D764" s="2">
        <f ca="1">IFERROR(__xludf.DUMMYFUNCTION("""COMPUTED_VALUE"""),23075)</f>
        <v>23075</v>
      </c>
      <c r="E764" s="2">
        <f ca="1">IFERROR(__xludf.DUMMYFUNCTION("""COMPUTED_VALUE"""),23175)</f>
        <v>23175</v>
      </c>
      <c r="F764" s="2">
        <f ca="1">IFERROR(__xludf.DUMMYFUNCTION("""COMPUTED_VALUE"""),26573800)</f>
        <v>26573800</v>
      </c>
    </row>
    <row r="765" spans="1:6">
      <c r="A765" s="5">
        <f ca="1">IFERROR(__xludf.DUMMYFUNCTION("""COMPUTED_VALUE"""),43160.625)</f>
        <v>43160.625</v>
      </c>
      <c r="B765" s="2">
        <f ca="1">IFERROR(__xludf.DUMMYFUNCTION("""COMPUTED_VALUE"""),23100)</f>
        <v>23100</v>
      </c>
      <c r="C765" s="2">
        <f ca="1">IFERROR(__xludf.DUMMYFUNCTION("""COMPUTED_VALUE"""),23225)</f>
        <v>23225</v>
      </c>
      <c r="D765" s="2">
        <f ca="1">IFERROR(__xludf.DUMMYFUNCTION("""COMPUTED_VALUE"""),23100)</f>
        <v>23100</v>
      </c>
      <c r="E765" s="2">
        <f ca="1">IFERROR(__xludf.DUMMYFUNCTION("""COMPUTED_VALUE"""),23175)</f>
        <v>23175</v>
      </c>
      <c r="F765" s="2">
        <f ca="1">IFERROR(__xludf.DUMMYFUNCTION("""COMPUTED_VALUE"""),25094900)</f>
        <v>25094900</v>
      </c>
    </row>
    <row r="766" spans="1:6">
      <c r="A766" s="5">
        <f ca="1">IFERROR(__xludf.DUMMYFUNCTION("""COMPUTED_VALUE"""),43161.625)</f>
        <v>43161.625</v>
      </c>
      <c r="B766" s="2">
        <f ca="1">IFERROR(__xludf.DUMMYFUNCTION("""COMPUTED_VALUE"""),23075)</f>
        <v>23075</v>
      </c>
      <c r="C766" s="2">
        <f ca="1">IFERROR(__xludf.DUMMYFUNCTION("""COMPUTED_VALUE"""),23125)</f>
        <v>23125</v>
      </c>
      <c r="D766" s="2">
        <f ca="1">IFERROR(__xludf.DUMMYFUNCTION("""COMPUTED_VALUE"""),22750)</f>
        <v>22750</v>
      </c>
      <c r="E766" s="2">
        <f ca="1">IFERROR(__xludf.DUMMYFUNCTION("""COMPUTED_VALUE"""),22875)</f>
        <v>22875</v>
      </c>
      <c r="F766" s="2">
        <f ca="1">IFERROR(__xludf.DUMMYFUNCTION("""COMPUTED_VALUE"""),30302200)</f>
        <v>30302200</v>
      </c>
    </row>
    <row r="767" spans="1:6">
      <c r="A767" s="5">
        <f ca="1">IFERROR(__xludf.DUMMYFUNCTION("""COMPUTED_VALUE"""),43164.625)</f>
        <v>43164.625</v>
      </c>
      <c r="B767" s="2">
        <f ca="1">IFERROR(__xludf.DUMMYFUNCTION("""COMPUTED_VALUE"""),23150)</f>
        <v>23150</v>
      </c>
      <c r="C767" s="2">
        <f ca="1">IFERROR(__xludf.DUMMYFUNCTION("""COMPUTED_VALUE"""),23300)</f>
        <v>23300</v>
      </c>
      <c r="D767" s="2">
        <f ca="1">IFERROR(__xludf.DUMMYFUNCTION("""COMPUTED_VALUE"""),22875)</f>
        <v>22875</v>
      </c>
      <c r="E767" s="2">
        <f ca="1">IFERROR(__xludf.DUMMYFUNCTION("""COMPUTED_VALUE"""),22875)</f>
        <v>22875</v>
      </c>
      <c r="F767" s="2">
        <f ca="1">IFERROR(__xludf.DUMMYFUNCTION("""COMPUTED_VALUE"""),17548800)</f>
        <v>17548800</v>
      </c>
    </row>
    <row r="768" spans="1:6">
      <c r="A768" s="5">
        <f ca="1">IFERROR(__xludf.DUMMYFUNCTION("""COMPUTED_VALUE"""),43165.625)</f>
        <v>43165.625</v>
      </c>
      <c r="B768" s="2">
        <f ca="1">IFERROR(__xludf.DUMMYFUNCTION("""COMPUTED_VALUE"""),23175)</f>
        <v>23175</v>
      </c>
      <c r="C768" s="2">
        <f ca="1">IFERROR(__xludf.DUMMYFUNCTION("""COMPUTED_VALUE"""),23200)</f>
        <v>23200</v>
      </c>
      <c r="D768" s="2">
        <f ca="1">IFERROR(__xludf.DUMMYFUNCTION("""COMPUTED_VALUE"""),22725)</f>
        <v>22725</v>
      </c>
      <c r="E768" s="2">
        <f ca="1">IFERROR(__xludf.DUMMYFUNCTION("""COMPUTED_VALUE"""),22775)</f>
        <v>22775</v>
      </c>
      <c r="F768" s="2">
        <f ca="1">IFERROR(__xludf.DUMMYFUNCTION("""COMPUTED_VALUE"""),15181400)</f>
        <v>15181400</v>
      </c>
    </row>
    <row r="769" spans="1:6">
      <c r="A769" s="5">
        <f ca="1">IFERROR(__xludf.DUMMYFUNCTION("""COMPUTED_VALUE"""),43166.625)</f>
        <v>43166.625</v>
      </c>
      <c r="B769" s="2">
        <f ca="1">IFERROR(__xludf.DUMMYFUNCTION("""COMPUTED_VALUE"""),23100)</f>
        <v>23100</v>
      </c>
      <c r="C769" s="2">
        <f ca="1">IFERROR(__xludf.DUMMYFUNCTION("""COMPUTED_VALUE"""),23150)</f>
        <v>23150</v>
      </c>
      <c r="D769" s="2">
        <f ca="1">IFERROR(__xludf.DUMMYFUNCTION("""COMPUTED_VALUE"""),22525)</f>
        <v>22525</v>
      </c>
      <c r="E769" s="2">
        <f ca="1">IFERROR(__xludf.DUMMYFUNCTION("""COMPUTED_VALUE"""),22600)</f>
        <v>22600</v>
      </c>
      <c r="F769" s="2">
        <f ca="1">IFERROR(__xludf.DUMMYFUNCTION("""COMPUTED_VALUE"""),21230400)</f>
        <v>21230400</v>
      </c>
    </row>
    <row r="770" spans="1:6">
      <c r="A770" s="5">
        <f ca="1">IFERROR(__xludf.DUMMYFUNCTION("""COMPUTED_VALUE"""),43167.625)</f>
        <v>43167.625</v>
      </c>
      <c r="B770" s="2">
        <f ca="1">IFERROR(__xludf.DUMMYFUNCTION("""COMPUTED_VALUE"""),23000)</f>
        <v>23000</v>
      </c>
      <c r="C770" s="2">
        <f ca="1">IFERROR(__xludf.DUMMYFUNCTION("""COMPUTED_VALUE"""),23400)</f>
        <v>23400</v>
      </c>
      <c r="D770" s="2">
        <f ca="1">IFERROR(__xludf.DUMMYFUNCTION("""COMPUTED_VALUE"""),22750)</f>
        <v>22750</v>
      </c>
      <c r="E770" s="2">
        <f ca="1">IFERROR(__xludf.DUMMYFUNCTION("""COMPUTED_VALUE"""),23300)</f>
        <v>23300</v>
      </c>
      <c r="F770" s="2">
        <f ca="1">IFERROR(__xludf.DUMMYFUNCTION("""COMPUTED_VALUE"""),20598900)</f>
        <v>20598900</v>
      </c>
    </row>
    <row r="771" spans="1:6">
      <c r="A771" s="5">
        <f ca="1">IFERROR(__xludf.DUMMYFUNCTION("""COMPUTED_VALUE"""),43168.625)</f>
        <v>43168.625</v>
      </c>
      <c r="B771" s="2">
        <f ca="1">IFERROR(__xludf.DUMMYFUNCTION("""COMPUTED_VALUE"""),23300)</f>
        <v>23300</v>
      </c>
      <c r="C771" s="2">
        <f ca="1">IFERROR(__xludf.DUMMYFUNCTION("""COMPUTED_VALUE"""),23300)</f>
        <v>23300</v>
      </c>
      <c r="D771" s="2">
        <f ca="1">IFERROR(__xludf.DUMMYFUNCTION("""COMPUTED_VALUE"""),22975)</f>
        <v>22975</v>
      </c>
      <c r="E771" s="2">
        <f ca="1">IFERROR(__xludf.DUMMYFUNCTION("""COMPUTED_VALUE"""),23300)</f>
        <v>23300</v>
      </c>
      <c r="F771" s="2">
        <f ca="1">IFERROR(__xludf.DUMMYFUNCTION("""COMPUTED_VALUE"""),13359400)</f>
        <v>13359400</v>
      </c>
    </row>
    <row r="772" spans="1:6">
      <c r="A772" s="5">
        <f ca="1">IFERROR(__xludf.DUMMYFUNCTION("""COMPUTED_VALUE"""),43171.625)</f>
        <v>43171.625</v>
      </c>
      <c r="B772" s="2">
        <f ca="1">IFERROR(__xludf.DUMMYFUNCTION("""COMPUTED_VALUE"""),23400)</f>
        <v>23400</v>
      </c>
      <c r="C772" s="2">
        <f ca="1">IFERROR(__xludf.DUMMYFUNCTION("""COMPUTED_VALUE"""),23650)</f>
        <v>23650</v>
      </c>
      <c r="D772" s="2">
        <f ca="1">IFERROR(__xludf.DUMMYFUNCTION("""COMPUTED_VALUE"""),23350)</f>
        <v>23350</v>
      </c>
      <c r="E772" s="2">
        <f ca="1">IFERROR(__xludf.DUMMYFUNCTION("""COMPUTED_VALUE"""),23625)</f>
        <v>23625</v>
      </c>
      <c r="F772" s="2">
        <f ca="1">IFERROR(__xludf.DUMMYFUNCTION("""COMPUTED_VALUE"""),22236100)</f>
        <v>22236100</v>
      </c>
    </row>
    <row r="773" spans="1:6">
      <c r="A773" s="5">
        <f ca="1">IFERROR(__xludf.DUMMYFUNCTION("""COMPUTED_VALUE"""),43172.625)</f>
        <v>43172.625</v>
      </c>
      <c r="B773" s="2">
        <f ca="1">IFERROR(__xludf.DUMMYFUNCTION("""COMPUTED_VALUE"""),23600)</f>
        <v>23600</v>
      </c>
      <c r="C773" s="2">
        <f ca="1">IFERROR(__xludf.DUMMYFUNCTION("""COMPUTED_VALUE"""),23700)</f>
        <v>23700</v>
      </c>
      <c r="D773" s="2">
        <f ca="1">IFERROR(__xludf.DUMMYFUNCTION("""COMPUTED_VALUE"""),23275)</f>
        <v>23275</v>
      </c>
      <c r="E773" s="2">
        <f ca="1">IFERROR(__xludf.DUMMYFUNCTION("""COMPUTED_VALUE"""),23450)</f>
        <v>23450</v>
      </c>
      <c r="F773" s="2">
        <f ca="1">IFERROR(__xludf.DUMMYFUNCTION("""COMPUTED_VALUE"""),16128600)</f>
        <v>16128600</v>
      </c>
    </row>
    <row r="774" spans="1:6">
      <c r="A774" s="5">
        <f ca="1">IFERROR(__xludf.DUMMYFUNCTION("""COMPUTED_VALUE"""),43173.625)</f>
        <v>43173.625</v>
      </c>
      <c r="B774" s="2">
        <f ca="1">IFERROR(__xludf.DUMMYFUNCTION("""COMPUTED_VALUE"""),23475)</f>
        <v>23475</v>
      </c>
      <c r="C774" s="2">
        <f ca="1">IFERROR(__xludf.DUMMYFUNCTION("""COMPUTED_VALUE"""),23600)</f>
        <v>23600</v>
      </c>
      <c r="D774" s="2">
        <f ca="1">IFERROR(__xludf.DUMMYFUNCTION("""COMPUTED_VALUE"""),23225)</f>
        <v>23225</v>
      </c>
      <c r="E774" s="2">
        <f ca="1">IFERROR(__xludf.DUMMYFUNCTION("""COMPUTED_VALUE"""),23400)</f>
        <v>23400</v>
      </c>
      <c r="F774" s="2">
        <f ca="1">IFERROR(__xludf.DUMMYFUNCTION("""COMPUTED_VALUE"""),10901100)</f>
        <v>10901100</v>
      </c>
    </row>
    <row r="775" spans="1:6">
      <c r="A775" s="5">
        <f ca="1">IFERROR(__xludf.DUMMYFUNCTION("""COMPUTED_VALUE"""),43174.625)</f>
        <v>43174.625</v>
      </c>
      <c r="B775" s="2">
        <f ca="1">IFERROR(__xludf.DUMMYFUNCTION("""COMPUTED_VALUE"""),23400)</f>
        <v>23400</v>
      </c>
      <c r="C775" s="2">
        <f ca="1">IFERROR(__xludf.DUMMYFUNCTION("""COMPUTED_VALUE"""),23425)</f>
        <v>23425</v>
      </c>
      <c r="D775" s="2">
        <f ca="1">IFERROR(__xludf.DUMMYFUNCTION("""COMPUTED_VALUE"""),23250)</f>
        <v>23250</v>
      </c>
      <c r="E775" s="2">
        <f ca="1">IFERROR(__xludf.DUMMYFUNCTION("""COMPUTED_VALUE"""),23375)</f>
        <v>23375</v>
      </c>
      <c r="F775" s="2">
        <f ca="1">IFERROR(__xludf.DUMMYFUNCTION("""COMPUTED_VALUE"""),12154900)</f>
        <v>12154900</v>
      </c>
    </row>
    <row r="776" spans="1:6">
      <c r="A776" s="5">
        <f ca="1">IFERROR(__xludf.DUMMYFUNCTION("""COMPUTED_VALUE"""),43175.625)</f>
        <v>43175.625</v>
      </c>
      <c r="B776" s="2">
        <f ca="1">IFERROR(__xludf.DUMMYFUNCTION("""COMPUTED_VALUE"""),23650)</f>
        <v>23650</v>
      </c>
      <c r="C776" s="2">
        <f ca="1">IFERROR(__xludf.DUMMYFUNCTION("""COMPUTED_VALUE"""),23675)</f>
        <v>23675</v>
      </c>
      <c r="D776" s="2">
        <f ca="1">IFERROR(__xludf.DUMMYFUNCTION("""COMPUTED_VALUE"""),23000)</f>
        <v>23000</v>
      </c>
      <c r="E776" s="2">
        <f ca="1">IFERROR(__xludf.DUMMYFUNCTION("""COMPUTED_VALUE"""),23350)</f>
        <v>23350</v>
      </c>
      <c r="F776" s="2">
        <f ca="1">IFERROR(__xludf.DUMMYFUNCTION("""COMPUTED_VALUE"""),38624400)</f>
        <v>38624400</v>
      </c>
    </row>
    <row r="777" spans="1:6">
      <c r="A777" s="5">
        <f ca="1">IFERROR(__xludf.DUMMYFUNCTION("""COMPUTED_VALUE"""),43178.625)</f>
        <v>43178.625</v>
      </c>
      <c r="B777" s="2">
        <f ca="1">IFERROR(__xludf.DUMMYFUNCTION("""COMPUTED_VALUE"""),23300)</f>
        <v>23300</v>
      </c>
      <c r="C777" s="2">
        <f ca="1">IFERROR(__xludf.DUMMYFUNCTION("""COMPUTED_VALUE"""),23375)</f>
        <v>23375</v>
      </c>
      <c r="D777" s="2">
        <f ca="1">IFERROR(__xludf.DUMMYFUNCTION("""COMPUTED_VALUE"""),23200)</f>
        <v>23200</v>
      </c>
      <c r="E777" s="2">
        <f ca="1">IFERROR(__xludf.DUMMYFUNCTION("""COMPUTED_VALUE"""),23350)</f>
        <v>23350</v>
      </c>
      <c r="F777" s="2">
        <f ca="1">IFERROR(__xludf.DUMMYFUNCTION("""COMPUTED_VALUE"""),14840000)</f>
        <v>14840000</v>
      </c>
    </row>
    <row r="778" spans="1:6">
      <c r="A778" s="5">
        <f ca="1">IFERROR(__xludf.DUMMYFUNCTION("""COMPUTED_VALUE"""),43179.625)</f>
        <v>43179.625</v>
      </c>
      <c r="B778" s="2">
        <f ca="1">IFERROR(__xludf.DUMMYFUNCTION("""COMPUTED_VALUE"""),23275)</f>
        <v>23275</v>
      </c>
      <c r="C778" s="2">
        <f ca="1">IFERROR(__xludf.DUMMYFUNCTION("""COMPUTED_VALUE"""),23300)</f>
        <v>23300</v>
      </c>
      <c r="D778" s="2">
        <f ca="1">IFERROR(__xludf.DUMMYFUNCTION("""COMPUTED_VALUE"""),23000)</f>
        <v>23000</v>
      </c>
      <c r="E778" s="2">
        <f ca="1">IFERROR(__xludf.DUMMYFUNCTION("""COMPUTED_VALUE"""),23275)</f>
        <v>23275</v>
      </c>
      <c r="F778" s="2">
        <f ca="1">IFERROR(__xludf.DUMMYFUNCTION("""COMPUTED_VALUE"""),17936700)</f>
        <v>17936700</v>
      </c>
    </row>
    <row r="779" spans="1:6">
      <c r="A779" s="5">
        <f ca="1">IFERROR(__xludf.DUMMYFUNCTION("""COMPUTED_VALUE"""),43180.625)</f>
        <v>43180.625</v>
      </c>
      <c r="B779" s="2">
        <f ca="1">IFERROR(__xludf.DUMMYFUNCTION("""COMPUTED_VALUE"""),23350)</f>
        <v>23350</v>
      </c>
      <c r="C779" s="2">
        <f ca="1">IFERROR(__xludf.DUMMYFUNCTION("""COMPUTED_VALUE"""),23525)</f>
        <v>23525</v>
      </c>
      <c r="D779" s="2">
        <f ca="1">IFERROR(__xludf.DUMMYFUNCTION("""COMPUTED_VALUE"""),23275)</f>
        <v>23275</v>
      </c>
      <c r="E779" s="2">
        <f ca="1">IFERROR(__xludf.DUMMYFUNCTION("""COMPUTED_VALUE"""),23375)</f>
        <v>23375</v>
      </c>
      <c r="F779" s="2">
        <f ca="1">IFERROR(__xludf.DUMMYFUNCTION("""COMPUTED_VALUE"""),13523500)</f>
        <v>13523500</v>
      </c>
    </row>
    <row r="780" spans="1:6">
      <c r="A780" s="5">
        <f ca="1">IFERROR(__xludf.DUMMYFUNCTION("""COMPUTED_VALUE"""),43181.625)</f>
        <v>43181.625</v>
      </c>
      <c r="B780" s="2">
        <f ca="1">IFERROR(__xludf.DUMMYFUNCTION("""COMPUTED_VALUE"""),23475)</f>
        <v>23475</v>
      </c>
      <c r="C780" s="2">
        <f ca="1">IFERROR(__xludf.DUMMYFUNCTION("""COMPUTED_VALUE"""),23500)</f>
        <v>23500</v>
      </c>
      <c r="D780" s="2">
        <f ca="1">IFERROR(__xludf.DUMMYFUNCTION("""COMPUTED_VALUE"""),23350)</f>
        <v>23350</v>
      </c>
      <c r="E780" s="2">
        <f ca="1">IFERROR(__xludf.DUMMYFUNCTION("""COMPUTED_VALUE"""),23450)</f>
        <v>23450</v>
      </c>
      <c r="F780" s="2">
        <f ca="1">IFERROR(__xludf.DUMMYFUNCTION("""COMPUTED_VALUE"""),12158300)</f>
        <v>12158300</v>
      </c>
    </row>
    <row r="781" spans="1:6">
      <c r="A781" s="5">
        <f ca="1">IFERROR(__xludf.DUMMYFUNCTION("""COMPUTED_VALUE"""),43182.625)</f>
        <v>43182.625</v>
      </c>
      <c r="B781" s="2">
        <f ca="1">IFERROR(__xludf.DUMMYFUNCTION("""COMPUTED_VALUE"""),23000)</f>
        <v>23000</v>
      </c>
      <c r="C781" s="2">
        <f ca="1">IFERROR(__xludf.DUMMYFUNCTION("""COMPUTED_VALUE"""),23800)</f>
        <v>23800</v>
      </c>
      <c r="D781" s="2">
        <f ca="1">IFERROR(__xludf.DUMMYFUNCTION("""COMPUTED_VALUE"""),23000)</f>
        <v>23000</v>
      </c>
      <c r="E781" s="2">
        <f ca="1">IFERROR(__xludf.DUMMYFUNCTION("""COMPUTED_VALUE"""),23800)</f>
        <v>23800</v>
      </c>
      <c r="F781" s="2">
        <f ca="1">IFERROR(__xludf.DUMMYFUNCTION("""COMPUTED_VALUE"""),12595600)</f>
        <v>12595600</v>
      </c>
    </row>
    <row r="782" spans="1:6">
      <c r="A782" s="5">
        <f ca="1">IFERROR(__xludf.DUMMYFUNCTION("""COMPUTED_VALUE"""),43185.625)</f>
        <v>43185.625</v>
      </c>
      <c r="B782" s="2">
        <f ca="1">IFERROR(__xludf.DUMMYFUNCTION("""COMPUTED_VALUE"""),23400)</f>
        <v>23400</v>
      </c>
      <c r="C782" s="2">
        <f ca="1">IFERROR(__xludf.DUMMYFUNCTION("""COMPUTED_VALUE"""),23450)</f>
        <v>23450</v>
      </c>
      <c r="D782" s="2">
        <f ca="1">IFERROR(__xludf.DUMMYFUNCTION("""COMPUTED_VALUE"""),23200)</f>
        <v>23200</v>
      </c>
      <c r="E782" s="2">
        <f ca="1">IFERROR(__xludf.DUMMYFUNCTION("""COMPUTED_VALUE"""),23275)</f>
        <v>23275</v>
      </c>
      <c r="F782" s="2">
        <f ca="1">IFERROR(__xludf.DUMMYFUNCTION("""COMPUTED_VALUE"""),20081400)</f>
        <v>20081400</v>
      </c>
    </row>
    <row r="783" spans="1:6">
      <c r="A783" s="5">
        <f ca="1">IFERROR(__xludf.DUMMYFUNCTION("""COMPUTED_VALUE"""),43186.625)</f>
        <v>43186.625</v>
      </c>
      <c r="B783" s="2">
        <f ca="1">IFERROR(__xludf.DUMMYFUNCTION("""COMPUTED_VALUE"""),23650)</f>
        <v>23650</v>
      </c>
      <c r="C783" s="2">
        <f ca="1">IFERROR(__xludf.DUMMYFUNCTION("""COMPUTED_VALUE"""),23775)</f>
        <v>23775</v>
      </c>
      <c r="D783" s="2">
        <f ca="1">IFERROR(__xludf.DUMMYFUNCTION("""COMPUTED_VALUE"""),23425)</f>
        <v>23425</v>
      </c>
      <c r="E783" s="2">
        <f ca="1">IFERROR(__xludf.DUMMYFUNCTION("""COMPUTED_VALUE"""),23450)</f>
        <v>23450</v>
      </c>
      <c r="F783" s="2">
        <f ca="1">IFERROR(__xludf.DUMMYFUNCTION("""COMPUTED_VALUE"""),13217600)</f>
        <v>13217600</v>
      </c>
    </row>
    <row r="784" spans="1:6">
      <c r="A784" s="5">
        <f ca="1">IFERROR(__xludf.DUMMYFUNCTION("""COMPUTED_VALUE"""),43187.625)</f>
        <v>43187.625</v>
      </c>
      <c r="B784" s="2">
        <f ca="1">IFERROR(__xludf.DUMMYFUNCTION("""COMPUTED_VALUE"""),23450)</f>
        <v>23450</v>
      </c>
      <c r="C784" s="2">
        <f ca="1">IFERROR(__xludf.DUMMYFUNCTION("""COMPUTED_VALUE"""),23450)</f>
        <v>23450</v>
      </c>
      <c r="D784" s="2">
        <f ca="1">IFERROR(__xludf.DUMMYFUNCTION("""COMPUTED_VALUE"""),23150)</f>
        <v>23150</v>
      </c>
      <c r="E784" s="2">
        <f ca="1">IFERROR(__xludf.DUMMYFUNCTION("""COMPUTED_VALUE"""),23325)</f>
        <v>23325</v>
      </c>
      <c r="F784" s="2">
        <f ca="1">IFERROR(__xludf.DUMMYFUNCTION("""COMPUTED_VALUE"""),7242500)</f>
        <v>7242500</v>
      </c>
    </row>
    <row r="785" spans="1:6">
      <c r="A785" s="5">
        <f ca="1">IFERROR(__xludf.DUMMYFUNCTION("""COMPUTED_VALUE"""),43188.625)</f>
        <v>43188.625</v>
      </c>
      <c r="B785" s="2">
        <f ca="1">IFERROR(__xludf.DUMMYFUNCTION("""COMPUTED_VALUE"""),23150)</f>
        <v>23150</v>
      </c>
      <c r="C785" s="2">
        <f ca="1">IFERROR(__xludf.DUMMYFUNCTION("""COMPUTED_VALUE"""),23325)</f>
        <v>23325</v>
      </c>
      <c r="D785" s="2">
        <f ca="1">IFERROR(__xludf.DUMMYFUNCTION("""COMPUTED_VALUE"""),22825)</f>
        <v>22825</v>
      </c>
      <c r="E785" s="2">
        <f ca="1">IFERROR(__xludf.DUMMYFUNCTION("""COMPUTED_VALUE"""),23300)</f>
        <v>23300</v>
      </c>
      <c r="F785" s="2">
        <f ca="1">IFERROR(__xludf.DUMMYFUNCTION("""COMPUTED_VALUE"""),15530100)</f>
        <v>15530100</v>
      </c>
    </row>
    <row r="786" spans="1:6">
      <c r="A786" s="5">
        <f ca="1">IFERROR(__xludf.DUMMYFUNCTION("""COMPUTED_VALUE"""),43192.625)</f>
        <v>43192.625</v>
      </c>
      <c r="B786" s="2">
        <f ca="1">IFERROR(__xludf.DUMMYFUNCTION("""COMPUTED_VALUE"""),23450)</f>
        <v>23450</v>
      </c>
      <c r="C786" s="2">
        <f ca="1">IFERROR(__xludf.DUMMYFUNCTION("""COMPUTED_VALUE"""),23475)</f>
        <v>23475</v>
      </c>
      <c r="D786" s="2">
        <f ca="1">IFERROR(__xludf.DUMMYFUNCTION("""COMPUTED_VALUE"""),23100)</f>
        <v>23100</v>
      </c>
      <c r="E786" s="2">
        <f ca="1">IFERROR(__xludf.DUMMYFUNCTION("""COMPUTED_VALUE"""),23400)</f>
        <v>23400</v>
      </c>
      <c r="F786" s="2">
        <f ca="1">IFERROR(__xludf.DUMMYFUNCTION("""COMPUTED_VALUE"""),7432500)</f>
        <v>7432500</v>
      </c>
    </row>
    <row r="787" spans="1:6">
      <c r="A787" s="5">
        <f ca="1">IFERROR(__xludf.DUMMYFUNCTION("""COMPUTED_VALUE"""),43193.625)</f>
        <v>43193.625</v>
      </c>
      <c r="B787" s="2">
        <f ca="1">IFERROR(__xludf.DUMMYFUNCTION("""COMPUTED_VALUE"""),23375)</f>
        <v>23375</v>
      </c>
      <c r="C787" s="2">
        <f ca="1">IFERROR(__xludf.DUMMYFUNCTION("""COMPUTED_VALUE"""),23500)</f>
        <v>23500</v>
      </c>
      <c r="D787" s="2">
        <f ca="1">IFERROR(__xludf.DUMMYFUNCTION("""COMPUTED_VALUE"""),23325)</f>
        <v>23325</v>
      </c>
      <c r="E787" s="2">
        <f ca="1">IFERROR(__xludf.DUMMYFUNCTION("""COMPUTED_VALUE"""),23400)</f>
        <v>23400</v>
      </c>
      <c r="F787" s="2">
        <f ca="1">IFERROR(__xludf.DUMMYFUNCTION("""COMPUTED_VALUE"""),11252200)</f>
        <v>11252200</v>
      </c>
    </row>
    <row r="788" spans="1:6">
      <c r="A788" s="5">
        <f ca="1">IFERROR(__xludf.DUMMYFUNCTION("""COMPUTED_VALUE"""),43194.625)</f>
        <v>43194.625</v>
      </c>
      <c r="B788" s="2">
        <f ca="1">IFERROR(__xludf.DUMMYFUNCTION("""COMPUTED_VALUE"""),23500)</f>
        <v>23500</v>
      </c>
      <c r="C788" s="2">
        <f ca="1">IFERROR(__xludf.DUMMYFUNCTION("""COMPUTED_VALUE"""),23500)</f>
        <v>23500</v>
      </c>
      <c r="D788" s="2">
        <f ca="1">IFERROR(__xludf.DUMMYFUNCTION("""COMPUTED_VALUE"""),23025)</f>
        <v>23025</v>
      </c>
      <c r="E788" s="2">
        <f ca="1">IFERROR(__xludf.DUMMYFUNCTION("""COMPUTED_VALUE"""),23300)</f>
        <v>23300</v>
      </c>
      <c r="F788" s="2">
        <f ca="1">IFERROR(__xludf.DUMMYFUNCTION("""COMPUTED_VALUE"""),9975400)</f>
        <v>9975400</v>
      </c>
    </row>
    <row r="789" spans="1:6">
      <c r="A789" s="5">
        <f ca="1">IFERROR(__xludf.DUMMYFUNCTION("""COMPUTED_VALUE"""),43195.625)</f>
        <v>43195.625</v>
      </c>
      <c r="B789" s="2">
        <f ca="1">IFERROR(__xludf.DUMMYFUNCTION("""COMPUTED_VALUE"""),23500)</f>
        <v>23500</v>
      </c>
      <c r="C789" s="2">
        <f ca="1">IFERROR(__xludf.DUMMYFUNCTION("""COMPUTED_VALUE"""),23500)</f>
        <v>23500</v>
      </c>
      <c r="D789" s="2">
        <f ca="1">IFERROR(__xludf.DUMMYFUNCTION("""COMPUTED_VALUE"""),23050)</f>
        <v>23050</v>
      </c>
      <c r="E789" s="2">
        <f ca="1">IFERROR(__xludf.DUMMYFUNCTION("""COMPUTED_VALUE"""),23050)</f>
        <v>23050</v>
      </c>
      <c r="F789" s="2">
        <f ca="1">IFERROR(__xludf.DUMMYFUNCTION("""COMPUTED_VALUE"""),4504300)</f>
        <v>4504300</v>
      </c>
    </row>
    <row r="790" spans="1:6">
      <c r="A790" s="5">
        <f ca="1">IFERROR(__xludf.DUMMYFUNCTION("""COMPUTED_VALUE"""),43196.625)</f>
        <v>43196.625</v>
      </c>
      <c r="B790" s="2">
        <f ca="1">IFERROR(__xludf.DUMMYFUNCTION("""COMPUTED_VALUE"""),23125)</f>
        <v>23125</v>
      </c>
      <c r="C790" s="2">
        <f ca="1">IFERROR(__xludf.DUMMYFUNCTION("""COMPUTED_VALUE"""),23125)</f>
        <v>23125</v>
      </c>
      <c r="D790" s="2">
        <f ca="1">IFERROR(__xludf.DUMMYFUNCTION("""COMPUTED_VALUE"""),22600)</f>
        <v>22600</v>
      </c>
      <c r="E790" s="2">
        <f ca="1">IFERROR(__xludf.DUMMYFUNCTION("""COMPUTED_VALUE"""),22725)</f>
        <v>22725</v>
      </c>
      <c r="F790" s="2">
        <f ca="1">IFERROR(__xludf.DUMMYFUNCTION("""COMPUTED_VALUE"""),9588300)</f>
        <v>9588300</v>
      </c>
    </row>
    <row r="791" spans="1:6">
      <c r="A791" s="5">
        <f ca="1">IFERROR(__xludf.DUMMYFUNCTION("""COMPUTED_VALUE"""),43199.625)</f>
        <v>43199.625</v>
      </c>
      <c r="B791" s="2">
        <f ca="1">IFERROR(__xludf.DUMMYFUNCTION("""COMPUTED_VALUE"""),22850)</f>
        <v>22850</v>
      </c>
      <c r="C791" s="2">
        <f ca="1">IFERROR(__xludf.DUMMYFUNCTION("""COMPUTED_VALUE"""),22900)</f>
        <v>22900</v>
      </c>
      <c r="D791" s="2">
        <f ca="1">IFERROR(__xludf.DUMMYFUNCTION("""COMPUTED_VALUE"""),22575)</f>
        <v>22575</v>
      </c>
      <c r="E791" s="2">
        <f ca="1">IFERROR(__xludf.DUMMYFUNCTION("""COMPUTED_VALUE"""),22775)</f>
        <v>22775</v>
      </c>
      <c r="F791" s="2">
        <f ca="1">IFERROR(__xludf.DUMMYFUNCTION("""COMPUTED_VALUE"""),10202600)</f>
        <v>10202600</v>
      </c>
    </row>
    <row r="792" spans="1:6">
      <c r="A792" s="5">
        <f ca="1">IFERROR(__xludf.DUMMYFUNCTION("""COMPUTED_VALUE"""),43200.625)</f>
        <v>43200.625</v>
      </c>
      <c r="B792" s="2">
        <f ca="1">IFERROR(__xludf.DUMMYFUNCTION("""COMPUTED_VALUE"""),22875)</f>
        <v>22875</v>
      </c>
      <c r="C792" s="2">
        <f ca="1">IFERROR(__xludf.DUMMYFUNCTION("""COMPUTED_VALUE"""),23450)</f>
        <v>23450</v>
      </c>
      <c r="D792" s="2">
        <f ca="1">IFERROR(__xludf.DUMMYFUNCTION("""COMPUTED_VALUE"""),22800)</f>
        <v>22800</v>
      </c>
      <c r="E792" s="2">
        <f ca="1">IFERROR(__xludf.DUMMYFUNCTION("""COMPUTED_VALUE"""),23300)</f>
        <v>23300</v>
      </c>
      <c r="F792" s="2">
        <f ca="1">IFERROR(__xludf.DUMMYFUNCTION("""COMPUTED_VALUE"""),15906700)</f>
        <v>15906700</v>
      </c>
    </row>
    <row r="793" spans="1:6">
      <c r="A793" s="5">
        <f ca="1">IFERROR(__xludf.DUMMYFUNCTION("""COMPUTED_VALUE"""),43201.625)</f>
        <v>43201.625</v>
      </c>
      <c r="B793" s="2">
        <f ca="1">IFERROR(__xludf.DUMMYFUNCTION("""COMPUTED_VALUE"""),23500)</f>
        <v>23500</v>
      </c>
      <c r="C793" s="2">
        <f ca="1">IFERROR(__xludf.DUMMYFUNCTION("""COMPUTED_VALUE"""),23650)</f>
        <v>23650</v>
      </c>
      <c r="D793" s="2">
        <f ca="1">IFERROR(__xludf.DUMMYFUNCTION("""COMPUTED_VALUE"""),23300)</f>
        <v>23300</v>
      </c>
      <c r="E793" s="2">
        <f ca="1">IFERROR(__xludf.DUMMYFUNCTION("""COMPUTED_VALUE"""),23325)</f>
        <v>23325</v>
      </c>
      <c r="F793" s="2">
        <f ca="1">IFERROR(__xludf.DUMMYFUNCTION("""COMPUTED_VALUE"""),8378300)</f>
        <v>8378300</v>
      </c>
    </row>
    <row r="794" spans="1:6">
      <c r="A794" s="5">
        <f ca="1">IFERROR(__xludf.DUMMYFUNCTION("""COMPUTED_VALUE"""),43202.625)</f>
        <v>43202.625</v>
      </c>
      <c r="B794" s="2">
        <f ca="1">IFERROR(__xludf.DUMMYFUNCTION("""COMPUTED_VALUE"""),23325)</f>
        <v>23325</v>
      </c>
      <c r="C794" s="2">
        <f ca="1">IFERROR(__xludf.DUMMYFUNCTION("""COMPUTED_VALUE"""),23325)</f>
        <v>23325</v>
      </c>
      <c r="D794" s="2">
        <f ca="1">IFERROR(__xludf.DUMMYFUNCTION("""COMPUTED_VALUE"""),23050)</f>
        <v>23050</v>
      </c>
      <c r="E794" s="2">
        <f ca="1">IFERROR(__xludf.DUMMYFUNCTION("""COMPUTED_VALUE"""),23150)</f>
        <v>23150</v>
      </c>
      <c r="F794" s="2">
        <f ca="1">IFERROR(__xludf.DUMMYFUNCTION("""COMPUTED_VALUE"""),9191400)</f>
        <v>9191400</v>
      </c>
    </row>
    <row r="795" spans="1:6">
      <c r="A795" s="5">
        <f ca="1">IFERROR(__xludf.DUMMYFUNCTION("""COMPUTED_VALUE"""),43203.625)</f>
        <v>43203.625</v>
      </c>
      <c r="B795" s="2">
        <f ca="1">IFERROR(__xludf.DUMMYFUNCTION("""COMPUTED_VALUE"""),23100)</f>
        <v>23100</v>
      </c>
      <c r="C795" s="2">
        <f ca="1">IFERROR(__xludf.DUMMYFUNCTION("""COMPUTED_VALUE"""),23150)</f>
        <v>23150</v>
      </c>
      <c r="D795" s="2">
        <f ca="1">IFERROR(__xludf.DUMMYFUNCTION("""COMPUTED_VALUE"""),22900)</f>
        <v>22900</v>
      </c>
      <c r="E795" s="2">
        <f ca="1">IFERROR(__xludf.DUMMYFUNCTION("""COMPUTED_VALUE"""),22900)</f>
        <v>22900</v>
      </c>
      <c r="F795" s="2">
        <f ca="1">IFERROR(__xludf.DUMMYFUNCTION("""COMPUTED_VALUE"""),14035900)</f>
        <v>14035900</v>
      </c>
    </row>
    <row r="796" spans="1:6">
      <c r="A796" s="5">
        <f ca="1">IFERROR(__xludf.DUMMYFUNCTION("""COMPUTED_VALUE"""),43206.625)</f>
        <v>43206.625</v>
      </c>
      <c r="B796" s="2">
        <f ca="1">IFERROR(__xludf.DUMMYFUNCTION("""COMPUTED_VALUE"""),22875)</f>
        <v>22875</v>
      </c>
      <c r="C796" s="2">
        <f ca="1">IFERROR(__xludf.DUMMYFUNCTION("""COMPUTED_VALUE"""),22900)</f>
        <v>22900</v>
      </c>
      <c r="D796" s="2">
        <f ca="1">IFERROR(__xludf.DUMMYFUNCTION("""COMPUTED_VALUE"""),22700)</f>
        <v>22700</v>
      </c>
      <c r="E796" s="2">
        <f ca="1">IFERROR(__xludf.DUMMYFUNCTION("""COMPUTED_VALUE"""),22750)</f>
        <v>22750</v>
      </c>
      <c r="F796" s="2">
        <f ca="1">IFERROR(__xludf.DUMMYFUNCTION("""COMPUTED_VALUE"""),20665400)</f>
        <v>20665400</v>
      </c>
    </row>
    <row r="797" spans="1:6">
      <c r="A797" s="5">
        <f ca="1">IFERROR(__xludf.DUMMYFUNCTION("""COMPUTED_VALUE"""),43207.625)</f>
        <v>43207.625</v>
      </c>
      <c r="B797" s="2">
        <f ca="1">IFERROR(__xludf.DUMMYFUNCTION("""COMPUTED_VALUE"""),22750)</f>
        <v>22750</v>
      </c>
      <c r="C797" s="2">
        <f ca="1">IFERROR(__xludf.DUMMYFUNCTION("""COMPUTED_VALUE"""),22825)</f>
        <v>22825</v>
      </c>
      <c r="D797" s="2">
        <f ca="1">IFERROR(__xludf.DUMMYFUNCTION("""COMPUTED_VALUE"""),22725)</f>
        <v>22725</v>
      </c>
      <c r="E797" s="2">
        <f ca="1">IFERROR(__xludf.DUMMYFUNCTION("""COMPUTED_VALUE"""),22775)</f>
        <v>22775</v>
      </c>
      <c r="F797" s="2">
        <f ca="1">IFERROR(__xludf.DUMMYFUNCTION("""COMPUTED_VALUE"""),11881600)</f>
        <v>11881600</v>
      </c>
    </row>
    <row r="798" spans="1:6">
      <c r="A798" s="5">
        <f ca="1">IFERROR(__xludf.DUMMYFUNCTION("""COMPUTED_VALUE"""),43208.625)</f>
        <v>43208.625</v>
      </c>
      <c r="B798" s="2">
        <f ca="1">IFERROR(__xludf.DUMMYFUNCTION("""COMPUTED_VALUE"""),22825)</f>
        <v>22825</v>
      </c>
      <c r="C798" s="2">
        <f ca="1">IFERROR(__xludf.DUMMYFUNCTION("""COMPUTED_VALUE"""),22975)</f>
        <v>22975</v>
      </c>
      <c r="D798" s="2">
        <f ca="1">IFERROR(__xludf.DUMMYFUNCTION("""COMPUTED_VALUE"""),22725)</f>
        <v>22725</v>
      </c>
      <c r="E798" s="2">
        <f ca="1">IFERROR(__xludf.DUMMYFUNCTION("""COMPUTED_VALUE"""),22975)</f>
        <v>22975</v>
      </c>
      <c r="F798" s="2">
        <f ca="1">IFERROR(__xludf.DUMMYFUNCTION("""COMPUTED_VALUE"""),8743200)</f>
        <v>8743200</v>
      </c>
    </row>
    <row r="799" spans="1:6">
      <c r="A799" s="5">
        <f ca="1">IFERROR(__xludf.DUMMYFUNCTION("""COMPUTED_VALUE"""),43209.625)</f>
        <v>43209.625</v>
      </c>
      <c r="B799" s="2">
        <f ca="1">IFERROR(__xludf.DUMMYFUNCTION("""COMPUTED_VALUE"""),23100)</f>
        <v>23100</v>
      </c>
      <c r="C799" s="2">
        <f ca="1">IFERROR(__xludf.DUMMYFUNCTION("""COMPUTED_VALUE"""),23150)</f>
        <v>23150</v>
      </c>
      <c r="D799" s="2">
        <f ca="1">IFERROR(__xludf.DUMMYFUNCTION("""COMPUTED_VALUE"""),22950)</f>
        <v>22950</v>
      </c>
      <c r="E799" s="2">
        <f ca="1">IFERROR(__xludf.DUMMYFUNCTION("""COMPUTED_VALUE"""),23100)</f>
        <v>23100</v>
      </c>
      <c r="F799" s="2">
        <f ca="1">IFERROR(__xludf.DUMMYFUNCTION("""COMPUTED_VALUE"""),9891900)</f>
        <v>9891900</v>
      </c>
    </row>
    <row r="800" spans="1:6">
      <c r="A800" s="5">
        <f ca="1">IFERROR(__xludf.DUMMYFUNCTION("""COMPUTED_VALUE"""),43210.625)</f>
        <v>43210.625</v>
      </c>
      <c r="B800" s="2">
        <f ca="1">IFERROR(__xludf.DUMMYFUNCTION("""COMPUTED_VALUE"""),23125)</f>
        <v>23125</v>
      </c>
      <c r="C800" s="2">
        <f ca="1">IFERROR(__xludf.DUMMYFUNCTION("""COMPUTED_VALUE"""),23200)</f>
        <v>23200</v>
      </c>
      <c r="D800" s="2">
        <f ca="1">IFERROR(__xludf.DUMMYFUNCTION("""COMPUTED_VALUE"""),22925)</f>
        <v>22925</v>
      </c>
      <c r="E800" s="2">
        <f ca="1">IFERROR(__xludf.DUMMYFUNCTION("""COMPUTED_VALUE"""),23200)</f>
        <v>23200</v>
      </c>
      <c r="F800" s="2">
        <f ca="1">IFERROR(__xludf.DUMMYFUNCTION("""COMPUTED_VALUE"""),5587500)</f>
        <v>5587500</v>
      </c>
    </row>
    <row r="801" spans="1:6">
      <c r="A801" s="5">
        <f ca="1">IFERROR(__xludf.DUMMYFUNCTION("""COMPUTED_VALUE"""),43213.625)</f>
        <v>43213.625</v>
      </c>
      <c r="B801" s="2">
        <f ca="1">IFERROR(__xludf.DUMMYFUNCTION("""COMPUTED_VALUE"""),23200)</f>
        <v>23200</v>
      </c>
      <c r="C801" s="2">
        <f ca="1">IFERROR(__xludf.DUMMYFUNCTION("""COMPUTED_VALUE"""),23200)</f>
        <v>23200</v>
      </c>
      <c r="D801" s="2">
        <f ca="1">IFERROR(__xludf.DUMMYFUNCTION("""COMPUTED_VALUE"""),22925)</f>
        <v>22925</v>
      </c>
      <c r="E801" s="2">
        <f ca="1">IFERROR(__xludf.DUMMYFUNCTION("""COMPUTED_VALUE"""),23000)</f>
        <v>23000</v>
      </c>
      <c r="F801" s="2">
        <f ca="1">IFERROR(__xludf.DUMMYFUNCTION("""COMPUTED_VALUE"""),9247200)</f>
        <v>9247200</v>
      </c>
    </row>
    <row r="802" spans="1:6">
      <c r="A802" s="5">
        <f ca="1">IFERROR(__xludf.DUMMYFUNCTION("""COMPUTED_VALUE"""),43214.625)</f>
        <v>43214.625</v>
      </c>
      <c r="B802" s="2">
        <f ca="1">IFERROR(__xludf.DUMMYFUNCTION("""COMPUTED_VALUE"""),23100)</f>
        <v>23100</v>
      </c>
      <c r="C802" s="2">
        <f ca="1">IFERROR(__xludf.DUMMYFUNCTION("""COMPUTED_VALUE"""),23125)</f>
        <v>23125</v>
      </c>
      <c r="D802" s="2">
        <f ca="1">IFERROR(__xludf.DUMMYFUNCTION("""COMPUTED_VALUE"""),22875)</f>
        <v>22875</v>
      </c>
      <c r="E802" s="2">
        <f ca="1">IFERROR(__xludf.DUMMYFUNCTION("""COMPUTED_VALUE"""),22925)</f>
        <v>22925</v>
      </c>
      <c r="F802" s="2">
        <f ca="1">IFERROR(__xludf.DUMMYFUNCTION("""COMPUTED_VALUE"""),14444700)</f>
        <v>14444700</v>
      </c>
    </row>
    <row r="803" spans="1:6">
      <c r="A803" s="5">
        <f ca="1">IFERROR(__xludf.DUMMYFUNCTION("""COMPUTED_VALUE"""),43215.625)</f>
        <v>43215.625</v>
      </c>
      <c r="B803" s="2">
        <f ca="1">IFERROR(__xludf.DUMMYFUNCTION("""COMPUTED_VALUE"""),22850)</f>
        <v>22850</v>
      </c>
      <c r="C803" s="2">
        <f ca="1">IFERROR(__xludf.DUMMYFUNCTION("""COMPUTED_VALUE"""),22900)</f>
        <v>22900</v>
      </c>
      <c r="D803" s="2">
        <f ca="1">IFERROR(__xludf.DUMMYFUNCTION("""COMPUTED_VALUE"""),21625)</f>
        <v>21625</v>
      </c>
      <c r="E803" s="2">
        <f ca="1">IFERROR(__xludf.DUMMYFUNCTION("""COMPUTED_VALUE"""),21750)</f>
        <v>21750</v>
      </c>
      <c r="F803" s="2">
        <f ca="1">IFERROR(__xludf.DUMMYFUNCTION("""COMPUTED_VALUE"""),29165400)</f>
        <v>29165400</v>
      </c>
    </row>
    <row r="804" spans="1:6">
      <c r="A804" s="5">
        <f ca="1">IFERROR(__xludf.DUMMYFUNCTION("""COMPUTED_VALUE"""),43216.625)</f>
        <v>43216.625</v>
      </c>
      <c r="B804" s="2">
        <f ca="1">IFERROR(__xludf.DUMMYFUNCTION("""COMPUTED_VALUE"""),21750)</f>
        <v>21750</v>
      </c>
      <c r="C804" s="2">
        <f ca="1">IFERROR(__xludf.DUMMYFUNCTION("""COMPUTED_VALUE"""),21875)</f>
        <v>21875</v>
      </c>
      <c r="D804" s="2">
        <f ca="1">IFERROR(__xludf.DUMMYFUNCTION("""COMPUTED_VALUE"""),21050)</f>
        <v>21050</v>
      </c>
      <c r="E804" s="2">
        <f ca="1">IFERROR(__xludf.DUMMYFUNCTION("""COMPUTED_VALUE"""),21350)</f>
        <v>21350</v>
      </c>
      <c r="F804" s="2">
        <f ca="1">IFERROR(__xludf.DUMMYFUNCTION("""COMPUTED_VALUE"""),20837600)</f>
        <v>20837600</v>
      </c>
    </row>
    <row r="805" spans="1:6">
      <c r="A805" s="5">
        <f ca="1">IFERROR(__xludf.DUMMYFUNCTION("""COMPUTED_VALUE"""),43217.625)</f>
        <v>43217.625</v>
      </c>
      <c r="B805" s="2">
        <f ca="1">IFERROR(__xludf.DUMMYFUNCTION("""COMPUTED_VALUE"""),21600)</f>
        <v>21600</v>
      </c>
      <c r="C805" s="2">
        <f ca="1">IFERROR(__xludf.DUMMYFUNCTION("""COMPUTED_VALUE"""),21975)</f>
        <v>21975</v>
      </c>
      <c r="D805" s="2">
        <f ca="1">IFERROR(__xludf.DUMMYFUNCTION("""COMPUTED_VALUE"""),21250)</f>
        <v>21250</v>
      </c>
      <c r="E805" s="2">
        <f ca="1">IFERROR(__xludf.DUMMYFUNCTION("""COMPUTED_VALUE"""),21500)</f>
        <v>21500</v>
      </c>
      <c r="F805" s="2">
        <f ca="1">IFERROR(__xludf.DUMMYFUNCTION("""COMPUTED_VALUE"""),20778200)</f>
        <v>20778200</v>
      </c>
    </row>
    <row r="806" spans="1:6">
      <c r="A806" s="5">
        <f ca="1">IFERROR(__xludf.DUMMYFUNCTION("""COMPUTED_VALUE"""),43220.625)</f>
        <v>43220.625</v>
      </c>
      <c r="B806" s="2">
        <f ca="1">IFERROR(__xludf.DUMMYFUNCTION("""COMPUTED_VALUE"""),21500)</f>
        <v>21500</v>
      </c>
      <c r="C806" s="2">
        <f ca="1">IFERROR(__xludf.DUMMYFUNCTION("""COMPUTED_VALUE"""),22400)</f>
        <v>22400</v>
      </c>
      <c r="D806" s="2">
        <f ca="1">IFERROR(__xludf.DUMMYFUNCTION("""COMPUTED_VALUE"""),21450)</f>
        <v>21450</v>
      </c>
      <c r="E806" s="2">
        <f ca="1">IFERROR(__xludf.DUMMYFUNCTION("""COMPUTED_VALUE"""),22100)</f>
        <v>22100</v>
      </c>
      <c r="F806" s="2">
        <f ca="1">IFERROR(__xludf.DUMMYFUNCTION("""COMPUTED_VALUE"""),18082800)</f>
        <v>18082800</v>
      </c>
    </row>
    <row r="807" spans="1:6">
      <c r="A807" s="5">
        <f ca="1">IFERROR(__xludf.DUMMYFUNCTION("""COMPUTED_VALUE"""),43222.625)</f>
        <v>43222.625</v>
      </c>
      <c r="B807" s="2">
        <f ca="1">IFERROR(__xludf.DUMMYFUNCTION("""COMPUTED_VALUE"""),22100)</f>
        <v>22100</v>
      </c>
      <c r="C807" s="2">
        <f ca="1">IFERROR(__xludf.DUMMYFUNCTION("""COMPUTED_VALUE"""),22900)</f>
        <v>22900</v>
      </c>
      <c r="D807" s="2">
        <f ca="1">IFERROR(__xludf.DUMMYFUNCTION("""COMPUTED_VALUE"""),22100)</f>
        <v>22100</v>
      </c>
      <c r="E807" s="2">
        <f ca="1">IFERROR(__xludf.DUMMYFUNCTION("""COMPUTED_VALUE"""),22900)</f>
        <v>22900</v>
      </c>
      <c r="F807" s="2">
        <f ca="1">IFERROR(__xludf.DUMMYFUNCTION("""COMPUTED_VALUE"""),16469200)</f>
        <v>16469200</v>
      </c>
    </row>
    <row r="808" spans="1:6">
      <c r="A808" s="5">
        <f ca="1">IFERROR(__xludf.DUMMYFUNCTION("""COMPUTED_VALUE"""),43223.625)</f>
        <v>43223.625</v>
      </c>
      <c r="B808" s="2">
        <f ca="1">IFERROR(__xludf.DUMMYFUNCTION("""COMPUTED_VALUE"""),22800)</f>
        <v>22800</v>
      </c>
      <c r="C808" s="2">
        <f ca="1">IFERROR(__xludf.DUMMYFUNCTION("""COMPUTED_VALUE"""),22875)</f>
        <v>22875</v>
      </c>
      <c r="D808" s="2">
        <f ca="1">IFERROR(__xludf.DUMMYFUNCTION("""COMPUTED_VALUE"""),22300)</f>
        <v>22300</v>
      </c>
      <c r="E808" s="2">
        <f ca="1">IFERROR(__xludf.DUMMYFUNCTION("""COMPUTED_VALUE"""),22300)</f>
        <v>22300</v>
      </c>
      <c r="F808" s="2">
        <f ca="1">IFERROR(__xludf.DUMMYFUNCTION("""COMPUTED_VALUE"""),27740900)</f>
        <v>27740900</v>
      </c>
    </row>
    <row r="809" spans="1:6">
      <c r="A809" s="5">
        <f ca="1">IFERROR(__xludf.DUMMYFUNCTION("""COMPUTED_VALUE"""),43224.625)</f>
        <v>43224.625</v>
      </c>
      <c r="B809" s="2">
        <f ca="1">IFERROR(__xludf.DUMMYFUNCTION("""COMPUTED_VALUE"""),22300)</f>
        <v>22300</v>
      </c>
      <c r="C809" s="2">
        <f ca="1">IFERROR(__xludf.DUMMYFUNCTION("""COMPUTED_VALUE"""),22325)</f>
        <v>22325</v>
      </c>
      <c r="D809" s="2">
        <f ca="1">IFERROR(__xludf.DUMMYFUNCTION("""COMPUTED_VALUE"""),22000)</f>
        <v>22000</v>
      </c>
      <c r="E809" s="2">
        <f ca="1">IFERROR(__xludf.DUMMYFUNCTION("""COMPUTED_VALUE"""),22025)</f>
        <v>22025</v>
      </c>
      <c r="F809" s="2">
        <f ca="1">IFERROR(__xludf.DUMMYFUNCTION("""COMPUTED_VALUE"""),14826700)</f>
        <v>14826700</v>
      </c>
    </row>
    <row r="810" spans="1:6">
      <c r="A810" s="5">
        <f ca="1">IFERROR(__xludf.DUMMYFUNCTION("""COMPUTED_VALUE"""),43227.625)</f>
        <v>43227.625</v>
      </c>
      <c r="B810" s="2">
        <f ca="1">IFERROR(__xludf.DUMMYFUNCTION("""COMPUTED_VALUE"""),22050)</f>
        <v>22050</v>
      </c>
      <c r="C810" s="2">
        <f ca="1">IFERROR(__xludf.DUMMYFUNCTION("""COMPUTED_VALUE"""),22300)</f>
        <v>22300</v>
      </c>
      <c r="D810" s="2">
        <f ca="1">IFERROR(__xludf.DUMMYFUNCTION("""COMPUTED_VALUE"""),21800)</f>
        <v>21800</v>
      </c>
      <c r="E810" s="2">
        <f ca="1">IFERROR(__xludf.DUMMYFUNCTION("""COMPUTED_VALUE"""),22300)</f>
        <v>22300</v>
      </c>
      <c r="F810" s="2">
        <f ca="1">IFERROR(__xludf.DUMMYFUNCTION("""COMPUTED_VALUE"""),9810900)</f>
        <v>9810900</v>
      </c>
    </row>
    <row r="811" spans="1:6">
      <c r="A811" s="5">
        <f ca="1">IFERROR(__xludf.DUMMYFUNCTION("""COMPUTED_VALUE"""),43228.625)</f>
        <v>43228.625</v>
      </c>
      <c r="B811" s="2">
        <f ca="1">IFERROR(__xludf.DUMMYFUNCTION("""COMPUTED_VALUE"""),22000)</f>
        <v>22000</v>
      </c>
      <c r="C811" s="2">
        <f ca="1">IFERROR(__xludf.DUMMYFUNCTION("""COMPUTED_VALUE"""),22025)</f>
        <v>22025</v>
      </c>
      <c r="D811" s="2">
        <f ca="1">IFERROR(__xludf.DUMMYFUNCTION("""COMPUTED_VALUE"""),21700)</f>
        <v>21700</v>
      </c>
      <c r="E811" s="2">
        <f ca="1">IFERROR(__xludf.DUMMYFUNCTION("""COMPUTED_VALUE"""),22025)</f>
        <v>22025</v>
      </c>
      <c r="F811" s="2">
        <f ca="1">IFERROR(__xludf.DUMMYFUNCTION("""COMPUTED_VALUE"""),14147800)</f>
        <v>14147800</v>
      </c>
    </row>
    <row r="812" spans="1:6">
      <c r="A812" s="5">
        <f ca="1">IFERROR(__xludf.DUMMYFUNCTION("""COMPUTED_VALUE"""),43229.625)</f>
        <v>43229.625</v>
      </c>
      <c r="B812" s="2">
        <f ca="1">IFERROR(__xludf.DUMMYFUNCTION("""COMPUTED_VALUE"""),21525)</f>
        <v>21525</v>
      </c>
      <c r="C812" s="2">
        <f ca="1">IFERROR(__xludf.DUMMYFUNCTION("""COMPUTED_VALUE"""),22900)</f>
        <v>22900</v>
      </c>
      <c r="D812" s="2">
        <f ca="1">IFERROR(__xludf.DUMMYFUNCTION("""COMPUTED_VALUE"""),21525)</f>
        <v>21525</v>
      </c>
      <c r="E812" s="2">
        <f ca="1">IFERROR(__xludf.DUMMYFUNCTION("""COMPUTED_VALUE"""),22900)</f>
        <v>22900</v>
      </c>
      <c r="F812" s="2">
        <f ca="1">IFERROR(__xludf.DUMMYFUNCTION("""COMPUTED_VALUE"""),14418800)</f>
        <v>14418800</v>
      </c>
    </row>
    <row r="813" spans="1:6">
      <c r="A813" s="5">
        <f ca="1">IFERROR(__xludf.DUMMYFUNCTION("""COMPUTED_VALUE"""),43231.625)</f>
        <v>43231.625</v>
      </c>
      <c r="B813" s="2">
        <f ca="1">IFERROR(__xludf.DUMMYFUNCTION("""COMPUTED_VALUE"""),22750)</f>
        <v>22750</v>
      </c>
      <c r="C813" s="2">
        <f ca="1">IFERROR(__xludf.DUMMYFUNCTION("""COMPUTED_VALUE"""),23050)</f>
        <v>23050</v>
      </c>
      <c r="D813" s="2">
        <f ca="1">IFERROR(__xludf.DUMMYFUNCTION("""COMPUTED_VALUE"""),22550)</f>
        <v>22550</v>
      </c>
      <c r="E813" s="2">
        <f ca="1">IFERROR(__xludf.DUMMYFUNCTION("""COMPUTED_VALUE"""),22750)</f>
        <v>22750</v>
      </c>
      <c r="F813" s="2">
        <f ca="1">IFERROR(__xludf.DUMMYFUNCTION("""COMPUTED_VALUE"""),16000100)</f>
        <v>16000100</v>
      </c>
    </row>
    <row r="814" spans="1:6">
      <c r="A814" s="5">
        <f ca="1">IFERROR(__xludf.DUMMYFUNCTION("""COMPUTED_VALUE"""),43234.625)</f>
        <v>43234.625</v>
      </c>
      <c r="B814" s="2">
        <f ca="1">IFERROR(__xludf.DUMMYFUNCTION("""COMPUTED_VALUE"""),22450)</f>
        <v>22450</v>
      </c>
      <c r="C814" s="2">
        <f ca="1">IFERROR(__xludf.DUMMYFUNCTION("""COMPUTED_VALUE"""),22975)</f>
        <v>22975</v>
      </c>
      <c r="D814" s="2">
        <f ca="1">IFERROR(__xludf.DUMMYFUNCTION("""COMPUTED_VALUE"""),22325)</f>
        <v>22325</v>
      </c>
      <c r="E814" s="2">
        <f ca="1">IFERROR(__xludf.DUMMYFUNCTION("""COMPUTED_VALUE"""),22975)</f>
        <v>22975</v>
      </c>
      <c r="F814" s="2">
        <f ca="1">IFERROR(__xludf.DUMMYFUNCTION("""COMPUTED_VALUE"""),11474100)</f>
        <v>11474100</v>
      </c>
    </row>
    <row r="815" spans="1:6">
      <c r="A815" s="5">
        <f ca="1">IFERROR(__xludf.DUMMYFUNCTION("""COMPUTED_VALUE"""),43235.625)</f>
        <v>43235.625</v>
      </c>
      <c r="B815" s="2">
        <f ca="1">IFERROR(__xludf.DUMMYFUNCTION("""COMPUTED_VALUE"""),22675)</f>
        <v>22675</v>
      </c>
      <c r="C815" s="2">
        <f ca="1">IFERROR(__xludf.DUMMYFUNCTION("""COMPUTED_VALUE"""),22700)</f>
        <v>22700</v>
      </c>
      <c r="D815" s="2">
        <f ca="1">IFERROR(__xludf.DUMMYFUNCTION("""COMPUTED_VALUE"""),22000)</f>
        <v>22000</v>
      </c>
      <c r="E815" s="2">
        <f ca="1">IFERROR(__xludf.DUMMYFUNCTION("""COMPUTED_VALUE"""),22200)</f>
        <v>22200</v>
      </c>
      <c r="F815" s="2">
        <f ca="1">IFERROR(__xludf.DUMMYFUNCTION("""COMPUTED_VALUE"""),26116600)</f>
        <v>26116600</v>
      </c>
    </row>
    <row r="816" spans="1:6">
      <c r="A816" s="5">
        <f ca="1">IFERROR(__xludf.DUMMYFUNCTION("""COMPUTED_VALUE"""),43236.625)</f>
        <v>43236.625</v>
      </c>
      <c r="B816" s="2">
        <f ca="1">IFERROR(__xludf.DUMMYFUNCTION("""COMPUTED_VALUE"""),21900)</f>
        <v>21900</v>
      </c>
      <c r="C816" s="2">
        <f ca="1">IFERROR(__xludf.DUMMYFUNCTION("""COMPUTED_VALUE"""),22400)</f>
        <v>22400</v>
      </c>
      <c r="D816" s="2">
        <f ca="1">IFERROR(__xludf.DUMMYFUNCTION("""COMPUTED_VALUE"""),21900)</f>
        <v>21900</v>
      </c>
      <c r="E816" s="2">
        <f ca="1">IFERROR(__xludf.DUMMYFUNCTION("""COMPUTED_VALUE"""),22375)</f>
        <v>22375</v>
      </c>
      <c r="F816" s="2">
        <f ca="1">IFERROR(__xludf.DUMMYFUNCTION("""COMPUTED_VALUE"""),17437000)</f>
        <v>17437000</v>
      </c>
    </row>
    <row r="817" spans="1:6">
      <c r="A817" s="5">
        <f ca="1">IFERROR(__xludf.DUMMYFUNCTION("""COMPUTED_VALUE"""),43237.625)</f>
        <v>43237.625</v>
      </c>
      <c r="B817" s="2">
        <f ca="1">IFERROR(__xludf.DUMMYFUNCTION("""COMPUTED_VALUE"""),22200)</f>
        <v>22200</v>
      </c>
      <c r="C817" s="2">
        <f ca="1">IFERROR(__xludf.DUMMYFUNCTION("""COMPUTED_VALUE"""),22275)</f>
        <v>22275</v>
      </c>
      <c r="D817" s="2">
        <f ca="1">IFERROR(__xludf.DUMMYFUNCTION("""COMPUTED_VALUE"""),22000)</f>
        <v>22000</v>
      </c>
      <c r="E817" s="2">
        <f ca="1">IFERROR(__xludf.DUMMYFUNCTION("""COMPUTED_VALUE"""),22000)</f>
        <v>22000</v>
      </c>
      <c r="F817" s="2">
        <f ca="1">IFERROR(__xludf.DUMMYFUNCTION("""COMPUTED_VALUE"""),16806100)</f>
        <v>16806100</v>
      </c>
    </row>
    <row r="818" spans="1:6">
      <c r="A818" s="5">
        <f ca="1">IFERROR(__xludf.DUMMYFUNCTION("""COMPUTED_VALUE"""),43238.625)</f>
        <v>43238.625</v>
      </c>
      <c r="B818" s="2">
        <f ca="1">IFERROR(__xludf.DUMMYFUNCTION("""COMPUTED_VALUE"""),22000)</f>
        <v>22000</v>
      </c>
      <c r="C818" s="2">
        <f ca="1">IFERROR(__xludf.DUMMYFUNCTION("""COMPUTED_VALUE"""),22025)</f>
        <v>22025</v>
      </c>
      <c r="D818" s="2">
        <f ca="1">IFERROR(__xludf.DUMMYFUNCTION("""COMPUTED_VALUE"""),21700)</f>
        <v>21700</v>
      </c>
      <c r="E818" s="2">
        <f ca="1">IFERROR(__xludf.DUMMYFUNCTION("""COMPUTED_VALUE"""),21700)</f>
        <v>21700</v>
      </c>
      <c r="F818" s="2">
        <f ca="1">IFERROR(__xludf.DUMMYFUNCTION("""COMPUTED_VALUE"""),17736200)</f>
        <v>17736200</v>
      </c>
    </row>
    <row r="819" spans="1:6">
      <c r="A819" s="5">
        <f ca="1">IFERROR(__xludf.DUMMYFUNCTION("""COMPUTED_VALUE"""),43241.625)</f>
        <v>43241.625</v>
      </c>
      <c r="B819" s="2">
        <f ca="1">IFERROR(__xludf.DUMMYFUNCTION("""COMPUTED_VALUE"""),21550)</f>
        <v>21550</v>
      </c>
      <c r="C819" s="2">
        <f ca="1">IFERROR(__xludf.DUMMYFUNCTION("""COMPUTED_VALUE"""),21725)</f>
        <v>21725</v>
      </c>
      <c r="D819" s="2">
        <f ca="1">IFERROR(__xludf.DUMMYFUNCTION("""COMPUTED_VALUE"""),21475)</f>
        <v>21475</v>
      </c>
      <c r="E819" s="2">
        <f ca="1">IFERROR(__xludf.DUMMYFUNCTION("""COMPUTED_VALUE"""),21650)</f>
        <v>21650</v>
      </c>
      <c r="F819" s="2">
        <f ca="1">IFERROR(__xludf.DUMMYFUNCTION("""COMPUTED_VALUE"""),16447400)</f>
        <v>16447400</v>
      </c>
    </row>
    <row r="820" spans="1:6">
      <c r="A820" s="5">
        <f ca="1">IFERROR(__xludf.DUMMYFUNCTION("""COMPUTED_VALUE"""),43242.625)</f>
        <v>43242.625</v>
      </c>
      <c r="B820" s="2">
        <f ca="1">IFERROR(__xludf.DUMMYFUNCTION("""COMPUTED_VALUE"""),21950)</f>
        <v>21950</v>
      </c>
      <c r="C820" s="2">
        <f ca="1">IFERROR(__xludf.DUMMYFUNCTION("""COMPUTED_VALUE"""),22100)</f>
        <v>22100</v>
      </c>
      <c r="D820" s="2">
        <f ca="1">IFERROR(__xludf.DUMMYFUNCTION("""COMPUTED_VALUE"""),21700)</f>
        <v>21700</v>
      </c>
      <c r="E820" s="2">
        <f ca="1">IFERROR(__xludf.DUMMYFUNCTION("""COMPUTED_VALUE"""),22000)</f>
        <v>22000</v>
      </c>
      <c r="F820" s="2">
        <f ca="1">IFERROR(__xludf.DUMMYFUNCTION("""COMPUTED_VALUE"""),12552200)</f>
        <v>12552200</v>
      </c>
    </row>
    <row r="821" spans="1:6">
      <c r="A821" s="5">
        <f ca="1">IFERROR(__xludf.DUMMYFUNCTION("""COMPUTED_VALUE"""),43243.625)</f>
        <v>43243.625</v>
      </c>
      <c r="B821" s="2">
        <f ca="1">IFERROR(__xludf.DUMMYFUNCTION("""COMPUTED_VALUE"""),22100)</f>
        <v>22100</v>
      </c>
      <c r="C821" s="2">
        <f ca="1">IFERROR(__xludf.DUMMYFUNCTION("""COMPUTED_VALUE"""),22350)</f>
        <v>22350</v>
      </c>
      <c r="D821" s="2">
        <f ca="1">IFERROR(__xludf.DUMMYFUNCTION("""COMPUTED_VALUE"""),22000)</f>
        <v>22000</v>
      </c>
      <c r="E821" s="2">
        <f ca="1">IFERROR(__xludf.DUMMYFUNCTION("""COMPUTED_VALUE"""),22000)</f>
        <v>22000</v>
      </c>
      <c r="F821" s="2">
        <f ca="1">IFERROR(__xludf.DUMMYFUNCTION("""COMPUTED_VALUE"""),15903100)</f>
        <v>15903100</v>
      </c>
    </row>
    <row r="822" spans="1:6">
      <c r="A822" s="5">
        <f ca="1">IFERROR(__xludf.DUMMYFUNCTION("""COMPUTED_VALUE"""),43244.625)</f>
        <v>43244.625</v>
      </c>
      <c r="B822" s="2">
        <f ca="1">IFERROR(__xludf.DUMMYFUNCTION("""COMPUTED_VALUE"""),22300)</f>
        <v>22300</v>
      </c>
      <c r="C822" s="2">
        <f ca="1">IFERROR(__xludf.DUMMYFUNCTION("""COMPUTED_VALUE"""),22625)</f>
        <v>22625</v>
      </c>
      <c r="D822" s="2">
        <f ca="1">IFERROR(__xludf.DUMMYFUNCTION("""COMPUTED_VALUE"""),22275)</f>
        <v>22275</v>
      </c>
      <c r="E822" s="2">
        <f ca="1">IFERROR(__xludf.DUMMYFUNCTION("""COMPUTED_VALUE"""),22450)</f>
        <v>22450</v>
      </c>
      <c r="F822" s="2">
        <f ca="1">IFERROR(__xludf.DUMMYFUNCTION("""COMPUTED_VALUE"""),15539400)</f>
        <v>15539400</v>
      </c>
    </row>
    <row r="823" spans="1:6">
      <c r="A823" s="5">
        <f ca="1">IFERROR(__xludf.DUMMYFUNCTION("""COMPUTED_VALUE"""),43245.625)</f>
        <v>43245.625</v>
      </c>
      <c r="B823" s="2">
        <f ca="1">IFERROR(__xludf.DUMMYFUNCTION("""COMPUTED_VALUE"""),22425)</f>
        <v>22425</v>
      </c>
      <c r="C823" s="2">
        <f ca="1">IFERROR(__xludf.DUMMYFUNCTION("""COMPUTED_VALUE"""),22675)</f>
        <v>22675</v>
      </c>
      <c r="D823" s="2">
        <f ca="1">IFERROR(__xludf.DUMMYFUNCTION("""COMPUTED_VALUE"""),22375)</f>
        <v>22375</v>
      </c>
      <c r="E823" s="2">
        <f ca="1">IFERROR(__xludf.DUMMYFUNCTION("""COMPUTED_VALUE"""),22550)</f>
        <v>22550</v>
      </c>
      <c r="F823" s="2">
        <f ca="1">IFERROR(__xludf.DUMMYFUNCTION("""COMPUTED_VALUE"""),12782700)</f>
        <v>12782700</v>
      </c>
    </row>
    <row r="824" spans="1:6">
      <c r="A824" s="5">
        <f ca="1">IFERROR(__xludf.DUMMYFUNCTION("""COMPUTED_VALUE"""),43248.625)</f>
        <v>43248.625</v>
      </c>
      <c r="B824" s="2">
        <f ca="1">IFERROR(__xludf.DUMMYFUNCTION("""COMPUTED_VALUE"""),22500)</f>
        <v>22500</v>
      </c>
      <c r="C824" s="2">
        <f ca="1">IFERROR(__xludf.DUMMYFUNCTION("""COMPUTED_VALUE"""),23000)</f>
        <v>23000</v>
      </c>
      <c r="D824" s="2">
        <f ca="1">IFERROR(__xludf.DUMMYFUNCTION("""COMPUTED_VALUE"""),22400)</f>
        <v>22400</v>
      </c>
      <c r="E824" s="2">
        <f ca="1">IFERROR(__xludf.DUMMYFUNCTION("""COMPUTED_VALUE"""),22850)</f>
        <v>22850</v>
      </c>
      <c r="F824" s="2">
        <f ca="1">IFERROR(__xludf.DUMMYFUNCTION("""COMPUTED_VALUE"""),12820900)</f>
        <v>12820900</v>
      </c>
    </row>
    <row r="825" spans="1:6">
      <c r="A825" s="5">
        <f ca="1">IFERROR(__xludf.DUMMYFUNCTION("""COMPUTED_VALUE"""),43250.625)</f>
        <v>43250.625</v>
      </c>
      <c r="B825" s="2">
        <f ca="1">IFERROR(__xludf.DUMMYFUNCTION("""COMPUTED_VALUE"""),22850)</f>
        <v>22850</v>
      </c>
      <c r="C825" s="2">
        <f ca="1">IFERROR(__xludf.DUMMYFUNCTION("""COMPUTED_VALUE"""),22975)</f>
        <v>22975</v>
      </c>
      <c r="D825" s="2">
        <f ca="1">IFERROR(__xludf.DUMMYFUNCTION("""COMPUTED_VALUE"""),22450)</f>
        <v>22450</v>
      </c>
      <c r="E825" s="2">
        <f ca="1">IFERROR(__xludf.DUMMYFUNCTION("""COMPUTED_VALUE"""),22700)</f>
        <v>22700</v>
      </c>
      <c r="F825" s="2">
        <f ca="1">IFERROR(__xludf.DUMMYFUNCTION("""COMPUTED_VALUE"""),21952300)</f>
        <v>21952300</v>
      </c>
    </row>
    <row r="826" spans="1:6">
      <c r="A826" s="5">
        <f ca="1">IFERROR(__xludf.DUMMYFUNCTION("""COMPUTED_VALUE"""),43251.625)</f>
        <v>43251.625</v>
      </c>
      <c r="B826" s="2">
        <f ca="1">IFERROR(__xludf.DUMMYFUNCTION("""COMPUTED_VALUE"""),22875)</f>
        <v>22875</v>
      </c>
      <c r="C826" s="2">
        <f ca="1">IFERROR(__xludf.DUMMYFUNCTION("""COMPUTED_VALUE"""),22950)</f>
        <v>22950</v>
      </c>
      <c r="D826" s="2">
        <f ca="1">IFERROR(__xludf.DUMMYFUNCTION("""COMPUTED_VALUE"""),22450)</f>
        <v>22450</v>
      </c>
      <c r="E826" s="2">
        <f ca="1">IFERROR(__xludf.DUMMYFUNCTION("""COMPUTED_VALUE"""),22700)</f>
        <v>22700</v>
      </c>
      <c r="F826" s="2">
        <f ca="1">IFERROR(__xludf.DUMMYFUNCTION("""COMPUTED_VALUE"""),35604600)</f>
        <v>35604600</v>
      </c>
    </row>
    <row r="827" spans="1:6">
      <c r="A827" s="5">
        <f ca="1">IFERROR(__xludf.DUMMYFUNCTION("""COMPUTED_VALUE"""),43255.625)</f>
        <v>43255.625</v>
      </c>
      <c r="B827" s="2">
        <f ca="1">IFERROR(__xludf.DUMMYFUNCTION("""COMPUTED_VALUE"""),22950)</f>
        <v>22950</v>
      </c>
      <c r="C827" s="2">
        <f ca="1">IFERROR(__xludf.DUMMYFUNCTION("""COMPUTED_VALUE"""),22975)</f>
        <v>22975</v>
      </c>
      <c r="D827" s="2">
        <f ca="1">IFERROR(__xludf.DUMMYFUNCTION("""COMPUTED_VALUE"""),22800)</f>
        <v>22800</v>
      </c>
      <c r="E827" s="2">
        <f ca="1">IFERROR(__xludf.DUMMYFUNCTION("""COMPUTED_VALUE"""),22925)</f>
        <v>22925</v>
      </c>
      <c r="F827" s="2">
        <f ca="1">IFERROR(__xludf.DUMMYFUNCTION("""COMPUTED_VALUE"""),17917000)</f>
        <v>17917000</v>
      </c>
    </row>
    <row r="828" spans="1:6">
      <c r="A828" s="5">
        <f ca="1">IFERROR(__xludf.DUMMYFUNCTION("""COMPUTED_VALUE"""),43256.625)</f>
        <v>43256.625</v>
      </c>
      <c r="B828" s="2">
        <f ca="1">IFERROR(__xludf.DUMMYFUNCTION("""COMPUTED_VALUE"""),22800)</f>
        <v>22800</v>
      </c>
      <c r="C828" s="2">
        <f ca="1">IFERROR(__xludf.DUMMYFUNCTION("""COMPUTED_VALUE"""),22925)</f>
        <v>22925</v>
      </c>
      <c r="D828" s="2">
        <f ca="1">IFERROR(__xludf.DUMMYFUNCTION("""COMPUTED_VALUE"""),22400)</f>
        <v>22400</v>
      </c>
      <c r="E828" s="2">
        <f ca="1">IFERROR(__xludf.DUMMYFUNCTION("""COMPUTED_VALUE"""),22725)</f>
        <v>22725</v>
      </c>
      <c r="F828" s="2">
        <f ca="1">IFERROR(__xludf.DUMMYFUNCTION("""COMPUTED_VALUE"""),15446600)</f>
        <v>15446600</v>
      </c>
    </row>
    <row r="829" spans="1:6">
      <c r="A829" s="5">
        <f ca="1">IFERROR(__xludf.DUMMYFUNCTION("""COMPUTED_VALUE"""),43257.625)</f>
        <v>43257.625</v>
      </c>
      <c r="B829" s="2">
        <f ca="1">IFERROR(__xludf.DUMMYFUNCTION("""COMPUTED_VALUE"""),22725)</f>
        <v>22725</v>
      </c>
      <c r="C829" s="2">
        <f ca="1">IFERROR(__xludf.DUMMYFUNCTION("""COMPUTED_VALUE"""),23150)</f>
        <v>23150</v>
      </c>
      <c r="D829" s="2">
        <f ca="1">IFERROR(__xludf.DUMMYFUNCTION("""COMPUTED_VALUE"""),22625)</f>
        <v>22625</v>
      </c>
      <c r="E829" s="2">
        <f ca="1">IFERROR(__xludf.DUMMYFUNCTION("""COMPUTED_VALUE"""),23025)</f>
        <v>23025</v>
      </c>
      <c r="F829" s="2">
        <f ca="1">IFERROR(__xludf.DUMMYFUNCTION("""COMPUTED_VALUE"""),11582700)</f>
        <v>11582700</v>
      </c>
    </row>
    <row r="830" spans="1:6">
      <c r="A830" s="5">
        <f ca="1">IFERROR(__xludf.DUMMYFUNCTION("""COMPUTED_VALUE"""),43258.625)</f>
        <v>43258.625</v>
      </c>
      <c r="B830" s="2">
        <f ca="1">IFERROR(__xludf.DUMMYFUNCTION("""COMPUTED_VALUE"""),23150)</f>
        <v>23150</v>
      </c>
      <c r="C830" s="2">
        <f ca="1">IFERROR(__xludf.DUMMYFUNCTION("""COMPUTED_VALUE"""),23150)</f>
        <v>23150</v>
      </c>
      <c r="D830" s="2">
        <f ca="1">IFERROR(__xludf.DUMMYFUNCTION("""COMPUTED_VALUE"""),22900)</f>
        <v>22900</v>
      </c>
      <c r="E830" s="2">
        <f ca="1">IFERROR(__xludf.DUMMYFUNCTION("""COMPUTED_VALUE"""),22975)</f>
        <v>22975</v>
      </c>
      <c r="F830" s="2">
        <f ca="1">IFERROR(__xludf.DUMMYFUNCTION("""COMPUTED_VALUE"""),8136300)</f>
        <v>8136300</v>
      </c>
    </row>
    <row r="831" spans="1:6">
      <c r="A831" s="5">
        <f ca="1">IFERROR(__xludf.DUMMYFUNCTION("""COMPUTED_VALUE"""),43259.625)</f>
        <v>43259.625</v>
      </c>
      <c r="B831" s="2">
        <f ca="1">IFERROR(__xludf.DUMMYFUNCTION("""COMPUTED_VALUE"""),22850)</f>
        <v>22850</v>
      </c>
      <c r="C831" s="2">
        <f ca="1">IFERROR(__xludf.DUMMYFUNCTION("""COMPUTED_VALUE"""),23000)</f>
        <v>23000</v>
      </c>
      <c r="D831" s="2">
        <f ca="1">IFERROR(__xludf.DUMMYFUNCTION("""COMPUTED_VALUE"""),22100)</f>
        <v>22100</v>
      </c>
      <c r="E831" s="2">
        <f ca="1">IFERROR(__xludf.DUMMYFUNCTION("""COMPUTED_VALUE"""),22250)</f>
        <v>22250</v>
      </c>
      <c r="F831" s="2">
        <f ca="1">IFERROR(__xludf.DUMMYFUNCTION("""COMPUTED_VALUE"""),34169000)</f>
        <v>34169000</v>
      </c>
    </row>
    <row r="832" spans="1:6">
      <c r="A832" s="5">
        <f ca="1">IFERROR(__xludf.DUMMYFUNCTION("""COMPUTED_VALUE"""),43271.625)</f>
        <v>43271.625</v>
      </c>
      <c r="B832" s="2">
        <f ca="1">IFERROR(__xludf.DUMMYFUNCTION("""COMPUTED_VALUE"""),22000)</f>
        <v>22000</v>
      </c>
      <c r="C832" s="2">
        <f ca="1">IFERROR(__xludf.DUMMYFUNCTION("""COMPUTED_VALUE"""),22025)</f>
        <v>22025</v>
      </c>
      <c r="D832" s="2">
        <f ca="1">IFERROR(__xludf.DUMMYFUNCTION("""COMPUTED_VALUE"""),21150)</f>
        <v>21150</v>
      </c>
      <c r="E832" s="2">
        <f ca="1">IFERROR(__xludf.DUMMYFUNCTION("""COMPUTED_VALUE"""),21500)</f>
        <v>21500</v>
      </c>
      <c r="F832" s="2">
        <f ca="1">IFERROR(__xludf.DUMMYFUNCTION("""COMPUTED_VALUE"""),50687800)</f>
        <v>50687800</v>
      </c>
    </row>
    <row r="833" spans="1:6">
      <c r="A833" s="5">
        <f ca="1">IFERROR(__xludf.DUMMYFUNCTION("""COMPUTED_VALUE"""),43272.625)</f>
        <v>43272.625</v>
      </c>
      <c r="B833" s="2">
        <f ca="1">IFERROR(__xludf.DUMMYFUNCTION("""COMPUTED_VALUE"""),21625)</f>
        <v>21625</v>
      </c>
      <c r="C833" s="2">
        <f ca="1">IFERROR(__xludf.DUMMYFUNCTION("""COMPUTED_VALUE"""),21950)</f>
        <v>21950</v>
      </c>
      <c r="D833" s="2">
        <f ca="1">IFERROR(__xludf.DUMMYFUNCTION("""COMPUTED_VALUE"""),21150)</f>
        <v>21150</v>
      </c>
      <c r="E833" s="2">
        <f ca="1">IFERROR(__xludf.DUMMYFUNCTION("""COMPUTED_VALUE"""),21150)</f>
        <v>21150</v>
      </c>
      <c r="F833" s="2">
        <f ca="1">IFERROR(__xludf.DUMMYFUNCTION("""COMPUTED_VALUE"""),18118700)</f>
        <v>18118700</v>
      </c>
    </row>
    <row r="834" spans="1:6">
      <c r="A834" s="5">
        <f ca="1">IFERROR(__xludf.DUMMYFUNCTION("""COMPUTED_VALUE"""),43273.625)</f>
        <v>43273.625</v>
      </c>
      <c r="B834" s="2">
        <f ca="1">IFERROR(__xludf.DUMMYFUNCTION("""COMPUTED_VALUE"""),21400)</f>
        <v>21400</v>
      </c>
      <c r="C834" s="2">
        <f ca="1">IFERROR(__xludf.DUMMYFUNCTION("""COMPUTED_VALUE"""),21925)</f>
        <v>21925</v>
      </c>
      <c r="D834" s="2">
        <f ca="1">IFERROR(__xludf.DUMMYFUNCTION("""COMPUTED_VALUE"""),21100)</f>
        <v>21100</v>
      </c>
      <c r="E834" s="2">
        <f ca="1">IFERROR(__xludf.DUMMYFUNCTION("""COMPUTED_VALUE"""),21925)</f>
        <v>21925</v>
      </c>
      <c r="F834" s="2">
        <f ca="1">IFERROR(__xludf.DUMMYFUNCTION("""COMPUTED_VALUE"""),19301900)</f>
        <v>19301900</v>
      </c>
    </row>
    <row r="835" spans="1:6">
      <c r="A835" s="5">
        <f ca="1">IFERROR(__xludf.DUMMYFUNCTION("""COMPUTED_VALUE"""),43276.625)</f>
        <v>43276.625</v>
      </c>
      <c r="B835" s="2">
        <f ca="1">IFERROR(__xludf.DUMMYFUNCTION("""COMPUTED_VALUE"""),21925)</f>
        <v>21925</v>
      </c>
      <c r="C835" s="2">
        <f ca="1">IFERROR(__xludf.DUMMYFUNCTION("""COMPUTED_VALUE"""),22475)</f>
        <v>22475</v>
      </c>
      <c r="D835" s="2">
        <f ca="1">IFERROR(__xludf.DUMMYFUNCTION("""COMPUTED_VALUE"""),21825)</f>
        <v>21825</v>
      </c>
      <c r="E835" s="2">
        <f ca="1">IFERROR(__xludf.DUMMYFUNCTION("""COMPUTED_VALUE"""),22200)</f>
        <v>22200</v>
      </c>
      <c r="F835" s="2">
        <f ca="1">IFERROR(__xludf.DUMMYFUNCTION("""COMPUTED_VALUE"""),12502600)</f>
        <v>12502600</v>
      </c>
    </row>
    <row r="836" spans="1:6">
      <c r="A836" s="5">
        <f ca="1">IFERROR(__xludf.DUMMYFUNCTION("""COMPUTED_VALUE"""),43277.625)</f>
        <v>43277.625</v>
      </c>
      <c r="B836" s="2">
        <f ca="1">IFERROR(__xludf.DUMMYFUNCTION("""COMPUTED_VALUE"""),22100)</f>
        <v>22100</v>
      </c>
      <c r="C836" s="2">
        <f ca="1">IFERROR(__xludf.DUMMYFUNCTION("""COMPUTED_VALUE"""),22300)</f>
        <v>22300</v>
      </c>
      <c r="D836" s="2">
        <f ca="1">IFERROR(__xludf.DUMMYFUNCTION("""COMPUTED_VALUE"""),21375)</f>
        <v>21375</v>
      </c>
      <c r="E836" s="2">
        <f ca="1">IFERROR(__xludf.DUMMYFUNCTION("""COMPUTED_VALUE"""),21375)</f>
        <v>21375</v>
      </c>
      <c r="F836" s="2">
        <f ca="1">IFERROR(__xludf.DUMMYFUNCTION("""COMPUTED_VALUE"""),10952700)</f>
        <v>10952700</v>
      </c>
    </row>
    <row r="837" spans="1:6">
      <c r="A837" s="5">
        <f ca="1">IFERROR(__xludf.DUMMYFUNCTION("""COMPUTED_VALUE"""),43278.625)</f>
        <v>43278.625</v>
      </c>
      <c r="B837" s="2">
        <f ca="1">IFERROR(__xludf.DUMMYFUNCTION("""COMPUTED_VALUE"""),21400)</f>
        <v>21400</v>
      </c>
      <c r="C837" s="2">
        <f ca="1">IFERROR(__xludf.DUMMYFUNCTION("""COMPUTED_VALUE"""),21700)</f>
        <v>21700</v>
      </c>
      <c r="D837" s="2">
        <f ca="1">IFERROR(__xludf.DUMMYFUNCTION("""COMPUTED_VALUE"""),21350)</f>
        <v>21350</v>
      </c>
      <c r="E837" s="2">
        <f ca="1">IFERROR(__xludf.DUMMYFUNCTION("""COMPUTED_VALUE"""),21350)</f>
        <v>21350</v>
      </c>
      <c r="F837" s="2">
        <f ca="1">IFERROR(__xludf.DUMMYFUNCTION("""COMPUTED_VALUE"""),13461900)</f>
        <v>13461900</v>
      </c>
    </row>
    <row r="838" spans="1:6">
      <c r="A838" s="5">
        <f ca="1">IFERROR(__xludf.DUMMYFUNCTION("""COMPUTED_VALUE"""),43279.625)</f>
        <v>43279.625</v>
      </c>
      <c r="B838" s="2">
        <f ca="1">IFERROR(__xludf.DUMMYFUNCTION("""COMPUTED_VALUE"""),21375)</f>
        <v>21375</v>
      </c>
      <c r="C838" s="2">
        <f ca="1">IFERROR(__xludf.DUMMYFUNCTION("""COMPUTED_VALUE"""),21375)</f>
        <v>21375</v>
      </c>
      <c r="D838" s="2">
        <f ca="1">IFERROR(__xludf.DUMMYFUNCTION("""COMPUTED_VALUE"""),20925)</f>
        <v>20925</v>
      </c>
      <c r="E838" s="2">
        <f ca="1">IFERROR(__xludf.DUMMYFUNCTION("""COMPUTED_VALUE"""),20950)</f>
        <v>20950</v>
      </c>
      <c r="F838" s="2">
        <f ca="1">IFERROR(__xludf.DUMMYFUNCTION("""COMPUTED_VALUE"""),23619700)</f>
        <v>23619700</v>
      </c>
    </row>
    <row r="839" spans="1:6">
      <c r="A839" s="5">
        <f ca="1">IFERROR(__xludf.DUMMYFUNCTION("""COMPUTED_VALUE"""),43280.625)</f>
        <v>43280.625</v>
      </c>
      <c r="B839" s="2">
        <f ca="1">IFERROR(__xludf.DUMMYFUNCTION("""COMPUTED_VALUE"""),20950)</f>
        <v>20950</v>
      </c>
      <c r="C839" s="2">
        <f ca="1">IFERROR(__xludf.DUMMYFUNCTION("""COMPUTED_VALUE"""),21475)</f>
        <v>21475</v>
      </c>
      <c r="D839" s="2">
        <f ca="1">IFERROR(__xludf.DUMMYFUNCTION("""COMPUTED_VALUE"""),20825)</f>
        <v>20825</v>
      </c>
      <c r="E839" s="2">
        <f ca="1">IFERROR(__xludf.DUMMYFUNCTION("""COMPUTED_VALUE"""),21475)</f>
        <v>21475</v>
      </c>
      <c r="F839" s="2">
        <f ca="1">IFERROR(__xludf.DUMMYFUNCTION("""COMPUTED_VALUE"""),23837600)</f>
        <v>23837600</v>
      </c>
    </row>
    <row r="840" spans="1:6">
      <c r="A840" s="5">
        <f ca="1">IFERROR(__xludf.DUMMYFUNCTION("""COMPUTED_VALUE"""),43283.625)</f>
        <v>43283.625</v>
      </c>
      <c r="B840" s="2">
        <f ca="1">IFERROR(__xludf.DUMMYFUNCTION("""COMPUTED_VALUE"""),21650)</f>
        <v>21650</v>
      </c>
      <c r="C840" s="2">
        <f ca="1">IFERROR(__xludf.DUMMYFUNCTION("""COMPUTED_VALUE"""),21650)</f>
        <v>21650</v>
      </c>
      <c r="D840" s="2">
        <f ca="1">IFERROR(__xludf.DUMMYFUNCTION("""COMPUTED_VALUE"""),21425)</f>
        <v>21425</v>
      </c>
      <c r="E840" s="2">
        <f ca="1">IFERROR(__xludf.DUMMYFUNCTION("""COMPUTED_VALUE"""),21450)</f>
        <v>21450</v>
      </c>
      <c r="F840" s="2">
        <f ca="1">IFERROR(__xludf.DUMMYFUNCTION("""COMPUTED_VALUE"""),11888300)</f>
        <v>11888300</v>
      </c>
    </row>
    <row r="841" spans="1:6">
      <c r="A841" s="5">
        <f ca="1">IFERROR(__xludf.DUMMYFUNCTION("""COMPUTED_VALUE"""),43284.625)</f>
        <v>43284.625</v>
      </c>
      <c r="B841" s="2">
        <f ca="1">IFERROR(__xludf.DUMMYFUNCTION("""COMPUTED_VALUE"""),21600)</f>
        <v>21600</v>
      </c>
      <c r="C841" s="2">
        <f ca="1">IFERROR(__xludf.DUMMYFUNCTION("""COMPUTED_VALUE"""),21625)</f>
        <v>21625</v>
      </c>
      <c r="D841" s="2">
        <f ca="1">IFERROR(__xludf.DUMMYFUNCTION("""COMPUTED_VALUE"""),20600)</f>
        <v>20600</v>
      </c>
      <c r="E841" s="2">
        <f ca="1">IFERROR(__xludf.DUMMYFUNCTION("""COMPUTED_VALUE"""),20600)</f>
        <v>20600</v>
      </c>
      <c r="F841" s="2">
        <f ca="1">IFERROR(__xludf.DUMMYFUNCTION("""COMPUTED_VALUE"""),14607600)</f>
        <v>14607600</v>
      </c>
    </row>
    <row r="842" spans="1:6">
      <c r="A842" s="5">
        <f ca="1">IFERROR(__xludf.DUMMYFUNCTION("""COMPUTED_VALUE"""),43285.625)</f>
        <v>43285.625</v>
      </c>
      <c r="B842" s="2">
        <f ca="1">IFERROR(__xludf.DUMMYFUNCTION("""COMPUTED_VALUE"""),20975)</f>
        <v>20975</v>
      </c>
      <c r="C842" s="2">
        <f ca="1">IFERROR(__xludf.DUMMYFUNCTION("""COMPUTED_VALUE"""),21400)</f>
        <v>21400</v>
      </c>
      <c r="D842" s="2">
        <f ca="1">IFERROR(__xludf.DUMMYFUNCTION("""COMPUTED_VALUE"""),20700)</f>
        <v>20700</v>
      </c>
      <c r="E842" s="2">
        <f ca="1">IFERROR(__xludf.DUMMYFUNCTION("""COMPUTED_VALUE"""),21225)</f>
        <v>21225</v>
      </c>
      <c r="F842" s="2">
        <f ca="1">IFERROR(__xludf.DUMMYFUNCTION("""COMPUTED_VALUE"""),12398900)</f>
        <v>12398900</v>
      </c>
    </row>
    <row r="843" spans="1:6">
      <c r="A843" s="5">
        <f ca="1">IFERROR(__xludf.DUMMYFUNCTION("""COMPUTED_VALUE"""),43286.625)</f>
        <v>43286.625</v>
      </c>
      <c r="B843" s="2">
        <f ca="1">IFERROR(__xludf.DUMMYFUNCTION("""COMPUTED_VALUE"""),21050)</f>
        <v>21050</v>
      </c>
      <c r="C843" s="2">
        <f ca="1">IFERROR(__xludf.DUMMYFUNCTION("""COMPUTED_VALUE"""),21300)</f>
        <v>21300</v>
      </c>
      <c r="D843" s="2">
        <f ca="1">IFERROR(__xludf.DUMMYFUNCTION("""COMPUTED_VALUE"""),21000)</f>
        <v>21000</v>
      </c>
      <c r="E843" s="2">
        <f ca="1">IFERROR(__xludf.DUMMYFUNCTION("""COMPUTED_VALUE"""),21225)</f>
        <v>21225</v>
      </c>
      <c r="F843" s="2">
        <f ca="1">IFERROR(__xludf.DUMMYFUNCTION("""COMPUTED_VALUE"""),6828800)</f>
        <v>6828800</v>
      </c>
    </row>
    <row r="844" spans="1:6">
      <c r="A844" s="5">
        <f ca="1">IFERROR(__xludf.DUMMYFUNCTION("""COMPUTED_VALUE"""),43287.625)</f>
        <v>43287.625</v>
      </c>
      <c r="B844" s="2">
        <f ca="1">IFERROR(__xludf.DUMMYFUNCTION("""COMPUTED_VALUE"""),20975)</f>
        <v>20975</v>
      </c>
      <c r="C844" s="2">
        <f ca="1">IFERROR(__xludf.DUMMYFUNCTION("""COMPUTED_VALUE"""),21050)</f>
        <v>21050</v>
      </c>
      <c r="D844" s="2">
        <f ca="1">IFERROR(__xludf.DUMMYFUNCTION("""COMPUTED_VALUE"""),20925)</f>
        <v>20925</v>
      </c>
      <c r="E844" s="2">
        <f ca="1">IFERROR(__xludf.DUMMYFUNCTION("""COMPUTED_VALUE"""),20925)</f>
        <v>20925</v>
      </c>
      <c r="F844" s="2">
        <f ca="1">IFERROR(__xludf.DUMMYFUNCTION("""COMPUTED_VALUE"""),7521800)</f>
        <v>7521800</v>
      </c>
    </row>
    <row r="845" spans="1:6">
      <c r="A845" s="5">
        <f ca="1">IFERROR(__xludf.DUMMYFUNCTION("""COMPUTED_VALUE"""),43290.625)</f>
        <v>43290.625</v>
      </c>
      <c r="B845" s="2">
        <f ca="1">IFERROR(__xludf.DUMMYFUNCTION("""COMPUTED_VALUE"""),21200)</f>
        <v>21200</v>
      </c>
      <c r="C845" s="2">
        <f ca="1">IFERROR(__xludf.DUMMYFUNCTION("""COMPUTED_VALUE"""),22000)</f>
        <v>22000</v>
      </c>
      <c r="D845" s="2">
        <f ca="1">IFERROR(__xludf.DUMMYFUNCTION("""COMPUTED_VALUE"""),21075)</f>
        <v>21075</v>
      </c>
      <c r="E845" s="2">
        <f ca="1">IFERROR(__xludf.DUMMYFUNCTION("""COMPUTED_VALUE"""),21900)</f>
        <v>21900</v>
      </c>
      <c r="F845" s="2">
        <f ca="1">IFERROR(__xludf.DUMMYFUNCTION("""COMPUTED_VALUE"""),16009900)</f>
        <v>16009900</v>
      </c>
    </row>
    <row r="846" spans="1:6">
      <c r="A846" s="5">
        <f ca="1">IFERROR(__xludf.DUMMYFUNCTION("""COMPUTED_VALUE"""),43291.625)</f>
        <v>43291.625</v>
      </c>
      <c r="B846" s="2">
        <f ca="1">IFERROR(__xludf.DUMMYFUNCTION("""COMPUTED_VALUE"""),21850)</f>
        <v>21850</v>
      </c>
      <c r="C846" s="2">
        <f ca="1">IFERROR(__xludf.DUMMYFUNCTION("""COMPUTED_VALUE"""),22000)</f>
        <v>22000</v>
      </c>
      <c r="D846" s="2">
        <f ca="1">IFERROR(__xludf.DUMMYFUNCTION("""COMPUTED_VALUE"""),21400)</f>
        <v>21400</v>
      </c>
      <c r="E846" s="2">
        <f ca="1">IFERROR(__xludf.DUMMYFUNCTION("""COMPUTED_VALUE"""),21900)</f>
        <v>21900</v>
      </c>
      <c r="F846" s="2">
        <f ca="1">IFERROR(__xludf.DUMMYFUNCTION("""COMPUTED_VALUE"""),23327900)</f>
        <v>23327900</v>
      </c>
    </row>
    <row r="847" spans="1:6">
      <c r="A847" s="5">
        <f ca="1">IFERROR(__xludf.DUMMYFUNCTION("""COMPUTED_VALUE"""),43292.625)</f>
        <v>43292.625</v>
      </c>
      <c r="B847" s="2">
        <f ca="1">IFERROR(__xludf.DUMMYFUNCTION("""COMPUTED_VALUE"""),21500)</f>
        <v>21500</v>
      </c>
      <c r="C847" s="2">
        <f ca="1">IFERROR(__xludf.DUMMYFUNCTION("""COMPUTED_VALUE"""),22450)</f>
        <v>22450</v>
      </c>
      <c r="D847" s="2">
        <f ca="1">IFERROR(__xludf.DUMMYFUNCTION("""COMPUTED_VALUE"""),21500)</f>
        <v>21500</v>
      </c>
      <c r="E847" s="2">
        <f ca="1">IFERROR(__xludf.DUMMYFUNCTION("""COMPUTED_VALUE"""),22325)</f>
        <v>22325</v>
      </c>
      <c r="F847" s="2">
        <f ca="1">IFERROR(__xludf.DUMMYFUNCTION("""COMPUTED_VALUE"""),19114000)</f>
        <v>19114000</v>
      </c>
    </row>
    <row r="848" spans="1:6">
      <c r="A848" s="5">
        <f ca="1">IFERROR(__xludf.DUMMYFUNCTION("""COMPUTED_VALUE"""),43293.625)</f>
        <v>43293.625</v>
      </c>
      <c r="B848" s="2">
        <f ca="1">IFERROR(__xludf.DUMMYFUNCTION("""COMPUTED_VALUE"""),22200)</f>
        <v>22200</v>
      </c>
      <c r="C848" s="2">
        <f ca="1">IFERROR(__xludf.DUMMYFUNCTION("""COMPUTED_VALUE"""),22900)</f>
        <v>22900</v>
      </c>
      <c r="D848" s="2">
        <f ca="1">IFERROR(__xludf.DUMMYFUNCTION("""COMPUTED_VALUE"""),22175)</f>
        <v>22175</v>
      </c>
      <c r="E848" s="2">
        <f ca="1">IFERROR(__xludf.DUMMYFUNCTION("""COMPUTED_VALUE"""),22825)</f>
        <v>22825</v>
      </c>
      <c r="F848" s="2">
        <f ca="1">IFERROR(__xludf.DUMMYFUNCTION("""COMPUTED_VALUE"""),15801600)</f>
        <v>15801600</v>
      </c>
    </row>
    <row r="849" spans="1:6">
      <c r="A849" s="5">
        <f ca="1">IFERROR(__xludf.DUMMYFUNCTION("""COMPUTED_VALUE"""),43294.625)</f>
        <v>43294.625</v>
      </c>
      <c r="B849" s="2">
        <f ca="1">IFERROR(__xludf.DUMMYFUNCTION("""COMPUTED_VALUE"""),23000)</f>
        <v>23000</v>
      </c>
      <c r="C849" s="2">
        <f ca="1">IFERROR(__xludf.DUMMYFUNCTION("""COMPUTED_VALUE"""),23075)</f>
        <v>23075</v>
      </c>
      <c r="D849" s="2">
        <f ca="1">IFERROR(__xludf.DUMMYFUNCTION("""COMPUTED_VALUE"""),22800)</f>
        <v>22800</v>
      </c>
      <c r="E849" s="2">
        <f ca="1">IFERROR(__xludf.DUMMYFUNCTION("""COMPUTED_VALUE"""),23025)</f>
        <v>23025</v>
      </c>
      <c r="F849" s="2">
        <f ca="1">IFERROR(__xludf.DUMMYFUNCTION("""COMPUTED_VALUE"""),14787200)</f>
        <v>14787200</v>
      </c>
    </row>
    <row r="850" spans="1:6">
      <c r="A850" s="5">
        <f ca="1">IFERROR(__xludf.DUMMYFUNCTION("""COMPUTED_VALUE"""),43297.625)</f>
        <v>43297.625</v>
      </c>
      <c r="B850" s="2">
        <f ca="1">IFERROR(__xludf.DUMMYFUNCTION("""COMPUTED_VALUE"""),23050)</f>
        <v>23050</v>
      </c>
      <c r="C850" s="2">
        <f ca="1">IFERROR(__xludf.DUMMYFUNCTION("""COMPUTED_VALUE"""),23125)</f>
        <v>23125</v>
      </c>
      <c r="D850" s="2">
        <f ca="1">IFERROR(__xludf.DUMMYFUNCTION("""COMPUTED_VALUE"""),22900)</f>
        <v>22900</v>
      </c>
      <c r="E850" s="2">
        <f ca="1">IFERROR(__xludf.DUMMYFUNCTION("""COMPUTED_VALUE"""),23125)</f>
        <v>23125</v>
      </c>
      <c r="F850" s="2">
        <f ca="1">IFERROR(__xludf.DUMMYFUNCTION("""COMPUTED_VALUE"""),14314200)</f>
        <v>14314200</v>
      </c>
    </row>
    <row r="851" spans="1:6">
      <c r="A851" s="5">
        <f ca="1">IFERROR(__xludf.DUMMYFUNCTION("""COMPUTED_VALUE"""),43298.625)</f>
        <v>43298.625</v>
      </c>
      <c r="B851" s="2">
        <f ca="1">IFERROR(__xludf.DUMMYFUNCTION("""COMPUTED_VALUE"""),22925)</f>
        <v>22925</v>
      </c>
      <c r="C851" s="2">
        <f ca="1">IFERROR(__xludf.DUMMYFUNCTION("""COMPUTED_VALUE"""),23000)</f>
        <v>23000</v>
      </c>
      <c r="D851" s="2">
        <f ca="1">IFERROR(__xludf.DUMMYFUNCTION("""COMPUTED_VALUE"""),22525)</f>
        <v>22525</v>
      </c>
      <c r="E851" s="2">
        <f ca="1">IFERROR(__xludf.DUMMYFUNCTION("""COMPUTED_VALUE"""),22725)</f>
        <v>22725</v>
      </c>
      <c r="F851" s="2">
        <f ca="1">IFERROR(__xludf.DUMMYFUNCTION("""COMPUTED_VALUE"""),6064400)</f>
        <v>6064400</v>
      </c>
    </row>
    <row r="852" spans="1:6">
      <c r="A852" s="5">
        <f ca="1">IFERROR(__xludf.DUMMYFUNCTION("""COMPUTED_VALUE"""),43299.625)</f>
        <v>43299.625</v>
      </c>
      <c r="B852" s="2">
        <f ca="1">IFERROR(__xludf.DUMMYFUNCTION("""COMPUTED_VALUE"""),22950)</f>
        <v>22950</v>
      </c>
      <c r="C852" s="2">
        <f ca="1">IFERROR(__xludf.DUMMYFUNCTION("""COMPUTED_VALUE"""),23200)</f>
        <v>23200</v>
      </c>
      <c r="D852" s="2">
        <f ca="1">IFERROR(__xludf.DUMMYFUNCTION("""COMPUTED_VALUE"""),22950)</f>
        <v>22950</v>
      </c>
      <c r="E852" s="2">
        <f ca="1">IFERROR(__xludf.DUMMYFUNCTION("""COMPUTED_VALUE"""),23200)</f>
        <v>23200</v>
      </c>
      <c r="F852" s="2">
        <f ca="1">IFERROR(__xludf.DUMMYFUNCTION("""COMPUTED_VALUE"""),16018100)</f>
        <v>16018100</v>
      </c>
    </row>
    <row r="853" spans="1:6">
      <c r="A853" s="5">
        <f ca="1">IFERROR(__xludf.DUMMYFUNCTION("""COMPUTED_VALUE"""),43300.625)</f>
        <v>43300.625</v>
      </c>
      <c r="B853" s="2">
        <f ca="1">IFERROR(__xludf.DUMMYFUNCTION("""COMPUTED_VALUE"""),23100)</f>
        <v>23100</v>
      </c>
      <c r="C853" s="2">
        <f ca="1">IFERROR(__xludf.DUMMYFUNCTION("""COMPUTED_VALUE"""),23200)</f>
        <v>23200</v>
      </c>
      <c r="D853" s="2">
        <f ca="1">IFERROR(__xludf.DUMMYFUNCTION("""COMPUTED_VALUE"""),23050)</f>
        <v>23050</v>
      </c>
      <c r="E853" s="2">
        <f ca="1">IFERROR(__xludf.DUMMYFUNCTION("""COMPUTED_VALUE"""),23200)</f>
        <v>23200</v>
      </c>
      <c r="F853" s="2">
        <f ca="1">IFERROR(__xludf.DUMMYFUNCTION("""COMPUTED_VALUE"""),15385100)</f>
        <v>15385100</v>
      </c>
    </row>
    <row r="854" spans="1:6">
      <c r="A854" s="5">
        <f ca="1">IFERROR(__xludf.DUMMYFUNCTION("""COMPUTED_VALUE"""),43301.625)</f>
        <v>43301.625</v>
      </c>
      <c r="B854" s="2">
        <f ca="1">IFERROR(__xludf.DUMMYFUNCTION("""COMPUTED_VALUE"""),23150)</f>
        <v>23150</v>
      </c>
      <c r="C854" s="2">
        <f ca="1">IFERROR(__xludf.DUMMYFUNCTION("""COMPUTED_VALUE"""),23150)</f>
        <v>23150</v>
      </c>
      <c r="D854" s="2">
        <f ca="1">IFERROR(__xludf.DUMMYFUNCTION("""COMPUTED_VALUE"""),22925)</f>
        <v>22925</v>
      </c>
      <c r="E854" s="2">
        <f ca="1">IFERROR(__xludf.DUMMYFUNCTION("""COMPUTED_VALUE"""),23100)</f>
        <v>23100</v>
      </c>
      <c r="F854" s="2">
        <f ca="1">IFERROR(__xludf.DUMMYFUNCTION("""COMPUTED_VALUE"""),11420800)</f>
        <v>11420800</v>
      </c>
    </row>
    <row r="855" spans="1:6">
      <c r="A855" s="5">
        <f ca="1">IFERROR(__xludf.DUMMYFUNCTION("""COMPUTED_VALUE"""),43304.625)</f>
        <v>43304.625</v>
      </c>
      <c r="B855" s="2">
        <f ca="1">IFERROR(__xludf.DUMMYFUNCTION("""COMPUTED_VALUE"""),23200)</f>
        <v>23200</v>
      </c>
      <c r="C855" s="2">
        <f ca="1">IFERROR(__xludf.DUMMYFUNCTION("""COMPUTED_VALUE"""),23500)</f>
        <v>23500</v>
      </c>
      <c r="D855" s="2">
        <f ca="1">IFERROR(__xludf.DUMMYFUNCTION("""COMPUTED_VALUE"""),23100)</f>
        <v>23100</v>
      </c>
      <c r="E855" s="2">
        <f ca="1">IFERROR(__xludf.DUMMYFUNCTION("""COMPUTED_VALUE"""),23350)</f>
        <v>23350</v>
      </c>
      <c r="F855" s="2">
        <f ca="1">IFERROR(__xludf.DUMMYFUNCTION("""COMPUTED_VALUE"""),14031500)</f>
        <v>14031500</v>
      </c>
    </row>
    <row r="856" spans="1:6">
      <c r="A856" s="5">
        <f ca="1">IFERROR(__xludf.DUMMYFUNCTION("""COMPUTED_VALUE"""),43305.625)</f>
        <v>43305.625</v>
      </c>
      <c r="B856" s="2">
        <f ca="1">IFERROR(__xludf.DUMMYFUNCTION("""COMPUTED_VALUE"""),23500)</f>
        <v>23500</v>
      </c>
      <c r="C856" s="2">
        <f ca="1">IFERROR(__xludf.DUMMYFUNCTION("""COMPUTED_VALUE"""),23525)</f>
        <v>23525</v>
      </c>
      <c r="D856" s="2">
        <f ca="1">IFERROR(__xludf.DUMMYFUNCTION("""COMPUTED_VALUE"""),23300)</f>
        <v>23300</v>
      </c>
      <c r="E856" s="2">
        <f ca="1">IFERROR(__xludf.DUMMYFUNCTION("""COMPUTED_VALUE"""),23525)</f>
        <v>23525</v>
      </c>
      <c r="F856" s="2">
        <f ca="1">IFERROR(__xludf.DUMMYFUNCTION("""COMPUTED_VALUE"""),17658200)</f>
        <v>17658200</v>
      </c>
    </row>
    <row r="857" spans="1:6">
      <c r="A857" s="5">
        <f ca="1">IFERROR(__xludf.DUMMYFUNCTION("""COMPUTED_VALUE"""),43306.625)</f>
        <v>43306.625</v>
      </c>
      <c r="B857" s="2">
        <f ca="1">IFERROR(__xludf.DUMMYFUNCTION("""COMPUTED_VALUE"""),23525)</f>
        <v>23525</v>
      </c>
      <c r="C857" s="2">
        <f ca="1">IFERROR(__xludf.DUMMYFUNCTION("""COMPUTED_VALUE"""),23575)</f>
        <v>23575</v>
      </c>
      <c r="D857" s="2">
        <f ca="1">IFERROR(__xludf.DUMMYFUNCTION("""COMPUTED_VALUE"""),23425)</f>
        <v>23425</v>
      </c>
      <c r="E857" s="2">
        <f ca="1">IFERROR(__xludf.DUMMYFUNCTION("""COMPUTED_VALUE"""),23575)</f>
        <v>23575</v>
      </c>
      <c r="F857" s="2">
        <f ca="1">IFERROR(__xludf.DUMMYFUNCTION("""COMPUTED_VALUE"""),10026300)</f>
        <v>10026300</v>
      </c>
    </row>
    <row r="858" spans="1:6">
      <c r="A858" s="5">
        <f ca="1">IFERROR(__xludf.DUMMYFUNCTION("""COMPUTED_VALUE"""),43307.625)</f>
        <v>43307.625</v>
      </c>
      <c r="B858" s="2">
        <f ca="1">IFERROR(__xludf.DUMMYFUNCTION("""COMPUTED_VALUE"""),23225)</f>
        <v>23225</v>
      </c>
      <c r="C858" s="2">
        <f ca="1">IFERROR(__xludf.DUMMYFUNCTION("""COMPUTED_VALUE"""),23625)</f>
        <v>23625</v>
      </c>
      <c r="D858" s="2">
        <f ca="1">IFERROR(__xludf.DUMMYFUNCTION("""COMPUTED_VALUE"""),23225)</f>
        <v>23225</v>
      </c>
      <c r="E858" s="2">
        <f ca="1">IFERROR(__xludf.DUMMYFUNCTION("""COMPUTED_VALUE"""),23325)</f>
        <v>23325</v>
      </c>
      <c r="F858" s="2">
        <f ca="1">IFERROR(__xludf.DUMMYFUNCTION("""COMPUTED_VALUE"""),10863500)</f>
        <v>10863500</v>
      </c>
    </row>
    <row r="859" spans="1:6">
      <c r="A859" s="5">
        <f ca="1">IFERROR(__xludf.DUMMYFUNCTION("""COMPUTED_VALUE"""),43308.625)</f>
        <v>43308.625</v>
      </c>
      <c r="B859" s="2">
        <f ca="1">IFERROR(__xludf.DUMMYFUNCTION("""COMPUTED_VALUE"""),23300)</f>
        <v>23300</v>
      </c>
      <c r="C859" s="2">
        <f ca="1">IFERROR(__xludf.DUMMYFUNCTION("""COMPUTED_VALUE"""),23350)</f>
        <v>23350</v>
      </c>
      <c r="D859" s="2">
        <f ca="1">IFERROR(__xludf.DUMMYFUNCTION("""COMPUTED_VALUE"""),23125)</f>
        <v>23125</v>
      </c>
      <c r="E859" s="2">
        <f ca="1">IFERROR(__xludf.DUMMYFUNCTION("""COMPUTED_VALUE"""),23225)</f>
        <v>23225</v>
      </c>
      <c r="F859" s="2">
        <f ca="1">IFERROR(__xludf.DUMMYFUNCTION("""COMPUTED_VALUE"""),9328500)</f>
        <v>9328500</v>
      </c>
    </row>
    <row r="860" spans="1:6">
      <c r="A860" s="5">
        <f ca="1">IFERROR(__xludf.DUMMYFUNCTION("""COMPUTED_VALUE"""),43311.625)</f>
        <v>43311.625</v>
      </c>
      <c r="B860" s="2">
        <f ca="1">IFERROR(__xludf.DUMMYFUNCTION("""COMPUTED_VALUE"""),23400)</f>
        <v>23400</v>
      </c>
      <c r="C860" s="2">
        <f ca="1">IFERROR(__xludf.DUMMYFUNCTION("""COMPUTED_VALUE"""),23400)</f>
        <v>23400</v>
      </c>
      <c r="D860" s="2">
        <f ca="1">IFERROR(__xludf.DUMMYFUNCTION("""COMPUTED_VALUE"""),23000)</f>
        <v>23000</v>
      </c>
      <c r="E860" s="2">
        <f ca="1">IFERROR(__xludf.DUMMYFUNCTION("""COMPUTED_VALUE"""),23275)</f>
        <v>23275</v>
      </c>
      <c r="F860" s="2">
        <f ca="1">IFERROR(__xludf.DUMMYFUNCTION("""COMPUTED_VALUE"""),8019300)</f>
        <v>8019300</v>
      </c>
    </row>
    <row r="861" spans="1:6">
      <c r="A861" s="5">
        <f ca="1">IFERROR(__xludf.DUMMYFUNCTION("""COMPUTED_VALUE"""),43312.625)</f>
        <v>43312.625</v>
      </c>
      <c r="B861" s="2">
        <f ca="1">IFERROR(__xludf.DUMMYFUNCTION("""COMPUTED_VALUE"""),23200)</f>
        <v>23200</v>
      </c>
      <c r="C861" s="2">
        <f ca="1">IFERROR(__xludf.DUMMYFUNCTION("""COMPUTED_VALUE"""),23300)</f>
        <v>23300</v>
      </c>
      <c r="D861" s="2">
        <f ca="1">IFERROR(__xludf.DUMMYFUNCTION("""COMPUTED_VALUE"""),22650)</f>
        <v>22650</v>
      </c>
      <c r="E861" s="2">
        <f ca="1">IFERROR(__xludf.DUMMYFUNCTION("""COMPUTED_VALUE"""),23275)</f>
        <v>23275</v>
      </c>
      <c r="F861" s="2">
        <f ca="1">IFERROR(__xludf.DUMMYFUNCTION("""COMPUTED_VALUE"""),13360600)</f>
        <v>13360600</v>
      </c>
    </row>
    <row r="862" spans="1:6">
      <c r="A862" s="5">
        <f ca="1">IFERROR(__xludf.DUMMYFUNCTION("""COMPUTED_VALUE"""),43313.625)</f>
        <v>43313.625</v>
      </c>
      <c r="B862" s="2">
        <f ca="1">IFERROR(__xludf.DUMMYFUNCTION("""COMPUTED_VALUE"""),23400)</f>
        <v>23400</v>
      </c>
      <c r="C862" s="2">
        <f ca="1">IFERROR(__xludf.DUMMYFUNCTION("""COMPUTED_VALUE"""),23475)</f>
        <v>23475</v>
      </c>
      <c r="D862" s="2">
        <f ca="1">IFERROR(__xludf.DUMMYFUNCTION("""COMPUTED_VALUE"""),23250)</f>
        <v>23250</v>
      </c>
      <c r="E862" s="2">
        <f ca="1">IFERROR(__xludf.DUMMYFUNCTION("""COMPUTED_VALUE"""),23475)</f>
        <v>23475</v>
      </c>
      <c r="F862" s="2">
        <f ca="1">IFERROR(__xludf.DUMMYFUNCTION("""COMPUTED_VALUE"""),11318800)</f>
        <v>11318800</v>
      </c>
    </row>
    <row r="863" spans="1:6">
      <c r="A863" s="5">
        <f ca="1">IFERROR(__xludf.DUMMYFUNCTION("""COMPUTED_VALUE"""),43314.625)</f>
        <v>43314.625</v>
      </c>
      <c r="B863" s="2">
        <f ca="1">IFERROR(__xludf.DUMMYFUNCTION("""COMPUTED_VALUE"""),23600)</f>
        <v>23600</v>
      </c>
      <c r="C863" s="2">
        <f ca="1">IFERROR(__xludf.DUMMYFUNCTION("""COMPUTED_VALUE"""),23900)</f>
        <v>23900</v>
      </c>
      <c r="D863" s="2">
        <f ca="1">IFERROR(__xludf.DUMMYFUNCTION("""COMPUTED_VALUE"""),23450)</f>
        <v>23450</v>
      </c>
      <c r="E863" s="2">
        <f ca="1">IFERROR(__xludf.DUMMYFUNCTION("""COMPUTED_VALUE"""),23450)</f>
        <v>23450</v>
      </c>
      <c r="F863" s="2">
        <f ca="1">IFERROR(__xludf.DUMMYFUNCTION("""COMPUTED_VALUE"""),15866600)</f>
        <v>15866600</v>
      </c>
    </row>
    <row r="864" spans="1:6">
      <c r="A864" s="5">
        <f ca="1">IFERROR(__xludf.DUMMYFUNCTION("""COMPUTED_VALUE"""),43315.625)</f>
        <v>43315.625</v>
      </c>
      <c r="B864" s="2">
        <f ca="1">IFERROR(__xludf.DUMMYFUNCTION("""COMPUTED_VALUE"""),23450)</f>
        <v>23450</v>
      </c>
      <c r="C864" s="2">
        <f ca="1">IFERROR(__xludf.DUMMYFUNCTION("""COMPUTED_VALUE"""),23650)</f>
        <v>23650</v>
      </c>
      <c r="D864" s="2">
        <f ca="1">IFERROR(__xludf.DUMMYFUNCTION("""COMPUTED_VALUE"""),23350)</f>
        <v>23350</v>
      </c>
      <c r="E864" s="2">
        <f ca="1">IFERROR(__xludf.DUMMYFUNCTION("""COMPUTED_VALUE"""),23450)</f>
        <v>23450</v>
      </c>
      <c r="F864" s="2">
        <f ca="1">IFERROR(__xludf.DUMMYFUNCTION("""COMPUTED_VALUE"""),8280800)</f>
        <v>8280800</v>
      </c>
    </row>
    <row r="865" spans="1:6">
      <c r="A865" s="5">
        <f ca="1">IFERROR(__xludf.DUMMYFUNCTION("""COMPUTED_VALUE"""),43318.625)</f>
        <v>43318.625</v>
      </c>
      <c r="B865" s="2">
        <f ca="1">IFERROR(__xludf.DUMMYFUNCTION("""COMPUTED_VALUE"""),23400)</f>
        <v>23400</v>
      </c>
      <c r="C865" s="2">
        <f ca="1">IFERROR(__xludf.DUMMYFUNCTION("""COMPUTED_VALUE"""),23800)</f>
        <v>23800</v>
      </c>
      <c r="D865" s="2">
        <f ca="1">IFERROR(__xludf.DUMMYFUNCTION("""COMPUTED_VALUE"""),23400)</f>
        <v>23400</v>
      </c>
      <c r="E865" s="2">
        <f ca="1">IFERROR(__xludf.DUMMYFUNCTION("""COMPUTED_VALUE"""),23800)</f>
        <v>23800</v>
      </c>
      <c r="F865" s="2">
        <f ca="1">IFERROR(__xludf.DUMMYFUNCTION("""COMPUTED_VALUE"""),12600100)</f>
        <v>12600100</v>
      </c>
    </row>
    <row r="866" spans="1:6">
      <c r="A866" s="5">
        <f ca="1">IFERROR(__xludf.DUMMYFUNCTION("""COMPUTED_VALUE"""),43319.625)</f>
        <v>43319.625</v>
      </c>
      <c r="B866" s="2">
        <f ca="1">IFERROR(__xludf.DUMMYFUNCTION("""COMPUTED_VALUE"""),23700)</f>
        <v>23700</v>
      </c>
      <c r="C866" s="2">
        <f ca="1">IFERROR(__xludf.DUMMYFUNCTION("""COMPUTED_VALUE"""),23875)</f>
        <v>23875</v>
      </c>
      <c r="D866" s="2">
        <f ca="1">IFERROR(__xludf.DUMMYFUNCTION("""COMPUTED_VALUE"""),23700)</f>
        <v>23700</v>
      </c>
      <c r="E866" s="2">
        <f ca="1">IFERROR(__xludf.DUMMYFUNCTION("""COMPUTED_VALUE"""),23800)</f>
        <v>23800</v>
      </c>
      <c r="F866" s="2">
        <f ca="1">IFERROR(__xludf.DUMMYFUNCTION("""COMPUTED_VALUE"""),22875800)</f>
        <v>22875800</v>
      </c>
    </row>
    <row r="867" spans="1:6">
      <c r="A867" s="5">
        <f ca="1">IFERROR(__xludf.DUMMYFUNCTION("""COMPUTED_VALUE"""),43320.625)</f>
        <v>43320.625</v>
      </c>
      <c r="B867" s="2">
        <f ca="1">IFERROR(__xludf.DUMMYFUNCTION("""COMPUTED_VALUE"""),23900)</f>
        <v>23900</v>
      </c>
      <c r="C867" s="2">
        <f ca="1">IFERROR(__xludf.DUMMYFUNCTION("""COMPUTED_VALUE"""),23950)</f>
        <v>23950</v>
      </c>
      <c r="D867" s="2">
        <f ca="1">IFERROR(__xludf.DUMMYFUNCTION("""COMPUTED_VALUE"""),23550)</f>
        <v>23550</v>
      </c>
      <c r="E867" s="2">
        <f ca="1">IFERROR(__xludf.DUMMYFUNCTION("""COMPUTED_VALUE"""),23925)</f>
        <v>23925</v>
      </c>
      <c r="F867" s="2">
        <f ca="1">IFERROR(__xludf.DUMMYFUNCTION("""COMPUTED_VALUE"""),12940500)</f>
        <v>12940500</v>
      </c>
    </row>
    <row r="868" spans="1:6">
      <c r="A868" s="5">
        <f ca="1">IFERROR(__xludf.DUMMYFUNCTION("""COMPUTED_VALUE"""),43321.625)</f>
        <v>43321.625</v>
      </c>
      <c r="B868" s="2">
        <f ca="1">IFERROR(__xludf.DUMMYFUNCTION("""COMPUTED_VALUE"""),24000)</f>
        <v>24000</v>
      </c>
      <c r="C868" s="2">
        <f ca="1">IFERROR(__xludf.DUMMYFUNCTION("""COMPUTED_VALUE"""),24100)</f>
        <v>24100</v>
      </c>
      <c r="D868" s="2">
        <f ca="1">IFERROR(__xludf.DUMMYFUNCTION("""COMPUTED_VALUE"""),23900)</f>
        <v>23900</v>
      </c>
      <c r="E868" s="2">
        <f ca="1">IFERROR(__xludf.DUMMYFUNCTION("""COMPUTED_VALUE"""),24100)</f>
        <v>24100</v>
      </c>
      <c r="F868" s="2">
        <f ca="1">IFERROR(__xludf.DUMMYFUNCTION("""COMPUTED_VALUE"""),13189500)</f>
        <v>13189500</v>
      </c>
    </row>
    <row r="869" spans="1:6">
      <c r="A869" s="5">
        <f ca="1">IFERROR(__xludf.DUMMYFUNCTION("""COMPUTED_VALUE"""),43322.625)</f>
        <v>43322.625</v>
      </c>
      <c r="B869" s="2">
        <f ca="1">IFERROR(__xludf.DUMMYFUNCTION("""COMPUTED_VALUE"""),24000)</f>
        <v>24000</v>
      </c>
      <c r="C869" s="2">
        <f ca="1">IFERROR(__xludf.DUMMYFUNCTION("""COMPUTED_VALUE"""),24075)</f>
        <v>24075</v>
      </c>
      <c r="D869" s="2">
        <f ca="1">IFERROR(__xludf.DUMMYFUNCTION("""COMPUTED_VALUE"""),23700)</f>
        <v>23700</v>
      </c>
      <c r="E869" s="2">
        <f ca="1">IFERROR(__xludf.DUMMYFUNCTION("""COMPUTED_VALUE"""),23875)</f>
        <v>23875</v>
      </c>
      <c r="F869" s="2">
        <f ca="1">IFERROR(__xludf.DUMMYFUNCTION("""COMPUTED_VALUE"""),16069600)</f>
        <v>16069600</v>
      </c>
    </row>
    <row r="870" spans="1:6">
      <c r="A870" s="5">
        <f ca="1">IFERROR(__xludf.DUMMYFUNCTION("""COMPUTED_VALUE"""),43325.625)</f>
        <v>43325.625</v>
      </c>
      <c r="B870" s="2">
        <f ca="1">IFERROR(__xludf.DUMMYFUNCTION("""COMPUTED_VALUE"""),23525)</f>
        <v>23525</v>
      </c>
      <c r="C870" s="2">
        <f ca="1">IFERROR(__xludf.DUMMYFUNCTION("""COMPUTED_VALUE"""),23550)</f>
        <v>23550</v>
      </c>
      <c r="D870" s="2">
        <f ca="1">IFERROR(__xludf.DUMMYFUNCTION("""COMPUTED_VALUE"""),23050)</f>
        <v>23050</v>
      </c>
      <c r="E870" s="2">
        <f ca="1">IFERROR(__xludf.DUMMYFUNCTION("""COMPUTED_VALUE"""),23325)</f>
        <v>23325</v>
      </c>
      <c r="F870" s="2">
        <f ca="1">IFERROR(__xludf.DUMMYFUNCTION("""COMPUTED_VALUE"""),16036800)</f>
        <v>16036800</v>
      </c>
    </row>
    <row r="871" spans="1:6">
      <c r="A871" s="5">
        <f ca="1">IFERROR(__xludf.DUMMYFUNCTION("""COMPUTED_VALUE"""),43326.625)</f>
        <v>43326.625</v>
      </c>
      <c r="B871" s="2">
        <f ca="1">IFERROR(__xludf.DUMMYFUNCTION("""COMPUTED_VALUE"""),23450)</f>
        <v>23450</v>
      </c>
      <c r="C871" s="2">
        <f ca="1">IFERROR(__xludf.DUMMYFUNCTION("""COMPUTED_VALUE"""),23900)</f>
        <v>23900</v>
      </c>
      <c r="D871" s="2">
        <f ca="1">IFERROR(__xludf.DUMMYFUNCTION("""COMPUTED_VALUE"""),23025)</f>
        <v>23025</v>
      </c>
      <c r="E871" s="2">
        <f ca="1">IFERROR(__xludf.DUMMYFUNCTION("""COMPUTED_VALUE"""),23500)</f>
        <v>23500</v>
      </c>
      <c r="F871" s="2">
        <f ca="1">IFERROR(__xludf.DUMMYFUNCTION("""COMPUTED_VALUE"""),17105500)</f>
        <v>17105500</v>
      </c>
    </row>
    <row r="872" spans="1:6">
      <c r="A872" s="5">
        <f ca="1">IFERROR(__xludf.DUMMYFUNCTION("""COMPUTED_VALUE"""),43327.625)</f>
        <v>43327.625</v>
      </c>
      <c r="B872" s="2">
        <f ca="1">IFERROR(__xludf.DUMMYFUNCTION("""COMPUTED_VALUE"""),23600)</f>
        <v>23600</v>
      </c>
      <c r="C872" s="2">
        <f ca="1">IFERROR(__xludf.DUMMYFUNCTION("""COMPUTED_VALUE"""),23600)</f>
        <v>23600</v>
      </c>
      <c r="D872" s="2">
        <f ca="1">IFERROR(__xludf.DUMMYFUNCTION("""COMPUTED_VALUE"""),23300)</f>
        <v>23300</v>
      </c>
      <c r="E872" s="2">
        <f ca="1">IFERROR(__xludf.DUMMYFUNCTION("""COMPUTED_VALUE"""),23450)</f>
        <v>23450</v>
      </c>
      <c r="F872" s="2">
        <f ca="1">IFERROR(__xludf.DUMMYFUNCTION("""COMPUTED_VALUE"""),11466100)</f>
        <v>11466100</v>
      </c>
    </row>
    <row r="873" spans="1:6">
      <c r="A873" s="5">
        <f ca="1">IFERROR(__xludf.DUMMYFUNCTION("""COMPUTED_VALUE"""),43328.625)</f>
        <v>43328.625</v>
      </c>
      <c r="B873" s="2">
        <f ca="1">IFERROR(__xludf.DUMMYFUNCTION("""COMPUTED_VALUE"""),23450)</f>
        <v>23450</v>
      </c>
      <c r="C873" s="2">
        <f ca="1">IFERROR(__xludf.DUMMYFUNCTION("""COMPUTED_VALUE"""),23475)</f>
        <v>23475</v>
      </c>
      <c r="D873" s="2">
        <f ca="1">IFERROR(__xludf.DUMMYFUNCTION("""COMPUTED_VALUE"""),23200)</f>
        <v>23200</v>
      </c>
      <c r="E873" s="2">
        <f ca="1">IFERROR(__xludf.DUMMYFUNCTION("""COMPUTED_VALUE"""),23375)</f>
        <v>23375</v>
      </c>
      <c r="F873" s="2">
        <f ca="1">IFERROR(__xludf.DUMMYFUNCTION("""COMPUTED_VALUE"""),10580700)</f>
        <v>10580700</v>
      </c>
    </row>
    <row r="874" spans="1:6">
      <c r="A874" s="5">
        <f ca="1">IFERROR(__xludf.DUMMYFUNCTION("""COMPUTED_VALUE"""),43332.625)</f>
        <v>43332.625</v>
      </c>
      <c r="B874" s="2">
        <f ca="1">IFERROR(__xludf.DUMMYFUNCTION("""COMPUTED_VALUE"""),23500)</f>
        <v>23500</v>
      </c>
      <c r="C874" s="2">
        <f ca="1">IFERROR(__xludf.DUMMYFUNCTION("""COMPUTED_VALUE"""),23900)</f>
        <v>23900</v>
      </c>
      <c r="D874" s="2">
        <f ca="1">IFERROR(__xludf.DUMMYFUNCTION("""COMPUTED_VALUE"""),23425)</f>
        <v>23425</v>
      </c>
      <c r="E874" s="2">
        <f ca="1">IFERROR(__xludf.DUMMYFUNCTION("""COMPUTED_VALUE"""),23900)</f>
        <v>23900</v>
      </c>
      <c r="F874" s="2">
        <f ca="1">IFERROR(__xludf.DUMMYFUNCTION("""COMPUTED_VALUE"""),19366400)</f>
        <v>19366400</v>
      </c>
    </row>
    <row r="875" spans="1:6">
      <c r="A875" s="5">
        <f ca="1">IFERROR(__xludf.DUMMYFUNCTION("""COMPUTED_VALUE"""),43333.625)</f>
        <v>43333.625</v>
      </c>
      <c r="B875" s="2">
        <f ca="1">IFERROR(__xludf.DUMMYFUNCTION("""COMPUTED_VALUE"""),23850)</f>
        <v>23850</v>
      </c>
      <c r="C875" s="2">
        <f ca="1">IFERROR(__xludf.DUMMYFUNCTION("""COMPUTED_VALUE"""),23975)</f>
        <v>23975</v>
      </c>
      <c r="D875" s="2">
        <f ca="1">IFERROR(__xludf.DUMMYFUNCTION("""COMPUTED_VALUE"""),23850)</f>
        <v>23850</v>
      </c>
      <c r="E875" s="2">
        <f ca="1">IFERROR(__xludf.DUMMYFUNCTION("""COMPUTED_VALUE"""),23875)</f>
        <v>23875</v>
      </c>
      <c r="F875" s="2">
        <f ca="1">IFERROR(__xludf.DUMMYFUNCTION("""COMPUTED_VALUE"""),13587600)</f>
        <v>13587600</v>
      </c>
    </row>
    <row r="876" spans="1:6">
      <c r="A876" s="5">
        <f ca="1">IFERROR(__xludf.DUMMYFUNCTION("""COMPUTED_VALUE"""),43335.625)</f>
        <v>43335.625</v>
      </c>
      <c r="B876" s="2">
        <f ca="1">IFERROR(__xludf.DUMMYFUNCTION("""COMPUTED_VALUE"""),23800)</f>
        <v>23800</v>
      </c>
      <c r="C876" s="2">
        <f ca="1">IFERROR(__xludf.DUMMYFUNCTION("""COMPUTED_VALUE"""),24650)</f>
        <v>24650</v>
      </c>
      <c r="D876" s="2">
        <f ca="1">IFERROR(__xludf.DUMMYFUNCTION("""COMPUTED_VALUE"""),23775)</f>
        <v>23775</v>
      </c>
      <c r="E876" s="2">
        <f ca="1">IFERROR(__xludf.DUMMYFUNCTION("""COMPUTED_VALUE"""),24575)</f>
        <v>24575</v>
      </c>
      <c r="F876" s="2">
        <f ca="1">IFERROR(__xludf.DUMMYFUNCTION("""COMPUTED_VALUE"""),29173600)</f>
        <v>29173600</v>
      </c>
    </row>
    <row r="877" spans="1:6">
      <c r="A877" s="5">
        <f ca="1">IFERROR(__xludf.DUMMYFUNCTION("""COMPUTED_VALUE"""),43336.625)</f>
        <v>43336.625</v>
      </c>
      <c r="B877" s="2">
        <f ca="1">IFERROR(__xludf.DUMMYFUNCTION("""COMPUTED_VALUE"""),24600)</f>
        <v>24600</v>
      </c>
      <c r="C877" s="2">
        <f ca="1">IFERROR(__xludf.DUMMYFUNCTION("""COMPUTED_VALUE"""),25475)</f>
        <v>25475</v>
      </c>
      <c r="D877" s="2">
        <f ca="1">IFERROR(__xludf.DUMMYFUNCTION("""COMPUTED_VALUE"""),24575)</f>
        <v>24575</v>
      </c>
      <c r="E877" s="2">
        <f ca="1">IFERROR(__xludf.DUMMYFUNCTION("""COMPUTED_VALUE"""),25075)</f>
        <v>25075</v>
      </c>
      <c r="F877" s="2">
        <f ca="1">IFERROR(__xludf.DUMMYFUNCTION("""COMPUTED_VALUE"""),20795000)</f>
        <v>20795000</v>
      </c>
    </row>
    <row r="878" spans="1:6">
      <c r="A878" s="5">
        <f ca="1">IFERROR(__xludf.DUMMYFUNCTION("""COMPUTED_VALUE"""),43339.625)</f>
        <v>43339.625</v>
      </c>
      <c r="B878" s="2">
        <f ca="1">IFERROR(__xludf.DUMMYFUNCTION("""COMPUTED_VALUE"""),25100)</f>
        <v>25100</v>
      </c>
      <c r="C878" s="2">
        <f ca="1">IFERROR(__xludf.DUMMYFUNCTION("""COMPUTED_VALUE"""),25350)</f>
        <v>25350</v>
      </c>
      <c r="D878" s="2">
        <f ca="1">IFERROR(__xludf.DUMMYFUNCTION("""COMPUTED_VALUE"""),24675)</f>
        <v>24675</v>
      </c>
      <c r="E878" s="2">
        <f ca="1">IFERROR(__xludf.DUMMYFUNCTION("""COMPUTED_VALUE"""),24775)</f>
        <v>24775</v>
      </c>
      <c r="F878" s="2">
        <f ca="1">IFERROR(__xludf.DUMMYFUNCTION("""COMPUTED_VALUE"""),18257000)</f>
        <v>18257000</v>
      </c>
    </row>
    <row r="879" spans="1:6">
      <c r="A879" s="5">
        <f ca="1">IFERROR(__xludf.DUMMYFUNCTION("""COMPUTED_VALUE"""),43340.625)</f>
        <v>43340.625</v>
      </c>
      <c r="B879" s="2">
        <f ca="1">IFERROR(__xludf.DUMMYFUNCTION("""COMPUTED_VALUE"""),25100)</f>
        <v>25100</v>
      </c>
      <c r="C879" s="2">
        <f ca="1">IFERROR(__xludf.DUMMYFUNCTION("""COMPUTED_VALUE"""),25100)</f>
        <v>25100</v>
      </c>
      <c r="D879" s="2">
        <f ca="1">IFERROR(__xludf.DUMMYFUNCTION("""COMPUTED_VALUE"""),24550)</f>
        <v>24550</v>
      </c>
      <c r="E879" s="2">
        <f ca="1">IFERROR(__xludf.DUMMYFUNCTION("""COMPUTED_VALUE"""),24975)</f>
        <v>24975</v>
      </c>
      <c r="F879" s="2">
        <f ca="1">IFERROR(__xludf.DUMMYFUNCTION("""COMPUTED_VALUE"""),12670700)</f>
        <v>12670700</v>
      </c>
    </row>
    <row r="880" spans="1:6">
      <c r="A880" s="5">
        <f ca="1">IFERROR(__xludf.DUMMYFUNCTION("""COMPUTED_VALUE"""),43341.625)</f>
        <v>43341.625</v>
      </c>
      <c r="B880" s="2">
        <f ca="1">IFERROR(__xludf.DUMMYFUNCTION("""COMPUTED_VALUE"""),24500)</f>
        <v>24500</v>
      </c>
      <c r="C880" s="2">
        <f ca="1">IFERROR(__xludf.DUMMYFUNCTION("""COMPUTED_VALUE"""),24800)</f>
        <v>24800</v>
      </c>
      <c r="D880" s="2">
        <f ca="1">IFERROR(__xludf.DUMMYFUNCTION("""COMPUTED_VALUE"""),24475)</f>
        <v>24475</v>
      </c>
      <c r="E880" s="2">
        <f ca="1">IFERROR(__xludf.DUMMYFUNCTION("""COMPUTED_VALUE"""),24800)</f>
        <v>24800</v>
      </c>
      <c r="F880" s="2">
        <f ca="1">IFERROR(__xludf.DUMMYFUNCTION("""COMPUTED_VALUE"""),17539100)</f>
        <v>17539100</v>
      </c>
    </row>
    <row r="881" spans="1:6">
      <c r="A881" s="5">
        <f ca="1">IFERROR(__xludf.DUMMYFUNCTION("""COMPUTED_VALUE"""),43342.625)</f>
        <v>43342.625</v>
      </c>
      <c r="B881" s="2">
        <f ca="1">IFERROR(__xludf.DUMMYFUNCTION("""COMPUTED_VALUE"""),24975)</f>
        <v>24975</v>
      </c>
      <c r="C881" s="2">
        <f ca="1">IFERROR(__xludf.DUMMYFUNCTION("""COMPUTED_VALUE"""),25150)</f>
        <v>25150</v>
      </c>
      <c r="D881" s="2">
        <f ca="1">IFERROR(__xludf.DUMMYFUNCTION("""COMPUTED_VALUE"""),24925)</f>
        <v>24925</v>
      </c>
      <c r="E881" s="2">
        <f ca="1">IFERROR(__xludf.DUMMYFUNCTION("""COMPUTED_VALUE"""),25075)</f>
        <v>25075</v>
      </c>
      <c r="F881" s="2">
        <f ca="1">IFERROR(__xludf.DUMMYFUNCTION("""COMPUTED_VALUE"""),19254700)</f>
        <v>19254700</v>
      </c>
    </row>
    <row r="882" spans="1:6">
      <c r="A882" s="5">
        <f ca="1">IFERROR(__xludf.DUMMYFUNCTION("""COMPUTED_VALUE"""),43343.625)</f>
        <v>43343.625</v>
      </c>
      <c r="B882" s="2">
        <f ca="1">IFERROR(__xludf.DUMMYFUNCTION("""COMPUTED_VALUE"""),25000)</f>
        <v>25000</v>
      </c>
      <c r="C882" s="2">
        <f ca="1">IFERROR(__xludf.DUMMYFUNCTION("""COMPUTED_VALUE"""),25050)</f>
        <v>25050</v>
      </c>
      <c r="D882" s="2">
        <f ca="1">IFERROR(__xludf.DUMMYFUNCTION("""COMPUTED_VALUE"""),24800)</f>
        <v>24800</v>
      </c>
      <c r="E882" s="2">
        <f ca="1">IFERROR(__xludf.DUMMYFUNCTION("""COMPUTED_VALUE"""),24800)</f>
        <v>24800</v>
      </c>
      <c r="F882" s="2">
        <f ca="1">IFERROR(__xludf.DUMMYFUNCTION("""COMPUTED_VALUE"""),22312600)</f>
        <v>22312600</v>
      </c>
    </row>
    <row r="883" spans="1:6">
      <c r="A883" s="5">
        <f ca="1">IFERROR(__xludf.DUMMYFUNCTION("""COMPUTED_VALUE"""),43346.625)</f>
        <v>43346.625</v>
      </c>
      <c r="B883" s="2">
        <f ca="1">IFERROR(__xludf.DUMMYFUNCTION("""COMPUTED_VALUE"""),25050)</f>
        <v>25050</v>
      </c>
      <c r="C883" s="2">
        <f ca="1">IFERROR(__xludf.DUMMYFUNCTION("""COMPUTED_VALUE"""),25075)</f>
        <v>25075</v>
      </c>
      <c r="D883" s="2">
        <f ca="1">IFERROR(__xludf.DUMMYFUNCTION("""COMPUTED_VALUE"""),24600)</f>
        <v>24600</v>
      </c>
      <c r="E883" s="2">
        <f ca="1">IFERROR(__xludf.DUMMYFUNCTION("""COMPUTED_VALUE"""),24775)</f>
        <v>24775</v>
      </c>
      <c r="F883" s="2">
        <f ca="1">IFERROR(__xludf.DUMMYFUNCTION("""COMPUTED_VALUE"""),7697900)</f>
        <v>7697900</v>
      </c>
    </row>
    <row r="884" spans="1:6">
      <c r="A884" s="5">
        <f ca="1">IFERROR(__xludf.DUMMYFUNCTION("""COMPUTED_VALUE"""),43347.625)</f>
        <v>43347.625</v>
      </c>
      <c r="B884" s="2">
        <f ca="1">IFERROR(__xludf.DUMMYFUNCTION("""COMPUTED_VALUE"""),24825)</f>
        <v>24825</v>
      </c>
      <c r="C884" s="2">
        <f ca="1">IFERROR(__xludf.DUMMYFUNCTION("""COMPUTED_VALUE"""),24900)</f>
        <v>24900</v>
      </c>
      <c r="D884" s="2">
        <f ca="1">IFERROR(__xludf.DUMMYFUNCTION("""COMPUTED_VALUE"""),24500)</f>
        <v>24500</v>
      </c>
      <c r="E884" s="2">
        <f ca="1">IFERROR(__xludf.DUMMYFUNCTION("""COMPUTED_VALUE"""),24750)</f>
        <v>24750</v>
      </c>
      <c r="F884" s="2">
        <f ca="1">IFERROR(__xludf.DUMMYFUNCTION("""COMPUTED_VALUE"""),8454300)</f>
        <v>8454300</v>
      </c>
    </row>
    <row r="885" spans="1:6">
      <c r="A885" s="5">
        <f ca="1">IFERROR(__xludf.DUMMYFUNCTION("""COMPUTED_VALUE"""),43348.625)</f>
        <v>43348.625</v>
      </c>
      <c r="B885" s="2">
        <f ca="1">IFERROR(__xludf.DUMMYFUNCTION("""COMPUTED_VALUE"""),24500)</f>
        <v>24500</v>
      </c>
      <c r="C885" s="2">
        <f ca="1">IFERROR(__xludf.DUMMYFUNCTION("""COMPUTED_VALUE"""),24500)</f>
        <v>24500</v>
      </c>
      <c r="D885" s="2">
        <f ca="1">IFERROR(__xludf.DUMMYFUNCTION("""COMPUTED_VALUE"""),23650)</f>
        <v>23650</v>
      </c>
      <c r="E885" s="2">
        <f ca="1">IFERROR(__xludf.DUMMYFUNCTION("""COMPUTED_VALUE"""),24000)</f>
        <v>24000</v>
      </c>
      <c r="F885" s="2">
        <f ca="1">IFERROR(__xludf.DUMMYFUNCTION("""COMPUTED_VALUE"""),19121700)</f>
        <v>19121700</v>
      </c>
    </row>
    <row r="886" spans="1:6">
      <c r="A886" s="5">
        <f ca="1">IFERROR(__xludf.DUMMYFUNCTION("""COMPUTED_VALUE"""),43349.625)</f>
        <v>43349.625</v>
      </c>
      <c r="B886" s="2">
        <f ca="1">IFERROR(__xludf.DUMMYFUNCTION("""COMPUTED_VALUE"""),24025)</f>
        <v>24025</v>
      </c>
      <c r="C886" s="2">
        <f ca="1">IFERROR(__xludf.DUMMYFUNCTION("""COMPUTED_VALUE"""),25200)</f>
        <v>25200</v>
      </c>
      <c r="D886" s="2">
        <f ca="1">IFERROR(__xludf.DUMMYFUNCTION("""COMPUTED_VALUE"""),23600)</f>
        <v>23600</v>
      </c>
      <c r="E886" s="2">
        <f ca="1">IFERROR(__xludf.DUMMYFUNCTION("""COMPUTED_VALUE"""),24700)</f>
        <v>24700</v>
      </c>
      <c r="F886" s="2">
        <f ca="1">IFERROR(__xludf.DUMMYFUNCTION("""COMPUTED_VALUE"""),19053000)</f>
        <v>19053000</v>
      </c>
    </row>
    <row r="887" spans="1:6">
      <c r="A887" s="5">
        <f ca="1">IFERROR(__xludf.DUMMYFUNCTION("""COMPUTED_VALUE"""),43350.625)</f>
        <v>43350.625</v>
      </c>
      <c r="B887" s="2">
        <f ca="1">IFERROR(__xludf.DUMMYFUNCTION("""COMPUTED_VALUE"""),24825)</f>
        <v>24825</v>
      </c>
      <c r="C887" s="2">
        <f ca="1">IFERROR(__xludf.DUMMYFUNCTION("""COMPUTED_VALUE"""),24850)</f>
        <v>24850</v>
      </c>
      <c r="D887" s="2">
        <f ca="1">IFERROR(__xludf.DUMMYFUNCTION("""COMPUTED_VALUE"""),24375)</f>
        <v>24375</v>
      </c>
      <c r="E887" s="2">
        <f ca="1">IFERROR(__xludf.DUMMYFUNCTION("""COMPUTED_VALUE"""),24850)</f>
        <v>24850</v>
      </c>
      <c r="F887" s="2">
        <f ca="1">IFERROR(__xludf.DUMMYFUNCTION("""COMPUTED_VALUE"""),14510300)</f>
        <v>14510300</v>
      </c>
    </row>
    <row r="888" spans="1:6">
      <c r="A888" s="5">
        <f ca="1">IFERROR(__xludf.DUMMYFUNCTION("""COMPUTED_VALUE"""),43353.625)</f>
        <v>43353.625</v>
      </c>
      <c r="B888" s="2">
        <f ca="1">IFERROR(__xludf.DUMMYFUNCTION("""COMPUTED_VALUE"""),24600)</f>
        <v>24600</v>
      </c>
      <c r="C888" s="2">
        <f ca="1">IFERROR(__xludf.DUMMYFUNCTION("""COMPUTED_VALUE"""),24750)</f>
        <v>24750</v>
      </c>
      <c r="D888" s="2">
        <f ca="1">IFERROR(__xludf.DUMMYFUNCTION("""COMPUTED_VALUE"""),24150)</f>
        <v>24150</v>
      </c>
      <c r="E888" s="2">
        <f ca="1">IFERROR(__xludf.DUMMYFUNCTION("""COMPUTED_VALUE"""),24750)</f>
        <v>24750</v>
      </c>
      <c r="F888" s="2">
        <f ca="1">IFERROR(__xludf.DUMMYFUNCTION("""COMPUTED_VALUE"""),13339300)</f>
        <v>13339300</v>
      </c>
    </row>
    <row r="889" spans="1:6">
      <c r="A889" s="5">
        <f ca="1">IFERROR(__xludf.DUMMYFUNCTION("""COMPUTED_VALUE"""),43355.625)</f>
        <v>43355.625</v>
      </c>
      <c r="B889" s="2">
        <f ca="1">IFERROR(__xludf.DUMMYFUNCTION("""COMPUTED_VALUE"""),24750)</f>
        <v>24750</v>
      </c>
      <c r="C889" s="2">
        <f ca="1">IFERROR(__xludf.DUMMYFUNCTION("""COMPUTED_VALUE"""),24825)</f>
        <v>24825</v>
      </c>
      <c r="D889" s="2">
        <f ca="1">IFERROR(__xludf.DUMMYFUNCTION("""COMPUTED_VALUE"""),23825)</f>
        <v>23825</v>
      </c>
      <c r="E889" s="2">
        <f ca="1">IFERROR(__xludf.DUMMYFUNCTION("""COMPUTED_VALUE"""),23900)</f>
        <v>23900</v>
      </c>
      <c r="F889" s="2">
        <f ca="1">IFERROR(__xludf.DUMMYFUNCTION("""COMPUTED_VALUE"""),17580100)</f>
        <v>17580100</v>
      </c>
    </row>
    <row r="890" spans="1:6">
      <c r="A890" s="5">
        <f ca="1">IFERROR(__xludf.DUMMYFUNCTION("""COMPUTED_VALUE"""),43356.625)</f>
        <v>43356.625</v>
      </c>
      <c r="B890" s="2">
        <f ca="1">IFERROR(__xludf.DUMMYFUNCTION("""COMPUTED_VALUE"""),24200)</f>
        <v>24200</v>
      </c>
      <c r="C890" s="2">
        <f ca="1">IFERROR(__xludf.DUMMYFUNCTION("""COMPUTED_VALUE"""),24375)</f>
        <v>24375</v>
      </c>
      <c r="D890" s="2">
        <f ca="1">IFERROR(__xludf.DUMMYFUNCTION("""COMPUTED_VALUE"""),23900)</f>
        <v>23900</v>
      </c>
      <c r="E890" s="2">
        <f ca="1">IFERROR(__xludf.DUMMYFUNCTION("""COMPUTED_VALUE"""),24000)</f>
        <v>24000</v>
      </c>
      <c r="F890" s="2">
        <f ca="1">IFERROR(__xludf.DUMMYFUNCTION("""COMPUTED_VALUE"""),18810200)</f>
        <v>18810200</v>
      </c>
    </row>
    <row r="891" spans="1:6">
      <c r="A891" s="5">
        <f ca="1">IFERROR(__xludf.DUMMYFUNCTION("""COMPUTED_VALUE"""),43357.625)</f>
        <v>43357.625</v>
      </c>
      <c r="B891" s="2">
        <f ca="1">IFERROR(__xludf.DUMMYFUNCTION("""COMPUTED_VALUE"""),23900)</f>
        <v>23900</v>
      </c>
      <c r="C891" s="2">
        <f ca="1">IFERROR(__xludf.DUMMYFUNCTION("""COMPUTED_VALUE"""),24200)</f>
        <v>24200</v>
      </c>
      <c r="D891" s="2">
        <f ca="1">IFERROR(__xludf.DUMMYFUNCTION("""COMPUTED_VALUE"""),23700)</f>
        <v>23700</v>
      </c>
      <c r="E891" s="2">
        <f ca="1">IFERROR(__xludf.DUMMYFUNCTION("""COMPUTED_VALUE"""),23975)</f>
        <v>23975</v>
      </c>
      <c r="F891" s="2">
        <f ca="1">IFERROR(__xludf.DUMMYFUNCTION("""COMPUTED_VALUE"""),14494700)</f>
        <v>14494700</v>
      </c>
    </row>
    <row r="892" spans="1:6">
      <c r="A892" s="5">
        <f ca="1">IFERROR(__xludf.DUMMYFUNCTION("""COMPUTED_VALUE"""),43360.625)</f>
        <v>43360.625</v>
      </c>
      <c r="B892" s="2">
        <f ca="1">IFERROR(__xludf.DUMMYFUNCTION("""COMPUTED_VALUE"""),23750)</f>
        <v>23750</v>
      </c>
      <c r="C892" s="2">
        <f ca="1">IFERROR(__xludf.DUMMYFUNCTION("""COMPUTED_VALUE"""),23975)</f>
        <v>23975</v>
      </c>
      <c r="D892" s="2">
        <f ca="1">IFERROR(__xludf.DUMMYFUNCTION("""COMPUTED_VALUE"""),23750)</f>
        <v>23750</v>
      </c>
      <c r="E892" s="2">
        <f ca="1">IFERROR(__xludf.DUMMYFUNCTION("""COMPUTED_VALUE"""),23925)</f>
        <v>23925</v>
      </c>
      <c r="F892" s="2">
        <f ca="1">IFERROR(__xludf.DUMMYFUNCTION("""COMPUTED_VALUE"""),7895600)</f>
        <v>7895600</v>
      </c>
    </row>
    <row r="893" spans="1:6">
      <c r="A893" s="5">
        <f ca="1">IFERROR(__xludf.DUMMYFUNCTION("""COMPUTED_VALUE"""),43361.625)</f>
        <v>43361.625</v>
      </c>
      <c r="B893" s="2">
        <f ca="1">IFERROR(__xludf.DUMMYFUNCTION("""COMPUTED_VALUE"""),23700)</f>
        <v>23700</v>
      </c>
      <c r="C893" s="2">
        <f ca="1">IFERROR(__xludf.DUMMYFUNCTION("""COMPUTED_VALUE"""),24250)</f>
        <v>24250</v>
      </c>
      <c r="D893" s="2">
        <f ca="1">IFERROR(__xludf.DUMMYFUNCTION("""COMPUTED_VALUE"""),23700)</f>
        <v>23700</v>
      </c>
      <c r="E893" s="2">
        <f ca="1">IFERROR(__xludf.DUMMYFUNCTION("""COMPUTED_VALUE"""),24000)</f>
        <v>24000</v>
      </c>
      <c r="F893" s="2">
        <f ca="1">IFERROR(__xludf.DUMMYFUNCTION("""COMPUTED_VALUE"""),15023900)</f>
        <v>15023900</v>
      </c>
    </row>
    <row r="894" spans="1:6">
      <c r="A894" s="5">
        <f ca="1">IFERROR(__xludf.DUMMYFUNCTION("""COMPUTED_VALUE"""),43362.625)</f>
        <v>43362.625</v>
      </c>
      <c r="B894" s="2">
        <f ca="1">IFERROR(__xludf.DUMMYFUNCTION("""COMPUTED_VALUE"""),24075)</f>
        <v>24075</v>
      </c>
      <c r="C894" s="2">
        <f ca="1">IFERROR(__xludf.DUMMYFUNCTION("""COMPUTED_VALUE"""),24225)</f>
        <v>24225</v>
      </c>
      <c r="D894" s="2">
        <f ca="1">IFERROR(__xludf.DUMMYFUNCTION("""COMPUTED_VALUE"""),23825)</f>
        <v>23825</v>
      </c>
      <c r="E894" s="2">
        <f ca="1">IFERROR(__xludf.DUMMYFUNCTION("""COMPUTED_VALUE"""),24000)</f>
        <v>24000</v>
      </c>
      <c r="F894" s="2">
        <f ca="1">IFERROR(__xludf.DUMMYFUNCTION("""COMPUTED_VALUE"""),22311700)</f>
        <v>22311700</v>
      </c>
    </row>
    <row r="895" spans="1:6">
      <c r="A895" s="5">
        <f ca="1">IFERROR(__xludf.DUMMYFUNCTION("""COMPUTED_VALUE"""),43363.625)</f>
        <v>43363.625</v>
      </c>
      <c r="B895" s="2">
        <f ca="1">IFERROR(__xludf.DUMMYFUNCTION("""COMPUTED_VALUE"""),24200)</f>
        <v>24200</v>
      </c>
      <c r="C895" s="2">
        <f ca="1">IFERROR(__xludf.DUMMYFUNCTION("""COMPUTED_VALUE"""),24225)</f>
        <v>24225</v>
      </c>
      <c r="D895" s="2">
        <f ca="1">IFERROR(__xludf.DUMMYFUNCTION("""COMPUTED_VALUE"""),23900)</f>
        <v>23900</v>
      </c>
      <c r="E895" s="2">
        <f ca="1">IFERROR(__xludf.DUMMYFUNCTION("""COMPUTED_VALUE"""),23950)</f>
        <v>23950</v>
      </c>
      <c r="F895" s="2">
        <f ca="1">IFERROR(__xludf.DUMMYFUNCTION("""COMPUTED_VALUE"""),12157200)</f>
        <v>12157200</v>
      </c>
    </row>
    <row r="896" spans="1:6">
      <c r="A896" s="5">
        <f ca="1">IFERROR(__xludf.DUMMYFUNCTION("""COMPUTED_VALUE"""),43364.625)</f>
        <v>43364.625</v>
      </c>
      <c r="B896" s="2">
        <f ca="1">IFERROR(__xludf.DUMMYFUNCTION("""COMPUTED_VALUE"""),23900)</f>
        <v>23900</v>
      </c>
      <c r="C896" s="2">
        <f ca="1">IFERROR(__xludf.DUMMYFUNCTION("""COMPUTED_VALUE"""),24150)</f>
        <v>24150</v>
      </c>
      <c r="D896" s="2">
        <f ca="1">IFERROR(__xludf.DUMMYFUNCTION("""COMPUTED_VALUE"""),23700)</f>
        <v>23700</v>
      </c>
      <c r="E896" s="2">
        <f ca="1">IFERROR(__xludf.DUMMYFUNCTION("""COMPUTED_VALUE"""),23700)</f>
        <v>23700</v>
      </c>
      <c r="F896" s="2">
        <f ca="1">IFERROR(__xludf.DUMMYFUNCTION("""COMPUTED_VALUE"""),30410400)</f>
        <v>30410400</v>
      </c>
    </row>
    <row r="897" spans="1:6">
      <c r="A897" s="5">
        <f ca="1">IFERROR(__xludf.DUMMYFUNCTION("""COMPUTED_VALUE"""),43367.625)</f>
        <v>43367.625</v>
      </c>
      <c r="B897" s="2">
        <f ca="1">IFERROR(__xludf.DUMMYFUNCTION("""COMPUTED_VALUE"""),23900)</f>
        <v>23900</v>
      </c>
      <c r="C897" s="2">
        <f ca="1">IFERROR(__xludf.DUMMYFUNCTION("""COMPUTED_VALUE"""),24075)</f>
        <v>24075</v>
      </c>
      <c r="D897" s="2">
        <f ca="1">IFERROR(__xludf.DUMMYFUNCTION("""COMPUTED_VALUE"""),23800)</f>
        <v>23800</v>
      </c>
      <c r="E897" s="2">
        <f ca="1">IFERROR(__xludf.DUMMYFUNCTION("""COMPUTED_VALUE"""),23925)</f>
        <v>23925</v>
      </c>
      <c r="F897" s="2">
        <f ca="1">IFERROR(__xludf.DUMMYFUNCTION("""COMPUTED_VALUE"""),11980400)</f>
        <v>11980400</v>
      </c>
    </row>
    <row r="898" spans="1:6">
      <c r="A898" s="5">
        <f ca="1">IFERROR(__xludf.DUMMYFUNCTION("""COMPUTED_VALUE"""),43368.625)</f>
        <v>43368.625</v>
      </c>
      <c r="B898" s="2">
        <f ca="1">IFERROR(__xludf.DUMMYFUNCTION("""COMPUTED_VALUE"""),24000)</f>
        <v>24000</v>
      </c>
      <c r="C898" s="2">
        <f ca="1">IFERROR(__xludf.DUMMYFUNCTION("""COMPUTED_VALUE"""),24000)</f>
        <v>24000</v>
      </c>
      <c r="D898" s="2">
        <f ca="1">IFERROR(__xludf.DUMMYFUNCTION("""COMPUTED_VALUE"""),23825)</f>
        <v>23825</v>
      </c>
      <c r="E898" s="2">
        <f ca="1">IFERROR(__xludf.DUMMYFUNCTION("""COMPUTED_VALUE"""),23925)</f>
        <v>23925</v>
      </c>
      <c r="F898" s="2">
        <f ca="1">IFERROR(__xludf.DUMMYFUNCTION("""COMPUTED_VALUE"""),8554200)</f>
        <v>8554200</v>
      </c>
    </row>
    <row r="899" spans="1:6">
      <c r="A899" s="5">
        <f ca="1">IFERROR(__xludf.DUMMYFUNCTION("""COMPUTED_VALUE"""),43369.625)</f>
        <v>43369.625</v>
      </c>
      <c r="B899" s="2">
        <f ca="1">IFERROR(__xludf.DUMMYFUNCTION("""COMPUTED_VALUE"""),23800)</f>
        <v>23800</v>
      </c>
      <c r="C899" s="2">
        <f ca="1">IFERROR(__xludf.DUMMYFUNCTION("""COMPUTED_VALUE"""),24300)</f>
        <v>24300</v>
      </c>
      <c r="D899" s="2">
        <f ca="1">IFERROR(__xludf.DUMMYFUNCTION("""COMPUTED_VALUE"""),23800)</f>
        <v>23800</v>
      </c>
      <c r="E899" s="2">
        <f ca="1">IFERROR(__xludf.DUMMYFUNCTION("""COMPUTED_VALUE"""),24200)</f>
        <v>24200</v>
      </c>
      <c r="F899" s="2">
        <f ca="1">IFERROR(__xludf.DUMMYFUNCTION("""COMPUTED_VALUE"""),14343100)</f>
        <v>14343100</v>
      </c>
    </row>
    <row r="900" spans="1:6">
      <c r="A900" s="5">
        <f ca="1">IFERROR(__xludf.DUMMYFUNCTION("""COMPUTED_VALUE"""),43370.625)</f>
        <v>43370.625</v>
      </c>
      <c r="B900" s="2">
        <f ca="1">IFERROR(__xludf.DUMMYFUNCTION("""COMPUTED_VALUE"""),23900)</f>
        <v>23900</v>
      </c>
      <c r="C900" s="2">
        <f ca="1">IFERROR(__xludf.DUMMYFUNCTION("""COMPUTED_VALUE"""),24125)</f>
        <v>24125</v>
      </c>
      <c r="D900" s="2">
        <f ca="1">IFERROR(__xludf.DUMMYFUNCTION("""COMPUTED_VALUE"""),23850)</f>
        <v>23850</v>
      </c>
      <c r="E900" s="2">
        <f ca="1">IFERROR(__xludf.DUMMYFUNCTION("""COMPUTED_VALUE"""),24000)</f>
        <v>24000</v>
      </c>
      <c r="F900" s="2">
        <f ca="1">IFERROR(__xludf.DUMMYFUNCTION("""COMPUTED_VALUE"""),14200200)</f>
        <v>14200200</v>
      </c>
    </row>
    <row r="901" spans="1:6">
      <c r="A901" s="5">
        <f ca="1">IFERROR(__xludf.DUMMYFUNCTION("""COMPUTED_VALUE"""),43371.625)</f>
        <v>43371.625</v>
      </c>
      <c r="B901" s="2">
        <f ca="1">IFERROR(__xludf.DUMMYFUNCTION("""COMPUTED_VALUE"""),23900)</f>
        <v>23900</v>
      </c>
      <c r="C901" s="2">
        <f ca="1">IFERROR(__xludf.DUMMYFUNCTION("""COMPUTED_VALUE"""),24150)</f>
        <v>24150</v>
      </c>
      <c r="D901" s="2">
        <f ca="1">IFERROR(__xludf.DUMMYFUNCTION("""COMPUTED_VALUE"""),23900)</f>
        <v>23900</v>
      </c>
      <c r="E901" s="2">
        <f ca="1">IFERROR(__xludf.DUMMYFUNCTION("""COMPUTED_VALUE"""),24150)</f>
        <v>24150</v>
      </c>
      <c r="F901" s="2">
        <f ca="1">IFERROR(__xludf.DUMMYFUNCTION("""COMPUTED_VALUE"""),19395000)</f>
        <v>19395000</v>
      </c>
    </row>
    <row r="902" spans="1:6">
      <c r="A902" s="5">
        <f ca="1">IFERROR(__xludf.DUMMYFUNCTION("""COMPUTED_VALUE"""),43374.625)</f>
        <v>43374.625</v>
      </c>
      <c r="B902" s="2">
        <f ca="1">IFERROR(__xludf.DUMMYFUNCTION("""COMPUTED_VALUE"""),24000)</f>
        <v>24000</v>
      </c>
      <c r="C902" s="2">
        <f ca="1">IFERROR(__xludf.DUMMYFUNCTION("""COMPUTED_VALUE"""),24200)</f>
        <v>24200</v>
      </c>
      <c r="D902" s="2">
        <f ca="1">IFERROR(__xludf.DUMMYFUNCTION("""COMPUTED_VALUE"""),23950)</f>
        <v>23950</v>
      </c>
      <c r="E902" s="2">
        <f ca="1">IFERROR(__xludf.DUMMYFUNCTION("""COMPUTED_VALUE"""),23950)</f>
        <v>23950</v>
      </c>
      <c r="F902" s="2">
        <f ca="1">IFERROR(__xludf.DUMMYFUNCTION("""COMPUTED_VALUE"""),7277600)</f>
        <v>7277600</v>
      </c>
    </row>
    <row r="903" spans="1:6">
      <c r="A903" s="5">
        <f ca="1">IFERROR(__xludf.DUMMYFUNCTION("""COMPUTED_VALUE"""),43375.625)</f>
        <v>43375.625</v>
      </c>
      <c r="B903" s="2">
        <f ca="1">IFERROR(__xludf.DUMMYFUNCTION("""COMPUTED_VALUE"""),24075)</f>
        <v>24075</v>
      </c>
      <c r="C903" s="2">
        <f ca="1">IFERROR(__xludf.DUMMYFUNCTION("""COMPUTED_VALUE"""),24200)</f>
        <v>24200</v>
      </c>
      <c r="D903" s="2">
        <f ca="1">IFERROR(__xludf.DUMMYFUNCTION("""COMPUTED_VALUE"""),23750)</f>
        <v>23750</v>
      </c>
      <c r="E903" s="2">
        <f ca="1">IFERROR(__xludf.DUMMYFUNCTION("""COMPUTED_VALUE"""),23950)</f>
        <v>23950</v>
      </c>
      <c r="F903" s="2">
        <f ca="1">IFERROR(__xludf.DUMMYFUNCTION("""COMPUTED_VALUE"""),10127900)</f>
        <v>10127900</v>
      </c>
    </row>
    <row r="904" spans="1:6">
      <c r="A904" s="5">
        <f ca="1">IFERROR(__xludf.DUMMYFUNCTION("""COMPUTED_VALUE"""),43376.625)</f>
        <v>43376.625</v>
      </c>
      <c r="B904" s="2">
        <f ca="1">IFERROR(__xludf.DUMMYFUNCTION("""COMPUTED_VALUE"""),23750)</f>
        <v>23750</v>
      </c>
      <c r="C904" s="2">
        <f ca="1">IFERROR(__xludf.DUMMYFUNCTION("""COMPUTED_VALUE"""),23975)</f>
        <v>23975</v>
      </c>
      <c r="D904" s="2">
        <f ca="1">IFERROR(__xludf.DUMMYFUNCTION("""COMPUTED_VALUE"""),23725)</f>
        <v>23725</v>
      </c>
      <c r="E904" s="2">
        <f ca="1">IFERROR(__xludf.DUMMYFUNCTION("""COMPUTED_VALUE"""),23925)</f>
        <v>23925</v>
      </c>
      <c r="F904" s="2">
        <f ca="1">IFERROR(__xludf.DUMMYFUNCTION("""COMPUTED_VALUE"""),6704900)</f>
        <v>6704900</v>
      </c>
    </row>
    <row r="905" spans="1:6">
      <c r="A905" s="5">
        <f ca="1">IFERROR(__xludf.DUMMYFUNCTION("""COMPUTED_VALUE"""),43377.625)</f>
        <v>43377.625</v>
      </c>
      <c r="B905" s="2">
        <f ca="1">IFERROR(__xludf.DUMMYFUNCTION("""COMPUTED_VALUE"""),23925)</f>
        <v>23925</v>
      </c>
      <c r="C905" s="2">
        <f ca="1">IFERROR(__xludf.DUMMYFUNCTION("""COMPUTED_VALUE"""),23925)</f>
        <v>23925</v>
      </c>
      <c r="D905" s="2">
        <f ca="1">IFERROR(__xludf.DUMMYFUNCTION("""COMPUTED_VALUE"""),23500)</f>
        <v>23500</v>
      </c>
      <c r="E905" s="2">
        <f ca="1">IFERROR(__xludf.DUMMYFUNCTION("""COMPUTED_VALUE"""),23600)</f>
        <v>23600</v>
      </c>
      <c r="F905" s="2">
        <f ca="1">IFERROR(__xludf.DUMMYFUNCTION("""COMPUTED_VALUE"""),13573900)</f>
        <v>13573900</v>
      </c>
    </row>
    <row r="906" spans="1:6">
      <c r="A906" s="5">
        <f ca="1">IFERROR(__xludf.DUMMYFUNCTION("""COMPUTED_VALUE"""),43378.625)</f>
        <v>43378.625</v>
      </c>
      <c r="B906" s="2">
        <f ca="1">IFERROR(__xludf.DUMMYFUNCTION("""COMPUTED_VALUE"""),23550)</f>
        <v>23550</v>
      </c>
      <c r="C906" s="2">
        <f ca="1">IFERROR(__xludf.DUMMYFUNCTION("""COMPUTED_VALUE"""),23550)</f>
        <v>23550</v>
      </c>
      <c r="D906" s="2">
        <f ca="1">IFERROR(__xludf.DUMMYFUNCTION("""COMPUTED_VALUE"""),22975)</f>
        <v>22975</v>
      </c>
      <c r="E906" s="2">
        <f ca="1">IFERROR(__xludf.DUMMYFUNCTION("""COMPUTED_VALUE"""),23050)</f>
        <v>23050</v>
      </c>
      <c r="F906" s="2">
        <f ca="1">IFERROR(__xludf.DUMMYFUNCTION("""COMPUTED_VALUE"""),19649900)</f>
        <v>19649900</v>
      </c>
    </row>
    <row r="907" spans="1:6">
      <c r="A907" s="5">
        <f ca="1">IFERROR(__xludf.DUMMYFUNCTION("""COMPUTED_VALUE"""),43381.625)</f>
        <v>43381.625</v>
      </c>
      <c r="B907" s="2">
        <f ca="1">IFERROR(__xludf.DUMMYFUNCTION("""COMPUTED_VALUE"""),23075)</f>
        <v>23075</v>
      </c>
      <c r="C907" s="2">
        <f ca="1">IFERROR(__xludf.DUMMYFUNCTION("""COMPUTED_VALUE"""),23950)</f>
        <v>23950</v>
      </c>
      <c r="D907" s="2">
        <f ca="1">IFERROR(__xludf.DUMMYFUNCTION("""COMPUTED_VALUE"""),23075)</f>
        <v>23075</v>
      </c>
      <c r="E907" s="2">
        <f ca="1">IFERROR(__xludf.DUMMYFUNCTION("""COMPUTED_VALUE"""),23450)</f>
        <v>23450</v>
      </c>
      <c r="F907" s="2">
        <f ca="1">IFERROR(__xludf.DUMMYFUNCTION("""COMPUTED_VALUE"""),11450000)</f>
        <v>11450000</v>
      </c>
    </row>
    <row r="908" spans="1:6">
      <c r="A908" s="5">
        <f ca="1">IFERROR(__xludf.DUMMYFUNCTION("""COMPUTED_VALUE"""),43382.625)</f>
        <v>43382.625</v>
      </c>
      <c r="B908" s="2">
        <f ca="1">IFERROR(__xludf.DUMMYFUNCTION("""COMPUTED_VALUE"""),23500)</f>
        <v>23500</v>
      </c>
      <c r="C908" s="2">
        <f ca="1">IFERROR(__xludf.DUMMYFUNCTION("""COMPUTED_VALUE"""),23750)</f>
        <v>23750</v>
      </c>
      <c r="D908" s="2">
        <f ca="1">IFERROR(__xludf.DUMMYFUNCTION("""COMPUTED_VALUE"""),23400)</f>
        <v>23400</v>
      </c>
      <c r="E908" s="2">
        <f ca="1">IFERROR(__xludf.DUMMYFUNCTION("""COMPUTED_VALUE"""),23750)</f>
        <v>23750</v>
      </c>
      <c r="F908" s="2">
        <f ca="1">IFERROR(__xludf.DUMMYFUNCTION("""COMPUTED_VALUE"""),7388000)</f>
        <v>7388000</v>
      </c>
    </row>
    <row r="909" spans="1:6">
      <c r="A909" s="5">
        <f ca="1">IFERROR(__xludf.DUMMYFUNCTION("""COMPUTED_VALUE"""),43383.625)</f>
        <v>43383.625</v>
      </c>
      <c r="B909" s="2">
        <f ca="1">IFERROR(__xludf.DUMMYFUNCTION("""COMPUTED_VALUE"""),23900)</f>
        <v>23900</v>
      </c>
      <c r="C909" s="2">
        <f ca="1">IFERROR(__xludf.DUMMYFUNCTION("""COMPUTED_VALUE"""),24125)</f>
        <v>24125</v>
      </c>
      <c r="D909" s="2">
        <f ca="1">IFERROR(__xludf.DUMMYFUNCTION("""COMPUTED_VALUE"""),23250)</f>
        <v>23250</v>
      </c>
      <c r="E909" s="2">
        <f ca="1">IFERROR(__xludf.DUMMYFUNCTION("""COMPUTED_VALUE"""),23375)</f>
        <v>23375</v>
      </c>
      <c r="F909" s="2">
        <f ca="1">IFERROR(__xludf.DUMMYFUNCTION("""COMPUTED_VALUE"""),11878900)</f>
        <v>11878900</v>
      </c>
    </row>
    <row r="910" spans="1:6">
      <c r="A910" s="5">
        <f ca="1">IFERROR(__xludf.DUMMYFUNCTION("""COMPUTED_VALUE"""),43384.625)</f>
        <v>43384.625</v>
      </c>
      <c r="B910" s="2">
        <f ca="1">IFERROR(__xludf.DUMMYFUNCTION("""COMPUTED_VALUE"""),23000)</f>
        <v>23000</v>
      </c>
      <c r="C910" s="2">
        <f ca="1">IFERROR(__xludf.DUMMYFUNCTION("""COMPUTED_VALUE"""),23300)</f>
        <v>23300</v>
      </c>
      <c r="D910" s="2">
        <f ca="1">IFERROR(__xludf.DUMMYFUNCTION("""COMPUTED_VALUE"""),22475)</f>
        <v>22475</v>
      </c>
      <c r="E910" s="2">
        <f ca="1">IFERROR(__xludf.DUMMYFUNCTION("""COMPUTED_VALUE"""),22725)</f>
        <v>22725</v>
      </c>
      <c r="F910" s="2">
        <f ca="1">IFERROR(__xludf.DUMMYFUNCTION("""COMPUTED_VALUE"""),20467200)</f>
        <v>20467200</v>
      </c>
    </row>
    <row r="911" spans="1:6">
      <c r="A911" s="5">
        <f ca="1">IFERROR(__xludf.DUMMYFUNCTION("""COMPUTED_VALUE"""),43385.625)</f>
        <v>43385.625</v>
      </c>
      <c r="B911" s="2">
        <f ca="1">IFERROR(__xludf.DUMMYFUNCTION("""COMPUTED_VALUE"""),23000)</f>
        <v>23000</v>
      </c>
      <c r="C911" s="2">
        <f ca="1">IFERROR(__xludf.DUMMYFUNCTION("""COMPUTED_VALUE"""),23475)</f>
        <v>23475</v>
      </c>
      <c r="D911" s="2">
        <f ca="1">IFERROR(__xludf.DUMMYFUNCTION("""COMPUTED_VALUE"""),23000)</f>
        <v>23000</v>
      </c>
      <c r="E911" s="2">
        <f ca="1">IFERROR(__xludf.DUMMYFUNCTION("""COMPUTED_VALUE"""),23250)</f>
        <v>23250</v>
      </c>
      <c r="F911" s="2">
        <f ca="1">IFERROR(__xludf.DUMMYFUNCTION("""COMPUTED_VALUE"""),16514900)</f>
        <v>16514900</v>
      </c>
    </row>
    <row r="912" spans="1:6">
      <c r="A912" s="5">
        <f ca="1">IFERROR(__xludf.DUMMYFUNCTION("""COMPUTED_VALUE"""),43388.625)</f>
        <v>43388.625</v>
      </c>
      <c r="B912" s="2">
        <f ca="1">IFERROR(__xludf.DUMMYFUNCTION("""COMPUTED_VALUE"""),23500)</f>
        <v>23500</v>
      </c>
      <c r="C912" s="2">
        <f ca="1">IFERROR(__xludf.DUMMYFUNCTION("""COMPUTED_VALUE"""),23850)</f>
        <v>23850</v>
      </c>
      <c r="D912" s="2">
        <f ca="1">IFERROR(__xludf.DUMMYFUNCTION("""COMPUTED_VALUE"""),23475)</f>
        <v>23475</v>
      </c>
      <c r="E912" s="2">
        <f ca="1">IFERROR(__xludf.DUMMYFUNCTION("""COMPUTED_VALUE"""),23850)</f>
        <v>23850</v>
      </c>
      <c r="F912" s="2">
        <f ca="1">IFERROR(__xludf.DUMMYFUNCTION("""COMPUTED_VALUE"""),13190000)</f>
        <v>13190000</v>
      </c>
    </row>
    <row r="913" spans="1:6">
      <c r="A913" s="5">
        <f ca="1">IFERROR(__xludf.DUMMYFUNCTION("""COMPUTED_VALUE"""),43389.625)</f>
        <v>43389.625</v>
      </c>
      <c r="B913" s="2">
        <f ca="1">IFERROR(__xludf.DUMMYFUNCTION("""COMPUTED_VALUE"""),23850)</f>
        <v>23850</v>
      </c>
      <c r="C913" s="2">
        <f ca="1">IFERROR(__xludf.DUMMYFUNCTION("""COMPUTED_VALUE"""),24100)</f>
        <v>24100</v>
      </c>
      <c r="D913" s="2">
        <f ca="1">IFERROR(__xludf.DUMMYFUNCTION("""COMPUTED_VALUE"""),23500)</f>
        <v>23500</v>
      </c>
      <c r="E913" s="2">
        <f ca="1">IFERROR(__xludf.DUMMYFUNCTION("""COMPUTED_VALUE"""),24100)</f>
        <v>24100</v>
      </c>
      <c r="F913" s="2">
        <f ca="1">IFERROR(__xludf.DUMMYFUNCTION("""COMPUTED_VALUE"""),9489800)</f>
        <v>9489800</v>
      </c>
    </row>
    <row r="914" spans="1:6">
      <c r="A914" s="5">
        <f ca="1">IFERROR(__xludf.DUMMYFUNCTION("""COMPUTED_VALUE"""),43390.625)</f>
        <v>43390.625</v>
      </c>
      <c r="B914" s="2">
        <f ca="1">IFERROR(__xludf.DUMMYFUNCTION("""COMPUTED_VALUE"""),24150)</f>
        <v>24150</v>
      </c>
      <c r="C914" s="2">
        <f ca="1">IFERROR(__xludf.DUMMYFUNCTION("""COMPUTED_VALUE"""),24175)</f>
        <v>24175</v>
      </c>
      <c r="D914" s="2">
        <f ca="1">IFERROR(__xludf.DUMMYFUNCTION("""COMPUTED_VALUE"""),23775)</f>
        <v>23775</v>
      </c>
      <c r="E914" s="2">
        <f ca="1">IFERROR(__xludf.DUMMYFUNCTION("""COMPUTED_VALUE"""),24025)</f>
        <v>24025</v>
      </c>
      <c r="F914" s="2">
        <f ca="1">IFERROR(__xludf.DUMMYFUNCTION("""COMPUTED_VALUE"""),7671800)</f>
        <v>7671800</v>
      </c>
    </row>
    <row r="915" spans="1:6">
      <c r="A915" s="5">
        <f ca="1">IFERROR(__xludf.DUMMYFUNCTION("""COMPUTED_VALUE"""),43391.625)</f>
        <v>43391.625</v>
      </c>
      <c r="B915" s="2">
        <f ca="1">IFERROR(__xludf.DUMMYFUNCTION("""COMPUTED_VALUE"""),23800)</f>
        <v>23800</v>
      </c>
      <c r="C915" s="2">
        <f ca="1">IFERROR(__xludf.DUMMYFUNCTION("""COMPUTED_VALUE"""),23875)</f>
        <v>23875</v>
      </c>
      <c r="D915" s="2">
        <f ca="1">IFERROR(__xludf.DUMMYFUNCTION("""COMPUTED_VALUE"""),23600)</f>
        <v>23600</v>
      </c>
      <c r="E915" s="2">
        <f ca="1">IFERROR(__xludf.DUMMYFUNCTION("""COMPUTED_VALUE"""),23600)</f>
        <v>23600</v>
      </c>
      <c r="F915" s="2">
        <f ca="1">IFERROR(__xludf.DUMMYFUNCTION("""COMPUTED_VALUE"""),5872100)</f>
        <v>5872100</v>
      </c>
    </row>
    <row r="916" spans="1:6">
      <c r="A916" s="5">
        <f ca="1">IFERROR(__xludf.DUMMYFUNCTION("""COMPUTED_VALUE"""),43392.625)</f>
        <v>43392.625</v>
      </c>
      <c r="B916" s="2">
        <f ca="1">IFERROR(__xludf.DUMMYFUNCTION("""COMPUTED_VALUE"""),23300)</f>
        <v>23300</v>
      </c>
      <c r="C916" s="2">
        <f ca="1">IFERROR(__xludf.DUMMYFUNCTION("""COMPUTED_VALUE"""),23650)</f>
        <v>23650</v>
      </c>
      <c r="D916" s="2">
        <f ca="1">IFERROR(__xludf.DUMMYFUNCTION("""COMPUTED_VALUE"""),23225)</f>
        <v>23225</v>
      </c>
      <c r="E916" s="2">
        <f ca="1">IFERROR(__xludf.DUMMYFUNCTION("""COMPUTED_VALUE"""),23375)</f>
        <v>23375</v>
      </c>
      <c r="F916" s="2">
        <f ca="1">IFERROR(__xludf.DUMMYFUNCTION("""COMPUTED_VALUE"""),9043900)</f>
        <v>9043900</v>
      </c>
    </row>
    <row r="917" spans="1:6">
      <c r="A917" s="5">
        <f ca="1">IFERROR(__xludf.DUMMYFUNCTION("""COMPUTED_VALUE"""),43395.625)</f>
        <v>43395.625</v>
      </c>
      <c r="B917" s="2">
        <f ca="1">IFERROR(__xludf.DUMMYFUNCTION("""COMPUTED_VALUE"""),23375)</f>
        <v>23375</v>
      </c>
      <c r="C917" s="2">
        <f ca="1">IFERROR(__xludf.DUMMYFUNCTION("""COMPUTED_VALUE"""),23600)</f>
        <v>23600</v>
      </c>
      <c r="D917" s="2">
        <f ca="1">IFERROR(__xludf.DUMMYFUNCTION("""COMPUTED_VALUE"""),23150)</f>
        <v>23150</v>
      </c>
      <c r="E917" s="2">
        <f ca="1">IFERROR(__xludf.DUMMYFUNCTION("""COMPUTED_VALUE"""),23150)</f>
        <v>23150</v>
      </c>
      <c r="F917" s="2">
        <f ca="1">IFERROR(__xludf.DUMMYFUNCTION("""COMPUTED_VALUE"""),12696800)</f>
        <v>12696800</v>
      </c>
    </row>
    <row r="918" spans="1:6">
      <c r="A918" s="5">
        <f ca="1">IFERROR(__xludf.DUMMYFUNCTION("""COMPUTED_VALUE"""),43396.625)</f>
        <v>43396.625</v>
      </c>
      <c r="B918" s="2">
        <f ca="1">IFERROR(__xludf.DUMMYFUNCTION("""COMPUTED_VALUE"""),23400)</f>
        <v>23400</v>
      </c>
      <c r="C918" s="2">
        <f ca="1">IFERROR(__xludf.DUMMYFUNCTION("""COMPUTED_VALUE"""),23425)</f>
        <v>23425</v>
      </c>
      <c r="D918" s="2">
        <f ca="1">IFERROR(__xludf.DUMMYFUNCTION("""COMPUTED_VALUE"""),22875)</f>
        <v>22875</v>
      </c>
      <c r="E918" s="2">
        <f ca="1">IFERROR(__xludf.DUMMYFUNCTION("""COMPUTED_VALUE"""),22950)</f>
        <v>22950</v>
      </c>
      <c r="F918" s="2">
        <f ca="1">IFERROR(__xludf.DUMMYFUNCTION("""COMPUTED_VALUE"""),12432500)</f>
        <v>12432500</v>
      </c>
    </row>
    <row r="919" spans="1:6">
      <c r="A919" s="5">
        <f ca="1">IFERROR(__xludf.DUMMYFUNCTION("""COMPUTED_VALUE"""),43397.625)</f>
        <v>43397.625</v>
      </c>
      <c r="B919" s="2">
        <f ca="1">IFERROR(__xludf.DUMMYFUNCTION("""COMPUTED_VALUE"""),23000)</f>
        <v>23000</v>
      </c>
      <c r="C919" s="2">
        <f ca="1">IFERROR(__xludf.DUMMYFUNCTION("""COMPUTED_VALUE"""),23150)</f>
        <v>23150</v>
      </c>
      <c r="D919" s="2">
        <f ca="1">IFERROR(__xludf.DUMMYFUNCTION("""COMPUTED_VALUE"""),22650)</f>
        <v>22650</v>
      </c>
      <c r="E919" s="2">
        <f ca="1">IFERROR(__xludf.DUMMYFUNCTION("""COMPUTED_VALUE"""),22650)</f>
        <v>22650</v>
      </c>
      <c r="F919" s="2">
        <f ca="1">IFERROR(__xludf.DUMMYFUNCTION("""COMPUTED_VALUE"""),11898700)</f>
        <v>11898700</v>
      </c>
    </row>
    <row r="920" spans="1:6">
      <c r="A920" s="5">
        <f ca="1">IFERROR(__xludf.DUMMYFUNCTION("""COMPUTED_VALUE"""),43398.625)</f>
        <v>43398.625</v>
      </c>
      <c r="B920" s="2">
        <f ca="1">IFERROR(__xludf.DUMMYFUNCTION("""COMPUTED_VALUE"""),22175)</f>
        <v>22175</v>
      </c>
      <c r="C920" s="2">
        <f ca="1">IFERROR(__xludf.DUMMYFUNCTION("""COMPUTED_VALUE"""),23175)</f>
        <v>23175</v>
      </c>
      <c r="D920" s="2">
        <f ca="1">IFERROR(__xludf.DUMMYFUNCTION("""COMPUTED_VALUE"""),22175)</f>
        <v>22175</v>
      </c>
      <c r="E920" s="2">
        <f ca="1">IFERROR(__xludf.DUMMYFUNCTION("""COMPUTED_VALUE"""),22900)</f>
        <v>22900</v>
      </c>
      <c r="F920" s="2">
        <f ca="1">IFERROR(__xludf.DUMMYFUNCTION("""COMPUTED_VALUE"""),17546500)</f>
        <v>17546500</v>
      </c>
    </row>
    <row r="921" spans="1:6">
      <c r="A921" s="5">
        <f ca="1">IFERROR(__xludf.DUMMYFUNCTION("""COMPUTED_VALUE"""),43399.625)</f>
        <v>43399.625</v>
      </c>
      <c r="B921" s="2">
        <f ca="1">IFERROR(__xludf.DUMMYFUNCTION("""COMPUTED_VALUE"""),23100)</f>
        <v>23100</v>
      </c>
      <c r="C921" s="2">
        <f ca="1">IFERROR(__xludf.DUMMYFUNCTION("""COMPUTED_VALUE"""),23600)</f>
        <v>23600</v>
      </c>
      <c r="D921" s="2">
        <f ca="1">IFERROR(__xludf.DUMMYFUNCTION("""COMPUTED_VALUE"""),23000)</f>
        <v>23000</v>
      </c>
      <c r="E921" s="2">
        <f ca="1">IFERROR(__xludf.DUMMYFUNCTION("""COMPUTED_VALUE"""),23600)</f>
        <v>23600</v>
      </c>
      <c r="F921" s="2">
        <f ca="1">IFERROR(__xludf.DUMMYFUNCTION("""COMPUTED_VALUE"""),16798800)</f>
        <v>16798800</v>
      </c>
    </row>
    <row r="922" spans="1:6">
      <c r="A922" s="5">
        <f ca="1">IFERROR(__xludf.DUMMYFUNCTION("""COMPUTED_VALUE"""),43402.625)</f>
        <v>43402.625</v>
      </c>
      <c r="B922" s="2">
        <f ca="1">IFERROR(__xludf.DUMMYFUNCTION("""COMPUTED_VALUE"""),23300)</f>
        <v>23300</v>
      </c>
      <c r="C922" s="2">
        <f ca="1">IFERROR(__xludf.DUMMYFUNCTION("""COMPUTED_VALUE"""),23550)</f>
        <v>23550</v>
      </c>
      <c r="D922" s="2">
        <f ca="1">IFERROR(__xludf.DUMMYFUNCTION("""COMPUTED_VALUE"""),23125)</f>
        <v>23125</v>
      </c>
      <c r="E922" s="2">
        <f ca="1">IFERROR(__xludf.DUMMYFUNCTION("""COMPUTED_VALUE"""),23125)</f>
        <v>23125</v>
      </c>
      <c r="F922" s="2">
        <f ca="1">IFERROR(__xludf.DUMMYFUNCTION("""COMPUTED_VALUE"""),6910600)</f>
        <v>6910600</v>
      </c>
    </row>
    <row r="923" spans="1:6">
      <c r="A923" s="5">
        <f ca="1">IFERROR(__xludf.DUMMYFUNCTION("""COMPUTED_VALUE"""),43403.625)</f>
        <v>43403.625</v>
      </c>
      <c r="B923" s="2">
        <f ca="1">IFERROR(__xludf.DUMMYFUNCTION("""COMPUTED_VALUE"""),23125)</f>
        <v>23125</v>
      </c>
      <c r="C923" s="2">
        <f ca="1">IFERROR(__xludf.DUMMYFUNCTION("""COMPUTED_VALUE"""),23650)</f>
        <v>23650</v>
      </c>
      <c r="D923" s="2">
        <f ca="1">IFERROR(__xludf.DUMMYFUNCTION("""COMPUTED_VALUE"""),23100)</f>
        <v>23100</v>
      </c>
      <c r="E923" s="2">
        <f ca="1">IFERROR(__xludf.DUMMYFUNCTION("""COMPUTED_VALUE"""),23500)</f>
        <v>23500</v>
      </c>
      <c r="F923" s="2">
        <f ca="1">IFERROR(__xludf.DUMMYFUNCTION("""COMPUTED_VALUE"""),13776500)</f>
        <v>13776500</v>
      </c>
    </row>
    <row r="924" spans="1:6">
      <c r="A924" s="5">
        <f ca="1">IFERROR(__xludf.DUMMYFUNCTION("""COMPUTED_VALUE"""),43404.625)</f>
        <v>43404.625</v>
      </c>
      <c r="B924" s="2">
        <f ca="1">IFERROR(__xludf.DUMMYFUNCTION("""COMPUTED_VALUE"""),23750)</f>
        <v>23750</v>
      </c>
      <c r="C924" s="2">
        <f ca="1">IFERROR(__xludf.DUMMYFUNCTION("""COMPUTED_VALUE"""),23875)</f>
        <v>23875</v>
      </c>
      <c r="D924" s="2">
        <f ca="1">IFERROR(__xludf.DUMMYFUNCTION("""COMPUTED_VALUE"""),23500)</f>
        <v>23500</v>
      </c>
      <c r="E924" s="2">
        <f ca="1">IFERROR(__xludf.DUMMYFUNCTION("""COMPUTED_VALUE"""),23650)</f>
        <v>23650</v>
      </c>
      <c r="F924" s="2">
        <f ca="1">IFERROR(__xludf.DUMMYFUNCTION("""COMPUTED_VALUE"""),25781700)</f>
        <v>25781700</v>
      </c>
    </row>
    <row r="925" spans="1:6">
      <c r="A925" s="5">
        <f ca="1">IFERROR(__xludf.DUMMYFUNCTION("""COMPUTED_VALUE"""),43405.625)</f>
        <v>43405.625</v>
      </c>
      <c r="B925" s="2">
        <f ca="1">IFERROR(__xludf.DUMMYFUNCTION("""COMPUTED_VALUE"""),23850)</f>
        <v>23850</v>
      </c>
      <c r="C925" s="2">
        <f ca="1">IFERROR(__xludf.DUMMYFUNCTION("""COMPUTED_VALUE"""),24050)</f>
        <v>24050</v>
      </c>
      <c r="D925" s="2">
        <f ca="1">IFERROR(__xludf.DUMMYFUNCTION("""COMPUTED_VALUE"""),23725)</f>
        <v>23725</v>
      </c>
      <c r="E925" s="2">
        <f ca="1">IFERROR(__xludf.DUMMYFUNCTION("""COMPUTED_VALUE"""),23800)</f>
        <v>23800</v>
      </c>
      <c r="F925" s="2">
        <f ca="1">IFERROR(__xludf.DUMMYFUNCTION("""COMPUTED_VALUE"""),23581300)</f>
        <v>23581300</v>
      </c>
    </row>
    <row r="926" spans="1:6">
      <c r="A926" s="5">
        <f ca="1">IFERROR(__xludf.DUMMYFUNCTION("""COMPUTED_VALUE"""),43406.625)</f>
        <v>43406.625</v>
      </c>
      <c r="B926" s="2">
        <f ca="1">IFERROR(__xludf.DUMMYFUNCTION("""COMPUTED_VALUE"""),24000)</f>
        <v>24000</v>
      </c>
      <c r="C926" s="2">
        <f ca="1">IFERROR(__xludf.DUMMYFUNCTION("""COMPUTED_VALUE"""),24175)</f>
        <v>24175</v>
      </c>
      <c r="D926" s="2">
        <f ca="1">IFERROR(__xludf.DUMMYFUNCTION("""COMPUTED_VALUE"""),23800)</f>
        <v>23800</v>
      </c>
      <c r="E926" s="2">
        <f ca="1">IFERROR(__xludf.DUMMYFUNCTION("""COMPUTED_VALUE"""),24000)</f>
        <v>24000</v>
      </c>
      <c r="F926" s="2">
        <f ca="1">IFERROR(__xludf.DUMMYFUNCTION("""COMPUTED_VALUE"""),22810900)</f>
        <v>22810900</v>
      </c>
    </row>
    <row r="927" spans="1:6">
      <c r="A927" s="5">
        <f ca="1">IFERROR(__xludf.DUMMYFUNCTION("""COMPUTED_VALUE"""),43409.625)</f>
        <v>43409.625</v>
      </c>
      <c r="B927" s="2">
        <f ca="1">IFERROR(__xludf.DUMMYFUNCTION("""COMPUTED_VALUE"""),24000)</f>
        <v>24000</v>
      </c>
      <c r="C927" s="2">
        <f ca="1">IFERROR(__xludf.DUMMYFUNCTION("""COMPUTED_VALUE"""),24250)</f>
        <v>24250</v>
      </c>
      <c r="D927" s="2">
        <f ca="1">IFERROR(__xludf.DUMMYFUNCTION("""COMPUTED_VALUE"""),23950)</f>
        <v>23950</v>
      </c>
      <c r="E927" s="2">
        <f ca="1">IFERROR(__xludf.DUMMYFUNCTION("""COMPUTED_VALUE"""),24175)</f>
        <v>24175</v>
      </c>
      <c r="F927" s="2">
        <f ca="1">IFERROR(__xludf.DUMMYFUNCTION("""COMPUTED_VALUE"""),15350900)</f>
        <v>15350900</v>
      </c>
    </row>
    <row r="928" spans="1:6">
      <c r="A928" s="5">
        <f ca="1">IFERROR(__xludf.DUMMYFUNCTION("""COMPUTED_VALUE"""),43410.625)</f>
        <v>43410.625</v>
      </c>
      <c r="B928" s="2">
        <f ca="1">IFERROR(__xludf.DUMMYFUNCTION("""COMPUTED_VALUE"""),24300)</f>
        <v>24300</v>
      </c>
      <c r="C928" s="2">
        <f ca="1">IFERROR(__xludf.DUMMYFUNCTION("""COMPUTED_VALUE"""),24725)</f>
        <v>24725</v>
      </c>
      <c r="D928" s="2">
        <f ca="1">IFERROR(__xludf.DUMMYFUNCTION("""COMPUTED_VALUE"""),24250)</f>
        <v>24250</v>
      </c>
      <c r="E928" s="2">
        <f ca="1">IFERROR(__xludf.DUMMYFUNCTION("""COMPUTED_VALUE"""),24400)</f>
        <v>24400</v>
      </c>
      <c r="F928" s="2">
        <f ca="1">IFERROR(__xludf.DUMMYFUNCTION("""COMPUTED_VALUE"""),18882100)</f>
        <v>18882100</v>
      </c>
    </row>
    <row r="929" spans="1:6">
      <c r="A929" s="5">
        <f ca="1">IFERROR(__xludf.DUMMYFUNCTION("""COMPUTED_VALUE"""),43411.625)</f>
        <v>43411.625</v>
      </c>
      <c r="B929" s="2">
        <f ca="1">IFERROR(__xludf.DUMMYFUNCTION("""COMPUTED_VALUE"""),24600)</f>
        <v>24600</v>
      </c>
      <c r="C929" s="2">
        <f ca="1">IFERROR(__xludf.DUMMYFUNCTION("""COMPUTED_VALUE"""),24600)</f>
        <v>24600</v>
      </c>
      <c r="D929" s="2">
        <f ca="1">IFERROR(__xludf.DUMMYFUNCTION("""COMPUTED_VALUE"""),23900)</f>
        <v>23900</v>
      </c>
      <c r="E929" s="2">
        <f ca="1">IFERROR(__xludf.DUMMYFUNCTION("""COMPUTED_VALUE"""),24100)</f>
        <v>24100</v>
      </c>
      <c r="F929" s="2">
        <f ca="1">IFERROR(__xludf.DUMMYFUNCTION("""COMPUTED_VALUE"""),16775100)</f>
        <v>16775100</v>
      </c>
    </row>
    <row r="930" spans="1:6">
      <c r="A930" s="5">
        <f ca="1">IFERROR(__xludf.DUMMYFUNCTION("""COMPUTED_VALUE"""),43412.625)</f>
        <v>43412.625</v>
      </c>
      <c r="B930" s="2">
        <f ca="1">IFERROR(__xludf.DUMMYFUNCTION("""COMPUTED_VALUE"""),24400)</f>
        <v>24400</v>
      </c>
      <c r="C930" s="2">
        <f ca="1">IFERROR(__xludf.DUMMYFUNCTION("""COMPUTED_VALUE"""),24500)</f>
        <v>24500</v>
      </c>
      <c r="D930" s="2">
        <f ca="1">IFERROR(__xludf.DUMMYFUNCTION("""COMPUTED_VALUE"""),23900)</f>
        <v>23900</v>
      </c>
      <c r="E930" s="2">
        <f ca="1">IFERROR(__xludf.DUMMYFUNCTION("""COMPUTED_VALUE"""),24000)</f>
        <v>24000</v>
      </c>
      <c r="F930" s="2">
        <f ca="1">IFERROR(__xludf.DUMMYFUNCTION("""COMPUTED_VALUE"""),19947800)</f>
        <v>19947800</v>
      </c>
    </row>
    <row r="931" spans="1:6">
      <c r="A931" s="5">
        <f ca="1">IFERROR(__xludf.DUMMYFUNCTION("""COMPUTED_VALUE"""),43413.625)</f>
        <v>43413.625</v>
      </c>
      <c r="B931" s="2">
        <f ca="1">IFERROR(__xludf.DUMMYFUNCTION("""COMPUTED_VALUE"""),24000)</f>
        <v>24000</v>
      </c>
      <c r="C931" s="2">
        <f ca="1">IFERROR(__xludf.DUMMYFUNCTION("""COMPUTED_VALUE"""),24050)</f>
        <v>24050</v>
      </c>
      <c r="D931" s="2">
        <f ca="1">IFERROR(__xludf.DUMMYFUNCTION("""COMPUTED_VALUE"""),23925)</f>
        <v>23925</v>
      </c>
      <c r="E931" s="2">
        <f ca="1">IFERROR(__xludf.DUMMYFUNCTION("""COMPUTED_VALUE"""),24000)</f>
        <v>24000</v>
      </c>
      <c r="F931" s="2">
        <f ca="1">IFERROR(__xludf.DUMMYFUNCTION("""COMPUTED_VALUE"""),12587700)</f>
        <v>12587700</v>
      </c>
    </row>
    <row r="932" spans="1:6">
      <c r="A932" s="5">
        <f ca="1">IFERROR(__xludf.DUMMYFUNCTION("""COMPUTED_VALUE"""),43416.625)</f>
        <v>43416.625</v>
      </c>
      <c r="B932" s="2">
        <f ca="1">IFERROR(__xludf.DUMMYFUNCTION("""COMPUTED_VALUE"""),24150)</f>
        <v>24150</v>
      </c>
      <c r="C932" s="2">
        <f ca="1">IFERROR(__xludf.DUMMYFUNCTION("""COMPUTED_VALUE"""),24175)</f>
        <v>24175</v>
      </c>
      <c r="D932" s="2">
        <f ca="1">IFERROR(__xludf.DUMMYFUNCTION("""COMPUTED_VALUE"""),23700)</f>
        <v>23700</v>
      </c>
      <c r="E932" s="2">
        <f ca="1">IFERROR(__xludf.DUMMYFUNCTION("""COMPUTED_VALUE"""),23700)</f>
        <v>23700</v>
      </c>
      <c r="F932" s="2">
        <f ca="1">IFERROR(__xludf.DUMMYFUNCTION("""COMPUTED_VALUE"""),13025000)</f>
        <v>13025000</v>
      </c>
    </row>
    <row r="933" spans="1:6">
      <c r="A933" s="5">
        <f ca="1">IFERROR(__xludf.DUMMYFUNCTION("""COMPUTED_VALUE"""),43417.625)</f>
        <v>43417.625</v>
      </c>
      <c r="B933" s="2">
        <f ca="1">IFERROR(__xludf.DUMMYFUNCTION("""COMPUTED_VALUE"""),23700)</f>
        <v>23700</v>
      </c>
      <c r="C933" s="2">
        <f ca="1">IFERROR(__xludf.DUMMYFUNCTION("""COMPUTED_VALUE"""),24100)</f>
        <v>24100</v>
      </c>
      <c r="D933" s="2">
        <f ca="1">IFERROR(__xludf.DUMMYFUNCTION("""COMPUTED_VALUE"""),23350)</f>
        <v>23350</v>
      </c>
      <c r="E933" s="2">
        <f ca="1">IFERROR(__xludf.DUMMYFUNCTION("""COMPUTED_VALUE"""),24075)</f>
        <v>24075</v>
      </c>
      <c r="F933" s="2">
        <f ca="1">IFERROR(__xludf.DUMMYFUNCTION("""COMPUTED_VALUE"""),12246300)</f>
        <v>12246300</v>
      </c>
    </row>
    <row r="934" spans="1:6">
      <c r="A934" s="5">
        <f ca="1">IFERROR(__xludf.DUMMYFUNCTION("""COMPUTED_VALUE"""),43418.625)</f>
        <v>43418.625</v>
      </c>
      <c r="B934" s="2">
        <f ca="1">IFERROR(__xludf.DUMMYFUNCTION("""COMPUTED_VALUE"""),24075)</f>
        <v>24075</v>
      </c>
      <c r="C934" s="2">
        <f ca="1">IFERROR(__xludf.DUMMYFUNCTION("""COMPUTED_VALUE"""),24250)</f>
        <v>24250</v>
      </c>
      <c r="D934" s="2">
        <f ca="1">IFERROR(__xludf.DUMMYFUNCTION("""COMPUTED_VALUE"""),23900)</f>
        <v>23900</v>
      </c>
      <c r="E934" s="2">
        <f ca="1">IFERROR(__xludf.DUMMYFUNCTION("""COMPUTED_VALUE"""),24050)</f>
        <v>24050</v>
      </c>
      <c r="F934" s="2">
        <f ca="1">IFERROR(__xludf.DUMMYFUNCTION("""COMPUTED_VALUE"""),13702300)</f>
        <v>13702300</v>
      </c>
    </row>
    <row r="935" spans="1:6">
      <c r="A935" s="5">
        <f ca="1">IFERROR(__xludf.DUMMYFUNCTION("""COMPUTED_VALUE"""),43419.625)</f>
        <v>43419.625</v>
      </c>
      <c r="B935" s="2">
        <f ca="1">IFERROR(__xludf.DUMMYFUNCTION("""COMPUTED_VALUE"""),24275)</f>
        <v>24275</v>
      </c>
      <c r="C935" s="2">
        <f ca="1">IFERROR(__xludf.DUMMYFUNCTION("""COMPUTED_VALUE"""),24350)</f>
        <v>24350</v>
      </c>
      <c r="D935" s="2">
        <f ca="1">IFERROR(__xludf.DUMMYFUNCTION("""COMPUTED_VALUE"""),23950)</f>
        <v>23950</v>
      </c>
      <c r="E935" s="2">
        <f ca="1">IFERROR(__xludf.DUMMYFUNCTION("""COMPUTED_VALUE"""),24175)</f>
        <v>24175</v>
      </c>
      <c r="F935" s="2">
        <f ca="1">IFERROR(__xludf.DUMMYFUNCTION("""COMPUTED_VALUE"""),17417100)</f>
        <v>17417100</v>
      </c>
    </row>
    <row r="936" spans="1:6">
      <c r="A936" s="5">
        <f ca="1">IFERROR(__xludf.DUMMYFUNCTION("""COMPUTED_VALUE"""),43420.625)</f>
        <v>43420.625</v>
      </c>
      <c r="B936" s="2">
        <f ca="1">IFERROR(__xludf.DUMMYFUNCTION("""COMPUTED_VALUE"""),24350)</f>
        <v>24350</v>
      </c>
      <c r="C936" s="2">
        <f ca="1">IFERROR(__xludf.DUMMYFUNCTION("""COMPUTED_VALUE"""),24900)</f>
        <v>24900</v>
      </c>
      <c r="D936" s="2">
        <f ca="1">IFERROR(__xludf.DUMMYFUNCTION("""COMPUTED_VALUE"""),24300)</f>
        <v>24300</v>
      </c>
      <c r="E936" s="2">
        <f ca="1">IFERROR(__xludf.DUMMYFUNCTION("""COMPUTED_VALUE"""),24825)</f>
        <v>24825</v>
      </c>
      <c r="F936" s="2">
        <f ca="1">IFERROR(__xludf.DUMMYFUNCTION("""COMPUTED_VALUE"""),26829100)</f>
        <v>26829100</v>
      </c>
    </row>
    <row r="937" spans="1:6">
      <c r="A937" s="5">
        <f ca="1">IFERROR(__xludf.DUMMYFUNCTION("""COMPUTED_VALUE"""),43423.625)</f>
        <v>43423.625</v>
      </c>
      <c r="B937" s="2">
        <f ca="1">IFERROR(__xludf.DUMMYFUNCTION("""COMPUTED_VALUE"""),25000)</f>
        <v>25000</v>
      </c>
      <c r="C937" s="2">
        <f ca="1">IFERROR(__xludf.DUMMYFUNCTION("""COMPUTED_VALUE"""),25400)</f>
        <v>25400</v>
      </c>
      <c r="D937" s="2">
        <f ca="1">IFERROR(__xludf.DUMMYFUNCTION("""COMPUTED_VALUE"""),24900)</f>
        <v>24900</v>
      </c>
      <c r="E937" s="2">
        <f ca="1">IFERROR(__xludf.DUMMYFUNCTION("""COMPUTED_VALUE"""),25100)</f>
        <v>25100</v>
      </c>
      <c r="F937" s="2">
        <f ca="1">IFERROR(__xludf.DUMMYFUNCTION("""COMPUTED_VALUE"""),20764500)</f>
        <v>20764500</v>
      </c>
    </row>
    <row r="938" spans="1:6">
      <c r="A938" s="5">
        <f ca="1">IFERROR(__xludf.DUMMYFUNCTION("""COMPUTED_VALUE"""),43425.625)</f>
        <v>43425.625</v>
      </c>
      <c r="B938" s="2">
        <f ca="1">IFERROR(__xludf.DUMMYFUNCTION("""COMPUTED_VALUE"""),25000)</f>
        <v>25000</v>
      </c>
      <c r="C938" s="2">
        <f ca="1">IFERROR(__xludf.DUMMYFUNCTION("""COMPUTED_VALUE"""),25050)</f>
        <v>25050</v>
      </c>
      <c r="D938" s="2">
        <f ca="1">IFERROR(__xludf.DUMMYFUNCTION("""COMPUTED_VALUE"""),24775)</f>
        <v>24775</v>
      </c>
      <c r="E938" s="2">
        <f ca="1">IFERROR(__xludf.DUMMYFUNCTION("""COMPUTED_VALUE"""),24800)</f>
        <v>24800</v>
      </c>
      <c r="F938" s="2">
        <f ca="1">IFERROR(__xludf.DUMMYFUNCTION("""COMPUTED_VALUE"""),21577800)</f>
        <v>21577800</v>
      </c>
    </row>
    <row r="939" spans="1:6">
      <c r="A939" s="5">
        <f ca="1">IFERROR(__xludf.DUMMYFUNCTION("""COMPUTED_VALUE"""),43426.625)</f>
        <v>43426.625</v>
      </c>
      <c r="B939" s="2">
        <f ca="1">IFERROR(__xludf.DUMMYFUNCTION("""COMPUTED_VALUE"""),24700)</f>
        <v>24700</v>
      </c>
      <c r="C939" s="2">
        <f ca="1">IFERROR(__xludf.DUMMYFUNCTION("""COMPUTED_VALUE"""),25200)</f>
        <v>25200</v>
      </c>
      <c r="D939" s="2">
        <f ca="1">IFERROR(__xludf.DUMMYFUNCTION("""COMPUTED_VALUE"""),24700)</f>
        <v>24700</v>
      </c>
      <c r="E939" s="2">
        <f ca="1">IFERROR(__xludf.DUMMYFUNCTION("""COMPUTED_VALUE"""),25100)</f>
        <v>25100</v>
      </c>
      <c r="F939" s="2">
        <f ca="1">IFERROR(__xludf.DUMMYFUNCTION("""COMPUTED_VALUE"""),17454000)</f>
        <v>17454000</v>
      </c>
    </row>
    <row r="940" spans="1:6">
      <c r="A940" s="5">
        <f ca="1">IFERROR(__xludf.DUMMYFUNCTION("""COMPUTED_VALUE"""),43427.625)</f>
        <v>43427.625</v>
      </c>
      <c r="B940" s="2">
        <f ca="1">IFERROR(__xludf.DUMMYFUNCTION("""COMPUTED_VALUE"""),25300)</f>
        <v>25300</v>
      </c>
      <c r="C940" s="2">
        <f ca="1">IFERROR(__xludf.DUMMYFUNCTION("""COMPUTED_VALUE"""),25450)</f>
        <v>25450</v>
      </c>
      <c r="D940" s="2">
        <f ca="1">IFERROR(__xludf.DUMMYFUNCTION("""COMPUTED_VALUE"""),24875)</f>
        <v>24875</v>
      </c>
      <c r="E940" s="2">
        <f ca="1">IFERROR(__xludf.DUMMYFUNCTION("""COMPUTED_VALUE"""),25100)</f>
        <v>25100</v>
      </c>
      <c r="F940" s="2">
        <f ca="1">IFERROR(__xludf.DUMMYFUNCTION("""COMPUTED_VALUE"""),11492000)</f>
        <v>11492000</v>
      </c>
    </row>
    <row r="941" spans="1:6">
      <c r="A941" s="5">
        <f ca="1">IFERROR(__xludf.DUMMYFUNCTION("""COMPUTED_VALUE"""),43430.625)</f>
        <v>43430.625</v>
      </c>
      <c r="B941" s="2">
        <f ca="1">IFERROR(__xludf.DUMMYFUNCTION("""COMPUTED_VALUE"""),24800)</f>
        <v>24800</v>
      </c>
      <c r="C941" s="2">
        <f ca="1">IFERROR(__xludf.DUMMYFUNCTION("""COMPUTED_VALUE"""),25400)</f>
        <v>25400</v>
      </c>
      <c r="D941" s="2">
        <f ca="1">IFERROR(__xludf.DUMMYFUNCTION("""COMPUTED_VALUE"""),24800)</f>
        <v>24800</v>
      </c>
      <c r="E941" s="2">
        <f ca="1">IFERROR(__xludf.DUMMYFUNCTION("""COMPUTED_VALUE"""),25225)</f>
        <v>25225</v>
      </c>
      <c r="F941" s="2">
        <f ca="1">IFERROR(__xludf.DUMMYFUNCTION("""COMPUTED_VALUE"""),12867300)</f>
        <v>12867300</v>
      </c>
    </row>
    <row r="942" spans="1:6">
      <c r="A942" s="5">
        <f ca="1">IFERROR(__xludf.DUMMYFUNCTION("""COMPUTED_VALUE"""),43431.625)</f>
        <v>43431.625</v>
      </c>
      <c r="B942" s="2">
        <f ca="1">IFERROR(__xludf.DUMMYFUNCTION("""COMPUTED_VALUE"""),25200)</f>
        <v>25200</v>
      </c>
      <c r="C942" s="2">
        <f ca="1">IFERROR(__xludf.DUMMYFUNCTION("""COMPUTED_VALUE"""),25500)</f>
        <v>25500</v>
      </c>
      <c r="D942" s="2">
        <f ca="1">IFERROR(__xludf.DUMMYFUNCTION("""COMPUTED_VALUE"""),25000)</f>
        <v>25000</v>
      </c>
      <c r="E942" s="2">
        <f ca="1">IFERROR(__xludf.DUMMYFUNCTION("""COMPUTED_VALUE"""),25500)</f>
        <v>25500</v>
      </c>
      <c r="F942" s="2">
        <f ca="1">IFERROR(__xludf.DUMMYFUNCTION("""COMPUTED_VALUE"""),14797800)</f>
        <v>14797800</v>
      </c>
    </row>
    <row r="943" spans="1:6">
      <c r="A943" s="5">
        <f ca="1">IFERROR(__xludf.DUMMYFUNCTION("""COMPUTED_VALUE"""),43432.625)</f>
        <v>43432.625</v>
      </c>
      <c r="B943" s="2">
        <f ca="1">IFERROR(__xludf.DUMMYFUNCTION("""COMPUTED_VALUE"""),25625)</f>
        <v>25625</v>
      </c>
      <c r="C943" s="2">
        <f ca="1">IFERROR(__xludf.DUMMYFUNCTION("""COMPUTED_VALUE"""),25625)</f>
        <v>25625</v>
      </c>
      <c r="D943" s="2">
        <f ca="1">IFERROR(__xludf.DUMMYFUNCTION("""COMPUTED_VALUE"""),25400)</f>
        <v>25400</v>
      </c>
      <c r="E943" s="2">
        <f ca="1">IFERROR(__xludf.DUMMYFUNCTION("""COMPUTED_VALUE"""),25450)</f>
        <v>25450</v>
      </c>
      <c r="F943" s="2">
        <f ca="1">IFERROR(__xludf.DUMMYFUNCTION("""COMPUTED_VALUE"""),18137500)</f>
        <v>18137500</v>
      </c>
    </row>
    <row r="944" spans="1:6">
      <c r="A944" s="5">
        <f ca="1">IFERROR(__xludf.DUMMYFUNCTION("""COMPUTED_VALUE"""),43433.625)</f>
        <v>43433.625</v>
      </c>
      <c r="B944" s="2">
        <f ca="1">IFERROR(__xludf.DUMMYFUNCTION("""COMPUTED_VALUE"""),25500)</f>
        <v>25500</v>
      </c>
      <c r="C944" s="2">
        <f ca="1">IFERROR(__xludf.DUMMYFUNCTION("""COMPUTED_VALUE"""),26200)</f>
        <v>26200</v>
      </c>
      <c r="D944" s="2">
        <f ca="1">IFERROR(__xludf.DUMMYFUNCTION("""COMPUTED_VALUE"""),25500)</f>
        <v>25500</v>
      </c>
      <c r="E944" s="2">
        <f ca="1">IFERROR(__xludf.DUMMYFUNCTION("""COMPUTED_VALUE"""),26200)</f>
        <v>26200</v>
      </c>
      <c r="F944" s="2">
        <f ca="1">IFERROR(__xludf.DUMMYFUNCTION("""COMPUTED_VALUE"""),22769500)</f>
        <v>22769500</v>
      </c>
    </row>
    <row r="945" spans="1:6">
      <c r="A945" s="5">
        <f ca="1">IFERROR(__xludf.DUMMYFUNCTION("""COMPUTED_VALUE"""),43434.625)</f>
        <v>43434.625</v>
      </c>
      <c r="B945" s="2">
        <f ca="1">IFERROR(__xludf.DUMMYFUNCTION("""COMPUTED_VALUE"""),26200)</f>
        <v>26200</v>
      </c>
      <c r="C945" s="2">
        <f ca="1">IFERROR(__xludf.DUMMYFUNCTION("""COMPUTED_VALUE"""),26200)</f>
        <v>26200</v>
      </c>
      <c r="D945" s="2">
        <f ca="1">IFERROR(__xludf.DUMMYFUNCTION("""COMPUTED_VALUE"""),25775)</f>
        <v>25775</v>
      </c>
      <c r="E945" s="2">
        <f ca="1">IFERROR(__xludf.DUMMYFUNCTION("""COMPUTED_VALUE"""),26050)</f>
        <v>26050</v>
      </c>
      <c r="F945" s="2">
        <f ca="1">IFERROR(__xludf.DUMMYFUNCTION("""COMPUTED_VALUE"""),35606900)</f>
        <v>35606900</v>
      </c>
    </row>
    <row r="946" spans="1:6">
      <c r="A946" s="5">
        <f ca="1">IFERROR(__xludf.DUMMYFUNCTION("""COMPUTED_VALUE"""),43437.625)</f>
        <v>43437.625</v>
      </c>
      <c r="B946" s="2">
        <f ca="1">IFERROR(__xludf.DUMMYFUNCTION("""COMPUTED_VALUE"""),26075)</f>
        <v>26075</v>
      </c>
      <c r="C946" s="2">
        <f ca="1">IFERROR(__xludf.DUMMYFUNCTION("""COMPUTED_VALUE"""),26975)</f>
        <v>26975</v>
      </c>
      <c r="D946" s="2">
        <f ca="1">IFERROR(__xludf.DUMMYFUNCTION("""COMPUTED_VALUE"""),25500)</f>
        <v>25500</v>
      </c>
      <c r="E946" s="2">
        <f ca="1">IFERROR(__xludf.DUMMYFUNCTION("""COMPUTED_VALUE"""),25800)</f>
        <v>25800</v>
      </c>
      <c r="F946" s="2">
        <f ca="1">IFERROR(__xludf.DUMMYFUNCTION("""COMPUTED_VALUE"""),20184600)</f>
        <v>20184600</v>
      </c>
    </row>
    <row r="947" spans="1:6">
      <c r="A947" s="5">
        <f ca="1">IFERROR(__xludf.DUMMYFUNCTION("""COMPUTED_VALUE"""),43438.625)</f>
        <v>43438.625</v>
      </c>
      <c r="B947" s="2">
        <f ca="1">IFERROR(__xludf.DUMMYFUNCTION("""COMPUTED_VALUE"""),25800)</f>
        <v>25800</v>
      </c>
      <c r="C947" s="2">
        <f ca="1">IFERROR(__xludf.DUMMYFUNCTION("""COMPUTED_VALUE"""),26475)</f>
        <v>26475</v>
      </c>
      <c r="D947" s="2">
        <f ca="1">IFERROR(__xludf.DUMMYFUNCTION("""COMPUTED_VALUE"""),25775)</f>
        <v>25775</v>
      </c>
      <c r="E947" s="2">
        <f ca="1">IFERROR(__xludf.DUMMYFUNCTION("""COMPUTED_VALUE"""),26200)</f>
        <v>26200</v>
      </c>
      <c r="F947" s="2">
        <f ca="1">IFERROR(__xludf.DUMMYFUNCTION("""COMPUTED_VALUE"""),23846500)</f>
        <v>23846500</v>
      </c>
    </row>
    <row r="948" spans="1:6">
      <c r="A948" s="5">
        <f ca="1">IFERROR(__xludf.DUMMYFUNCTION("""COMPUTED_VALUE"""),43439.625)</f>
        <v>43439.625</v>
      </c>
      <c r="B948" s="2">
        <f ca="1">IFERROR(__xludf.DUMMYFUNCTION("""COMPUTED_VALUE"""),25600)</f>
        <v>25600</v>
      </c>
      <c r="C948" s="2">
        <f ca="1">IFERROR(__xludf.DUMMYFUNCTION("""COMPUTED_VALUE"""),26150)</f>
        <v>26150</v>
      </c>
      <c r="D948" s="2">
        <f ca="1">IFERROR(__xludf.DUMMYFUNCTION("""COMPUTED_VALUE"""),25575)</f>
        <v>25575</v>
      </c>
      <c r="E948" s="2">
        <f ca="1">IFERROR(__xludf.DUMMYFUNCTION("""COMPUTED_VALUE"""),26150)</f>
        <v>26150</v>
      </c>
      <c r="F948" s="2">
        <f ca="1">IFERROR(__xludf.DUMMYFUNCTION("""COMPUTED_VALUE"""),14998800)</f>
        <v>14998800</v>
      </c>
    </row>
    <row r="949" spans="1:6">
      <c r="A949" s="5">
        <f ca="1">IFERROR(__xludf.DUMMYFUNCTION("""COMPUTED_VALUE"""),43440.625)</f>
        <v>43440.625</v>
      </c>
      <c r="B949" s="2">
        <f ca="1">IFERROR(__xludf.DUMMYFUNCTION("""COMPUTED_VALUE"""),25850)</f>
        <v>25850</v>
      </c>
      <c r="C949" s="2">
        <f ca="1">IFERROR(__xludf.DUMMYFUNCTION("""COMPUTED_VALUE"""),26300)</f>
        <v>26300</v>
      </c>
      <c r="D949" s="2">
        <f ca="1">IFERROR(__xludf.DUMMYFUNCTION("""COMPUTED_VALUE"""),25600)</f>
        <v>25600</v>
      </c>
      <c r="E949" s="2">
        <f ca="1">IFERROR(__xludf.DUMMYFUNCTION("""COMPUTED_VALUE"""),26300)</f>
        <v>26300</v>
      </c>
      <c r="F949" s="2">
        <f ca="1">IFERROR(__xludf.DUMMYFUNCTION("""COMPUTED_VALUE"""),15090000)</f>
        <v>15090000</v>
      </c>
    </row>
    <row r="950" spans="1:6">
      <c r="A950" s="5">
        <f ca="1">IFERROR(__xludf.DUMMYFUNCTION("""COMPUTED_VALUE"""),43441.625)</f>
        <v>43441.625</v>
      </c>
      <c r="B950" s="2">
        <f ca="1">IFERROR(__xludf.DUMMYFUNCTION("""COMPUTED_VALUE"""),25950)</f>
        <v>25950</v>
      </c>
      <c r="C950" s="2">
        <f ca="1">IFERROR(__xludf.DUMMYFUNCTION("""COMPUTED_VALUE"""),26050)</f>
        <v>26050</v>
      </c>
      <c r="D950" s="2">
        <f ca="1">IFERROR(__xludf.DUMMYFUNCTION("""COMPUTED_VALUE"""),25800)</f>
        <v>25800</v>
      </c>
      <c r="E950" s="2">
        <f ca="1">IFERROR(__xludf.DUMMYFUNCTION("""COMPUTED_VALUE"""),25950)</f>
        <v>25950</v>
      </c>
      <c r="F950" s="2">
        <f ca="1">IFERROR(__xludf.DUMMYFUNCTION("""COMPUTED_VALUE"""),14214000)</f>
        <v>14214000</v>
      </c>
    </row>
    <row r="951" spans="1:6">
      <c r="A951" s="5">
        <f ca="1">IFERROR(__xludf.DUMMYFUNCTION("""COMPUTED_VALUE"""),43444.625)</f>
        <v>43444.625</v>
      </c>
      <c r="B951" s="2">
        <f ca="1">IFERROR(__xludf.DUMMYFUNCTION("""COMPUTED_VALUE"""),25600)</f>
        <v>25600</v>
      </c>
      <c r="C951" s="2">
        <f ca="1">IFERROR(__xludf.DUMMYFUNCTION("""COMPUTED_VALUE"""),26025)</f>
        <v>26025</v>
      </c>
      <c r="D951" s="2">
        <f ca="1">IFERROR(__xludf.DUMMYFUNCTION("""COMPUTED_VALUE"""),25600)</f>
        <v>25600</v>
      </c>
      <c r="E951" s="2">
        <f ca="1">IFERROR(__xludf.DUMMYFUNCTION("""COMPUTED_VALUE"""),25900)</f>
        <v>25900</v>
      </c>
      <c r="F951" s="2">
        <f ca="1">IFERROR(__xludf.DUMMYFUNCTION("""COMPUTED_VALUE"""),16244200)</f>
        <v>16244200</v>
      </c>
    </row>
    <row r="952" spans="1:6">
      <c r="A952" s="5">
        <f ca="1">IFERROR(__xludf.DUMMYFUNCTION("""COMPUTED_VALUE"""),43445.625)</f>
        <v>43445.625</v>
      </c>
      <c r="B952" s="2">
        <f ca="1">IFERROR(__xludf.DUMMYFUNCTION("""COMPUTED_VALUE"""),25650)</f>
        <v>25650</v>
      </c>
      <c r="C952" s="2">
        <f ca="1">IFERROR(__xludf.DUMMYFUNCTION("""COMPUTED_VALUE"""),26000)</f>
        <v>26000</v>
      </c>
      <c r="D952" s="2">
        <f ca="1">IFERROR(__xludf.DUMMYFUNCTION("""COMPUTED_VALUE"""),25625)</f>
        <v>25625</v>
      </c>
      <c r="E952" s="2">
        <f ca="1">IFERROR(__xludf.DUMMYFUNCTION("""COMPUTED_VALUE"""),25800)</f>
        <v>25800</v>
      </c>
      <c r="F952" s="2">
        <f ca="1">IFERROR(__xludf.DUMMYFUNCTION("""COMPUTED_VALUE"""),18603400)</f>
        <v>18603400</v>
      </c>
    </row>
    <row r="953" spans="1:6">
      <c r="A953" s="5">
        <f ca="1">IFERROR(__xludf.DUMMYFUNCTION("""COMPUTED_VALUE"""),43446.625)</f>
        <v>43446.625</v>
      </c>
      <c r="B953" s="2">
        <f ca="1">IFERROR(__xludf.DUMMYFUNCTION("""COMPUTED_VALUE"""),25950)</f>
        <v>25950</v>
      </c>
      <c r="C953" s="2">
        <f ca="1">IFERROR(__xludf.DUMMYFUNCTION("""COMPUTED_VALUE"""),25950)</f>
        <v>25950</v>
      </c>
      <c r="D953" s="2">
        <f ca="1">IFERROR(__xludf.DUMMYFUNCTION("""COMPUTED_VALUE"""),25650)</f>
        <v>25650</v>
      </c>
      <c r="E953" s="2">
        <f ca="1">IFERROR(__xludf.DUMMYFUNCTION("""COMPUTED_VALUE"""),25825)</f>
        <v>25825</v>
      </c>
      <c r="F953" s="2">
        <f ca="1">IFERROR(__xludf.DUMMYFUNCTION("""COMPUTED_VALUE"""),24324600)</f>
        <v>24324600</v>
      </c>
    </row>
    <row r="954" spans="1:6">
      <c r="A954" s="5">
        <f ca="1">IFERROR(__xludf.DUMMYFUNCTION("""COMPUTED_VALUE"""),43447.625)</f>
        <v>43447.625</v>
      </c>
      <c r="B954" s="2">
        <f ca="1">IFERROR(__xludf.DUMMYFUNCTION("""COMPUTED_VALUE"""),26000)</f>
        <v>26000</v>
      </c>
      <c r="C954" s="2">
        <f ca="1">IFERROR(__xludf.DUMMYFUNCTION("""COMPUTED_VALUE"""),26025)</f>
        <v>26025</v>
      </c>
      <c r="D954" s="2">
        <f ca="1">IFERROR(__xludf.DUMMYFUNCTION("""COMPUTED_VALUE"""),25725)</f>
        <v>25725</v>
      </c>
      <c r="E954" s="2">
        <f ca="1">IFERROR(__xludf.DUMMYFUNCTION("""COMPUTED_VALUE"""),25825)</f>
        <v>25825</v>
      </c>
      <c r="F954" s="2">
        <f ca="1">IFERROR(__xludf.DUMMYFUNCTION("""COMPUTED_VALUE"""),16856100)</f>
        <v>16856100</v>
      </c>
    </row>
    <row r="955" spans="1:6">
      <c r="A955" s="5">
        <f ca="1">IFERROR(__xludf.DUMMYFUNCTION("""COMPUTED_VALUE"""),43448.625)</f>
        <v>43448.625</v>
      </c>
      <c r="B955" s="2">
        <f ca="1">IFERROR(__xludf.DUMMYFUNCTION("""COMPUTED_VALUE"""),25800)</f>
        <v>25800</v>
      </c>
      <c r="C955" s="2">
        <f ca="1">IFERROR(__xludf.DUMMYFUNCTION("""COMPUTED_VALUE"""),25900)</f>
        <v>25900</v>
      </c>
      <c r="D955" s="2">
        <f ca="1">IFERROR(__xludf.DUMMYFUNCTION("""COMPUTED_VALUE"""),25700)</f>
        <v>25700</v>
      </c>
      <c r="E955" s="2">
        <f ca="1">IFERROR(__xludf.DUMMYFUNCTION("""COMPUTED_VALUE"""),25825)</f>
        <v>25825</v>
      </c>
      <c r="F955" s="2">
        <f ca="1">IFERROR(__xludf.DUMMYFUNCTION("""COMPUTED_VALUE"""),36887000)</f>
        <v>36887000</v>
      </c>
    </row>
    <row r="956" spans="1:6">
      <c r="A956" s="5">
        <f ca="1">IFERROR(__xludf.DUMMYFUNCTION("""COMPUTED_VALUE"""),43451.625)</f>
        <v>43451.625</v>
      </c>
      <c r="B956" s="2">
        <f ca="1">IFERROR(__xludf.DUMMYFUNCTION("""COMPUTED_VALUE"""),25925)</f>
        <v>25925</v>
      </c>
      <c r="C956" s="2">
        <f ca="1">IFERROR(__xludf.DUMMYFUNCTION("""COMPUTED_VALUE"""),26000)</f>
        <v>26000</v>
      </c>
      <c r="D956" s="2">
        <f ca="1">IFERROR(__xludf.DUMMYFUNCTION("""COMPUTED_VALUE"""),25750)</f>
        <v>25750</v>
      </c>
      <c r="E956" s="2">
        <f ca="1">IFERROR(__xludf.DUMMYFUNCTION("""COMPUTED_VALUE"""),25825)</f>
        <v>25825</v>
      </c>
      <c r="F956" s="2">
        <f ca="1">IFERROR(__xludf.DUMMYFUNCTION("""COMPUTED_VALUE"""),20287700)</f>
        <v>20287700</v>
      </c>
    </row>
    <row r="957" spans="1:6">
      <c r="A957" s="5">
        <f ca="1">IFERROR(__xludf.DUMMYFUNCTION("""COMPUTED_VALUE"""),43452.625)</f>
        <v>43452.625</v>
      </c>
      <c r="B957" s="2">
        <f ca="1">IFERROR(__xludf.DUMMYFUNCTION("""COMPUTED_VALUE"""),25500)</f>
        <v>25500</v>
      </c>
      <c r="C957" s="2">
        <f ca="1">IFERROR(__xludf.DUMMYFUNCTION("""COMPUTED_VALUE"""),25575)</f>
        <v>25575</v>
      </c>
      <c r="D957" s="2">
        <f ca="1">IFERROR(__xludf.DUMMYFUNCTION("""COMPUTED_VALUE"""),24900)</f>
        <v>24900</v>
      </c>
      <c r="E957" s="2">
        <f ca="1">IFERROR(__xludf.DUMMYFUNCTION("""COMPUTED_VALUE"""),25325)</f>
        <v>25325</v>
      </c>
      <c r="F957" s="2">
        <f ca="1">IFERROR(__xludf.DUMMYFUNCTION("""COMPUTED_VALUE"""),26407800)</f>
        <v>26407800</v>
      </c>
    </row>
    <row r="958" spans="1:6">
      <c r="A958" s="5">
        <f ca="1">IFERROR(__xludf.DUMMYFUNCTION("""COMPUTED_VALUE"""),43453.625)</f>
        <v>43453.625</v>
      </c>
      <c r="B958" s="2">
        <f ca="1">IFERROR(__xludf.DUMMYFUNCTION("""COMPUTED_VALUE"""),25200)</f>
        <v>25200</v>
      </c>
      <c r="C958" s="2">
        <f ca="1">IFERROR(__xludf.DUMMYFUNCTION("""COMPUTED_VALUE"""),26150)</f>
        <v>26150</v>
      </c>
      <c r="D958" s="2">
        <f ca="1">IFERROR(__xludf.DUMMYFUNCTION("""COMPUTED_VALUE"""),25200)</f>
        <v>25200</v>
      </c>
      <c r="E958" s="2">
        <f ca="1">IFERROR(__xludf.DUMMYFUNCTION("""COMPUTED_VALUE"""),26150)</f>
        <v>26150</v>
      </c>
      <c r="F958" s="2">
        <f ca="1">IFERROR(__xludf.DUMMYFUNCTION("""COMPUTED_VALUE"""),20444100)</f>
        <v>20444100</v>
      </c>
    </row>
    <row r="959" spans="1:6">
      <c r="A959" s="5">
        <f ca="1">IFERROR(__xludf.DUMMYFUNCTION("""COMPUTED_VALUE"""),43454.625)</f>
        <v>43454.625</v>
      </c>
      <c r="B959" s="2">
        <f ca="1">IFERROR(__xludf.DUMMYFUNCTION("""COMPUTED_VALUE"""),25600)</f>
        <v>25600</v>
      </c>
      <c r="C959" s="2">
        <f ca="1">IFERROR(__xludf.DUMMYFUNCTION("""COMPUTED_VALUE"""),25850)</f>
        <v>25850</v>
      </c>
      <c r="D959" s="2">
        <f ca="1">IFERROR(__xludf.DUMMYFUNCTION("""COMPUTED_VALUE"""),25350)</f>
        <v>25350</v>
      </c>
      <c r="E959" s="2">
        <f ca="1">IFERROR(__xludf.DUMMYFUNCTION("""COMPUTED_VALUE"""),25575)</f>
        <v>25575</v>
      </c>
      <c r="F959" s="2">
        <f ca="1">IFERROR(__xludf.DUMMYFUNCTION("""COMPUTED_VALUE"""),18891000)</f>
        <v>18891000</v>
      </c>
    </row>
    <row r="960" spans="1:6">
      <c r="A960" s="5">
        <f ca="1">IFERROR(__xludf.DUMMYFUNCTION("""COMPUTED_VALUE"""),43455.625)</f>
        <v>43455.625</v>
      </c>
      <c r="B960" s="2">
        <f ca="1">IFERROR(__xludf.DUMMYFUNCTION("""COMPUTED_VALUE"""),25200)</f>
        <v>25200</v>
      </c>
      <c r="C960" s="2">
        <f ca="1">IFERROR(__xludf.DUMMYFUNCTION("""COMPUTED_VALUE"""),25875)</f>
        <v>25875</v>
      </c>
      <c r="D960" s="2">
        <f ca="1">IFERROR(__xludf.DUMMYFUNCTION("""COMPUTED_VALUE"""),25200)</f>
        <v>25200</v>
      </c>
      <c r="E960" s="2">
        <f ca="1">IFERROR(__xludf.DUMMYFUNCTION("""COMPUTED_VALUE"""),25850)</f>
        <v>25850</v>
      </c>
      <c r="F960" s="2">
        <f ca="1">IFERROR(__xludf.DUMMYFUNCTION("""COMPUTED_VALUE"""),17995900)</f>
        <v>17995900</v>
      </c>
    </row>
    <row r="961" spans="1:6">
      <c r="A961" s="5">
        <f ca="1">IFERROR(__xludf.DUMMYFUNCTION("""COMPUTED_VALUE"""),43460.625)</f>
        <v>43460.625</v>
      </c>
      <c r="B961" s="2">
        <f ca="1">IFERROR(__xludf.DUMMYFUNCTION("""COMPUTED_VALUE"""),25850)</f>
        <v>25850</v>
      </c>
      <c r="C961" s="2">
        <f ca="1">IFERROR(__xludf.DUMMYFUNCTION("""COMPUTED_VALUE"""),26125)</f>
        <v>26125</v>
      </c>
      <c r="D961" s="2">
        <f ca="1">IFERROR(__xludf.DUMMYFUNCTION("""COMPUTED_VALUE"""),25700)</f>
        <v>25700</v>
      </c>
      <c r="E961" s="2">
        <f ca="1">IFERROR(__xludf.DUMMYFUNCTION("""COMPUTED_VALUE"""),26125)</f>
        <v>26125</v>
      </c>
      <c r="F961" s="2">
        <f ca="1">IFERROR(__xludf.DUMMYFUNCTION("""COMPUTED_VALUE"""),13302300)</f>
        <v>13302300</v>
      </c>
    </row>
    <row r="962" spans="1:6">
      <c r="A962" s="5">
        <f ca="1">IFERROR(__xludf.DUMMYFUNCTION("""COMPUTED_VALUE"""),43461.625)</f>
        <v>43461.625</v>
      </c>
      <c r="B962" s="2">
        <f ca="1">IFERROR(__xludf.DUMMYFUNCTION("""COMPUTED_VALUE"""),26200)</f>
        <v>26200</v>
      </c>
      <c r="C962" s="2">
        <f ca="1">IFERROR(__xludf.DUMMYFUNCTION("""COMPUTED_VALUE"""),26275)</f>
        <v>26275</v>
      </c>
      <c r="D962" s="2">
        <f ca="1">IFERROR(__xludf.DUMMYFUNCTION("""COMPUTED_VALUE"""),25900)</f>
        <v>25900</v>
      </c>
      <c r="E962" s="2">
        <f ca="1">IFERROR(__xludf.DUMMYFUNCTION("""COMPUTED_VALUE"""),25975)</f>
        <v>25975</v>
      </c>
      <c r="F962" s="2">
        <f ca="1">IFERROR(__xludf.DUMMYFUNCTION("""COMPUTED_VALUE"""),10053100)</f>
        <v>10053100</v>
      </c>
    </row>
    <row r="963" spans="1:6">
      <c r="A963" s="5">
        <f ca="1">IFERROR(__xludf.DUMMYFUNCTION("""COMPUTED_VALUE"""),43462.625)</f>
        <v>43462.625</v>
      </c>
      <c r="B963" s="2">
        <f ca="1">IFERROR(__xludf.DUMMYFUNCTION("""COMPUTED_VALUE"""),25975)</f>
        <v>25975</v>
      </c>
      <c r="C963" s="2">
        <f ca="1">IFERROR(__xludf.DUMMYFUNCTION("""COMPUTED_VALUE"""),26200)</f>
        <v>26200</v>
      </c>
      <c r="D963" s="2">
        <f ca="1">IFERROR(__xludf.DUMMYFUNCTION("""COMPUTED_VALUE"""),25900)</f>
        <v>25900</v>
      </c>
      <c r="E963" s="2">
        <f ca="1">IFERROR(__xludf.DUMMYFUNCTION("""COMPUTED_VALUE"""),26000)</f>
        <v>26000</v>
      </c>
      <c r="F963" s="2">
        <f ca="1">IFERROR(__xludf.DUMMYFUNCTION("""COMPUTED_VALUE"""),10893500)</f>
        <v>10893500</v>
      </c>
    </row>
    <row r="964" spans="1:6">
      <c r="A964" s="5">
        <f ca="1">IFERROR(__xludf.DUMMYFUNCTION("""COMPUTED_VALUE"""),43467.625)</f>
        <v>43467.625</v>
      </c>
      <c r="B964" s="2">
        <f ca="1">IFERROR(__xludf.DUMMYFUNCTION("""COMPUTED_VALUE"""),26000)</f>
        <v>26000</v>
      </c>
      <c r="C964" s="2">
        <f ca="1">IFERROR(__xludf.DUMMYFUNCTION("""COMPUTED_VALUE"""),26225)</f>
        <v>26225</v>
      </c>
      <c r="D964" s="2">
        <f ca="1">IFERROR(__xludf.DUMMYFUNCTION("""COMPUTED_VALUE"""),26000)</f>
        <v>26000</v>
      </c>
      <c r="E964" s="2">
        <f ca="1">IFERROR(__xludf.DUMMYFUNCTION("""COMPUTED_VALUE"""),26200)</f>
        <v>26200</v>
      </c>
      <c r="F964" s="2">
        <f ca="1">IFERROR(__xludf.DUMMYFUNCTION("""COMPUTED_VALUE"""),7191200)</f>
        <v>7191200</v>
      </c>
    </row>
    <row r="965" spans="1:6">
      <c r="A965" s="5">
        <f ca="1">IFERROR(__xludf.DUMMYFUNCTION("""COMPUTED_VALUE"""),43468.625)</f>
        <v>43468.625</v>
      </c>
      <c r="B965" s="2">
        <f ca="1">IFERROR(__xludf.DUMMYFUNCTION("""COMPUTED_VALUE"""),26000)</f>
        <v>26000</v>
      </c>
      <c r="C965" s="2">
        <f ca="1">IFERROR(__xludf.DUMMYFUNCTION("""COMPUTED_VALUE"""),26100)</f>
        <v>26100</v>
      </c>
      <c r="D965" s="2">
        <f ca="1">IFERROR(__xludf.DUMMYFUNCTION("""COMPUTED_VALUE"""),25575)</f>
        <v>25575</v>
      </c>
      <c r="E965" s="2">
        <f ca="1">IFERROR(__xludf.DUMMYFUNCTION("""COMPUTED_VALUE"""),25900)</f>
        <v>25900</v>
      </c>
      <c r="F965" s="2">
        <f ca="1">IFERROR(__xludf.DUMMYFUNCTION("""COMPUTED_VALUE"""),14471600)</f>
        <v>14471600</v>
      </c>
    </row>
    <row r="966" spans="1:6">
      <c r="A966" s="5">
        <f ca="1">IFERROR(__xludf.DUMMYFUNCTION("""COMPUTED_VALUE"""),43469.625)</f>
        <v>43469.625</v>
      </c>
      <c r="B966" s="2">
        <f ca="1">IFERROR(__xludf.DUMMYFUNCTION("""COMPUTED_VALUE"""),25875)</f>
        <v>25875</v>
      </c>
      <c r="C966" s="2">
        <f ca="1">IFERROR(__xludf.DUMMYFUNCTION("""COMPUTED_VALUE"""),26025)</f>
        <v>26025</v>
      </c>
      <c r="D966" s="2">
        <f ca="1">IFERROR(__xludf.DUMMYFUNCTION("""COMPUTED_VALUE"""),25625)</f>
        <v>25625</v>
      </c>
      <c r="E966" s="2">
        <f ca="1">IFERROR(__xludf.DUMMYFUNCTION("""COMPUTED_VALUE"""),26025)</f>
        <v>26025</v>
      </c>
      <c r="F966" s="2">
        <f ca="1">IFERROR(__xludf.DUMMYFUNCTION("""COMPUTED_VALUE"""),10293000)</f>
        <v>10293000</v>
      </c>
    </row>
    <row r="967" spans="1:6">
      <c r="A967" s="5">
        <f ca="1">IFERROR(__xludf.DUMMYFUNCTION("""COMPUTED_VALUE"""),43472.625)</f>
        <v>43472.625</v>
      </c>
      <c r="B967" s="2">
        <f ca="1">IFERROR(__xludf.DUMMYFUNCTION("""COMPUTED_VALUE"""),26325)</f>
        <v>26325</v>
      </c>
      <c r="C967" s="2">
        <f ca="1">IFERROR(__xludf.DUMMYFUNCTION("""COMPUTED_VALUE"""),26625)</f>
        <v>26625</v>
      </c>
      <c r="D967" s="2">
        <f ca="1">IFERROR(__xludf.DUMMYFUNCTION("""COMPUTED_VALUE"""),26225)</f>
        <v>26225</v>
      </c>
      <c r="E967" s="2">
        <f ca="1">IFERROR(__xludf.DUMMYFUNCTION("""COMPUTED_VALUE"""),26225)</f>
        <v>26225</v>
      </c>
      <c r="F967" s="2">
        <f ca="1">IFERROR(__xludf.DUMMYFUNCTION("""COMPUTED_VALUE"""),14687600)</f>
        <v>14687600</v>
      </c>
    </row>
    <row r="968" spans="1:6">
      <c r="A968" s="5">
        <f ca="1">IFERROR(__xludf.DUMMYFUNCTION("""COMPUTED_VALUE"""),43473.625)</f>
        <v>43473.625</v>
      </c>
      <c r="B968" s="2">
        <f ca="1">IFERROR(__xludf.DUMMYFUNCTION("""COMPUTED_VALUE"""),26150)</f>
        <v>26150</v>
      </c>
      <c r="C968" s="2">
        <f ca="1">IFERROR(__xludf.DUMMYFUNCTION("""COMPUTED_VALUE"""),26600)</f>
        <v>26600</v>
      </c>
      <c r="D968" s="2">
        <f ca="1">IFERROR(__xludf.DUMMYFUNCTION("""COMPUTED_VALUE"""),26025)</f>
        <v>26025</v>
      </c>
      <c r="E968" s="2">
        <f ca="1">IFERROR(__xludf.DUMMYFUNCTION("""COMPUTED_VALUE"""),26200)</f>
        <v>26200</v>
      </c>
      <c r="F968" s="2">
        <f ca="1">IFERROR(__xludf.DUMMYFUNCTION("""COMPUTED_VALUE"""),13249500)</f>
        <v>13249500</v>
      </c>
    </row>
    <row r="969" spans="1:6">
      <c r="A969" s="5">
        <f ca="1">IFERROR(__xludf.DUMMYFUNCTION("""COMPUTED_VALUE"""),43474.625)</f>
        <v>43474.625</v>
      </c>
      <c r="B969" s="2">
        <f ca="1">IFERROR(__xludf.DUMMYFUNCTION("""COMPUTED_VALUE"""),26500)</f>
        <v>26500</v>
      </c>
      <c r="C969" s="2">
        <f ca="1">IFERROR(__xludf.DUMMYFUNCTION("""COMPUTED_VALUE"""),26600)</f>
        <v>26600</v>
      </c>
      <c r="D969" s="2">
        <f ca="1">IFERROR(__xludf.DUMMYFUNCTION("""COMPUTED_VALUE"""),26125)</f>
        <v>26125</v>
      </c>
      <c r="E969" s="2">
        <f ca="1">IFERROR(__xludf.DUMMYFUNCTION("""COMPUTED_VALUE"""),26275)</f>
        <v>26275</v>
      </c>
      <c r="F969" s="2">
        <f ca="1">IFERROR(__xludf.DUMMYFUNCTION("""COMPUTED_VALUE"""),16974200)</f>
        <v>16974200</v>
      </c>
    </row>
    <row r="970" spans="1:6">
      <c r="A970" s="5">
        <f ca="1">IFERROR(__xludf.DUMMYFUNCTION("""COMPUTED_VALUE"""),43475.625)</f>
        <v>43475.625</v>
      </c>
      <c r="B970" s="2">
        <f ca="1">IFERROR(__xludf.DUMMYFUNCTION("""COMPUTED_VALUE"""),26500)</f>
        <v>26500</v>
      </c>
      <c r="C970" s="2">
        <f ca="1">IFERROR(__xludf.DUMMYFUNCTION("""COMPUTED_VALUE"""),26500)</f>
        <v>26500</v>
      </c>
      <c r="D970" s="2">
        <f ca="1">IFERROR(__xludf.DUMMYFUNCTION("""COMPUTED_VALUE"""),25950)</f>
        <v>25950</v>
      </c>
      <c r="E970" s="2">
        <f ca="1">IFERROR(__xludf.DUMMYFUNCTION("""COMPUTED_VALUE"""),26275)</f>
        <v>26275</v>
      </c>
      <c r="F970" s="2">
        <f ca="1">IFERROR(__xludf.DUMMYFUNCTION("""COMPUTED_VALUE"""),22862900)</f>
        <v>22862900</v>
      </c>
    </row>
    <row r="971" spans="1:6">
      <c r="A971" s="5">
        <f ca="1">IFERROR(__xludf.DUMMYFUNCTION("""COMPUTED_VALUE"""),43476.625)</f>
        <v>43476.625</v>
      </c>
      <c r="B971" s="2">
        <f ca="1">IFERROR(__xludf.DUMMYFUNCTION("""COMPUTED_VALUE"""),26400)</f>
        <v>26400</v>
      </c>
      <c r="C971" s="2">
        <f ca="1">IFERROR(__xludf.DUMMYFUNCTION("""COMPUTED_VALUE"""),26500)</f>
        <v>26500</v>
      </c>
      <c r="D971" s="2">
        <f ca="1">IFERROR(__xludf.DUMMYFUNCTION("""COMPUTED_VALUE"""),26175)</f>
        <v>26175</v>
      </c>
      <c r="E971" s="2">
        <f ca="1">IFERROR(__xludf.DUMMYFUNCTION("""COMPUTED_VALUE"""),26250)</f>
        <v>26250</v>
      </c>
      <c r="F971" s="2">
        <f ca="1">IFERROR(__xludf.DUMMYFUNCTION("""COMPUTED_VALUE"""),16965300)</f>
        <v>16965300</v>
      </c>
    </row>
    <row r="972" spans="1:6">
      <c r="A972" s="5">
        <f ca="1">IFERROR(__xludf.DUMMYFUNCTION("""COMPUTED_VALUE"""),43479.625)</f>
        <v>43479.625</v>
      </c>
      <c r="B972" s="2">
        <f ca="1">IFERROR(__xludf.DUMMYFUNCTION("""COMPUTED_VALUE"""),26100)</f>
        <v>26100</v>
      </c>
      <c r="C972" s="2">
        <f ca="1">IFERROR(__xludf.DUMMYFUNCTION("""COMPUTED_VALUE"""),26175)</f>
        <v>26175</v>
      </c>
      <c r="D972" s="2">
        <f ca="1">IFERROR(__xludf.DUMMYFUNCTION("""COMPUTED_VALUE"""),25750)</f>
        <v>25750</v>
      </c>
      <c r="E972" s="2">
        <f ca="1">IFERROR(__xludf.DUMMYFUNCTION("""COMPUTED_VALUE"""),26000)</f>
        <v>26000</v>
      </c>
      <c r="F972" s="2">
        <f ca="1">IFERROR(__xludf.DUMMYFUNCTION("""COMPUTED_VALUE"""),17509500)</f>
        <v>17509500</v>
      </c>
    </row>
    <row r="973" spans="1:6">
      <c r="A973" s="5">
        <f ca="1">IFERROR(__xludf.DUMMYFUNCTION("""COMPUTED_VALUE"""),43480.625)</f>
        <v>43480.625</v>
      </c>
      <c r="B973" s="2">
        <f ca="1">IFERROR(__xludf.DUMMYFUNCTION("""COMPUTED_VALUE"""),26150)</f>
        <v>26150</v>
      </c>
      <c r="C973" s="2">
        <f ca="1">IFERROR(__xludf.DUMMYFUNCTION("""COMPUTED_VALUE"""),26300)</f>
        <v>26300</v>
      </c>
      <c r="D973" s="2">
        <f ca="1">IFERROR(__xludf.DUMMYFUNCTION("""COMPUTED_VALUE"""),25950)</f>
        <v>25950</v>
      </c>
      <c r="E973" s="2">
        <f ca="1">IFERROR(__xludf.DUMMYFUNCTION("""COMPUTED_VALUE"""),26300)</f>
        <v>26300</v>
      </c>
      <c r="F973" s="2">
        <f ca="1">IFERROR(__xludf.DUMMYFUNCTION("""COMPUTED_VALUE"""),17552600)</f>
        <v>17552600</v>
      </c>
    </row>
    <row r="974" spans="1:6">
      <c r="A974" s="5">
        <f ca="1">IFERROR(__xludf.DUMMYFUNCTION("""COMPUTED_VALUE"""),43481.625)</f>
        <v>43481.625</v>
      </c>
      <c r="B974" s="2">
        <f ca="1">IFERROR(__xludf.DUMMYFUNCTION("""COMPUTED_VALUE"""),26300)</f>
        <v>26300</v>
      </c>
      <c r="C974" s="2">
        <f ca="1">IFERROR(__xludf.DUMMYFUNCTION("""COMPUTED_VALUE"""),26425)</f>
        <v>26425</v>
      </c>
      <c r="D974" s="2">
        <f ca="1">IFERROR(__xludf.DUMMYFUNCTION("""COMPUTED_VALUE"""),26225)</f>
        <v>26225</v>
      </c>
      <c r="E974" s="2">
        <f ca="1">IFERROR(__xludf.DUMMYFUNCTION("""COMPUTED_VALUE"""),26425)</f>
        <v>26425</v>
      </c>
      <c r="F974" s="2">
        <f ca="1">IFERROR(__xludf.DUMMYFUNCTION("""COMPUTED_VALUE"""),18994500)</f>
        <v>18994500</v>
      </c>
    </row>
    <row r="975" spans="1:6">
      <c r="A975" s="5">
        <f ca="1">IFERROR(__xludf.DUMMYFUNCTION("""COMPUTED_VALUE"""),43482.625)</f>
        <v>43482.625</v>
      </c>
      <c r="B975" s="2">
        <f ca="1">IFERROR(__xludf.DUMMYFUNCTION("""COMPUTED_VALUE"""),26450)</f>
        <v>26450</v>
      </c>
      <c r="C975" s="2">
        <f ca="1">IFERROR(__xludf.DUMMYFUNCTION("""COMPUTED_VALUE"""),26650)</f>
        <v>26650</v>
      </c>
      <c r="D975" s="2">
        <f ca="1">IFERROR(__xludf.DUMMYFUNCTION("""COMPUTED_VALUE"""),26425)</f>
        <v>26425</v>
      </c>
      <c r="E975" s="2">
        <f ca="1">IFERROR(__xludf.DUMMYFUNCTION("""COMPUTED_VALUE"""),26650)</f>
        <v>26650</v>
      </c>
      <c r="F975" s="2">
        <f ca="1">IFERROR(__xludf.DUMMYFUNCTION("""COMPUTED_VALUE"""),18330800)</f>
        <v>18330800</v>
      </c>
    </row>
    <row r="976" spans="1:6">
      <c r="A976" s="5">
        <f ca="1">IFERROR(__xludf.DUMMYFUNCTION("""COMPUTED_VALUE"""),43483.625)</f>
        <v>43483.625</v>
      </c>
      <c r="B976" s="2">
        <f ca="1">IFERROR(__xludf.DUMMYFUNCTION("""COMPUTED_VALUE"""),26700)</f>
        <v>26700</v>
      </c>
      <c r="C976" s="2">
        <f ca="1">IFERROR(__xludf.DUMMYFUNCTION("""COMPUTED_VALUE"""),27125)</f>
        <v>27125</v>
      </c>
      <c r="D976" s="2">
        <f ca="1">IFERROR(__xludf.DUMMYFUNCTION("""COMPUTED_VALUE"""),26575)</f>
        <v>26575</v>
      </c>
      <c r="E976" s="2">
        <f ca="1">IFERROR(__xludf.DUMMYFUNCTION("""COMPUTED_VALUE"""),27125)</f>
        <v>27125</v>
      </c>
      <c r="F976" s="2">
        <f ca="1">IFERROR(__xludf.DUMMYFUNCTION("""COMPUTED_VALUE"""),20174700)</f>
        <v>20174700</v>
      </c>
    </row>
    <row r="977" spans="1:6">
      <c r="A977" s="5">
        <f ca="1">IFERROR(__xludf.DUMMYFUNCTION("""COMPUTED_VALUE"""),43486.625)</f>
        <v>43486.625</v>
      </c>
      <c r="B977" s="2">
        <f ca="1">IFERROR(__xludf.DUMMYFUNCTION("""COMPUTED_VALUE"""),27125)</f>
        <v>27125</v>
      </c>
      <c r="C977" s="2">
        <f ca="1">IFERROR(__xludf.DUMMYFUNCTION("""COMPUTED_VALUE"""),28000)</f>
        <v>28000</v>
      </c>
      <c r="D977" s="2">
        <f ca="1">IFERROR(__xludf.DUMMYFUNCTION("""COMPUTED_VALUE"""),26950)</f>
        <v>26950</v>
      </c>
      <c r="E977" s="2">
        <f ca="1">IFERROR(__xludf.DUMMYFUNCTION("""COMPUTED_VALUE"""),27725)</f>
        <v>27725</v>
      </c>
      <c r="F977" s="2">
        <f ca="1">IFERROR(__xludf.DUMMYFUNCTION("""COMPUTED_VALUE"""),17423600)</f>
        <v>17423600</v>
      </c>
    </row>
    <row r="978" spans="1:6">
      <c r="A978" s="5">
        <f ca="1">IFERROR(__xludf.DUMMYFUNCTION("""COMPUTED_VALUE"""),43487.625)</f>
        <v>43487.625</v>
      </c>
      <c r="B978" s="2">
        <f ca="1">IFERROR(__xludf.DUMMYFUNCTION("""COMPUTED_VALUE"""),28000)</f>
        <v>28000</v>
      </c>
      <c r="C978" s="2">
        <f ca="1">IFERROR(__xludf.DUMMYFUNCTION("""COMPUTED_VALUE"""),28100)</f>
        <v>28100</v>
      </c>
      <c r="D978" s="2">
        <f ca="1">IFERROR(__xludf.DUMMYFUNCTION("""COMPUTED_VALUE"""),27250)</f>
        <v>27250</v>
      </c>
      <c r="E978" s="2">
        <f ca="1">IFERROR(__xludf.DUMMYFUNCTION("""COMPUTED_VALUE"""),28000)</f>
        <v>28000</v>
      </c>
      <c r="F978" s="2">
        <f ca="1">IFERROR(__xludf.DUMMYFUNCTION("""COMPUTED_VALUE"""),18381400)</f>
        <v>18381400</v>
      </c>
    </row>
    <row r="979" spans="1:6">
      <c r="A979" s="5">
        <f ca="1">IFERROR(__xludf.DUMMYFUNCTION("""COMPUTED_VALUE"""),43488.625)</f>
        <v>43488.625</v>
      </c>
      <c r="B979" s="2">
        <f ca="1">IFERROR(__xludf.DUMMYFUNCTION("""COMPUTED_VALUE"""),28000)</f>
        <v>28000</v>
      </c>
      <c r="C979" s="2">
        <f ca="1">IFERROR(__xludf.DUMMYFUNCTION("""COMPUTED_VALUE"""),28000)</f>
        <v>28000</v>
      </c>
      <c r="D979" s="2">
        <f ca="1">IFERROR(__xludf.DUMMYFUNCTION("""COMPUTED_VALUE"""),27375)</f>
        <v>27375</v>
      </c>
      <c r="E979" s="2">
        <f ca="1">IFERROR(__xludf.DUMMYFUNCTION("""COMPUTED_VALUE"""),27500)</f>
        <v>27500</v>
      </c>
      <c r="F979" s="2">
        <f ca="1">IFERROR(__xludf.DUMMYFUNCTION("""COMPUTED_VALUE"""),19702500)</f>
        <v>19702500</v>
      </c>
    </row>
    <row r="980" spans="1:6">
      <c r="A980" s="5">
        <f ca="1">IFERROR(__xludf.DUMMYFUNCTION("""COMPUTED_VALUE"""),43489.625)</f>
        <v>43489.625</v>
      </c>
      <c r="B980" s="2">
        <f ca="1">IFERROR(__xludf.DUMMYFUNCTION("""COMPUTED_VALUE"""),27150)</f>
        <v>27150</v>
      </c>
      <c r="C980" s="2">
        <f ca="1">IFERROR(__xludf.DUMMYFUNCTION("""COMPUTED_VALUE"""),27425)</f>
        <v>27425</v>
      </c>
      <c r="D980" s="2">
        <f ca="1">IFERROR(__xludf.DUMMYFUNCTION("""COMPUTED_VALUE"""),26775)</f>
        <v>26775</v>
      </c>
      <c r="E980" s="2">
        <f ca="1">IFERROR(__xludf.DUMMYFUNCTION("""COMPUTED_VALUE"""),27300)</f>
        <v>27300</v>
      </c>
      <c r="F980" s="2">
        <f ca="1">IFERROR(__xludf.DUMMYFUNCTION("""COMPUTED_VALUE"""),21356200)</f>
        <v>21356200</v>
      </c>
    </row>
    <row r="981" spans="1:6">
      <c r="A981" s="5">
        <f ca="1">IFERROR(__xludf.DUMMYFUNCTION("""COMPUTED_VALUE"""),43490.625)</f>
        <v>43490.625</v>
      </c>
      <c r="B981" s="2">
        <f ca="1">IFERROR(__xludf.DUMMYFUNCTION("""COMPUTED_VALUE"""),27000)</f>
        <v>27000</v>
      </c>
      <c r="C981" s="2">
        <f ca="1">IFERROR(__xludf.DUMMYFUNCTION("""COMPUTED_VALUE"""),27600)</f>
        <v>27600</v>
      </c>
      <c r="D981" s="2">
        <f ca="1">IFERROR(__xludf.DUMMYFUNCTION("""COMPUTED_VALUE"""),27000)</f>
        <v>27000</v>
      </c>
      <c r="E981" s="2">
        <f ca="1">IFERROR(__xludf.DUMMYFUNCTION("""COMPUTED_VALUE"""),27500)</f>
        <v>27500</v>
      </c>
      <c r="F981" s="2">
        <f ca="1">IFERROR(__xludf.DUMMYFUNCTION("""COMPUTED_VALUE"""),13788800)</f>
        <v>13788800</v>
      </c>
    </row>
    <row r="982" spans="1:6">
      <c r="A982" s="5">
        <f ca="1">IFERROR(__xludf.DUMMYFUNCTION("""COMPUTED_VALUE"""),43493.625)</f>
        <v>43493.625</v>
      </c>
      <c r="B982" s="2">
        <f ca="1">IFERROR(__xludf.DUMMYFUNCTION("""COMPUTED_VALUE"""),27575)</f>
        <v>27575</v>
      </c>
      <c r="C982" s="2">
        <f ca="1">IFERROR(__xludf.DUMMYFUNCTION("""COMPUTED_VALUE"""),27575)</f>
        <v>27575</v>
      </c>
      <c r="D982" s="2">
        <f ca="1">IFERROR(__xludf.DUMMYFUNCTION("""COMPUTED_VALUE"""),27375)</f>
        <v>27375</v>
      </c>
      <c r="E982" s="2">
        <f ca="1">IFERROR(__xludf.DUMMYFUNCTION("""COMPUTED_VALUE"""),27475)</f>
        <v>27475</v>
      </c>
      <c r="F982" s="2">
        <f ca="1">IFERROR(__xludf.DUMMYFUNCTION("""COMPUTED_VALUE"""),13940800)</f>
        <v>13940800</v>
      </c>
    </row>
    <row r="983" spans="1:6">
      <c r="A983" s="5">
        <f ca="1">IFERROR(__xludf.DUMMYFUNCTION("""COMPUTED_VALUE"""),43494.625)</f>
        <v>43494.625</v>
      </c>
      <c r="B983" s="2">
        <f ca="1">IFERROR(__xludf.DUMMYFUNCTION("""COMPUTED_VALUE"""),27225)</f>
        <v>27225</v>
      </c>
      <c r="C983" s="2">
        <f ca="1">IFERROR(__xludf.DUMMYFUNCTION("""COMPUTED_VALUE"""),27750)</f>
        <v>27750</v>
      </c>
      <c r="D983" s="2">
        <f ca="1">IFERROR(__xludf.DUMMYFUNCTION("""COMPUTED_VALUE"""),27200)</f>
        <v>27200</v>
      </c>
      <c r="E983" s="2">
        <f ca="1">IFERROR(__xludf.DUMMYFUNCTION("""COMPUTED_VALUE"""),27700)</f>
        <v>27700</v>
      </c>
      <c r="F983" s="2">
        <f ca="1">IFERROR(__xludf.DUMMYFUNCTION("""COMPUTED_VALUE"""),15535800)</f>
        <v>15535800</v>
      </c>
    </row>
    <row r="984" spans="1:6">
      <c r="A984" s="5">
        <f ca="1">IFERROR(__xludf.DUMMYFUNCTION("""COMPUTED_VALUE"""),43495.625)</f>
        <v>43495.625</v>
      </c>
      <c r="B984" s="2">
        <f ca="1">IFERROR(__xludf.DUMMYFUNCTION("""COMPUTED_VALUE"""),27800)</f>
        <v>27800</v>
      </c>
      <c r="C984" s="2">
        <f ca="1">IFERROR(__xludf.DUMMYFUNCTION("""COMPUTED_VALUE"""),27800)</f>
        <v>27800</v>
      </c>
      <c r="D984" s="2">
        <f ca="1">IFERROR(__xludf.DUMMYFUNCTION("""COMPUTED_VALUE"""),27475)</f>
        <v>27475</v>
      </c>
      <c r="E984" s="2">
        <f ca="1">IFERROR(__xludf.DUMMYFUNCTION("""COMPUTED_VALUE"""),27600)</f>
        <v>27600</v>
      </c>
      <c r="F984" s="2">
        <f ca="1">IFERROR(__xludf.DUMMYFUNCTION("""COMPUTED_VALUE"""),15257000)</f>
        <v>15257000</v>
      </c>
    </row>
    <row r="985" spans="1:6">
      <c r="A985" s="5">
        <f ca="1">IFERROR(__xludf.DUMMYFUNCTION("""COMPUTED_VALUE"""),43496.625)</f>
        <v>43496.625</v>
      </c>
      <c r="B985" s="2">
        <f ca="1">IFERROR(__xludf.DUMMYFUNCTION("""COMPUTED_VALUE"""),27600)</f>
        <v>27600</v>
      </c>
      <c r="C985" s="2">
        <f ca="1">IFERROR(__xludf.DUMMYFUNCTION("""COMPUTED_VALUE"""),28200)</f>
        <v>28200</v>
      </c>
      <c r="D985" s="2">
        <f ca="1">IFERROR(__xludf.DUMMYFUNCTION("""COMPUTED_VALUE"""),27600)</f>
        <v>27600</v>
      </c>
      <c r="E985" s="2">
        <f ca="1">IFERROR(__xludf.DUMMYFUNCTION("""COMPUTED_VALUE"""),28175)</f>
        <v>28175</v>
      </c>
      <c r="F985" s="2">
        <f ca="1">IFERROR(__xludf.DUMMYFUNCTION("""COMPUTED_VALUE"""),27180900)</f>
        <v>27180900</v>
      </c>
    </row>
    <row r="986" spans="1:6">
      <c r="A986" s="5">
        <f ca="1">IFERROR(__xludf.DUMMYFUNCTION("""COMPUTED_VALUE"""),43497.625)</f>
        <v>43497.625</v>
      </c>
      <c r="B986" s="2">
        <f ca="1">IFERROR(__xludf.DUMMYFUNCTION("""COMPUTED_VALUE"""),28400)</f>
        <v>28400</v>
      </c>
      <c r="C986" s="2">
        <f ca="1">IFERROR(__xludf.DUMMYFUNCTION("""COMPUTED_VALUE"""),28750)</f>
        <v>28750</v>
      </c>
      <c r="D986" s="2">
        <f ca="1">IFERROR(__xludf.DUMMYFUNCTION("""COMPUTED_VALUE"""),27800)</f>
        <v>27800</v>
      </c>
      <c r="E986" s="2">
        <f ca="1">IFERROR(__xludf.DUMMYFUNCTION("""COMPUTED_VALUE"""),28175)</f>
        <v>28175</v>
      </c>
      <c r="F986" s="2">
        <f ca="1">IFERROR(__xludf.DUMMYFUNCTION("""COMPUTED_VALUE"""),11543900)</f>
        <v>11543900</v>
      </c>
    </row>
    <row r="987" spans="1:6">
      <c r="A987" s="5">
        <f ca="1">IFERROR(__xludf.DUMMYFUNCTION("""COMPUTED_VALUE"""),43500.625)</f>
        <v>43500.625</v>
      </c>
      <c r="B987" s="2">
        <f ca="1">IFERROR(__xludf.DUMMYFUNCTION("""COMPUTED_VALUE"""),28175)</f>
        <v>28175</v>
      </c>
      <c r="C987" s="2">
        <f ca="1">IFERROR(__xludf.DUMMYFUNCTION("""COMPUTED_VALUE"""),28175)</f>
        <v>28175</v>
      </c>
      <c r="D987" s="2">
        <f ca="1">IFERROR(__xludf.DUMMYFUNCTION("""COMPUTED_VALUE"""),27500)</f>
        <v>27500</v>
      </c>
      <c r="E987" s="2">
        <f ca="1">IFERROR(__xludf.DUMMYFUNCTION("""COMPUTED_VALUE"""),27500)</f>
        <v>27500</v>
      </c>
      <c r="F987" s="2">
        <f ca="1">IFERROR(__xludf.DUMMYFUNCTION("""COMPUTED_VALUE"""),22769300)</f>
        <v>22769300</v>
      </c>
    </row>
    <row r="988" spans="1:6">
      <c r="A988" s="5">
        <f ca="1">IFERROR(__xludf.DUMMYFUNCTION("""COMPUTED_VALUE"""),43502.625)</f>
        <v>43502.625</v>
      </c>
      <c r="B988" s="2">
        <f ca="1">IFERROR(__xludf.DUMMYFUNCTION("""COMPUTED_VALUE"""),27500)</f>
        <v>27500</v>
      </c>
      <c r="C988" s="2">
        <f ca="1">IFERROR(__xludf.DUMMYFUNCTION("""COMPUTED_VALUE"""),27700)</f>
        <v>27700</v>
      </c>
      <c r="D988" s="2">
        <f ca="1">IFERROR(__xludf.DUMMYFUNCTION("""COMPUTED_VALUE"""),27475)</f>
        <v>27475</v>
      </c>
      <c r="E988" s="2">
        <f ca="1">IFERROR(__xludf.DUMMYFUNCTION("""COMPUTED_VALUE"""),27675)</f>
        <v>27675</v>
      </c>
      <c r="F988" s="2">
        <f ca="1">IFERROR(__xludf.DUMMYFUNCTION("""COMPUTED_VALUE"""),24399300)</f>
        <v>24399300</v>
      </c>
    </row>
    <row r="989" spans="1:6">
      <c r="A989" s="5">
        <f ca="1">IFERROR(__xludf.DUMMYFUNCTION("""COMPUTED_VALUE"""),43503.625)</f>
        <v>43503.625</v>
      </c>
      <c r="B989" s="2">
        <f ca="1">IFERROR(__xludf.DUMMYFUNCTION("""COMPUTED_VALUE"""),27675)</f>
        <v>27675</v>
      </c>
      <c r="C989" s="2">
        <f ca="1">IFERROR(__xludf.DUMMYFUNCTION("""COMPUTED_VALUE"""),27675)</f>
        <v>27675</v>
      </c>
      <c r="D989" s="2">
        <f ca="1">IFERROR(__xludf.DUMMYFUNCTION("""COMPUTED_VALUE"""),27525)</f>
        <v>27525</v>
      </c>
      <c r="E989" s="2">
        <f ca="1">IFERROR(__xludf.DUMMYFUNCTION("""COMPUTED_VALUE"""),27650)</f>
        <v>27650</v>
      </c>
      <c r="F989" s="2">
        <f ca="1">IFERROR(__xludf.DUMMYFUNCTION("""COMPUTED_VALUE"""),12739500)</f>
        <v>12739500</v>
      </c>
    </row>
    <row r="990" spans="1:6">
      <c r="A990" s="5">
        <f ca="1">IFERROR(__xludf.DUMMYFUNCTION("""COMPUTED_VALUE"""),43504.625)</f>
        <v>43504.625</v>
      </c>
      <c r="B990" s="2">
        <f ca="1">IFERROR(__xludf.DUMMYFUNCTION("""COMPUTED_VALUE"""),27650)</f>
        <v>27650</v>
      </c>
      <c r="C990" s="2">
        <f ca="1">IFERROR(__xludf.DUMMYFUNCTION("""COMPUTED_VALUE"""),27675)</f>
        <v>27675</v>
      </c>
      <c r="D990" s="2">
        <f ca="1">IFERROR(__xludf.DUMMYFUNCTION("""COMPUTED_VALUE"""),27500)</f>
        <v>27500</v>
      </c>
      <c r="E990" s="2">
        <f ca="1">IFERROR(__xludf.DUMMYFUNCTION("""COMPUTED_VALUE"""),27600)</f>
        <v>27600</v>
      </c>
      <c r="F990" s="2">
        <f ca="1">IFERROR(__xludf.DUMMYFUNCTION("""COMPUTED_VALUE"""),13053700)</f>
        <v>13053700</v>
      </c>
    </row>
    <row r="991" spans="1:6">
      <c r="A991" s="5">
        <f ca="1">IFERROR(__xludf.DUMMYFUNCTION("""COMPUTED_VALUE"""),43507.625)</f>
        <v>43507.625</v>
      </c>
      <c r="B991" s="2">
        <f ca="1">IFERROR(__xludf.DUMMYFUNCTION("""COMPUTED_VALUE"""),27600)</f>
        <v>27600</v>
      </c>
      <c r="C991" s="2">
        <f ca="1">IFERROR(__xludf.DUMMYFUNCTION("""COMPUTED_VALUE"""),27650)</f>
        <v>27650</v>
      </c>
      <c r="D991" s="2">
        <f ca="1">IFERROR(__xludf.DUMMYFUNCTION("""COMPUTED_VALUE"""),27300)</f>
        <v>27300</v>
      </c>
      <c r="E991" s="2">
        <f ca="1">IFERROR(__xludf.DUMMYFUNCTION("""COMPUTED_VALUE"""),27475)</f>
        <v>27475</v>
      </c>
      <c r="F991" s="2">
        <f ca="1">IFERROR(__xludf.DUMMYFUNCTION("""COMPUTED_VALUE"""),7527800)</f>
        <v>7527800</v>
      </c>
    </row>
    <row r="992" spans="1:6">
      <c r="A992" s="5">
        <f ca="1">IFERROR(__xludf.DUMMYFUNCTION("""COMPUTED_VALUE"""),43508.625)</f>
        <v>43508.625</v>
      </c>
      <c r="B992" s="2">
        <f ca="1">IFERROR(__xludf.DUMMYFUNCTION("""COMPUTED_VALUE"""),27650)</f>
        <v>27650</v>
      </c>
      <c r="C992" s="2">
        <f ca="1">IFERROR(__xludf.DUMMYFUNCTION("""COMPUTED_VALUE"""),27650)</f>
        <v>27650</v>
      </c>
      <c r="D992" s="2">
        <f ca="1">IFERROR(__xludf.DUMMYFUNCTION("""COMPUTED_VALUE"""),27250)</f>
        <v>27250</v>
      </c>
      <c r="E992" s="2">
        <f ca="1">IFERROR(__xludf.DUMMYFUNCTION("""COMPUTED_VALUE"""),27300)</f>
        <v>27300</v>
      </c>
      <c r="F992" s="2">
        <f ca="1">IFERROR(__xludf.DUMMYFUNCTION("""COMPUTED_VALUE"""),19176700)</f>
        <v>19176700</v>
      </c>
    </row>
    <row r="993" spans="1:6">
      <c r="A993" s="5">
        <f ca="1">IFERROR(__xludf.DUMMYFUNCTION("""COMPUTED_VALUE"""),43509.625)</f>
        <v>43509.625</v>
      </c>
      <c r="B993" s="2">
        <f ca="1">IFERROR(__xludf.DUMMYFUNCTION("""COMPUTED_VALUE"""),27300)</f>
        <v>27300</v>
      </c>
      <c r="C993" s="2">
        <f ca="1">IFERROR(__xludf.DUMMYFUNCTION("""COMPUTED_VALUE"""),27450)</f>
        <v>27450</v>
      </c>
      <c r="D993" s="2">
        <f ca="1">IFERROR(__xludf.DUMMYFUNCTION("""COMPUTED_VALUE"""),27050)</f>
        <v>27050</v>
      </c>
      <c r="E993" s="2">
        <f ca="1">IFERROR(__xludf.DUMMYFUNCTION("""COMPUTED_VALUE"""),27100)</f>
        <v>27100</v>
      </c>
      <c r="F993" s="2">
        <f ca="1">IFERROR(__xludf.DUMMYFUNCTION("""COMPUTED_VALUE"""),20623100)</f>
        <v>20623100</v>
      </c>
    </row>
    <row r="994" spans="1:6">
      <c r="A994" s="5">
        <f ca="1">IFERROR(__xludf.DUMMYFUNCTION("""COMPUTED_VALUE"""),43510.625)</f>
        <v>43510.625</v>
      </c>
      <c r="B994" s="2">
        <f ca="1">IFERROR(__xludf.DUMMYFUNCTION("""COMPUTED_VALUE"""),27025)</f>
        <v>27025</v>
      </c>
      <c r="C994" s="2">
        <f ca="1">IFERROR(__xludf.DUMMYFUNCTION("""COMPUTED_VALUE"""),27025)</f>
        <v>27025</v>
      </c>
      <c r="D994" s="2">
        <f ca="1">IFERROR(__xludf.DUMMYFUNCTION("""COMPUTED_VALUE"""),26900)</f>
        <v>26900</v>
      </c>
      <c r="E994" s="2">
        <f ca="1">IFERROR(__xludf.DUMMYFUNCTION("""COMPUTED_VALUE"""),26900)</f>
        <v>26900</v>
      </c>
      <c r="F994" s="2">
        <f ca="1">IFERROR(__xludf.DUMMYFUNCTION("""COMPUTED_VALUE"""),21747700)</f>
        <v>21747700</v>
      </c>
    </row>
    <row r="995" spans="1:6">
      <c r="A995" s="5">
        <f ca="1">IFERROR(__xludf.DUMMYFUNCTION("""COMPUTED_VALUE"""),43511.625)</f>
        <v>43511.625</v>
      </c>
      <c r="B995" s="2">
        <f ca="1">IFERROR(__xludf.DUMMYFUNCTION("""COMPUTED_VALUE"""),26800)</f>
        <v>26800</v>
      </c>
      <c r="C995" s="2">
        <f ca="1">IFERROR(__xludf.DUMMYFUNCTION("""COMPUTED_VALUE"""),27050)</f>
        <v>27050</v>
      </c>
      <c r="D995" s="2">
        <f ca="1">IFERROR(__xludf.DUMMYFUNCTION("""COMPUTED_VALUE"""),26675)</f>
        <v>26675</v>
      </c>
      <c r="E995" s="2">
        <f ca="1">IFERROR(__xludf.DUMMYFUNCTION("""COMPUTED_VALUE"""),26800)</f>
        <v>26800</v>
      </c>
      <c r="F995" s="2">
        <f ca="1">IFERROR(__xludf.DUMMYFUNCTION("""COMPUTED_VALUE"""),16268000)</f>
        <v>16268000</v>
      </c>
    </row>
    <row r="996" spans="1:6">
      <c r="A996" s="5">
        <f ca="1">IFERROR(__xludf.DUMMYFUNCTION("""COMPUTED_VALUE"""),43514.625)</f>
        <v>43514.625</v>
      </c>
      <c r="B996" s="2">
        <f ca="1">IFERROR(__xludf.DUMMYFUNCTION("""COMPUTED_VALUE"""),27050)</f>
        <v>27050</v>
      </c>
      <c r="C996" s="2">
        <f ca="1">IFERROR(__xludf.DUMMYFUNCTION("""COMPUTED_VALUE"""),27500)</f>
        <v>27500</v>
      </c>
      <c r="D996" s="2">
        <f ca="1">IFERROR(__xludf.DUMMYFUNCTION("""COMPUTED_VALUE"""),27050)</f>
        <v>27050</v>
      </c>
      <c r="E996" s="2">
        <f ca="1">IFERROR(__xludf.DUMMYFUNCTION("""COMPUTED_VALUE"""),27400)</f>
        <v>27400</v>
      </c>
      <c r="F996" s="2">
        <f ca="1">IFERROR(__xludf.DUMMYFUNCTION("""COMPUTED_VALUE"""),12598200)</f>
        <v>12598200</v>
      </c>
    </row>
    <row r="997" spans="1:6">
      <c r="A997" s="5">
        <f ca="1">IFERROR(__xludf.DUMMYFUNCTION("""COMPUTED_VALUE"""),43515.625)</f>
        <v>43515.625</v>
      </c>
      <c r="B997" s="2">
        <f ca="1">IFERROR(__xludf.DUMMYFUNCTION("""COMPUTED_VALUE"""),27100)</f>
        <v>27100</v>
      </c>
      <c r="C997" s="2">
        <f ca="1">IFERROR(__xludf.DUMMYFUNCTION("""COMPUTED_VALUE"""),27400)</f>
        <v>27400</v>
      </c>
      <c r="D997" s="2">
        <f ca="1">IFERROR(__xludf.DUMMYFUNCTION("""COMPUTED_VALUE"""),26900)</f>
        <v>26900</v>
      </c>
      <c r="E997" s="2">
        <f ca="1">IFERROR(__xludf.DUMMYFUNCTION("""COMPUTED_VALUE"""),26900)</f>
        <v>26900</v>
      </c>
      <c r="F997" s="2">
        <f ca="1">IFERROR(__xludf.DUMMYFUNCTION("""COMPUTED_VALUE"""),12893800)</f>
        <v>12893800</v>
      </c>
    </row>
    <row r="998" spans="1:6">
      <c r="A998" s="5">
        <f ca="1">IFERROR(__xludf.DUMMYFUNCTION("""COMPUTED_VALUE"""),43516.625)</f>
        <v>43516.625</v>
      </c>
      <c r="B998" s="2">
        <f ca="1">IFERROR(__xludf.DUMMYFUNCTION("""COMPUTED_VALUE"""),27250)</f>
        <v>27250</v>
      </c>
      <c r="C998" s="2">
        <f ca="1">IFERROR(__xludf.DUMMYFUNCTION("""COMPUTED_VALUE"""),27975)</f>
        <v>27975</v>
      </c>
      <c r="D998" s="2">
        <f ca="1">IFERROR(__xludf.DUMMYFUNCTION("""COMPUTED_VALUE"""),27200)</f>
        <v>27200</v>
      </c>
      <c r="E998" s="2">
        <f ca="1">IFERROR(__xludf.DUMMYFUNCTION("""COMPUTED_VALUE"""),27500)</f>
        <v>27500</v>
      </c>
      <c r="F998" s="2">
        <f ca="1">IFERROR(__xludf.DUMMYFUNCTION("""COMPUTED_VALUE"""),17916600)</f>
        <v>17916600</v>
      </c>
    </row>
    <row r="999" spans="1:6">
      <c r="A999" s="5">
        <f ca="1">IFERROR(__xludf.DUMMYFUNCTION("""COMPUTED_VALUE"""),43517.625)</f>
        <v>43517.625</v>
      </c>
      <c r="B999" s="2">
        <f ca="1">IFERROR(__xludf.DUMMYFUNCTION("""COMPUTED_VALUE"""),27700)</f>
        <v>27700</v>
      </c>
      <c r="C999" s="2">
        <f ca="1">IFERROR(__xludf.DUMMYFUNCTION("""COMPUTED_VALUE"""),27800)</f>
        <v>27800</v>
      </c>
      <c r="D999" s="2">
        <f ca="1">IFERROR(__xludf.DUMMYFUNCTION("""COMPUTED_VALUE"""),27350)</f>
        <v>27350</v>
      </c>
      <c r="E999" s="2">
        <f ca="1">IFERROR(__xludf.DUMMYFUNCTION("""COMPUTED_VALUE"""),27525)</f>
        <v>27525</v>
      </c>
      <c r="F999" s="2">
        <f ca="1">IFERROR(__xludf.DUMMYFUNCTION("""COMPUTED_VALUE"""),10912300)</f>
        <v>10912300</v>
      </c>
    </row>
    <row r="1000" spans="1:6">
      <c r="A1000" s="5">
        <f ca="1">IFERROR(__xludf.DUMMYFUNCTION("""COMPUTED_VALUE"""),43518.625)</f>
        <v>43518.625</v>
      </c>
      <c r="B1000" s="2">
        <f ca="1">IFERROR(__xludf.DUMMYFUNCTION("""COMPUTED_VALUE"""),27375)</f>
        <v>27375</v>
      </c>
      <c r="C1000" s="2">
        <f ca="1">IFERROR(__xludf.DUMMYFUNCTION("""COMPUTED_VALUE"""),27625)</f>
        <v>27625</v>
      </c>
      <c r="D1000" s="2">
        <f ca="1">IFERROR(__xludf.DUMMYFUNCTION("""COMPUTED_VALUE"""),27300)</f>
        <v>27300</v>
      </c>
      <c r="E1000" s="2">
        <f ca="1">IFERROR(__xludf.DUMMYFUNCTION("""COMPUTED_VALUE"""),27450)</f>
        <v>27450</v>
      </c>
      <c r="F1000" s="2">
        <f ca="1">IFERROR(__xludf.DUMMYFUNCTION("""COMPUTED_VALUE"""),9654300)</f>
        <v>9654300</v>
      </c>
    </row>
    <row r="1001" spans="1:6">
      <c r="A1001" s="5">
        <f ca="1">IFERROR(__xludf.DUMMYFUNCTION("""COMPUTED_VALUE"""),43521.625)</f>
        <v>43521.625</v>
      </c>
      <c r="B1001" s="2">
        <f ca="1">IFERROR(__xludf.DUMMYFUNCTION("""COMPUTED_VALUE"""),27450)</f>
        <v>27450</v>
      </c>
      <c r="C1001" s="2">
        <f ca="1">IFERROR(__xludf.DUMMYFUNCTION("""COMPUTED_VALUE"""),27500)</f>
        <v>27500</v>
      </c>
      <c r="D1001" s="2">
        <f ca="1">IFERROR(__xludf.DUMMYFUNCTION("""COMPUTED_VALUE"""),27275)</f>
        <v>27275</v>
      </c>
      <c r="E1001" s="2">
        <f ca="1">IFERROR(__xludf.DUMMYFUNCTION("""COMPUTED_VALUE"""),27450)</f>
        <v>27450</v>
      </c>
      <c r="F1001" s="2">
        <f ca="1">IFERROR(__xludf.DUMMYFUNCTION("""COMPUTED_VALUE"""),9577400)</f>
        <v>9577400</v>
      </c>
    </row>
    <row r="1002" spans="1:6">
      <c r="A1002" s="5">
        <f ca="1">IFERROR(__xludf.DUMMYFUNCTION("""COMPUTED_VALUE"""),43522.625)</f>
        <v>43522.625</v>
      </c>
      <c r="B1002" s="2">
        <f ca="1">IFERROR(__xludf.DUMMYFUNCTION("""COMPUTED_VALUE"""),27500)</f>
        <v>27500</v>
      </c>
      <c r="C1002" s="2">
        <f ca="1">IFERROR(__xludf.DUMMYFUNCTION("""COMPUTED_VALUE"""),27775)</f>
        <v>27775</v>
      </c>
      <c r="D1002" s="2">
        <f ca="1">IFERROR(__xludf.DUMMYFUNCTION("""COMPUTED_VALUE"""),27475)</f>
        <v>27475</v>
      </c>
      <c r="E1002" s="2">
        <f ca="1">IFERROR(__xludf.DUMMYFUNCTION("""COMPUTED_VALUE"""),27775)</f>
        <v>27775</v>
      </c>
      <c r="F1002" s="2">
        <f ca="1">IFERROR(__xludf.DUMMYFUNCTION("""COMPUTED_VALUE"""),19689200)</f>
        <v>19689200</v>
      </c>
    </row>
    <row r="1003" spans="1:6">
      <c r="A1003" s="5">
        <f ca="1">IFERROR(__xludf.DUMMYFUNCTION("""COMPUTED_VALUE"""),43523.625)</f>
        <v>43523.625</v>
      </c>
      <c r="B1003" s="2">
        <f ca="1">IFERROR(__xludf.DUMMYFUNCTION("""COMPUTED_VALUE"""),27825)</f>
        <v>27825</v>
      </c>
      <c r="C1003" s="2">
        <f ca="1">IFERROR(__xludf.DUMMYFUNCTION("""COMPUTED_VALUE"""),27850)</f>
        <v>27850</v>
      </c>
      <c r="D1003" s="2">
        <f ca="1">IFERROR(__xludf.DUMMYFUNCTION("""COMPUTED_VALUE"""),27725)</f>
        <v>27725</v>
      </c>
      <c r="E1003" s="2">
        <f ca="1">IFERROR(__xludf.DUMMYFUNCTION("""COMPUTED_VALUE"""),27825)</f>
        <v>27825</v>
      </c>
      <c r="F1003" s="2">
        <f ca="1">IFERROR(__xludf.DUMMYFUNCTION("""COMPUTED_VALUE"""),15703900)</f>
        <v>15703900</v>
      </c>
    </row>
    <row r="1004" spans="1:6">
      <c r="A1004" s="5">
        <f ca="1">IFERROR(__xludf.DUMMYFUNCTION("""COMPUTED_VALUE"""),43524.625)</f>
        <v>43524.625</v>
      </c>
      <c r="B1004" s="2">
        <f ca="1">IFERROR(__xludf.DUMMYFUNCTION("""COMPUTED_VALUE"""),27850)</f>
        <v>27850</v>
      </c>
      <c r="C1004" s="2">
        <f ca="1">IFERROR(__xludf.DUMMYFUNCTION("""COMPUTED_VALUE"""),27900)</f>
        <v>27900</v>
      </c>
      <c r="D1004" s="2">
        <f ca="1">IFERROR(__xludf.DUMMYFUNCTION("""COMPUTED_VALUE"""),27550)</f>
        <v>27550</v>
      </c>
      <c r="E1004" s="2">
        <f ca="1">IFERROR(__xludf.DUMMYFUNCTION("""COMPUTED_VALUE"""),27575)</f>
        <v>27575</v>
      </c>
      <c r="F1004" s="2">
        <f ca="1">IFERROR(__xludf.DUMMYFUNCTION("""COMPUTED_VALUE"""),19873200)</f>
        <v>19873200</v>
      </c>
    </row>
    <row r="1005" spans="1:6">
      <c r="A1005" s="5">
        <f ca="1">IFERROR(__xludf.DUMMYFUNCTION("""COMPUTED_VALUE"""),43525.625)</f>
        <v>43525.625</v>
      </c>
      <c r="B1005" s="2">
        <f ca="1">IFERROR(__xludf.DUMMYFUNCTION("""COMPUTED_VALUE"""),27825)</f>
        <v>27825</v>
      </c>
      <c r="C1005" s="2">
        <f ca="1">IFERROR(__xludf.DUMMYFUNCTION("""COMPUTED_VALUE"""),28000)</f>
        <v>28000</v>
      </c>
      <c r="D1005" s="2">
        <f ca="1">IFERROR(__xludf.DUMMYFUNCTION("""COMPUTED_VALUE"""),27675)</f>
        <v>27675</v>
      </c>
      <c r="E1005" s="2">
        <f ca="1">IFERROR(__xludf.DUMMYFUNCTION("""COMPUTED_VALUE"""),27700)</f>
        <v>27700</v>
      </c>
      <c r="F1005" s="2">
        <f ca="1">IFERROR(__xludf.DUMMYFUNCTION("""COMPUTED_VALUE"""),14517900)</f>
        <v>14517900</v>
      </c>
    </row>
    <row r="1006" spans="1:6">
      <c r="A1006" s="5">
        <f ca="1">IFERROR(__xludf.DUMMYFUNCTION("""COMPUTED_VALUE"""),43528.625)</f>
        <v>43528.625</v>
      </c>
      <c r="B1006" s="2">
        <f ca="1">IFERROR(__xludf.DUMMYFUNCTION("""COMPUTED_VALUE"""),27600)</f>
        <v>27600</v>
      </c>
      <c r="C1006" s="2">
        <f ca="1">IFERROR(__xludf.DUMMYFUNCTION("""COMPUTED_VALUE"""),27700)</f>
        <v>27700</v>
      </c>
      <c r="D1006" s="2">
        <f ca="1">IFERROR(__xludf.DUMMYFUNCTION("""COMPUTED_VALUE"""),27575)</f>
        <v>27575</v>
      </c>
      <c r="E1006" s="2">
        <f ca="1">IFERROR(__xludf.DUMMYFUNCTION("""COMPUTED_VALUE"""),27675)</f>
        <v>27675</v>
      </c>
      <c r="F1006" s="2">
        <f ca="1">IFERROR(__xludf.DUMMYFUNCTION("""COMPUTED_VALUE"""),12782100)</f>
        <v>12782100</v>
      </c>
    </row>
    <row r="1007" spans="1:6">
      <c r="A1007" s="5">
        <f ca="1">IFERROR(__xludf.DUMMYFUNCTION("""COMPUTED_VALUE"""),43529.625)</f>
        <v>43529.625</v>
      </c>
      <c r="B1007" s="2">
        <f ca="1">IFERROR(__xludf.DUMMYFUNCTION("""COMPUTED_VALUE"""),27500)</f>
        <v>27500</v>
      </c>
      <c r="C1007" s="2">
        <f ca="1">IFERROR(__xludf.DUMMYFUNCTION("""COMPUTED_VALUE"""),27525)</f>
        <v>27525</v>
      </c>
      <c r="D1007" s="2">
        <f ca="1">IFERROR(__xludf.DUMMYFUNCTION("""COMPUTED_VALUE"""),27200)</f>
        <v>27200</v>
      </c>
      <c r="E1007" s="2">
        <f ca="1">IFERROR(__xludf.DUMMYFUNCTION("""COMPUTED_VALUE"""),27475)</f>
        <v>27475</v>
      </c>
      <c r="F1007" s="2">
        <f ca="1">IFERROR(__xludf.DUMMYFUNCTION("""COMPUTED_VALUE"""),9299900)</f>
        <v>9299900</v>
      </c>
    </row>
    <row r="1008" spans="1:6">
      <c r="A1008" s="5">
        <f ca="1">IFERROR(__xludf.DUMMYFUNCTION("""COMPUTED_VALUE"""),43530.625)</f>
        <v>43530.625</v>
      </c>
      <c r="B1008" s="2">
        <f ca="1">IFERROR(__xludf.DUMMYFUNCTION("""COMPUTED_VALUE"""),27775)</f>
        <v>27775</v>
      </c>
      <c r="C1008" s="2">
        <f ca="1">IFERROR(__xludf.DUMMYFUNCTION("""COMPUTED_VALUE"""),27775)</f>
        <v>27775</v>
      </c>
      <c r="D1008" s="2">
        <f ca="1">IFERROR(__xludf.DUMMYFUNCTION("""COMPUTED_VALUE"""),27450)</f>
        <v>27450</v>
      </c>
      <c r="E1008" s="2">
        <f ca="1">IFERROR(__xludf.DUMMYFUNCTION("""COMPUTED_VALUE"""),27450)</f>
        <v>27450</v>
      </c>
      <c r="F1008" s="2">
        <f ca="1">IFERROR(__xludf.DUMMYFUNCTION("""COMPUTED_VALUE"""),7555400)</f>
        <v>7555400</v>
      </c>
    </row>
    <row r="1009" spans="1:6">
      <c r="A1009" s="5">
        <f ca="1">IFERROR(__xludf.DUMMYFUNCTION("""COMPUTED_VALUE"""),43532.625)</f>
        <v>43532.625</v>
      </c>
      <c r="B1009" s="2">
        <f ca="1">IFERROR(__xludf.DUMMYFUNCTION("""COMPUTED_VALUE"""),27725)</f>
        <v>27725</v>
      </c>
      <c r="C1009" s="2">
        <f ca="1">IFERROR(__xludf.DUMMYFUNCTION("""COMPUTED_VALUE"""),27850)</f>
        <v>27850</v>
      </c>
      <c r="D1009" s="2">
        <f ca="1">IFERROR(__xludf.DUMMYFUNCTION("""COMPUTED_VALUE"""),27200)</f>
        <v>27200</v>
      </c>
      <c r="E1009" s="2">
        <f ca="1">IFERROR(__xludf.DUMMYFUNCTION("""COMPUTED_VALUE"""),27200)</f>
        <v>27200</v>
      </c>
      <c r="F1009" s="2">
        <f ca="1">IFERROR(__xludf.DUMMYFUNCTION("""COMPUTED_VALUE"""),12225200)</f>
        <v>12225200</v>
      </c>
    </row>
    <row r="1010" spans="1:6">
      <c r="A1010" s="5">
        <f ca="1">IFERROR(__xludf.DUMMYFUNCTION("""COMPUTED_VALUE"""),43535.625)</f>
        <v>43535.625</v>
      </c>
      <c r="B1010" s="2">
        <f ca="1">IFERROR(__xludf.DUMMYFUNCTION("""COMPUTED_VALUE"""),27650)</f>
        <v>27650</v>
      </c>
      <c r="C1010" s="2">
        <f ca="1">IFERROR(__xludf.DUMMYFUNCTION("""COMPUTED_VALUE"""),27650)</f>
        <v>27650</v>
      </c>
      <c r="D1010" s="2">
        <f ca="1">IFERROR(__xludf.DUMMYFUNCTION("""COMPUTED_VALUE"""),27300)</f>
        <v>27300</v>
      </c>
      <c r="E1010" s="2">
        <f ca="1">IFERROR(__xludf.DUMMYFUNCTION("""COMPUTED_VALUE"""),27500)</f>
        <v>27500</v>
      </c>
      <c r="F1010" s="2">
        <f ca="1">IFERROR(__xludf.DUMMYFUNCTION("""COMPUTED_VALUE"""),9707300)</f>
        <v>9707300</v>
      </c>
    </row>
    <row r="1011" spans="1:6">
      <c r="A1011" s="5">
        <f ca="1">IFERROR(__xludf.DUMMYFUNCTION("""COMPUTED_VALUE"""),43536.625)</f>
        <v>43536.625</v>
      </c>
      <c r="B1011" s="2">
        <f ca="1">IFERROR(__xludf.DUMMYFUNCTION("""COMPUTED_VALUE"""),27700)</f>
        <v>27700</v>
      </c>
      <c r="C1011" s="2">
        <f ca="1">IFERROR(__xludf.DUMMYFUNCTION("""COMPUTED_VALUE"""),27700)</f>
        <v>27700</v>
      </c>
      <c r="D1011" s="2">
        <f ca="1">IFERROR(__xludf.DUMMYFUNCTION("""COMPUTED_VALUE"""),27250)</f>
        <v>27250</v>
      </c>
      <c r="E1011" s="2">
        <f ca="1">IFERROR(__xludf.DUMMYFUNCTION("""COMPUTED_VALUE"""),27475)</f>
        <v>27475</v>
      </c>
      <c r="F1011" s="2">
        <f ca="1">IFERROR(__xludf.DUMMYFUNCTION("""COMPUTED_VALUE"""),13835900)</f>
        <v>13835900</v>
      </c>
    </row>
    <row r="1012" spans="1:6">
      <c r="A1012" s="5">
        <f ca="1">IFERROR(__xludf.DUMMYFUNCTION("""COMPUTED_VALUE"""),43537.625)</f>
        <v>43537.625</v>
      </c>
      <c r="B1012" s="2">
        <f ca="1">IFERROR(__xludf.DUMMYFUNCTION("""COMPUTED_VALUE"""),27250)</f>
        <v>27250</v>
      </c>
      <c r="C1012" s="2">
        <f ca="1">IFERROR(__xludf.DUMMYFUNCTION("""COMPUTED_VALUE"""),27525)</f>
        <v>27525</v>
      </c>
      <c r="D1012" s="2">
        <f ca="1">IFERROR(__xludf.DUMMYFUNCTION("""COMPUTED_VALUE"""),27250)</f>
        <v>27250</v>
      </c>
      <c r="E1012" s="2">
        <f ca="1">IFERROR(__xludf.DUMMYFUNCTION("""COMPUTED_VALUE"""),27475)</f>
        <v>27475</v>
      </c>
      <c r="F1012" s="2">
        <f ca="1">IFERROR(__xludf.DUMMYFUNCTION("""COMPUTED_VALUE"""),7201900)</f>
        <v>7201900</v>
      </c>
    </row>
    <row r="1013" spans="1:6">
      <c r="A1013" s="5">
        <f ca="1">IFERROR(__xludf.DUMMYFUNCTION("""COMPUTED_VALUE"""),43538.625)</f>
        <v>43538.625</v>
      </c>
      <c r="B1013" s="2">
        <f ca="1">IFERROR(__xludf.DUMMYFUNCTION("""COMPUTED_VALUE"""),27250)</f>
        <v>27250</v>
      </c>
      <c r="C1013" s="2">
        <f ca="1">IFERROR(__xludf.DUMMYFUNCTION("""COMPUTED_VALUE"""),27475)</f>
        <v>27475</v>
      </c>
      <c r="D1013" s="2">
        <f ca="1">IFERROR(__xludf.DUMMYFUNCTION("""COMPUTED_VALUE"""),27250)</f>
        <v>27250</v>
      </c>
      <c r="E1013" s="2">
        <f ca="1">IFERROR(__xludf.DUMMYFUNCTION("""COMPUTED_VALUE"""),27400)</f>
        <v>27400</v>
      </c>
      <c r="F1013" s="2">
        <f ca="1">IFERROR(__xludf.DUMMYFUNCTION("""COMPUTED_VALUE"""),11123300)</f>
        <v>11123300</v>
      </c>
    </row>
    <row r="1014" spans="1:6">
      <c r="A1014" s="5">
        <f ca="1">IFERROR(__xludf.DUMMYFUNCTION("""COMPUTED_VALUE"""),43539.625)</f>
        <v>43539.625</v>
      </c>
      <c r="B1014" s="2">
        <f ca="1">IFERROR(__xludf.DUMMYFUNCTION("""COMPUTED_VALUE"""),27600)</f>
        <v>27600</v>
      </c>
      <c r="C1014" s="2">
        <f ca="1">IFERROR(__xludf.DUMMYFUNCTION("""COMPUTED_VALUE"""),27750)</f>
        <v>27750</v>
      </c>
      <c r="D1014" s="2">
        <f ca="1">IFERROR(__xludf.DUMMYFUNCTION("""COMPUTED_VALUE"""),27425)</f>
        <v>27425</v>
      </c>
      <c r="E1014" s="2">
        <f ca="1">IFERROR(__xludf.DUMMYFUNCTION("""COMPUTED_VALUE"""),27500)</f>
        <v>27500</v>
      </c>
      <c r="F1014" s="2">
        <f ca="1">IFERROR(__xludf.DUMMYFUNCTION("""COMPUTED_VALUE"""),24478100)</f>
        <v>24478100</v>
      </c>
    </row>
    <row r="1015" spans="1:6">
      <c r="A1015" s="5">
        <f ca="1">IFERROR(__xludf.DUMMYFUNCTION("""COMPUTED_VALUE"""),43542.625)</f>
        <v>43542.625</v>
      </c>
      <c r="B1015" s="2">
        <f ca="1">IFERROR(__xludf.DUMMYFUNCTION("""COMPUTED_VALUE"""),27775)</f>
        <v>27775</v>
      </c>
      <c r="C1015" s="2">
        <f ca="1">IFERROR(__xludf.DUMMYFUNCTION("""COMPUTED_VALUE"""),27800)</f>
        <v>27800</v>
      </c>
      <c r="D1015" s="2">
        <f ca="1">IFERROR(__xludf.DUMMYFUNCTION("""COMPUTED_VALUE"""),27675)</f>
        <v>27675</v>
      </c>
      <c r="E1015" s="2">
        <f ca="1">IFERROR(__xludf.DUMMYFUNCTION("""COMPUTED_VALUE"""),27700)</f>
        <v>27700</v>
      </c>
      <c r="F1015" s="2">
        <f ca="1">IFERROR(__xludf.DUMMYFUNCTION("""COMPUTED_VALUE"""),11514900)</f>
        <v>11514900</v>
      </c>
    </row>
    <row r="1016" spans="1:6">
      <c r="A1016" s="5">
        <f ca="1">IFERROR(__xludf.DUMMYFUNCTION("""COMPUTED_VALUE"""),43543.625)</f>
        <v>43543.625</v>
      </c>
      <c r="B1016" s="2">
        <f ca="1">IFERROR(__xludf.DUMMYFUNCTION("""COMPUTED_VALUE"""),27700)</f>
        <v>27700</v>
      </c>
      <c r="C1016" s="2">
        <f ca="1">IFERROR(__xludf.DUMMYFUNCTION("""COMPUTED_VALUE"""),27725)</f>
        <v>27725</v>
      </c>
      <c r="D1016" s="2">
        <f ca="1">IFERROR(__xludf.DUMMYFUNCTION("""COMPUTED_VALUE"""),27425)</f>
        <v>27425</v>
      </c>
      <c r="E1016" s="2">
        <f ca="1">IFERROR(__xludf.DUMMYFUNCTION("""COMPUTED_VALUE"""),27500)</f>
        <v>27500</v>
      </c>
      <c r="F1016" s="2">
        <f ca="1">IFERROR(__xludf.DUMMYFUNCTION("""COMPUTED_VALUE"""),15436800)</f>
        <v>15436800</v>
      </c>
    </row>
    <row r="1017" spans="1:6">
      <c r="A1017" s="5">
        <f ca="1">IFERROR(__xludf.DUMMYFUNCTION("""COMPUTED_VALUE"""),43544.625)</f>
        <v>43544.625</v>
      </c>
      <c r="B1017" s="2">
        <f ca="1">IFERROR(__xludf.DUMMYFUNCTION("""COMPUTED_VALUE"""),27700)</f>
        <v>27700</v>
      </c>
      <c r="C1017" s="2">
        <f ca="1">IFERROR(__xludf.DUMMYFUNCTION("""COMPUTED_VALUE"""),27775)</f>
        <v>27775</v>
      </c>
      <c r="D1017" s="2">
        <f ca="1">IFERROR(__xludf.DUMMYFUNCTION("""COMPUTED_VALUE"""),27325)</f>
        <v>27325</v>
      </c>
      <c r="E1017" s="2">
        <f ca="1">IFERROR(__xludf.DUMMYFUNCTION("""COMPUTED_VALUE"""),27575)</f>
        <v>27575</v>
      </c>
      <c r="F1017" s="2">
        <f ca="1">IFERROR(__xludf.DUMMYFUNCTION("""COMPUTED_VALUE"""),13023100)</f>
        <v>13023100</v>
      </c>
    </row>
    <row r="1018" spans="1:6">
      <c r="A1018" s="5">
        <f ca="1">IFERROR(__xludf.DUMMYFUNCTION("""COMPUTED_VALUE"""),43545.625)</f>
        <v>43545.625</v>
      </c>
      <c r="B1018" s="2">
        <f ca="1">IFERROR(__xludf.DUMMYFUNCTION("""COMPUTED_VALUE"""),27450)</f>
        <v>27450</v>
      </c>
      <c r="C1018" s="2">
        <f ca="1">IFERROR(__xludf.DUMMYFUNCTION("""COMPUTED_VALUE"""),27600)</f>
        <v>27600</v>
      </c>
      <c r="D1018" s="2">
        <f ca="1">IFERROR(__xludf.DUMMYFUNCTION("""COMPUTED_VALUE"""),27300)</f>
        <v>27300</v>
      </c>
      <c r="E1018" s="2">
        <f ca="1">IFERROR(__xludf.DUMMYFUNCTION("""COMPUTED_VALUE"""),27450)</f>
        <v>27450</v>
      </c>
      <c r="F1018" s="2">
        <f ca="1">IFERROR(__xludf.DUMMYFUNCTION("""COMPUTED_VALUE"""),11825600)</f>
        <v>11825600</v>
      </c>
    </row>
    <row r="1019" spans="1:6">
      <c r="A1019" s="5">
        <f ca="1">IFERROR(__xludf.DUMMYFUNCTION("""COMPUTED_VALUE"""),43546.625)</f>
        <v>43546.625</v>
      </c>
      <c r="B1019" s="2">
        <f ca="1">IFERROR(__xludf.DUMMYFUNCTION("""COMPUTED_VALUE"""),27325)</f>
        <v>27325</v>
      </c>
      <c r="C1019" s="2">
        <f ca="1">IFERROR(__xludf.DUMMYFUNCTION("""COMPUTED_VALUE"""),27500)</f>
        <v>27500</v>
      </c>
      <c r="D1019" s="2">
        <f ca="1">IFERROR(__xludf.DUMMYFUNCTION("""COMPUTED_VALUE"""),27325)</f>
        <v>27325</v>
      </c>
      <c r="E1019" s="2">
        <f ca="1">IFERROR(__xludf.DUMMYFUNCTION("""COMPUTED_VALUE"""),27450)</f>
        <v>27450</v>
      </c>
      <c r="F1019" s="2">
        <f ca="1">IFERROR(__xludf.DUMMYFUNCTION("""COMPUTED_VALUE"""),13842600)</f>
        <v>13842600</v>
      </c>
    </row>
    <row r="1020" spans="1:6">
      <c r="A1020" s="5">
        <f ca="1">IFERROR(__xludf.DUMMYFUNCTION("""COMPUTED_VALUE"""),43549.625)</f>
        <v>43549.625</v>
      </c>
      <c r="B1020" s="2">
        <f ca="1">IFERROR(__xludf.DUMMYFUNCTION("""COMPUTED_VALUE"""),27200)</f>
        <v>27200</v>
      </c>
      <c r="C1020" s="2">
        <f ca="1">IFERROR(__xludf.DUMMYFUNCTION("""COMPUTED_VALUE"""),27500)</f>
        <v>27500</v>
      </c>
      <c r="D1020" s="2">
        <f ca="1">IFERROR(__xludf.DUMMYFUNCTION("""COMPUTED_VALUE"""),27200)</f>
        <v>27200</v>
      </c>
      <c r="E1020" s="2">
        <f ca="1">IFERROR(__xludf.DUMMYFUNCTION("""COMPUTED_VALUE"""),27250)</f>
        <v>27250</v>
      </c>
      <c r="F1020" s="2">
        <f ca="1">IFERROR(__xludf.DUMMYFUNCTION("""COMPUTED_VALUE"""),7845300)</f>
        <v>7845300</v>
      </c>
    </row>
    <row r="1021" spans="1:6">
      <c r="A1021" s="5">
        <f ca="1">IFERROR(__xludf.DUMMYFUNCTION("""COMPUTED_VALUE"""),43550.625)</f>
        <v>43550.625</v>
      </c>
      <c r="B1021" s="2">
        <f ca="1">IFERROR(__xludf.DUMMYFUNCTION("""COMPUTED_VALUE"""),27400)</f>
        <v>27400</v>
      </c>
      <c r="C1021" s="2">
        <f ca="1">IFERROR(__xludf.DUMMYFUNCTION("""COMPUTED_VALUE"""),27550)</f>
        <v>27550</v>
      </c>
      <c r="D1021" s="2">
        <f ca="1">IFERROR(__xludf.DUMMYFUNCTION("""COMPUTED_VALUE"""),27275)</f>
        <v>27275</v>
      </c>
      <c r="E1021" s="2">
        <f ca="1">IFERROR(__xludf.DUMMYFUNCTION("""COMPUTED_VALUE"""),27325)</f>
        <v>27325</v>
      </c>
      <c r="F1021" s="2">
        <f ca="1">IFERROR(__xludf.DUMMYFUNCTION("""COMPUTED_VALUE"""),5610500)</f>
        <v>5610500</v>
      </c>
    </row>
    <row r="1022" spans="1:6">
      <c r="A1022" s="5">
        <f ca="1">IFERROR(__xludf.DUMMYFUNCTION("""COMPUTED_VALUE"""),43551.625)</f>
        <v>43551.625</v>
      </c>
      <c r="B1022" s="2">
        <f ca="1">IFERROR(__xludf.DUMMYFUNCTION("""COMPUTED_VALUE"""),27550)</f>
        <v>27550</v>
      </c>
      <c r="C1022" s="2">
        <f ca="1">IFERROR(__xludf.DUMMYFUNCTION("""COMPUTED_VALUE"""),27550)</f>
        <v>27550</v>
      </c>
      <c r="D1022" s="2">
        <f ca="1">IFERROR(__xludf.DUMMYFUNCTION("""COMPUTED_VALUE"""),27250)</f>
        <v>27250</v>
      </c>
      <c r="E1022" s="2">
        <f ca="1">IFERROR(__xludf.DUMMYFUNCTION("""COMPUTED_VALUE"""),27250)</f>
        <v>27250</v>
      </c>
      <c r="F1022" s="2">
        <f ca="1">IFERROR(__xludf.DUMMYFUNCTION("""COMPUTED_VALUE"""),8273500)</f>
        <v>8273500</v>
      </c>
    </row>
    <row r="1023" spans="1:6">
      <c r="A1023" s="5">
        <f ca="1">IFERROR(__xludf.DUMMYFUNCTION("""COMPUTED_VALUE"""),43552.625)</f>
        <v>43552.625</v>
      </c>
      <c r="B1023" s="2">
        <f ca="1">IFERROR(__xludf.DUMMYFUNCTION("""COMPUTED_VALUE"""),27300)</f>
        <v>27300</v>
      </c>
      <c r="C1023" s="2">
        <f ca="1">IFERROR(__xludf.DUMMYFUNCTION("""COMPUTED_VALUE"""),27450)</f>
        <v>27450</v>
      </c>
      <c r="D1023" s="2">
        <f ca="1">IFERROR(__xludf.DUMMYFUNCTION("""COMPUTED_VALUE"""),27125)</f>
        <v>27125</v>
      </c>
      <c r="E1023" s="2">
        <f ca="1">IFERROR(__xludf.DUMMYFUNCTION("""COMPUTED_VALUE"""),27450)</f>
        <v>27450</v>
      </c>
      <c r="F1023" s="2">
        <f ca="1">IFERROR(__xludf.DUMMYFUNCTION("""COMPUTED_VALUE"""),9592100)</f>
        <v>9592100</v>
      </c>
    </row>
    <row r="1024" spans="1:6">
      <c r="A1024" s="5">
        <f ca="1">IFERROR(__xludf.DUMMYFUNCTION("""COMPUTED_VALUE"""),43553.625)</f>
        <v>43553.625</v>
      </c>
      <c r="B1024" s="2">
        <f ca="1">IFERROR(__xludf.DUMMYFUNCTION("""COMPUTED_VALUE"""),27575)</f>
        <v>27575</v>
      </c>
      <c r="C1024" s="2">
        <f ca="1">IFERROR(__xludf.DUMMYFUNCTION("""COMPUTED_VALUE"""),27750)</f>
        <v>27750</v>
      </c>
      <c r="D1024" s="2">
        <f ca="1">IFERROR(__xludf.DUMMYFUNCTION("""COMPUTED_VALUE"""),27300)</f>
        <v>27300</v>
      </c>
      <c r="E1024" s="2">
        <f ca="1">IFERROR(__xludf.DUMMYFUNCTION("""COMPUTED_VALUE"""),27750)</f>
        <v>27750</v>
      </c>
      <c r="F1024" s="2">
        <f ca="1">IFERROR(__xludf.DUMMYFUNCTION("""COMPUTED_VALUE"""),14711000)</f>
        <v>14711000</v>
      </c>
    </row>
    <row r="1025" spans="1:6">
      <c r="A1025" s="5">
        <f ca="1">IFERROR(__xludf.DUMMYFUNCTION("""COMPUTED_VALUE"""),43556.625)</f>
        <v>43556.625</v>
      </c>
      <c r="B1025" s="2">
        <f ca="1">IFERROR(__xludf.DUMMYFUNCTION("""COMPUTED_VALUE"""),27750)</f>
        <v>27750</v>
      </c>
      <c r="C1025" s="2">
        <f ca="1">IFERROR(__xludf.DUMMYFUNCTION("""COMPUTED_VALUE"""),27750)</f>
        <v>27750</v>
      </c>
      <c r="D1025" s="2">
        <f ca="1">IFERROR(__xludf.DUMMYFUNCTION("""COMPUTED_VALUE"""),27375)</f>
        <v>27375</v>
      </c>
      <c r="E1025" s="2">
        <f ca="1">IFERROR(__xludf.DUMMYFUNCTION("""COMPUTED_VALUE"""),27375)</f>
        <v>27375</v>
      </c>
      <c r="F1025" s="2">
        <f ca="1">IFERROR(__xludf.DUMMYFUNCTION("""COMPUTED_VALUE"""),8802900)</f>
        <v>8802900</v>
      </c>
    </row>
    <row r="1026" spans="1:6">
      <c r="A1026" s="5">
        <f ca="1">IFERROR(__xludf.DUMMYFUNCTION("""COMPUTED_VALUE"""),43557.625)</f>
        <v>43557.625</v>
      </c>
      <c r="B1026" s="2">
        <f ca="1">IFERROR(__xludf.DUMMYFUNCTION("""COMPUTED_VALUE"""),27650)</f>
        <v>27650</v>
      </c>
      <c r="C1026" s="2">
        <f ca="1">IFERROR(__xludf.DUMMYFUNCTION("""COMPUTED_VALUE"""),27850)</f>
        <v>27850</v>
      </c>
      <c r="D1026" s="2">
        <f ca="1">IFERROR(__xludf.DUMMYFUNCTION("""COMPUTED_VALUE"""),27400)</f>
        <v>27400</v>
      </c>
      <c r="E1026" s="2">
        <f ca="1">IFERROR(__xludf.DUMMYFUNCTION("""COMPUTED_VALUE"""),27500)</f>
        <v>27500</v>
      </c>
      <c r="F1026" s="2">
        <f ca="1">IFERROR(__xludf.DUMMYFUNCTION("""COMPUTED_VALUE"""),12040500)</f>
        <v>12040500</v>
      </c>
    </row>
    <row r="1027" spans="1:6">
      <c r="A1027" s="5">
        <f ca="1">IFERROR(__xludf.DUMMYFUNCTION("""COMPUTED_VALUE"""),43559.625)</f>
        <v>43559.625</v>
      </c>
      <c r="B1027" s="2">
        <f ca="1">IFERROR(__xludf.DUMMYFUNCTION("""COMPUTED_VALUE"""),27700)</f>
        <v>27700</v>
      </c>
      <c r="C1027" s="2">
        <f ca="1">IFERROR(__xludf.DUMMYFUNCTION("""COMPUTED_VALUE"""),27800)</f>
        <v>27800</v>
      </c>
      <c r="D1027" s="2">
        <f ca="1">IFERROR(__xludf.DUMMYFUNCTION("""COMPUTED_VALUE"""),27450)</f>
        <v>27450</v>
      </c>
      <c r="E1027" s="2">
        <f ca="1">IFERROR(__xludf.DUMMYFUNCTION("""COMPUTED_VALUE"""),27725)</f>
        <v>27725</v>
      </c>
      <c r="F1027" s="2">
        <f ca="1">IFERROR(__xludf.DUMMYFUNCTION("""COMPUTED_VALUE"""),13701100)</f>
        <v>13701100</v>
      </c>
    </row>
    <row r="1028" spans="1:6">
      <c r="A1028" s="5">
        <f ca="1">IFERROR(__xludf.DUMMYFUNCTION("""COMPUTED_VALUE"""),43560.625)</f>
        <v>43560.625</v>
      </c>
      <c r="B1028" s="2">
        <f ca="1">IFERROR(__xludf.DUMMYFUNCTION("""COMPUTED_VALUE"""),27800)</f>
        <v>27800</v>
      </c>
      <c r="C1028" s="2">
        <f ca="1">IFERROR(__xludf.DUMMYFUNCTION("""COMPUTED_VALUE"""),27800)</f>
        <v>27800</v>
      </c>
      <c r="D1028" s="2">
        <f ca="1">IFERROR(__xludf.DUMMYFUNCTION("""COMPUTED_VALUE"""),27525)</f>
        <v>27525</v>
      </c>
      <c r="E1028" s="2">
        <f ca="1">IFERROR(__xludf.DUMMYFUNCTION("""COMPUTED_VALUE"""),27525)</f>
        <v>27525</v>
      </c>
      <c r="F1028" s="2">
        <f ca="1">IFERROR(__xludf.DUMMYFUNCTION("""COMPUTED_VALUE"""),6105700)</f>
        <v>6105700</v>
      </c>
    </row>
    <row r="1029" spans="1:6">
      <c r="A1029" s="5">
        <f ca="1">IFERROR(__xludf.DUMMYFUNCTION("""COMPUTED_VALUE"""),43563.625)</f>
        <v>43563.625</v>
      </c>
      <c r="B1029" s="2">
        <f ca="1">IFERROR(__xludf.DUMMYFUNCTION("""COMPUTED_VALUE"""),27525)</f>
        <v>27525</v>
      </c>
      <c r="C1029" s="2">
        <f ca="1">IFERROR(__xludf.DUMMYFUNCTION("""COMPUTED_VALUE"""),27700)</f>
        <v>27700</v>
      </c>
      <c r="D1029" s="2">
        <f ca="1">IFERROR(__xludf.DUMMYFUNCTION("""COMPUTED_VALUE"""),27250)</f>
        <v>27250</v>
      </c>
      <c r="E1029" s="2">
        <f ca="1">IFERROR(__xludf.DUMMYFUNCTION("""COMPUTED_VALUE"""),27575)</f>
        <v>27575</v>
      </c>
      <c r="F1029" s="2">
        <f ca="1">IFERROR(__xludf.DUMMYFUNCTION("""COMPUTED_VALUE"""),12770100)</f>
        <v>12770100</v>
      </c>
    </row>
    <row r="1030" spans="1:6">
      <c r="A1030" s="5">
        <f ca="1">IFERROR(__xludf.DUMMYFUNCTION("""COMPUTED_VALUE"""),43564.625)</f>
        <v>43564.625</v>
      </c>
      <c r="B1030" s="2">
        <f ca="1">IFERROR(__xludf.DUMMYFUNCTION("""COMPUTED_VALUE"""),27675)</f>
        <v>27675</v>
      </c>
      <c r="C1030" s="2">
        <f ca="1">IFERROR(__xludf.DUMMYFUNCTION("""COMPUTED_VALUE"""),27750)</f>
        <v>27750</v>
      </c>
      <c r="D1030" s="2">
        <f ca="1">IFERROR(__xludf.DUMMYFUNCTION("""COMPUTED_VALUE"""),27575)</f>
        <v>27575</v>
      </c>
      <c r="E1030" s="2">
        <f ca="1">IFERROR(__xludf.DUMMYFUNCTION("""COMPUTED_VALUE"""),27725)</f>
        <v>27725</v>
      </c>
      <c r="F1030" s="2">
        <f ca="1">IFERROR(__xludf.DUMMYFUNCTION("""COMPUTED_VALUE"""),10021500)</f>
        <v>10021500</v>
      </c>
    </row>
    <row r="1031" spans="1:6">
      <c r="A1031" s="5">
        <f ca="1">IFERROR(__xludf.DUMMYFUNCTION("""COMPUTED_VALUE"""),43565.625)</f>
        <v>43565.625</v>
      </c>
      <c r="B1031" s="2">
        <f ca="1">IFERROR(__xludf.DUMMYFUNCTION("""COMPUTED_VALUE"""),27750)</f>
        <v>27750</v>
      </c>
      <c r="C1031" s="2">
        <f ca="1">IFERROR(__xludf.DUMMYFUNCTION("""COMPUTED_VALUE"""),27775)</f>
        <v>27775</v>
      </c>
      <c r="D1031" s="2">
        <f ca="1">IFERROR(__xludf.DUMMYFUNCTION("""COMPUTED_VALUE"""),27575)</f>
        <v>27575</v>
      </c>
      <c r="E1031" s="2">
        <f ca="1">IFERROR(__xludf.DUMMYFUNCTION("""COMPUTED_VALUE"""),27675)</f>
        <v>27675</v>
      </c>
      <c r="F1031" s="2">
        <f ca="1">IFERROR(__xludf.DUMMYFUNCTION("""COMPUTED_VALUE"""),6718500)</f>
        <v>6718500</v>
      </c>
    </row>
    <row r="1032" spans="1:6">
      <c r="A1032" s="5">
        <f ca="1">IFERROR(__xludf.DUMMYFUNCTION("""COMPUTED_VALUE"""),43566.625)</f>
        <v>43566.625</v>
      </c>
      <c r="B1032" s="2">
        <f ca="1">IFERROR(__xludf.DUMMYFUNCTION("""COMPUTED_VALUE"""),27800)</f>
        <v>27800</v>
      </c>
      <c r="C1032" s="2">
        <f ca="1">IFERROR(__xludf.DUMMYFUNCTION("""COMPUTED_VALUE"""),27800)</f>
        <v>27800</v>
      </c>
      <c r="D1032" s="2">
        <f ca="1">IFERROR(__xludf.DUMMYFUNCTION("""COMPUTED_VALUE"""),27400)</f>
        <v>27400</v>
      </c>
      <c r="E1032" s="2">
        <f ca="1">IFERROR(__xludf.DUMMYFUNCTION("""COMPUTED_VALUE"""),27450)</f>
        <v>27450</v>
      </c>
      <c r="F1032" s="2">
        <f ca="1">IFERROR(__xludf.DUMMYFUNCTION("""COMPUTED_VALUE"""),8638300)</f>
        <v>8638300</v>
      </c>
    </row>
    <row r="1033" spans="1:6">
      <c r="A1033" s="5">
        <f ca="1">IFERROR(__xludf.DUMMYFUNCTION("""COMPUTED_VALUE"""),43567.625)</f>
        <v>43567.625</v>
      </c>
      <c r="B1033" s="2">
        <f ca="1">IFERROR(__xludf.DUMMYFUNCTION("""COMPUTED_VALUE"""),27300)</f>
        <v>27300</v>
      </c>
      <c r="C1033" s="2">
        <f ca="1">IFERROR(__xludf.DUMMYFUNCTION("""COMPUTED_VALUE"""),27550)</f>
        <v>27550</v>
      </c>
      <c r="D1033" s="2">
        <f ca="1">IFERROR(__xludf.DUMMYFUNCTION("""COMPUTED_VALUE"""),27300)</f>
        <v>27300</v>
      </c>
      <c r="E1033" s="2">
        <f ca="1">IFERROR(__xludf.DUMMYFUNCTION("""COMPUTED_VALUE"""),27550)</f>
        <v>27550</v>
      </c>
      <c r="F1033" s="2">
        <f ca="1">IFERROR(__xludf.DUMMYFUNCTION("""COMPUTED_VALUE"""),5771500)</f>
        <v>5771500</v>
      </c>
    </row>
    <row r="1034" spans="1:6">
      <c r="A1034" s="5">
        <f ca="1">IFERROR(__xludf.DUMMYFUNCTION("""COMPUTED_VALUE"""),43570.625)</f>
        <v>43570.625</v>
      </c>
      <c r="B1034" s="2">
        <f ca="1">IFERROR(__xludf.DUMMYFUNCTION("""COMPUTED_VALUE"""),27800)</f>
        <v>27800</v>
      </c>
      <c r="C1034" s="2">
        <f ca="1">IFERROR(__xludf.DUMMYFUNCTION("""COMPUTED_VALUE"""),27850)</f>
        <v>27850</v>
      </c>
      <c r="D1034" s="2">
        <f ca="1">IFERROR(__xludf.DUMMYFUNCTION("""COMPUTED_VALUE"""),27450)</f>
        <v>27450</v>
      </c>
      <c r="E1034" s="2">
        <f ca="1">IFERROR(__xludf.DUMMYFUNCTION("""COMPUTED_VALUE"""),27525)</f>
        <v>27525</v>
      </c>
      <c r="F1034" s="2">
        <f ca="1">IFERROR(__xludf.DUMMYFUNCTION("""COMPUTED_VALUE"""),13630400)</f>
        <v>13630400</v>
      </c>
    </row>
    <row r="1035" spans="1:6">
      <c r="A1035" s="5">
        <f ca="1">IFERROR(__xludf.DUMMYFUNCTION("""COMPUTED_VALUE"""),43571.625)</f>
        <v>43571.625</v>
      </c>
      <c r="B1035" s="2">
        <f ca="1">IFERROR(__xludf.DUMMYFUNCTION("""COMPUTED_VALUE"""),27475)</f>
        <v>27475</v>
      </c>
      <c r="C1035" s="2">
        <f ca="1">IFERROR(__xludf.DUMMYFUNCTION("""COMPUTED_VALUE"""),27525)</f>
        <v>27525</v>
      </c>
      <c r="D1035" s="2">
        <f ca="1">IFERROR(__xludf.DUMMYFUNCTION("""COMPUTED_VALUE"""),27375)</f>
        <v>27375</v>
      </c>
      <c r="E1035" s="2">
        <f ca="1">IFERROR(__xludf.DUMMYFUNCTION("""COMPUTED_VALUE"""),27475)</f>
        <v>27475</v>
      </c>
      <c r="F1035" s="2">
        <f ca="1">IFERROR(__xludf.DUMMYFUNCTION("""COMPUTED_VALUE"""),14203400)</f>
        <v>14203400</v>
      </c>
    </row>
    <row r="1036" spans="1:6">
      <c r="A1036" s="5">
        <f ca="1">IFERROR(__xludf.DUMMYFUNCTION("""COMPUTED_VALUE"""),43573.625)</f>
        <v>43573.625</v>
      </c>
      <c r="B1036" s="2">
        <f ca="1">IFERROR(__xludf.DUMMYFUNCTION("""COMPUTED_VALUE"""),28000)</f>
        <v>28000</v>
      </c>
      <c r="C1036" s="2">
        <f ca="1">IFERROR(__xludf.DUMMYFUNCTION("""COMPUTED_VALUE"""),29025)</f>
        <v>29025</v>
      </c>
      <c r="D1036" s="2">
        <f ca="1">IFERROR(__xludf.DUMMYFUNCTION("""COMPUTED_VALUE"""),27900)</f>
        <v>27900</v>
      </c>
      <c r="E1036" s="2">
        <f ca="1">IFERROR(__xludf.DUMMYFUNCTION("""COMPUTED_VALUE"""),28125)</f>
        <v>28125</v>
      </c>
      <c r="F1036" s="2">
        <f ca="1">IFERROR(__xludf.DUMMYFUNCTION("""COMPUTED_VALUE"""),25866500)</f>
        <v>25866500</v>
      </c>
    </row>
    <row r="1037" spans="1:6">
      <c r="A1037" s="5">
        <f ca="1">IFERROR(__xludf.DUMMYFUNCTION("""COMPUTED_VALUE"""),43577.625)</f>
        <v>43577.625</v>
      </c>
      <c r="B1037" s="2">
        <f ca="1">IFERROR(__xludf.DUMMYFUNCTION("""COMPUTED_VALUE"""),28125)</f>
        <v>28125</v>
      </c>
      <c r="C1037" s="2">
        <f ca="1">IFERROR(__xludf.DUMMYFUNCTION("""COMPUTED_VALUE"""),28400)</f>
        <v>28400</v>
      </c>
      <c r="D1037" s="2">
        <f ca="1">IFERROR(__xludf.DUMMYFUNCTION("""COMPUTED_VALUE"""),27925)</f>
        <v>27925</v>
      </c>
      <c r="E1037" s="2">
        <f ca="1">IFERROR(__xludf.DUMMYFUNCTION("""COMPUTED_VALUE"""),28125)</f>
        <v>28125</v>
      </c>
      <c r="F1037" s="2">
        <f ca="1">IFERROR(__xludf.DUMMYFUNCTION("""COMPUTED_VALUE"""),12567500)</f>
        <v>12567500</v>
      </c>
    </row>
    <row r="1038" spans="1:6">
      <c r="A1038" s="5">
        <f ca="1">IFERROR(__xludf.DUMMYFUNCTION("""COMPUTED_VALUE"""),43578.625)</f>
        <v>43578.625</v>
      </c>
      <c r="B1038" s="2">
        <f ca="1">IFERROR(__xludf.DUMMYFUNCTION("""COMPUTED_VALUE"""),28400)</f>
        <v>28400</v>
      </c>
      <c r="C1038" s="2">
        <f ca="1">IFERROR(__xludf.DUMMYFUNCTION("""COMPUTED_VALUE"""),28550)</f>
        <v>28550</v>
      </c>
      <c r="D1038" s="2">
        <f ca="1">IFERROR(__xludf.DUMMYFUNCTION("""COMPUTED_VALUE"""),27975)</f>
        <v>27975</v>
      </c>
      <c r="E1038" s="2">
        <f ca="1">IFERROR(__xludf.DUMMYFUNCTION("""COMPUTED_VALUE"""),28150)</f>
        <v>28150</v>
      </c>
      <c r="F1038" s="2">
        <f ca="1">IFERROR(__xludf.DUMMYFUNCTION("""COMPUTED_VALUE"""),9730800)</f>
        <v>9730800</v>
      </c>
    </row>
    <row r="1039" spans="1:6">
      <c r="A1039" s="5">
        <f ca="1">IFERROR(__xludf.DUMMYFUNCTION("""COMPUTED_VALUE"""),43579.625)</f>
        <v>43579.625</v>
      </c>
      <c r="B1039" s="2">
        <f ca="1">IFERROR(__xludf.DUMMYFUNCTION("""COMPUTED_VALUE"""),28200)</f>
        <v>28200</v>
      </c>
      <c r="C1039" s="2">
        <f ca="1">IFERROR(__xludf.DUMMYFUNCTION("""COMPUTED_VALUE"""),28200)</f>
        <v>28200</v>
      </c>
      <c r="D1039" s="2">
        <f ca="1">IFERROR(__xludf.DUMMYFUNCTION("""COMPUTED_VALUE"""),28000)</f>
        <v>28000</v>
      </c>
      <c r="E1039" s="2">
        <f ca="1">IFERROR(__xludf.DUMMYFUNCTION("""COMPUTED_VALUE"""),28150)</f>
        <v>28150</v>
      </c>
      <c r="F1039" s="2">
        <f ca="1">IFERROR(__xludf.DUMMYFUNCTION("""COMPUTED_VALUE"""),9395000)</f>
        <v>9395000</v>
      </c>
    </row>
    <row r="1040" spans="1:6">
      <c r="A1040" s="5">
        <f ca="1">IFERROR(__xludf.DUMMYFUNCTION("""COMPUTED_VALUE"""),43580.625)</f>
        <v>43580.625</v>
      </c>
      <c r="B1040" s="2">
        <f ca="1">IFERROR(__xludf.DUMMYFUNCTION("""COMPUTED_VALUE"""),27675)</f>
        <v>27675</v>
      </c>
      <c r="C1040" s="2">
        <f ca="1">IFERROR(__xludf.DUMMYFUNCTION("""COMPUTED_VALUE"""),28100)</f>
        <v>28100</v>
      </c>
      <c r="D1040" s="2">
        <f ca="1">IFERROR(__xludf.DUMMYFUNCTION("""COMPUTED_VALUE"""),27625)</f>
        <v>27625</v>
      </c>
      <c r="E1040" s="2">
        <f ca="1">IFERROR(__xludf.DUMMYFUNCTION("""COMPUTED_VALUE"""),27975)</f>
        <v>27975</v>
      </c>
      <c r="F1040" s="2">
        <f ca="1">IFERROR(__xludf.DUMMYFUNCTION("""COMPUTED_VALUE"""),12296500)</f>
        <v>12296500</v>
      </c>
    </row>
    <row r="1041" spans="1:6">
      <c r="A1041" s="5">
        <f ca="1">IFERROR(__xludf.DUMMYFUNCTION("""COMPUTED_VALUE"""),43581.625)</f>
        <v>43581.625</v>
      </c>
      <c r="B1041" s="2">
        <f ca="1">IFERROR(__xludf.DUMMYFUNCTION("""COMPUTED_VALUE"""),27925)</f>
        <v>27925</v>
      </c>
      <c r="C1041" s="2">
        <f ca="1">IFERROR(__xludf.DUMMYFUNCTION("""COMPUTED_VALUE"""),28225)</f>
        <v>28225</v>
      </c>
      <c r="D1041" s="2">
        <f ca="1">IFERROR(__xludf.DUMMYFUNCTION("""COMPUTED_VALUE"""),27850)</f>
        <v>27850</v>
      </c>
      <c r="E1041" s="2">
        <f ca="1">IFERROR(__xludf.DUMMYFUNCTION("""COMPUTED_VALUE"""),28100)</f>
        <v>28100</v>
      </c>
      <c r="F1041" s="2">
        <f ca="1">IFERROR(__xludf.DUMMYFUNCTION("""COMPUTED_VALUE"""),13240900)</f>
        <v>13240900</v>
      </c>
    </row>
    <row r="1042" spans="1:6">
      <c r="A1042" s="5">
        <f ca="1">IFERROR(__xludf.DUMMYFUNCTION("""COMPUTED_VALUE"""),43584.625)</f>
        <v>43584.625</v>
      </c>
      <c r="B1042" s="2">
        <f ca="1">IFERROR(__xludf.DUMMYFUNCTION("""COMPUTED_VALUE"""),28050)</f>
        <v>28050</v>
      </c>
      <c r="C1042" s="2">
        <f ca="1">IFERROR(__xludf.DUMMYFUNCTION("""COMPUTED_VALUE"""),28475)</f>
        <v>28475</v>
      </c>
      <c r="D1042" s="2">
        <f ca="1">IFERROR(__xludf.DUMMYFUNCTION("""COMPUTED_VALUE"""),27975)</f>
        <v>27975</v>
      </c>
      <c r="E1042" s="2">
        <f ca="1">IFERROR(__xludf.DUMMYFUNCTION("""COMPUTED_VALUE"""),28425)</f>
        <v>28425</v>
      </c>
      <c r="F1042" s="2">
        <f ca="1">IFERROR(__xludf.DUMMYFUNCTION("""COMPUTED_VALUE"""),13096100)</f>
        <v>13096100</v>
      </c>
    </row>
    <row r="1043" spans="1:6">
      <c r="A1043" s="5">
        <f ca="1">IFERROR(__xludf.DUMMYFUNCTION("""COMPUTED_VALUE"""),43585.625)</f>
        <v>43585.625</v>
      </c>
      <c r="B1043" s="2">
        <f ca="1">IFERROR(__xludf.DUMMYFUNCTION("""COMPUTED_VALUE"""),28350)</f>
        <v>28350</v>
      </c>
      <c r="C1043" s="2">
        <f ca="1">IFERROR(__xludf.DUMMYFUNCTION("""COMPUTED_VALUE"""),28800)</f>
        <v>28800</v>
      </c>
      <c r="D1043" s="2">
        <f ca="1">IFERROR(__xludf.DUMMYFUNCTION("""COMPUTED_VALUE"""),28350)</f>
        <v>28350</v>
      </c>
      <c r="E1043" s="2">
        <f ca="1">IFERROR(__xludf.DUMMYFUNCTION("""COMPUTED_VALUE"""),28750)</f>
        <v>28750</v>
      </c>
      <c r="F1043" s="2">
        <f ca="1">IFERROR(__xludf.DUMMYFUNCTION("""COMPUTED_VALUE"""),21521500)</f>
        <v>21521500</v>
      </c>
    </row>
    <row r="1044" spans="1:6">
      <c r="A1044" s="5">
        <f ca="1">IFERROR(__xludf.DUMMYFUNCTION("""COMPUTED_VALUE"""),43587.625)</f>
        <v>43587.625</v>
      </c>
      <c r="B1044" s="2">
        <f ca="1">IFERROR(__xludf.DUMMYFUNCTION("""COMPUTED_VALUE"""),29000)</f>
        <v>29000</v>
      </c>
      <c r="C1044" s="2">
        <f ca="1">IFERROR(__xludf.DUMMYFUNCTION("""COMPUTED_VALUE"""),29050)</f>
        <v>29050</v>
      </c>
      <c r="D1044" s="2">
        <f ca="1">IFERROR(__xludf.DUMMYFUNCTION("""COMPUTED_VALUE"""),28375)</f>
        <v>28375</v>
      </c>
      <c r="E1044" s="2">
        <f ca="1">IFERROR(__xludf.DUMMYFUNCTION("""COMPUTED_VALUE"""),28425)</f>
        <v>28425</v>
      </c>
      <c r="F1044" s="2">
        <f ca="1">IFERROR(__xludf.DUMMYFUNCTION("""COMPUTED_VALUE"""),16175900)</f>
        <v>16175900</v>
      </c>
    </row>
    <row r="1045" spans="1:6">
      <c r="A1045" s="5">
        <f ca="1">IFERROR(__xludf.DUMMYFUNCTION("""COMPUTED_VALUE"""),43588.625)</f>
        <v>43588.625</v>
      </c>
      <c r="B1045" s="2">
        <f ca="1">IFERROR(__xludf.DUMMYFUNCTION("""COMPUTED_VALUE"""),28400)</f>
        <v>28400</v>
      </c>
      <c r="C1045" s="2">
        <f ca="1">IFERROR(__xludf.DUMMYFUNCTION("""COMPUTED_VALUE"""),28750)</f>
        <v>28750</v>
      </c>
      <c r="D1045" s="2">
        <f ca="1">IFERROR(__xludf.DUMMYFUNCTION("""COMPUTED_VALUE"""),28075)</f>
        <v>28075</v>
      </c>
      <c r="E1045" s="2">
        <f ca="1">IFERROR(__xludf.DUMMYFUNCTION("""COMPUTED_VALUE"""),28375)</f>
        <v>28375</v>
      </c>
      <c r="F1045" s="2">
        <f ca="1">IFERROR(__xludf.DUMMYFUNCTION("""COMPUTED_VALUE"""),11648900)</f>
        <v>11648900</v>
      </c>
    </row>
    <row r="1046" spans="1:6">
      <c r="A1046" s="5">
        <f ca="1">IFERROR(__xludf.DUMMYFUNCTION("""COMPUTED_VALUE"""),43591.625)</f>
        <v>43591.625</v>
      </c>
      <c r="B1046" s="2">
        <f ca="1">IFERROR(__xludf.DUMMYFUNCTION("""COMPUTED_VALUE"""),28000)</f>
        <v>28000</v>
      </c>
      <c r="C1046" s="2">
        <f ca="1">IFERROR(__xludf.DUMMYFUNCTION("""COMPUTED_VALUE"""),28300)</f>
        <v>28300</v>
      </c>
      <c r="D1046" s="2">
        <f ca="1">IFERROR(__xludf.DUMMYFUNCTION("""COMPUTED_VALUE"""),27975)</f>
        <v>27975</v>
      </c>
      <c r="E1046" s="2">
        <f ca="1">IFERROR(__xludf.DUMMYFUNCTION("""COMPUTED_VALUE"""),28100)</f>
        <v>28100</v>
      </c>
      <c r="F1046" s="2">
        <f ca="1">IFERROR(__xludf.DUMMYFUNCTION("""COMPUTED_VALUE"""),7329900)</f>
        <v>7329900</v>
      </c>
    </row>
    <row r="1047" spans="1:6">
      <c r="A1047" s="5">
        <f ca="1">IFERROR(__xludf.DUMMYFUNCTION("""COMPUTED_VALUE"""),43592.625)</f>
        <v>43592.625</v>
      </c>
      <c r="B1047" s="2">
        <f ca="1">IFERROR(__xludf.DUMMYFUNCTION("""COMPUTED_VALUE"""),28375)</f>
        <v>28375</v>
      </c>
      <c r="C1047" s="2">
        <f ca="1">IFERROR(__xludf.DUMMYFUNCTION("""COMPUTED_VALUE"""),28550)</f>
        <v>28550</v>
      </c>
      <c r="D1047" s="2">
        <f ca="1">IFERROR(__xludf.DUMMYFUNCTION("""COMPUTED_VALUE"""),28250)</f>
        <v>28250</v>
      </c>
      <c r="E1047" s="2">
        <f ca="1">IFERROR(__xludf.DUMMYFUNCTION("""COMPUTED_VALUE"""),28300)</f>
        <v>28300</v>
      </c>
      <c r="F1047" s="2">
        <f ca="1">IFERROR(__xludf.DUMMYFUNCTION("""COMPUTED_VALUE"""),11835400)</f>
        <v>11835400</v>
      </c>
    </row>
    <row r="1048" spans="1:6">
      <c r="A1048" s="5">
        <f ca="1">IFERROR(__xludf.DUMMYFUNCTION("""COMPUTED_VALUE"""),43593.625)</f>
        <v>43593.625</v>
      </c>
      <c r="B1048" s="2">
        <f ca="1">IFERROR(__xludf.DUMMYFUNCTION("""COMPUTED_VALUE"""),28000)</f>
        <v>28000</v>
      </c>
      <c r="C1048" s="2">
        <f ca="1">IFERROR(__xludf.DUMMYFUNCTION("""COMPUTED_VALUE"""),28500)</f>
        <v>28500</v>
      </c>
      <c r="D1048" s="2">
        <f ca="1">IFERROR(__xludf.DUMMYFUNCTION("""COMPUTED_VALUE"""),27975)</f>
        <v>27975</v>
      </c>
      <c r="E1048" s="2">
        <f ca="1">IFERROR(__xludf.DUMMYFUNCTION("""COMPUTED_VALUE"""),28500)</f>
        <v>28500</v>
      </c>
      <c r="F1048" s="2">
        <f ca="1">IFERROR(__xludf.DUMMYFUNCTION("""COMPUTED_VALUE"""),11812400)</f>
        <v>11812400</v>
      </c>
    </row>
    <row r="1049" spans="1:6">
      <c r="A1049" s="5">
        <f ca="1">IFERROR(__xludf.DUMMYFUNCTION("""COMPUTED_VALUE"""),43594.625)</f>
        <v>43594.625</v>
      </c>
      <c r="B1049" s="2">
        <f ca="1">IFERROR(__xludf.DUMMYFUNCTION("""COMPUTED_VALUE"""),28500)</f>
        <v>28500</v>
      </c>
      <c r="C1049" s="2">
        <f ca="1">IFERROR(__xludf.DUMMYFUNCTION("""COMPUTED_VALUE"""),28500)</f>
        <v>28500</v>
      </c>
      <c r="D1049" s="2">
        <f ca="1">IFERROR(__xludf.DUMMYFUNCTION("""COMPUTED_VALUE"""),28125)</f>
        <v>28125</v>
      </c>
      <c r="E1049" s="2">
        <f ca="1">IFERROR(__xludf.DUMMYFUNCTION("""COMPUTED_VALUE"""),28150)</f>
        <v>28150</v>
      </c>
      <c r="F1049" s="2">
        <f ca="1">IFERROR(__xludf.DUMMYFUNCTION("""COMPUTED_VALUE"""),25327300)</f>
        <v>25327300</v>
      </c>
    </row>
    <row r="1050" spans="1:6">
      <c r="A1050" s="5">
        <f ca="1">IFERROR(__xludf.DUMMYFUNCTION("""COMPUTED_VALUE"""),43595.625)</f>
        <v>43595.625</v>
      </c>
      <c r="B1050" s="2">
        <f ca="1">IFERROR(__xludf.DUMMYFUNCTION("""COMPUTED_VALUE"""),28050)</f>
        <v>28050</v>
      </c>
      <c r="C1050" s="2">
        <f ca="1">IFERROR(__xludf.DUMMYFUNCTION("""COMPUTED_VALUE"""),28400)</f>
        <v>28400</v>
      </c>
      <c r="D1050" s="2">
        <f ca="1">IFERROR(__xludf.DUMMYFUNCTION("""COMPUTED_VALUE"""),28000)</f>
        <v>28000</v>
      </c>
      <c r="E1050" s="2">
        <f ca="1">IFERROR(__xludf.DUMMYFUNCTION("""COMPUTED_VALUE"""),28050)</f>
        <v>28050</v>
      </c>
      <c r="F1050" s="2">
        <f ca="1">IFERROR(__xludf.DUMMYFUNCTION("""COMPUTED_VALUE"""),15226100)</f>
        <v>15226100</v>
      </c>
    </row>
    <row r="1051" spans="1:6">
      <c r="A1051" s="5">
        <f ca="1">IFERROR(__xludf.DUMMYFUNCTION("""COMPUTED_VALUE"""),43598.625)</f>
        <v>43598.625</v>
      </c>
      <c r="B1051" s="2">
        <f ca="1">IFERROR(__xludf.DUMMYFUNCTION("""COMPUTED_VALUE"""),28400)</f>
        <v>28400</v>
      </c>
      <c r="C1051" s="2">
        <f ca="1">IFERROR(__xludf.DUMMYFUNCTION("""COMPUTED_VALUE"""),28475)</f>
        <v>28475</v>
      </c>
      <c r="D1051" s="2">
        <f ca="1">IFERROR(__xludf.DUMMYFUNCTION("""COMPUTED_VALUE"""),28000)</f>
        <v>28000</v>
      </c>
      <c r="E1051" s="2">
        <f ca="1">IFERROR(__xludf.DUMMYFUNCTION("""COMPUTED_VALUE"""),28050)</f>
        <v>28050</v>
      </c>
      <c r="F1051" s="2">
        <f ca="1">IFERROR(__xludf.DUMMYFUNCTION("""COMPUTED_VALUE"""),12744100)</f>
        <v>12744100</v>
      </c>
    </row>
    <row r="1052" spans="1:6">
      <c r="A1052" s="5">
        <f ca="1">IFERROR(__xludf.DUMMYFUNCTION("""COMPUTED_VALUE"""),43599.625)</f>
        <v>43599.625</v>
      </c>
      <c r="B1052" s="2">
        <f ca="1">IFERROR(__xludf.DUMMYFUNCTION("""COMPUTED_VALUE"""),27800)</f>
        <v>27800</v>
      </c>
      <c r="C1052" s="2">
        <f ca="1">IFERROR(__xludf.DUMMYFUNCTION("""COMPUTED_VALUE"""),28150)</f>
        <v>28150</v>
      </c>
      <c r="D1052" s="2">
        <f ca="1">IFERROR(__xludf.DUMMYFUNCTION("""COMPUTED_VALUE"""),27475)</f>
        <v>27475</v>
      </c>
      <c r="E1052" s="2">
        <f ca="1">IFERROR(__xludf.DUMMYFUNCTION("""COMPUTED_VALUE"""),27475)</f>
        <v>27475</v>
      </c>
      <c r="F1052" s="2">
        <f ca="1">IFERROR(__xludf.DUMMYFUNCTION("""COMPUTED_VALUE"""),22960100)</f>
        <v>22960100</v>
      </c>
    </row>
    <row r="1053" spans="1:6">
      <c r="A1053" s="5">
        <f ca="1">IFERROR(__xludf.DUMMYFUNCTION("""COMPUTED_VALUE"""),43600.625)</f>
        <v>43600.625</v>
      </c>
      <c r="B1053" s="2">
        <f ca="1">IFERROR(__xludf.DUMMYFUNCTION("""COMPUTED_VALUE"""),27775)</f>
        <v>27775</v>
      </c>
      <c r="C1053" s="2">
        <f ca="1">IFERROR(__xludf.DUMMYFUNCTION("""COMPUTED_VALUE"""),27775)</f>
        <v>27775</v>
      </c>
      <c r="D1053" s="2">
        <f ca="1">IFERROR(__xludf.DUMMYFUNCTION("""COMPUTED_VALUE"""),27225)</f>
        <v>27225</v>
      </c>
      <c r="E1053" s="2">
        <f ca="1">IFERROR(__xludf.DUMMYFUNCTION("""COMPUTED_VALUE"""),27300)</f>
        <v>27300</v>
      </c>
      <c r="F1053" s="2">
        <f ca="1">IFERROR(__xludf.DUMMYFUNCTION("""COMPUTED_VALUE"""),14413000)</f>
        <v>14413000</v>
      </c>
    </row>
    <row r="1054" spans="1:6">
      <c r="A1054" s="5">
        <f ca="1">IFERROR(__xludf.DUMMYFUNCTION("""COMPUTED_VALUE"""),43601.625)</f>
        <v>43601.625</v>
      </c>
      <c r="B1054" s="2">
        <f ca="1">IFERROR(__xludf.DUMMYFUNCTION("""COMPUTED_VALUE"""),27300)</f>
        <v>27300</v>
      </c>
      <c r="C1054" s="2">
        <f ca="1">IFERROR(__xludf.DUMMYFUNCTION("""COMPUTED_VALUE"""),27400)</f>
        <v>27400</v>
      </c>
      <c r="D1054" s="2">
        <f ca="1">IFERROR(__xludf.DUMMYFUNCTION("""COMPUTED_VALUE"""),26400)</f>
        <v>26400</v>
      </c>
      <c r="E1054" s="2">
        <f ca="1">IFERROR(__xludf.DUMMYFUNCTION("""COMPUTED_VALUE"""),26400)</f>
        <v>26400</v>
      </c>
      <c r="F1054" s="2">
        <f ca="1">IFERROR(__xludf.DUMMYFUNCTION("""COMPUTED_VALUE"""),17587800)</f>
        <v>17587800</v>
      </c>
    </row>
    <row r="1055" spans="1:6">
      <c r="A1055" s="5">
        <f ca="1">IFERROR(__xludf.DUMMYFUNCTION("""COMPUTED_VALUE"""),43602.625)</f>
        <v>43602.625</v>
      </c>
      <c r="B1055" s="2">
        <f ca="1">IFERROR(__xludf.DUMMYFUNCTION("""COMPUTED_VALUE"""),26400)</f>
        <v>26400</v>
      </c>
      <c r="C1055" s="2">
        <f ca="1">IFERROR(__xludf.DUMMYFUNCTION("""COMPUTED_VALUE"""),26550)</f>
        <v>26550</v>
      </c>
      <c r="D1055" s="2">
        <f ca="1">IFERROR(__xludf.DUMMYFUNCTION("""COMPUTED_VALUE"""),25900)</f>
        <v>25900</v>
      </c>
      <c r="E1055" s="2">
        <f ca="1">IFERROR(__xludf.DUMMYFUNCTION("""COMPUTED_VALUE"""),25900)</f>
        <v>25900</v>
      </c>
      <c r="F1055" s="2">
        <f ca="1">IFERROR(__xludf.DUMMYFUNCTION("""COMPUTED_VALUE"""),14841400)</f>
        <v>14841400</v>
      </c>
    </row>
    <row r="1056" spans="1:6">
      <c r="A1056" s="5">
        <f ca="1">IFERROR(__xludf.DUMMYFUNCTION("""COMPUTED_VALUE"""),43605.625)</f>
        <v>43605.625</v>
      </c>
      <c r="B1056" s="2">
        <f ca="1">IFERROR(__xludf.DUMMYFUNCTION("""COMPUTED_VALUE"""),25900)</f>
        <v>25900</v>
      </c>
      <c r="C1056" s="2">
        <f ca="1">IFERROR(__xludf.DUMMYFUNCTION("""COMPUTED_VALUE"""),26950)</f>
        <v>26950</v>
      </c>
      <c r="D1056" s="2">
        <f ca="1">IFERROR(__xludf.DUMMYFUNCTION("""COMPUTED_VALUE"""),25700)</f>
        <v>25700</v>
      </c>
      <c r="E1056" s="2">
        <f ca="1">IFERROR(__xludf.DUMMYFUNCTION("""COMPUTED_VALUE"""),26900)</f>
        <v>26900</v>
      </c>
      <c r="F1056" s="2">
        <f ca="1">IFERROR(__xludf.DUMMYFUNCTION("""COMPUTED_VALUE"""),10952900)</f>
        <v>10952900</v>
      </c>
    </row>
    <row r="1057" spans="1:6">
      <c r="A1057" s="5">
        <f ca="1">IFERROR(__xludf.DUMMYFUNCTION("""COMPUTED_VALUE"""),43606.625)</f>
        <v>43606.625</v>
      </c>
      <c r="B1057" s="2">
        <f ca="1">IFERROR(__xludf.DUMMYFUNCTION("""COMPUTED_VALUE"""),27350)</f>
        <v>27350</v>
      </c>
      <c r="C1057" s="2">
        <f ca="1">IFERROR(__xludf.DUMMYFUNCTION("""COMPUTED_VALUE"""),27475)</f>
        <v>27475</v>
      </c>
      <c r="D1057" s="2">
        <f ca="1">IFERROR(__xludf.DUMMYFUNCTION("""COMPUTED_VALUE"""),27000)</f>
        <v>27000</v>
      </c>
      <c r="E1057" s="2">
        <f ca="1">IFERROR(__xludf.DUMMYFUNCTION("""COMPUTED_VALUE"""),27300)</f>
        <v>27300</v>
      </c>
      <c r="F1057" s="2">
        <f ca="1">IFERROR(__xludf.DUMMYFUNCTION("""COMPUTED_VALUE"""),19474200)</f>
        <v>19474200</v>
      </c>
    </row>
    <row r="1058" spans="1:6">
      <c r="A1058" s="5">
        <f ca="1">IFERROR(__xludf.DUMMYFUNCTION("""COMPUTED_VALUE"""),43607.625)</f>
        <v>43607.625</v>
      </c>
      <c r="B1058" s="2">
        <f ca="1">IFERROR(__xludf.DUMMYFUNCTION("""COMPUTED_VALUE"""),27650)</f>
        <v>27650</v>
      </c>
      <c r="C1058" s="2">
        <f ca="1">IFERROR(__xludf.DUMMYFUNCTION("""COMPUTED_VALUE"""),27650)</f>
        <v>27650</v>
      </c>
      <c r="D1058" s="2">
        <f ca="1">IFERROR(__xludf.DUMMYFUNCTION("""COMPUTED_VALUE"""),27000)</f>
        <v>27000</v>
      </c>
      <c r="E1058" s="2">
        <f ca="1">IFERROR(__xludf.DUMMYFUNCTION("""COMPUTED_VALUE"""),27300)</f>
        <v>27300</v>
      </c>
      <c r="F1058" s="2">
        <f ca="1">IFERROR(__xludf.DUMMYFUNCTION("""COMPUTED_VALUE"""),7703800)</f>
        <v>7703800</v>
      </c>
    </row>
    <row r="1059" spans="1:6">
      <c r="A1059" s="5">
        <f ca="1">IFERROR(__xludf.DUMMYFUNCTION("""COMPUTED_VALUE"""),43608.625)</f>
        <v>43608.625</v>
      </c>
      <c r="B1059" s="2">
        <f ca="1">IFERROR(__xludf.DUMMYFUNCTION("""COMPUTED_VALUE"""),27200)</f>
        <v>27200</v>
      </c>
      <c r="C1059" s="2">
        <f ca="1">IFERROR(__xludf.DUMMYFUNCTION("""COMPUTED_VALUE"""),28025)</f>
        <v>28025</v>
      </c>
      <c r="D1059" s="2">
        <f ca="1">IFERROR(__xludf.DUMMYFUNCTION("""COMPUTED_VALUE"""),26700)</f>
        <v>26700</v>
      </c>
      <c r="E1059" s="2">
        <f ca="1">IFERROR(__xludf.DUMMYFUNCTION("""COMPUTED_VALUE"""),28025)</f>
        <v>28025</v>
      </c>
      <c r="F1059" s="2">
        <f ca="1">IFERROR(__xludf.DUMMYFUNCTION("""COMPUTED_VALUE"""),10985200)</f>
        <v>10985200</v>
      </c>
    </row>
    <row r="1060" spans="1:6">
      <c r="A1060" s="5">
        <f ca="1">IFERROR(__xludf.DUMMYFUNCTION("""COMPUTED_VALUE"""),43609.625)</f>
        <v>43609.625</v>
      </c>
      <c r="B1060" s="2">
        <f ca="1">IFERROR(__xludf.DUMMYFUNCTION("""COMPUTED_VALUE"""),28050)</f>
        <v>28050</v>
      </c>
      <c r="C1060" s="2">
        <f ca="1">IFERROR(__xludf.DUMMYFUNCTION("""COMPUTED_VALUE"""),28150)</f>
        <v>28150</v>
      </c>
      <c r="D1060" s="2">
        <f ca="1">IFERROR(__xludf.DUMMYFUNCTION("""COMPUTED_VALUE"""),28025)</f>
        <v>28025</v>
      </c>
      <c r="E1060" s="2">
        <f ca="1">IFERROR(__xludf.DUMMYFUNCTION("""COMPUTED_VALUE"""),28050)</f>
        <v>28050</v>
      </c>
      <c r="F1060" s="2">
        <f ca="1">IFERROR(__xludf.DUMMYFUNCTION("""COMPUTED_VALUE"""),7480400)</f>
        <v>7480400</v>
      </c>
    </row>
    <row r="1061" spans="1:6">
      <c r="A1061" s="5">
        <f ca="1">IFERROR(__xludf.DUMMYFUNCTION("""COMPUTED_VALUE"""),43612.625)</f>
        <v>43612.625</v>
      </c>
      <c r="B1061" s="2">
        <f ca="1">IFERROR(__xludf.DUMMYFUNCTION("""COMPUTED_VALUE"""),27675)</f>
        <v>27675</v>
      </c>
      <c r="C1061" s="2">
        <f ca="1">IFERROR(__xludf.DUMMYFUNCTION("""COMPUTED_VALUE"""),28500)</f>
        <v>28500</v>
      </c>
      <c r="D1061" s="2">
        <f ca="1">IFERROR(__xludf.DUMMYFUNCTION("""COMPUTED_VALUE"""),27650)</f>
        <v>27650</v>
      </c>
      <c r="E1061" s="2">
        <f ca="1">IFERROR(__xludf.DUMMYFUNCTION("""COMPUTED_VALUE"""),28425)</f>
        <v>28425</v>
      </c>
      <c r="F1061" s="2">
        <f ca="1">IFERROR(__xludf.DUMMYFUNCTION("""COMPUTED_VALUE"""),13712800)</f>
        <v>13712800</v>
      </c>
    </row>
    <row r="1062" spans="1:6">
      <c r="A1062" s="5">
        <f ca="1">IFERROR(__xludf.DUMMYFUNCTION("""COMPUTED_VALUE"""),43613.625)</f>
        <v>43613.625</v>
      </c>
      <c r="B1062" s="2">
        <f ca="1">IFERROR(__xludf.DUMMYFUNCTION("""COMPUTED_VALUE"""),28275)</f>
        <v>28275</v>
      </c>
      <c r="C1062" s="2">
        <f ca="1">IFERROR(__xludf.DUMMYFUNCTION("""COMPUTED_VALUE"""),28850)</f>
        <v>28850</v>
      </c>
      <c r="D1062" s="2">
        <f ca="1">IFERROR(__xludf.DUMMYFUNCTION("""COMPUTED_VALUE"""),28275)</f>
        <v>28275</v>
      </c>
      <c r="E1062" s="2">
        <f ca="1">IFERROR(__xludf.DUMMYFUNCTION("""COMPUTED_VALUE"""),28675)</f>
        <v>28675</v>
      </c>
      <c r="F1062" s="2">
        <f ca="1">IFERROR(__xludf.DUMMYFUNCTION("""COMPUTED_VALUE"""),41984600)</f>
        <v>41984600</v>
      </c>
    </row>
    <row r="1063" spans="1:6">
      <c r="A1063" s="5">
        <f ca="1">IFERROR(__xludf.DUMMYFUNCTION("""COMPUTED_VALUE"""),43614.625)</f>
        <v>43614.625</v>
      </c>
      <c r="B1063" s="2">
        <f ca="1">IFERROR(__xludf.DUMMYFUNCTION("""COMPUTED_VALUE"""),29000)</f>
        <v>29000</v>
      </c>
      <c r="C1063" s="2">
        <f ca="1">IFERROR(__xludf.DUMMYFUNCTION("""COMPUTED_VALUE"""),29475)</f>
        <v>29475</v>
      </c>
      <c r="D1063" s="2">
        <f ca="1">IFERROR(__xludf.DUMMYFUNCTION("""COMPUTED_VALUE"""),28650)</f>
        <v>28650</v>
      </c>
      <c r="E1063" s="2">
        <f ca="1">IFERROR(__xludf.DUMMYFUNCTION("""COMPUTED_VALUE"""),28700)</f>
        <v>28700</v>
      </c>
      <c r="F1063" s="2">
        <f ca="1">IFERROR(__xludf.DUMMYFUNCTION("""COMPUTED_VALUE"""),26608900)</f>
        <v>26608900</v>
      </c>
    </row>
    <row r="1064" spans="1:6">
      <c r="A1064" s="5">
        <f ca="1">IFERROR(__xludf.DUMMYFUNCTION("""COMPUTED_VALUE"""),43616.625)</f>
        <v>43616.625</v>
      </c>
      <c r="B1064" s="2">
        <f ca="1">IFERROR(__xludf.DUMMYFUNCTION("""COMPUTED_VALUE"""),28700)</f>
        <v>28700</v>
      </c>
      <c r="C1064" s="2">
        <f ca="1">IFERROR(__xludf.DUMMYFUNCTION("""COMPUTED_VALUE"""),29350)</f>
        <v>29350</v>
      </c>
      <c r="D1064" s="2">
        <f ca="1">IFERROR(__xludf.DUMMYFUNCTION("""COMPUTED_VALUE"""),28675)</f>
        <v>28675</v>
      </c>
      <c r="E1064" s="2">
        <f ca="1">IFERROR(__xludf.DUMMYFUNCTION("""COMPUTED_VALUE"""),29100)</f>
        <v>29100</v>
      </c>
      <c r="F1064" s="2">
        <f ca="1">IFERROR(__xludf.DUMMYFUNCTION("""COMPUTED_VALUE"""),19375000)</f>
        <v>19375000</v>
      </c>
    </row>
    <row r="1065" spans="1:6">
      <c r="A1065" s="5">
        <f ca="1">IFERROR(__xludf.DUMMYFUNCTION("""COMPUTED_VALUE"""),43626.625)</f>
        <v>43626.625</v>
      </c>
      <c r="B1065" s="2">
        <f ca="1">IFERROR(__xludf.DUMMYFUNCTION("""COMPUTED_VALUE"""),30000)</f>
        <v>30000</v>
      </c>
      <c r="C1065" s="2">
        <f ca="1">IFERROR(__xludf.DUMMYFUNCTION("""COMPUTED_VALUE"""),30950)</f>
        <v>30950</v>
      </c>
      <c r="D1065" s="2">
        <f ca="1">IFERROR(__xludf.DUMMYFUNCTION("""COMPUTED_VALUE"""),29050)</f>
        <v>29050</v>
      </c>
      <c r="E1065" s="2">
        <f ca="1">IFERROR(__xludf.DUMMYFUNCTION("""COMPUTED_VALUE"""),29400)</f>
        <v>29400</v>
      </c>
      <c r="F1065" s="2">
        <f ca="1">IFERROR(__xludf.DUMMYFUNCTION("""COMPUTED_VALUE"""),35847600)</f>
        <v>35847600</v>
      </c>
    </row>
    <row r="1066" spans="1:6">
      <c r="A1066" s="5">
        <f ca="1">IFERROR(__xludf.DUMMYFUNCTION("""COMPUTED_VALUE"""),43627.625)</f>
        <v>43627.625</v>
      </c>
      <c r="B1066" s="2">
        <f ca="1">IFERROR(__xludf.DUMMYFUNCTION("""COMPUTED_VALUE"""),29500)</f>
        <v>29500</v>
      </c>
      <c r="C1066" s="2">
        <f ca="1">IFERROR(__xludf.DUMMYFUNCTION("""COMPUTED_VALUE"""),29800)</f>
        <v>29800</v>
      </c>
      <c r="D1066" s="2">
        <f ca="1">IFERROR(__xludf.DUMMYFUNCTION("""COMPUTED_VALUE"""),29225)</f>
        <v>29225</v>
      </c>
      <c r="E1066" s="2">
        <f ca="1">IFERROR(__xludf.DUMMYFUNCTION("""COMPUTED_VALUE"""),29550)</f>
        <v>29550</v>
      </c>
      <c r="F1066" s="2">
        <f ca="1">IFERROR(__xludf.DUMMYFUNCTION("""COMPUTED_VALUE"""),14580200)</f>
        <v>14580200</v>
      </c>
    </row>
    <row r="1067" spans="1:6">
      <c r="A1067" s="5">
        <f ca="1">IFERROR(__xludf.DUMMYFUNCTION("""COMPUTED_VALUE"""),43628.625)</f>
        <v>43628.625</v>
      </c>
      <c r="B1067" s="2">
        <f ca="1">IFERROR(__xludf.DUMMYFUNCTION("""COMPUTED_VALUE"""),29200)</f>
        <v>29200</v>
      </c>
      <c r="C1067" s="2">
        <f ca="1">IFERROR(__xludf.DUMMYFUNCTION("""COMPUTED_VALUE"""),29500)</f>
        <v>29500</v>
      </c>
      <c r="D1067" s="2">
        <f ca="1">IFERROR(__xludf.DUMMYFUNCTION("""COMPUTED_VALUE"""),29100)</f>
        <v>29100</v>
      </c>
      <c r="E1067" s="2">
        <f ca="1">IFERROR(__xludf.DUMMYFUNCTION("""COMPUTED_VALUE"""),29225)</f>
        <v>29225</v>
      </c>
      <c r="F1067" s="2">
        <f ca="1">IFERROR(__xludf.DUMMYFUNCTION("""COMPUTED_VALUE"""),13851100)</f>
        <v>13851100</v>
      </c>
    </row>
    <row r="1068" spans="1:6">
      <c r="A1068" s="5">
        <f ca="1">IFERROR(__xludf.DUMMYFUNCTION("""COMPUTED_VALUE"""),43629.625)</f>
        <v>43629.625</v>
      </c>
      <c r="B1068" s="2">
        <f ca="1">IFERROR(__xludf.DUMMYFUNCTION("""COMPUTED_VALUE"""),29425)</f>
        <v>29425</v>
      </c>
      <c r="C1068" s="2">
        <f ca="1">IFERROR(__xludf.DUMMYFUNCTION("""COMPUTED_VALUE"""),29425)</f>
        <v>29425</v>
      </c>
      <c r="D1068" s="2">
        <f ca="1">IFERROR(__xludf.DUMMYFUNCTION("""COMPUTED_VALUE"""),28950)</f>
        <v>28950</v>
      </c>
      <c r="E1068" s="2">
        <f ca="1">IFERROR(__xludf.DUMMYFUNCTION("""COMPUTED_VALUE"""),29025)</f>
        <v>29025</v>
      </c>
      <c r="F1068" s="2">
        <f ca="1">IFERROR(__xludf.DUMMYFUNCTION("""COMPUTED_VALUE"""),15760500)</f>
        <v>15760500</v>
      </c>
    </row>
    <row r="1069" spans="1:6">
      <c r="A1069" s="5">
        <f ca="1">IFERROR(__xludf.DUMMYFUNCTION("""COMPUTED_VALUE"""),43630.625)</f>
        <v>43630.625</v>
      </c>
      <c r="B1069" s="2">
        <f ca="1">IFERROR(__xludf.DUMMYFUNCTION("""COMPUTED_VALUE"""),29225)</f>
        <v>29225</v>
      </c>
      <c r="C1069" s="2">
        <f ca="1">IFERROR(__xludf.DUMMYFUNCTION("""COMPUTED_VALUE"""),29225)</f>
        <v>29225</v>
      </c>
      <c r="D1069" s="2">
        <f ca="1">IFERROR(__xludf.DUMMYFUNCTION("""COMPUTED_VALUE"""),28950)</f>
        <v>28950</v>
      </c>
      <c r="E1069" s="2">
        <f ca="1">IFERROR(__xludf.DUMMYFUNCTION("""COMPUTED_VALUE"""),29000)</f>
        <v>29000</v>
      </c>
      <c r="F1069" s="2">
        <f ca="1">IFERROR(__xludf.DUMMYFUNCTION("""COMPUTED_VALUE"""),11444100)</f>
        <v>11444100</v>
      </c>
    </row>
    <row r="1070" spans="1:6">
      <c r="A1070" s="5">
        <f ca="1">IFERROR(__xludf.DUMMYFUNCTION("""COMPUTED_VALUE"""),43633.625)</f>
        <v>43633.625</v>
      </c>
      <c r="B1070" s="2">
        <f ca="1">IFERROR(__xludf.DUMMYFUNCTION("""COMPUTED_VALUE"""),29050)</f>
        <v>29050</v>
      </c>
      <c r="C1070" s="2">
        <f ca="1">IFERROR(__xludf.DUMMYFUNCTION("""COMPUTED_VALUE"""),29200)</f>
        <v>29200</v>
      </c>
      <c r="D1070" s="2">
        <f ca="1">IFERROR(__xludf.DUMMYFUNCTION("""COMPUTED_VALUE"""),28950)</f>
        <v>28950</v>
      </c>
      <c r="E1070" s="2">
        <f ca="1">IFERROR(__xludf.DUMMYFUNCTION("""COMPUTED_VALUE"""),28975)</f>
        <v>28975</v>
      </c>
      <c r="F1070" s="2">
        <f ca="1">IFERROR(__xludf.DUMMYFUNCTION("""COMPUTED_VALUE"""),16724800)</f>
        <v>16724800</v>
      </c>
    </row>
    <row r="1071" spans="1:6">
      <c r="A1071" s="5">
        <f ca="1">IFERROR(__xludf.DUMMYFUNCTION("""COMPUTED_VALUE"""),43634.625)</f>
        <v>43634.625</v>
      </c>
      <c r="B1071" s="2">
        <f ca="1">IFERROR(__xludf.DUMMYFUNCTION("""COMPUTED_VALUE"""),28975)</f>
        <v>28975</v>
      </c>
      <c r="C1071" s="2">
        <f ca="1">IFERROR(__xludf.DUMMYFUNCTION("""COMPUTED_VALUE"""),29500)</f>
        <v>29500</v>
      </c>
      <c r="D1071" s="2">
        <f ca="1">IFERROR(__xludf.DUMMYFUNCTION("""COMPUTED_VALUE"""),28975)</f>
        <v>28975</v>
      </c>
      <c r="E1071" s="2">
        <f ca="1">IFERROR(__xludf.DUMMYFUNCTION("""COMPUTED_VALUE"""),29500)</f>
        <v>29500</v>
      </c>
      <c r="F1071" s="2">
        <f ca="1">IFERROR(__xludf.DUMMYFUNCTION("""COMPUTED_VALUE"""),15757600)</f>
        <v>15757600</v>
      </c>
    </row>
    <row r="1072" spans="1:6">
      <c r="A1072" s="5">
        <f ca="1">IFERROR(__xludf.DUMMYFUNCTION("""COMPUTED_VALUE"""),43635.625)</f>
        <v>43635.625</v>
      </c>
      <c r="B1072" s="2">
        <f ca="1">IFERROR(__xludf.DUMMYFUNCTION("""COMPUTED_VALUE"""),29500)</f>
        <v>29500</v>
      </c>
      <c r="C1072" s="2">
        <f ca="1">IFERROR(__xludf.DUMMYFUNCTION("""COMPUTED_VALUE"""),29800)</f>
        <v>29800</v>
      </c>
      <c r="D1072" s="2">
        <f ca="1">IFERROR(__xludf.DUMMYFUNCTION("""COMPUTED_VALUE"""),29450)</f>
        <v>29450</v>
      </c>
      <c r="E1072" s="2">
        <f ca="1">IFERROR(__xludf.DUMMYFUNCTION("""COMPUTED_VALUE"""),29700)</f>
        <v>29700</v>
      </c>
      <c r="F1072" s="2">
        <f ca="1">IFERROR(__xludf.DUMMYFUNCTION("""COMPUTED_VALUE"""),13388900)</f>
        <v>13388900</v>
      </c>
    </row>
    <row r="1073" spans="1:6">
      <c r="A1073" s="5">
        <f ca="1">IFERROR(__xludf.DUMMYFUNCTION("""COMPUTED_VALUE"""),43636.625)</f>
        <v>43636.625</v>
      </c>
      <c r="B1073" s="2">
        <f ca="1">IFERROR(__xludf.DUMMYFUNCTION("""COMPUTED_VALUE"""),29500)</f>
        <v>29500</v>
      </c>
      <c r="C1073" s="2">
        <f ca="1">IFERROR(__xludf.DUMMYFUNCTION("""COMPUTED_VALUE"""),29700)</f>
        <v>29700</v>
      </c>
      <c r="D1073" s="2">
        <f ca="1">IFERROR(__xludf.DUMMYFUNCTION("""COMPUTED_VALUE"""),29025)</f>
        <v>29025</v>
      </c>
      <c r="E1073" s="2">
        <f ca="1">IFERROR(__xludf.DUMMYFUNCTION("""COMPUTED_VALUE"""),29550)</f>
        <v>29550</v>
      </c>
      <c r="F1073" s="2">
        <f ca="1">IFERROR(__xludf.DUMMYFUNCTION("""COMPUTED_VALUE"""),11900900)</f>
        <v>11900900</v>
      </c>
    </row>
    <row r="1074" spans="1:6">
      <c r="A1074" s="5">
        <f ca="1">IFERROR(__xludf.DUMMYFUNCTION("""COMPUTED_VALUE"""),43637.625)</f>
        <v>43637.625</v>
      </c>
      <c r="B1074" s="2">
        <f ca="1">IFERROR(__xludf.DUMMYFUNCTION("""COMPUTED_VALUE"""),29550)</f>
        <v>29550</v>
      </c>
      <c r="C1074" s="2">
        <f ca="1">IFERROR(__xludf.DUMMYFUNCTION("""COMPUTED_VALUE"""),29675)</f>
        <v>29675</v>
      </c>
      <c r="D1074" s="2">
        <f ca="1">IFERROR(__xludf.DUMMYFUNCTION("""COMPUTED_VALUE"""),29200)</f>
        <v>29200</v>
      </c>
      <c r="E1074" s="2">
        <f ca="1">IFERROR(__xludf.DUMMYFUNCTION("""COMPUTED_VALUE"""),29400)</f>
        <v>29400</v>
      </c>
      <c r="F1074" s="2">
        <f ca="1">IFERROR(__xludf.DUMMYFUNCTION("""COMPUTED_VALUE"""),28829800)</f>
        <v>28829800</v>
      </c>
    </row>
    <row r="1075" spans="1:6">
      <c r="A1075" s="5">
        <f ca="1">IFERROR(__xludf.DUMMYFUNCTION("""COMPUTED_VALUE"""),43640.625)</f>
        <v>43640.625</v>
      </c>
      <c r="B1075" s="2">
        <f ca="1">IFERROR(__xludf.DUMMYFUNCTION("""COMPUTED_VALUE"""),29475)</f>
        <v>29475</v>
      </c>
      <c r="C1075" s="2">
        <f ca="1">IFERROR(__xludf.DUMMYFUNCTION("""COMPUTED_VALUE"""),29500)</f>
        <v>29500</v>
      </c>
      <c r="D1075" s="2">
        <f ca="1">IFERROR(__xludf.DUMMYFUNCTION("""COMPUTED_VALUE"""),29325)</f>
        <v>29325</v>
      </c>
      <c r="E1075" s="2">
        <f ca="1">IFERROR(__xludf.DUMMYFUNCTION("""COMPUTED_VALUE"""),29375)</f>
        <v>29375</v>
      </c>
      <c r="F1075" s="2">
        <f ca="1">IFERROR(__xludf.DUMMYFUNCTION("""COMPUTED_VALUE"""),6016800)</f>
        <v>6016800</v>
      </c>
    </row>
    <row r="1076" spans="1:6">
      <c r="A1076" s="5">
        <f ca="1">IFERROR(__xludf.DUMMYFUNCTION("""COMPUTED_VALUE"""),43641.625)</f>
        <v>43641.625</v>
      </c>
      <c r="B1076" s="2">
        <f ca="1">IFERROR(__xludf.DUMMYFUNCTION("""COMPUTED_VALUE"""),29650)</f>
        <v>29650</v>
      </c>
      <c r="C1076" s="2">
        <f ca="1">IFERROR(__xludf.DUMMYFUNCTION("""COMPUTED_VALUE"""),29800)</f>
        <v>29800</v>
      </c>
      <c r="D1076" s="2">
        <f ca="1">IFERROR(__xludf.DUMMYFUNCTION("""COMPUTED_VALUE"""),29375)</f>
        <v>29375</v>
      </c>
      <c r="E1076" s="2">
        <f ca="1">IFERROR(__xludf.DUMMYFUNCTION("""COMPUTED_VALUE"""),29550)</f>
        <v>29550</v>
      </c>
      <c r="F1076" s="2">
        <f ca="1">IFERROR(__xludf.DUMMYFUNCTION("""COMPUTED_VALUE"""),8112300)</f>
        <v>8112300</v>
      </c>
    </row>
    <row r="1077" spans="1:6">
      <c r="A1077" s="5">
        <f ca="1">IFERROR(__xludf.DUMMYFUNCTION("""COMPUTED_VALUE"""),43642.625)</f>
        <v>43642.625</v>
      </c>
      <c r="B1077" s="2">
        <f ca="1">IFERROR(__xludf.DUMMYFUNCTION("""COMPUTED_VALUE"""),29700)</f>
        <v>29700</v>
      </c>
      <c r="C1077" s="2">
        <f ca="1">IFERROR(__xludf.DUMMYFUNCTION("""COMPUTED_VALUE"""),29700)</f>
        <v>29700</v>
      </c>
      <c r="D1077" s="2">
        <f ca="1">IFERROR(__xludf.DUMMYFUNCTION("""COMPUTED_VALUE"""),29300)</f>
        <v>29300</v>
      </c>
      <c r="E1077" s="2">
        <f ca="1">IFERROR(__xludf.DUMMYFUNCTION("""COMPUTED_VALUE"""),29325)</f>
        <v>29325</v>
      </c>
      <c r="F1077" s="2">
        <f ca="1">IFERROR(__xludf.DUMMYFUNCTION("""COMPUTED_VALUE"""),11866900)</f>
        <v>11866900</v>
      </c>
    </row>
    <row r="1078" spans="1:6">
      <c r="A1078" s="5">
        <f ca="1">IFERROR(__xludf.DUMMYFUNCTION("""COMPUTED_VALUE"""),43643.625)</f>
        <v>43643.625</v>
      </c>
      <c r="B1078" s="2">
        <f ca="1">IFERROR(__xludf.DUMMYFUNCTION("""COMPUTED_VALUE"""),29250)</f>
        <v>29250</v>
      </c>
      <c r="C1078" s="2">
        <f ca="1">IFERROR(__xludf.DUMMYFUNCTION("""COMPUTED_VALUE"""),29675)</f>
        <v>29675</v>
      </c>
      <c r="D1078" s="2">
        <f ca="1">IFERROR(__xludf.DUMMYFUNCTION("""COMPUTED_VALUE"""),29025)</f>
        <v>29025</v>
      </c>
      <c r="E1078" s="2">
        <f ca="1">IFERROR(__xludf.DUMMYFUNCTION("""COMPUTED_VALUE"""),29675)</f>
        <v>29675</v>
      </c>
      <c r="F1078" s="2">
        <f ca="1">IFERROR(__xludf.DUMMYFUNCTION("""COMPUTED_VALUE"""),15505000)</f>
        <v>15505000</v>
      </c>
    </row>
    <row r="1079" spans="1:6">
      <c r="A1079" s="5">
        <f ca="1">IFERROR(__xludf.DUMMYFUNCTION("""COMPUTED_VALUE"""),43644.625)</f>
        <v>43644.625</v>
      </c>
      <c r="B1079" s="2">
        <f ca="1">IFERROR(__xludf.DUMMYFUNCTION("""COMPUTED_VALUE"""),29900)</f>
        <v>29900</v>
      </c>
      <c r="C1079" s="2">
        <f ca="1">IFERROR(__xludf.DUMMYFUNCTION("""COMPUTED_VALUE"""),29975)</f>
        <v>29975</v>
      </c>
      <c r="D1079" s="2">
        <f ca="1">IFERROR(__xludf.DUMMYFUNCTION("""COMPUTED_VALUE"""),29800)</f>
        <v>29800</v>
      </c>
      <c r="E1079" s="2">
        <f ca="1">IFERROR(__xludf.DUMMYFUNCTION("""COMPUTED_VALUE"""),29975)</f>
        <v>29975</v>
      </c>
      <c r="F1079" s="2">
        <f ca="1">IFERROR(__xludf.DUMMYFUNCTION("""COMPUTED_VALUE"""),16183800)</f>
        <v>16183800</v>
      </c>
    </row>
    <row r="1080" spans="1:6">
      <c r="A1080" s="5">
        <f ca="1">IFERROR(__xludf.DUMMYFUNCTION("""COMPUTED_VALUE"""),43647.625)</f>
        <v>43647.625</v>
      </c>
      <c r="B1080" s="2">
        <f ca="1">IFERROR(__xludf.DUMMYFUNCTION("""COMPUTED_VALUE"""),29975)</f>
        <v>29975</v>
      </c>
      <c r="C1080" s="2">
        <f ca="1">IFERROR(__xludf.DUMMYFUNCTION("""COMPUTED_VALUE"""),30125)</f>
        <v>30125</v>
      </c>
      <c r="D1080" s="2">
        <f ca="1">IFERROR(__xludf.DUMMYFUNCTION("""COMPUTED_VALUE"""),29825)</f>
        <v>29825</v>
      </c>
      <c r="E1080" s="2">
        <f ca="1">IFERROR(__xludf.DUMMYFUNCTION("""COMPUTED_VALUE"""),29950)</f>
        <v>29950</v>
      </c>
      <c r="F1080" s="2">
        <f ca="1">IFERROR(__xludf.DUMMYFUNCTION("""COMPUTED_VALUE"""),11322500)</f>
        <v>11322500</v>
      </c>
    </row>
    <row r="1081" spans="1:6">
      <c r="A1081" s="5">
        <f ca="1">IFERROR(__xludf.DUMMYFUNCTION("""COMPUTED_VALUE"""),43648.625)</f>
        <v>43648.625</v>
      </c>
      <c r="B1081" s="2">
        <f ca="1">IFERROR(__xludf.DUMMYFUNCTION("""COMPUTED_VALUE"""),29950)</f>
        <v>29950</v>
      </c>
      <c r="C1081" s="2">
        <f ca="1">IFERROR(__xludf.DUMMYFUNCTION("""COMPUTED_VALUE"""),30000)</f>
        <v>30000</v>
      </c>
      <c r="D1081" s="2">
        <f ca="1">IFERROR(__xludf.DUMMYFUNCTION("""COMPUTED_VALUE"""),29750)</f>
        <v>29750</v>
      </c>
      <c r="E1081" s="2">
        <f ca="1">IFERROR(__xludf.DUMMYFUNCTION("""COMPUTED_VALUE"""),30000)</f>
        <v>30000</v>
      </c>
      <c r="F1081" s="2">
        <f ca="1">IFERROR(__xludf.DUMMYFUNCTION("""COMPUTED_VALUE"""),9712700)</f>
        <v>9712700</v>
      </c>
    </row>
    <row r="1082" spans="1:6">
      <c r="A1082" s="5">
        <f ca="1">IFERROR(__xludf.DUMMYFUNCTION("""COMPUTED_VALUE"""),43649.625)</f>
        <v>43649.625</v>
      </c>
      <c r="B1082" s="2">
        <f ca="1">IFERROR(__xludf.DUMMYFUNCTION("""COMPUTED_VALUE"""),29750)</f>
        <v>29750</v>
      </c>
      <c r="C1082" s="2">
        <f ca="1">IFERROR(__xludf.DUMMYFUNCTION("""COMPUTED_VALUE"""),30000)</f>
        <v>30000</v>
      </c>
      <c r="D1082" s="2">
        <f ca="1">IFERROR(__xludf.DUMMYFUNCTION("""COMPUTED_VALUE"""),29700)</f>
        <v>29700</v>
      </c>
      <c r="E1082" s="2">
        <f ca="1">IFERROR(__xludf.DUMMYFUNCTION("""COMPUTED_VALUE"""),30000)</f>
        <v>30000</v>
      </c>
      <c r="F1082" s="2">
        <f ca="1">IFERROR(__xludf.DUMMYFUNCTION("""COMPUTED_VALUE"""),8728000)</f>
        <v>8728000</v>
      </c>
    </row>
    <row r="1083" spans="1:6">
      <c r="A1083" s="5">
        <f ca="1">IFERROR(__xludf.DUMMYFUNCTION("""COMPUTED_VALUE"""),43650.625)</f>
        <v>43650.625</v>
      </c>
      <c r="B1083" s="2">
        <f ca="1">IFERROR(__xludf.DUMMYFUNCTION("""COMPUTED_VALUE"""),30000)</f>
        <v>30000</v>
      </c>
      <c r="C1083" s="2">
        <f ca="1">IFERROR(__xludf.DUMMYFUNCTION("""COMPUTED_VALUE"""),30050)</f>
        <v>30050</v>
      </c>
      <c r="D1083" s="2">
        <f ca="1">IFERROR(__xludf.DUMMYFUNCTION("""COMPUTED_VALUE"""),29825)</f>
        <v>29825</v>
      </c>
      <c r="E1083" s="2">
        <f ca="1">IFERROR(__xludf.DUMMYFUNCTION("""COMPUTED_VALUE"""),29950)</f>
        <v>29950</v>
      </c>
      <c r="F1083" s="2">
        <f ca="1">IFERROR(__xludf.DUMMYFUNCTION("""COMPUTED_VALUE"""),5644900)</f>
        <v>5644900</v>
      </c>
    </row>
    <row r="1084" spans="1:6">
      <c r="A1084" s="5">
        <f ca="1">IFERROR(__xludf.DUMMYFUNCTION("""COMPUTED_VALUE"""),43651.625)</f>
        <v>43651.625</v>
      </c>
      <c r="B1084" s="2">
        <f ca="1">IFERROR(__xludf.DUMMYFUNCTION("""COMPUTED_VALUE"""),30100)</f>
        <v>30100</v>
      </c>
      <c r="C1084" s="2">
        <f ca="1">IFERROR(__xludf.DUMMYFUNCTION("""COMPUTED_VALUE"""),30100)</f>
        <v>30100</v>
      </c>
      <c r="D1084" s="2">
        <f ca="1">IFERROR(__xludf.DUMMYFUNCTION("""COMPUTED_VALUE"""),29850)</f>
        <v>29850</v>
      </c>
      <c r="E1084" s="2">
        <f ca="1">IFERROR(__xludf.DUMMYFUNCTION("""COMPUTED_VALUE"""),29850)</f>
        <v>29850</v>
      </c>
      <c r="F1084" s="2">
        <f ca="1">IFERROR(__xludf.DUMMYFUNCTION("""COMPUTED_VALUE"""),6544500)</f>
        <v>6544500</v>
      </c>
    </row>
    <row r="1085" spans="1:6">
      <c r="A1085" s="5">
        <f ca="1">IFERROR(__xludf.DUMMYFUNCTION("""COMPUTED_VALUE"""),43654.625)</f>
        <v>43654.625</v>
      </c>
      <c r="B1085" s="2">
        <f ca="1">IFERROR(__xludf.DUMMYFUNCTION("""COMPUTED_VALUE"""),29675)</f>
        <v>29675</v>
      </c>
      <c r="C1085" s="2">
        <f ca="1">IFERROR(__xludf.DUMMYFUNCTION("""COMPUTED_VALUE"""),29800)</f>
        <v>29800</v>
      </c>
      <c r="D1085" s="2">
        <f ca="1">IFERROR(__xludf.DUMMYFUNCTION("""COMPUTED_VALUE"""),29325)</f>
        <v>29325</v>
      </c>
      <c r="E1085" s="2">
        <f ca="1">IFERROR(__xludf.DUMMYFUNCTION("""COMPUTED_VALUE"""),29400)</f>
        <v>29400</v>
      </c>
      <c r="F1085" s="2">
        <f ca="1">IFERROR(__xludf.DUMMYFUNCTION("""COMPUTED_VALUE"""),7672200)</f>
        <v>7672200</v>
      </c>
    </row>
    <row r="1086" spans="1:6">
      <c r="A1086" s="5">
        <f ca="1">IFERROR(__xludf.DUMMYFUNCTION("""COMPUTED_VALUE"""),43655.625)</f>
        <v>43655.625</v>
      </c>
      <c r="B1086" s="2">
        <f ca="1">IFERROR(__xludf.DUMMYFUNCTION("""COMPUTED_VALUE"""),29350)</f>
        <v>29350</v>
      </c>
      <c r="C1086" s="2">
        <f ca="1">IFERROR(__xludf.DUMMYFUNCTION("""COMPUTED_VALUE"""),30000)</f>
        <v>30000</v>
      </c>
      <c r="D1086" s="2">
        <f ca="1">IFERROR(__xludf.DUMMYFUNCTION("""COMPUTED_VALUE"""),29350)</f>
        <v>29350</v>
      </c>
      <c r="E1086" s="2">
        <f ca="1">IFERROR(__xludf.DUMMYFUNCTION("""COMPUTED_VALUE"""),30000)</f>
        <v>30000</v>
      </c>
      <c r="F1086" s="2">
        <f ca="1">IFERROR(__xludf.DUMMYFUNCTION("""COMPUTED_VALUE"""),9548100)</f>
        <v>9548100</v>
      </c>
    </row>
    <row r="1087" spans="1:6">
      <c r="A1087" s="5">
        <f ca="1">IFERROR(__xludf.DUMMYFUNCTION("""COMPUTED_VALUE"""),43656.625)</f>
        <v>43656.625</v>
      </c>
      <c r="B1087" s="2">
        <f ca="1">IFERROR(__xludf.DUMMYFUNCTION("""COMPUTED_VALUE"""),30000)</f>
        <v>30000</v>
      </c>
      <c r="C1087" s="2">
        <f ca="1">IFERROR(__xludf.DUMMYFUNCTION("""COMPUTED_VALUE"""),30200)</f>
        <v>30200</v>
      </c>
      <c r="D1087" s="2">
        <f ca="1">IFERROR(__xludf.DUMMYFUNCTION("""COMPUTED_VALUE"""),29975)</f>
        <v>29975</v>
      </c>
      <c r="E1087" s="2">
        <f ca="1">IFERROR(__xludf.DUMMYFUNCTION("""COMPUTED_VALUE"""),30000)</f>
        <v>30000</v>
      </c>
      <c r="F1087" s="2">
        <f ca="1">IFERROR(__xludf.DUMMYFUNCTION("""COMPUTED_VALUE"""),10436700)</f>
        <v>10436700</v>
      </c>
    </row>
    <row r="1088" spans="1:6">
      <c r="A1088" s="5">
        <f ca="1">IFERROR(__xludf.DUMMYFUNCTION("""COMPUTED_VALUE"""),43657.625)</f>
        <v>43657.625</v>
      </c>
      <c r="B1088" s="2">
        <f ca="1">IFERROR(__xludf.DUMMYFUNCTION("""COMPUTED_VALUE"""),30100)</f>
        <v>30100</v>
      </c>
      <c r="C1088" s="2">
        <f ca="1">IFERROR(__xludf.DUMMYFUNCTION("""COMPUTED_VALUE"""),30125)</f>
        <v>30125</v>
      </c>
      <c r="D1088" s="2">
        <f ca="1">IFERROR(__xludf.DUMMYFUNCTION("""COMPUTED_VALUE"""),29900)</f>
        <v>29900</v>
      </c>
      <c r="E1088" s="2">
        <f ca="1">IFERROR(__xludf.DUMMYFUNCTION("""COMPUTED_VALUE"""),30125)</f>
        <v>30125</v>
      </c>
      <c r="F1088" s="2">
        <f ca="1">IFERROR(__xludf.DUMMYFUNCTION("""COMPUTED_VALUE"""),6855900)</f>
        <v>6855900</v>
      </c>
    </row>
    <row r="1089" spans="1:6">
      <c r="A1089" s="5">
        <f ca="1">IFERROR(__xludf.DUMMYFUNCTION("""COMPUTED_VALUE"""),43658.625)</f>
        <v>43658.625</v>
      </c>
      <c r="B1089" s="2">
        <f ca="1">IFERROR(__xludf.DUMMYFUNCTION("""COMPUTED_VALUE"""),30000)</f>
        <v>30000</v>
      </c>
      <c r="C1089" s="2">
        <f ca="1">IFERROR(__xludf.DUMMYFUNCTION("""COMPUTED_VALUE"""),30150)</f>
        <v>30150</v>
      </c>
      <c r="D1089" s="2">
        <f ca="1">IFERROR(__xludf.DUMMYFUNCTION("""COMPUTED_VALUE"""),29975)</f>
        <v>29975</v>
      </c>
      <c r="E1089" s="2">
        <f ca="1">IFERROR(__xludf.DUMMYFUNCTION("""COMPUTED_VALUE"""),30050)</f>
        <v>30050</v>
      </c>
      <c r="F1089" s="2">
        <f ca="1">IFERROR(__xludf.DUMMYFUNCTION("""COMPUTED_VALUE"""),5967600)</f>
        <v>5967600</v>
      </c>
    </row>
    <row r="1090" spans="1:6">
      <c r="A1090" s="5">
        <f ca="1">IFERROR(__xludf.DUMMYFUNCTION("""COMPUTED_VALUE"""),43661.625)</f>
        <v>43661.625</v>
      </c>
      <c r="B1090" s="2">
        <f ca="1">IFERROR(__xludf.DUMMYFUNCTION("""COMPUTED_VALUE"""),30300)</f>
        <v>30300</v>
      </c>
      <c r="C1090" s="2">
        <f ca="1">IFERROR(__xludf.DUMMYFUNCTION("""COMPUTED_VALUE"""),30575)</f>
        <v>30575</v>
      </c>
      <c r="D1090" s="2">
        <f ca="1">IFERROR(__xludf.DUMMYFUNCTION("""COMPUTED_VALUE"""),30175)</f>
        <v>30175</v>
      </c>
      <c r="E1090" s="2">
        <f ca="1">IFERROR(__xludf.DUMMYFUNCTION("""COMPUTED_VALUE"""),30525)</f>
        <v>30525</v>
      </c>
      <c r="F1090" s="2">
        <f ca="1">IFERROR(__xludf.DUMMYFUNCTION("""COMPUTED_VALUE"""),12290700)</f>
        <v>12290700</v>
      </c>
    </row>
    <row r="1091" spans="1:6">
      <c r="A1091" s="5">
        <f ca="1">IFERROR(__xludf.DUMMYFUNCTION("""COMPUTED_VALUE"""),43662.625)</f>
        <v>43662.625</v>
      </c>
      <c r="B1091" s="2">
        <f ca="1">IFERROR(__xludf.DUMMYFUNCTION("""COMPUTED_VALUE"""),30400)</f>
        <v>30400</v>
      </c>
      <c r="C1091" s="2">
        <f ca="1">IFERROR(__xludf.DUMMYFUNCTION("""COMPUTED_VALUE"""),30525)</f>
        <v>30525</v>
      </c>
      <c r="D1091" s="2">
        <f ca="1">IFERROR(__xludf.DUMMYFUNCTION("""COMPUTED_VALUE"""),30350)</f>
        <v>30350</v>
      </c>
      <c r="E1091" s="2">
        <f ca="1">IFERROR(__xludf.DUMMYFUNCTION("""COMPUTED_VALUE"""),30425)</f>
        <v>30425</v>
      </c>
      <c r="F1091" s="2">
        <f ca="1">IFERROR(__xludf.DUMMYFUNCTION("""COMPUTED_VALUE"""),7615000)</f>
        <v>7615000</v>
      </c>
    </row>
    <row r="1092" spans="1:6">
      <c r="A1092" s="5">
        <f ca="1">IFERROR(__xludf.DUMMYFUNCTION("""COMPUTED_VALUE"""),43663.625)</f>
        <v>43663.625</v>
      </c>
      <c r="B1092" s="2">
        <f ca="1">IFERROR(__xludf.DUMMYFUNCTION("""COMPUTED_VALUE"""),30400)</f>
        <v>30400</v>
      </c>
      <c r="C1092" s="2">
        <f ca="1">IFERROR(__xludf.DUMMYFUNCTION("""COMPUTED_VALUE"""),30750)</f>
        <v>30750</v>
      </c>
      <c r="D1092" s="2">
        <f ca="1">IFERROR(__xludf.DUMMYFUNCTION("""COMPUTED_VALUE"""),30225)</f>
        <v>30225</v>
      </c>
      <c r="E1092" s="2">
        <f ca="1">IFERROR(__xludf.DUMMYFUNCTION("""COMPUTED_VALUE"""),30750)</f>
        <v>30750</v>
      </c>
      <c r="F1092" s="2">
        <f ca="1">IFERROR(__xludf.DUMMYFUNCTION("""COMPUTED_VALUE"""),9097400)</f>
        <v>9097400</v>
      </c>
    </row>
    <row r="1093" spans="1:6">
      <c r="A1093" s="5">
        <f ca="1">IFERROR(__xludf.DUMMYFUNCTION("""COMPUTED_VALUE"""),43664.625)</f>
        <v>43664.625</v>
      </c>
      <c r="B1093" s="2">
        <f ca="1">IFERROR(__xludf.DUMMYFUNCTION("""COMPUTED_VALUE"""),30500)</f>
        <v>30500</v>
      </c>
      <c r="C1093" s="2">
        <f ca="1">IFERROR(__xludf.DUMMYFUNCTION("""COMPUTED_VALUE"""),30850)</f>
        <v>30850</v>
      </c>
      <c r="D1093" s="2">
        <f ca="1">IFERROR(__xludf.DUMMYFUNCTION("""COMPUTED_VALUE"""),30275)</f>
        <v>30275</v>
      </c>
      <c r="E1093" s="2">
        <f ca="1">IFERROR(__xludf.DUMMYFUNCTION("""COMPUTED_VALUE"""),30725)</f>
        <v>30725</v>
      </c>
      <c r="F1093" s="2">
        <f ca="1">IFERROR(__xludf.DUMMYFUNCTION("""COMPUTED_VALUE"""),8725100)</f>
        <v>8725100</v>
      </c>
    </row>
    <row r="1094" spans="1:6">
      <c r="A1094" s="5">
        <f ca="1">IFERROR(__xludf.DUMMYFUNCTION("""COMPUTED_VALUE"""),43665.625)</f>
        <v>43665.625</v>
      </c>
      <c r="B1094" s="2">
        <f ca="1">IFERROR(__xludf.DUMMYFUNCTION("""COMPUTED_VALUE"""),30975)</f>
        <v>30975</v>
      </c>
      <c r="C1094" s="2">
        <f ca="1">IFERROR(__xludf.DUMMYFUNCTION("""COMPUTED_VALUE"""),31050)</f>
        <v>31050</v>
      </c>
      <c r="D1094" s="2">
        <f ca="1">IFERROR(__xludf.DUMMYFUNCTION("""COMPUTED_VALUE"""),30750)</f>
        <v>30750</v>
      </c>
      <c r="E1094" s="2">
        <f ca="1">IFERROR(__xludf.DUMMYFUNCTION("""COMPUTED_VALUE"""),31000)</f>
        <v>31000</v>
      </c>
      <c r="F1094" s="2">
        <f ca="1">IFERROR(__xludf.DUMMYFUNCTION("""COMPUTED_VALUE"""),8794700)</f>
        <v>8794700</v>
      </c>
    </row>
    <row r="1095" spans="1:6">
      <c r="A1095" s="5">
        <f ca="1">IFERROR(__xludf.DUMMYFUNCTION("""COMPUTED_VALUE"""),43668.625)</f>
        <v>43668.625</v>
      </c>
      <c r="B1095" s="2">
        <f ca="1">IFERROR(__xludf.DUMMYFUNCTION("""COMPUTED_VALUE"""),31300)</f>
        <v>31300</v>
      </c>
      <c r="C1095" s="2">
        <f ca="1">IFERROR(__xludf.DUMMYFUNCTION("""COMPUTED_VALUE"""),31450)</f>
        <v>31450</v>
      </c>
      <c r="D1095" s="2">
        <f ca="1">IFERROR(__xludf.DUMMYFUNCTION("""COMPUTED_VALUE"""),31000)</f>
        <v>31000</v>
      </c>
      <c r="E1095" s="2">
        <f ca="1">IFERROR(__xludf.DUMMYFUNCTION("""COMPUTED_VALUE"""),31450)</f>
        <v>31450</v>
      </c>
      <c r="F1095" s="2">
        <f ca="1">IFERROR(__xludf.DUMMYFUNCTION("""COMPUTED_VALUE"""),7462900)</f>
        <v>7462900</v>
      </c>
    </row>
    <row r="1096" spans="1:6">
      <c r="A1096" s="5">
        <f ca="1">IFERROR(__xludf.DUMMYFUNCTION("""COMPUTED_VALUE"""),43669.625)</f>
        <v>43669.625</v>
      </c>
      <c r="B1096" s="2">
        <f ca="1">IFERROR(__xludf.DUMMYFUNCTION("""COMPUTED_VALUE"""),31200)</f>
        <v>31200</v>
      </c>
      <c r="C1096" s="2">
        <f ca="1">IFERROR(__xludf.DUMMYFUNCTION("""COMPUTED_VALUE"""),31450)</f>
        <v>31450</v>
      </c>
      <c r="D1096" s="2">
        <f ca="1">IFERROR(__xludf.DUMMYFUNCTION("""COMPUTED_VALUE"""),31025)</f>
        <v>31025</v>
      </c>
      <c r="E1096" s="2">
        <f ca="1">IFERROR(__xludf.DUMMYFUNCTION("""COMPUTED_VALUE"""),31175)</f>
        <v>31175</v>
      </c>
      <c r="F1096" s="2">
        <f ca="1">IFERROR(__xludf.DUMMYFUNCTION("""COMPUTED_VALUE"""),7825900)</f>
        <v>7825900</v>
      </c>
    </row>
    <row r="1097" spans="1:6">
      <c r="A1097" s="5">
        <f ca="1">IFERROR(__xludf.DUMMYFUNCTION("""COMPUTED_VALUE"""),43670.625)</f>
        <v>43670.625</v>
      </c>
      <c r="B1097" s="2">
        <f ca="1">IFERROR(__xludf.DUMMYFUNCTION("""COMPUTED_VALUE"""),31300)</f>
        <v>31300</v>
      </c>
      <c r="C1097" s="2">
        <f ca="1">IFERROR(__xludf.DUMMYFUNCTION("""COMPUTED_VALUE"""),31325)</f>
        <v>31325</v>
      </c>
      <c r="D1097" s="2">
        <f ca="1">IFERROR(__xludf.DUMMYFUNCTION("""COMPUTED_VALUE"""),30825)</f>
        <v>30825</v>
      </c>
      <c r="E1097" s="2">
        <f ca="1">IFERROR(__xludf.DUMMYFUNCTION("""COMPUTED_VALUE"""),31250)</f>
        <v>31250</v>
      </c>
      <c r="F1097" s="2">
        <f ca="1">IFERROR(__xludf.DUMMYFUNCTION("""COMPUTED_VALUE"""),10268700)</f>
        <v>10268700</v>
      </c>
    </row>
    <row r="1098" spans="1:6">
      <c r="A1098" s="5">
        <f ca="1">IFERROR(__xludf.DUMMYFUNCTION("""COMPUTED_VALUE"""),43671.625)</f>
        <v>43671.625</v>
      </c>
      <c r="B1098" s="2">
        <f ca="1">IFERROR(__xludf.DUMMYFUNCTION("""COMPUTED_VALUE"""),31350)</f>
        <v>31350</v>
      </c>
      <c r="C1098" s="2">
        <f ca="1">IFERROR(__xludf.DUMMYFUNCTION("""COMPUTED_VALUE"""),31375)</f>
        <v>31375</v>
      </c>
      <c r="D1098" s="2">
        <f ca="1">IFERROR(__xludf.DUMMYFUNCTION("""COMPUTED_VALUE"""),31000)</f>
        <v>31000</v>
      </c>
      <c r="E1098" s="2">
        <f ca="1">IFERROR(__xludf.DUMMYFUNCTION("""COMPUTED_VALUE"""),31250)</f>
        <v>31250</v>
      </c>
      <c r="F1098" s="2">
        <f ca="1">IFERROR(__xludf.DUMMYFUNCTION("""COMPUTED_VALUE"""),10695500)</f>
        <v>10695500</v>
      </c>
    </row>
    <row r="1099" spans="1:6">
      <c r="A1099" s="5">
        <f ca="1">IFERROR(__xludf.DUMMYFUNCTION("""COMPUTED_VALUE"""),43672.625)</f>
        <v>43672.625</v>
      </c>
      <c r="B1099" s="2">
        <f ca="1">IFERROR(__xludf.DUMMYFUNCTION("""COMPUTED_VALUE"""),31250)</f>
        <v>31250</v>
      </c>
      <c r="C1099" s="2">
        <f ca="1">IFERROR(__xludf.DUMMYFUNCTION("""COMPUTED_VALUE"""),31250)</f>
        <v>31250</v>
      </c>
      <c r="D1099" s="2">
        <f ca="1">IFERROR(__xludf.DUMMYFUNCTION("""COMPUTED_VALUE"""),30950)</f>
        <v>30950</v>
      </c>
      <c r="E1099" s="2">
        <f ca="1">IFERROR(__xludf.DUMMYFUNCTION("""COMPUTED_VALUE"""),30975)</f>
        <v>30975</v>
      </c>
      <c r="F1099" s="2">
        <f ca="1">IFERROR(__xludf.DUMMYFUNCTION("""COMPUTED_VALUE"""),10359500)</f>
        <v>10359500</v>
      </c>
    </row>
    <row r="1100" spans="1:6">
      <c r="A1100" s="5">
        <f ca="1">IFERROR(__xludf.DUMMYFUNCTION("""COMPUTED_VALUE"""),43675.625)</f>
        <v>43675.625</v>
      </c>
      <c r="B1100" s="2">
        <f ca="1">IFERROR(__xludf.DUMMYFUNCTION("""COMPUTED_VALUE"""),31100)</f>
        <v>31100</v>
      </c>
      <c r="C1100" s="2">
        <f ca="1">IFERROR(__xludf.DUMMYFUNCTION("""COMPUTED_VALUE"""),31150)</f>
        <v>31150</v>
      </c>
      <c r="D1100" s="2">
        <f ca="1">IFERROR(__xludf.DUMMYFUNCTION("""COMPUTED_VALUE"""),30800)</f>
        <v>30800</v>
      </c>
      <c r="E1100" s="2">
        <f ca="1">IFERROR(__xludf.DUMMYFUNCTION("""COMPUTED_VALUE"""),30950)</f>
        <v>30950</v>
      </c>
      <c r="F1100" s="2">
        <f ca="1">IFERROR(__xludf.DUMMYFUNCTION("""COMPUTED_VALUE"""),13701900)</f>
        <v>13701900</v>
      </c>
    </row>
    <row r="1101" spans="1:6">
      <c r="A1101" s="5">
        <f ca="1">IFERROR(__xludf.DUMMYFUNCTION("""COMPUTED_VALUE"""),43676.625)</f>
        <v>43676.625</v>
      </c>
      <c r="B1101" s="2">
        <f ca="1">IFERROR(__xludf.DUMMYFUNCTION("""COMPUTED_VALUE"""),31025)</f>
        <v>31025</v>
      </c>
      <c r="C1101" s="2">
        <f ca="1">IFERROR(__xludf.DUMMYFUNCTION("""COMPUTED_VALUE"""),31250)</f>
        <v>31250</v>
      </c>
      <c r="D1101" s="2">
        <f ca="1">IFERROR(__xludf.DUMMYFUNCTION("""COMPUTED_VALUE"""),30950)</f>
        <v>30950</v>
      </c>
      <c r="E1101" s="2">
        <f ca="1">IFERROR(__xludf.DUMMYFUNCTION("""COMPUTED_VALUE"""),31100)</f>
        <v>31100</v>
      </c>
      <c r="F1101" s="2">
        <f ca="1">IFERROR(__xludf.DUMMYFUNCTION("""COMPUTED_VALUE"""),7645100)</f>
        <v>7645100</v>
      </c>
    </row>
    <row r="1102" spans="1:6">
      <c r="A1102" s="5">
        <f ca="1">IFERROR(__xludf.DUMMYFUNCTION("""COMPUTED_VALUE"""),43677.625)</f>
        <v>43677.625</v>
      </c>
      <c r="B1102" s="2">
        <f ca="1">IFERROR(__xludf.DUMMYFUNCTION("""COMPUTED_VALUE"""),30950)</f>
        <v>30950</v>
      </c>
      <c r="C1102" s="2">
        <f ca="1">IFERROR(__xludf.DUMMYFUNCTION("""COMPUTED_VALUE"""),31200)</f>
        <v>31200</v>
      </c>
      <c r="D1102" s="2">
        <f ca="1">IFERROR(__xludf.DUMMYFUNCTION("""COMPUTED_VALUE"""),30900)</f>
        <v>30900</v>
      </c>
      <c r="E1102" s="2">
        <f ca="1">IFERROR(__xludf.DUMMYFUNCTION("""COMPUTED_VALUE"""),30950)</f>
        <v>30950</v>
      </c>
      <c r="F1102" s="2">
        <f ca="1">IFERROR(__xludf.DUMMYFUNCTION("""COMPUTED_VALUE"""),12825800)</f>
        <v>12825800</v>
      </c>
    </row>
    <row r="1103" spans="1:6">
      <c r="A1103" s="5">
        <f ca="1">IFERROR(__xludf.DUMMYFUNCTION("""COMPUTED_VALUE"""),43678.625)</f>
        <v>43678.625</v>
      </c>
      <c r="B1103" s="2">
        <f ca="1">IFERROR(__xludf.DUMMYFUNCTION("""COMPUTED_VALUE"""),30950)</f>
        <v>30950</v>
      </c>
      <c r="C1103" s="2">
        <f ca="1">IFERROR(__xludf.DUMMYFUNCTION("""COMPUTED_VALUE"""),31350)</f>
        <v>31350</v>
      </c>
      <c r="D1103" s="2">
        <f ca="1">IFERROR(__xludf.DUMMYFUNCTION("""COMPUTED_VALUE"""),30925)</f>
        <v>30925</v>
      </c>
      <c r="E1103" s="2">
        <f ca="1">IFERROR(__xludf.DUMMYFUNCTION("""COMPUTED_VALUE"""),31050)</f>
        <v>31050</v>
      </c>
      <c r="F1103" s="2">
        <f ca="1">IFERROR(__xludf.DUMMYFUNCTION("""COMPUTED_VALUE"""),15645600)</f>
        <v>15645600</v>
      </c>
    </row>
    <row r="1104" spans="1:6">
      <c r="A1104" s="5">
        <f ca="1">IFERROR(__xludf.DUMMYFUNCTION("""COMPUTED_VALUE"""),43679.625)</f>
        <v>43679.625</v>
      </c>
      <c r="B1104" s="2">
        <f ca="1">IFERROR(__xludf.DUMMYFUNCTION("""COMPUTED_VALUE"""),30800)</f>
        <v>30800</v>
      </c>
      <c r="C1104" s="2">
        <f ca="1">IFERROR(__xludf.DUMMYFUNCTION("""COMPUTED_VALUE"""),31025)</f>
        <v>31025</v>
      </c>
      <c r="D1104" s="2">
        <f ca="1">IFERROR(__xludf.DUMMYFUNCTION("""COMPUTED_VALUE"""),30800)</f>
        <v>30800</v>
      </c>
      <c r="E1104" s="2">
        <f ca="1">IFERROR(__xludf.DUMMYFUNCTION("""COMPUTED_VALUE"""),30825)</f>
        <v>30825</v>
      </c>
      <c r="F1104" s="2">
        <f ca="1">IFERROR(__xludf.DUMMYFUNCTION("""COMPUTED_VALUE"""),12597900)</f>
        <v>12597900</v>
      </c>
    </row>
    <row r="1105" spans="1:6">
      <c r="A1105" s="5">
        <f ca="1">IFERROR(__xludf.DUMMYFUNCTION("""COMPUTED_VALUE"""),43682.625)</f>
        <v>43682.625</v>
      </c>
      <c r="B1105" s="2">
        <f ca="1">IFERROR(__xludf.DUMMYFUNCTION("""COMPUTED_VALUE"""),31075)</f>
        <v>31075</v>
      </c>
      <c r="C1105" s="2">
        <f ca="1">IFERROR(__xludf.DUMMYFUNCTION("""COMPUTED_VALUE"""),31075)</f>
        <v>31075</v>
      </c>
      <c r="D1105" s="2">
        <f ca="1">IFERROR(__xludf.DUMMYFUNCTION("""COMPUTED_VALUE"""),30000)</f>
        <v>30000</v>
      </c>
      <c r="E1105" s="2">
        <f ca="1">IFERROR(__xludf.DUMMYFUNCTION("""COMPUTED_VALUE"""),30000)</f>
        <v>30000</v>
      </c>
      <c r="F1105" s="2">
        <f ca="1">IFERROR(__xludf.DUMMYFUNCTION("""COMPUTED_VALUE"""),18184800)</f>
        <v>18184800</v>
      </c>
    </row>
    <row r="1106" spans="1:6">
      <c r="A1106" s="5">
        <f ca="1">IFERROR(__xludf.DUMMYFUNCTION("""COMPUTED_VALUE"""),43683.625)</f>
        <v>43683.625</v>
      </c>
      <c r="B1106" s="2">
        <f ca="1">IFERROR(__xludf.DUMMYFUNCTION("""COMPUTED_VALUE"""),29400)</f>
        <v>29400</v>
      </c>
      <c r="C1106" s="2">
        <f ca="1">IFERROR(__xludf.DUMMYFUNCTION("""COMPUTED_VALUE"""),29775)</f>
        <v>29775</v>
      </c>
      <c r="D1106" s="2">
        <f ca="1">IFERROR(__xludf.DUMMYFUNCTION("""COMPUTED_VALUE"""),28825)</f>
        <v>28825</v>
      </c>
      <c r="E1106" s="2">
        <f ca="1">IFERROR(__xludf.DUMMYFUNCTION("""COMPUTED_VALUE"""),29400)</f>
        <v>29400</v>
      </c>
      <c r="F1106" s="2">
        <f ca="1">IFERROR(__xludf.DUMMYFUNCTION("""COMPUTED_VALUE"""),36659200)</f>
        <v>36659200</v>
      </c>
    </row>
    <row r="1107" spans="1:6">
      <c r="A1107" s="5">
        <f ca="1">IFERROR(__xludf.DUMMYFUNCTION("""COMPUTED_VALUE"""),43684.625)</f>
        <v>43684.625</v>
      </c>
      <c r="B1107" s="2">
        <f ca="1">IFERROR(__xludf.DUMMYFUNCTION("""COMPUTED_VALUE"""),29875)</f>
        <v>29875</v>
      </c>
      <c r="C1107" s="2">
        <f ca="1">IFERROR(__xludf.DUMMYFUNCTION("""COMPUTED_VALUE"""),30250)</f>
        <v>30250</v>
      </c>
      <c r="D1107" s="2">
        <f ca="1">IFERROR(__xludf.DUMMYFUNCTION("""COMPUTED_VALUE"""),29525)</f>
        <v>29525</v>
      </c>
      <c r="E1107" s="2">
        <f ca="1">IFERROR(__xludf.DUMMYFUNCTION("""COMPUTED_VALUE"""),30050)</f>
        <v>30050</v>
      </c>
      <c r="F1107" s="2">
        <f ca="1">IFERROR(__xludf.DUMMYFUNCTION("""COMPUTED_VALUE"""),18420400)</f>
        <v>18420400</v>
      </c>
    </row>
    <row r="1108" spans="1:6">
      <c r="A1108" s="5">
        <f ca="1">IFERROR(__xludf.DUMMYFUNCTION("""COMPUTED_VALUE"""),43685.625)</f>
        <v>43685.625</v>
      </c>
      <c r="B1108" s="2">
        <f ca="1">IFERROR(__xludf.DUMMYFUNCTION("""COMPUTED_VALUE"""),30050)</f>
        <v>30050</v>
      </c>
      <c r="C1108" s="2">
        <f ca="1">IFERROR(__xludf.DUMMYFUNCTION("""COMPUTED_VALUE"""),30400)</f>
        <v>30400</v>
      </c>
      <c r="D1108" s="2">
        <f ca="1">IFERROR(__xludf.DUMMYFUNCTION("""COMPUTED_VALUE"""),29900)</f>
        <v>29900</v>
      </c>
      <c r="E1108" s="2">
        <f ca="1">IFERROR(__xludf.DUMMYFUNCTION("""COMPUTED_VALUE"""),30025)</f>
        <v>30025</v>
      </c>
      <c r="F1108" s="2">
        <f ca="1">IFERROR(__xludf.DUMMYFUNCTION("""COMPUTED_VALUE"""),11659100)</f>
        <v>11659100</v>
      </c>
    </row>
    <row r="1109" spans="1:6">
      <c r="A1109" s="5">
        <f ca="1">IFERROR(__xludf.DUMMYFUNCTION("""COMPUTED_VALUE"""),43686.625)</f>
        <v>43686.625</v>
      </c>
      <c r="B1109" s="2">
        <f ca="1">IFERROR(__xludf.DUMMYFUNCTION("""COMPUTED_VALUE"""),30275)</f>
        <v>30275</v>
      </c>
      <c r="C1109" s="2">
        <f ca="1">IFERROR(__xludf.DUMMYFUNCTION("""COMPUTED_VALUE"""),30600)</f>
        <v>30600</v>
      </c>
      <c r="D1109" s="2">
        <f ca="1">IFERROR(__xludf.DUMMYFUNCTION("""COMPUTED_VALUE"""),30275)</f>
        <v>30275</v>
      </c>
      <c r="E1109" s="2">
        <f ca="1">IFERROR(__xludf.DUMMYFUNCTION("""COMPUTED_VALUE"""),30325)</f>
        <v>30325</v>
      </c>
      <c r="F1109" s="2">
        <f ca="1">IFERROR(__xludf.DUMMYFUNCTION("""COMPUTED_VALUE"""),9623700)</f>
        <v>9623700</v>
      </c>
    </row>
    <row r="1110" spans="1:6">
      <c r="A1110" s="5">
        <f ca="1">IFERROR(__xludf.DUMMYFUNCTION("""COMPUTED_VALUE"""),43689.625)</f>
        <v>43689.625</v>
      </c>
      <c r="B1110" s="2">
        <f ca="1">IFERROR(__xludf.DUMMYFUNCTION("""COMPUTED_VALUE"""),30350)</f>
        <v>30350</v>
      </c>
      <c r="C1110" s="2">
        <f ca="1">IFERROR(__xludf.DUMMYFUNCTION("""COMPUTED_VALUE"""),30400)</f>
        <v>30400</v>
      </c>
      <c r="D1110" s="2">
        <f ca="1">IFERROR(__xludf.DUMMYFUNCTION("""COMPUTED_VALUE"""),30000)</f>
        <v>30000</v>
      </c>
      <c r="E1110" s="2">
        <f ca="1">IFERROR(__xludf.DUMMYFUNCTION("""COMPUTED_VALUE"""),30200)</f>
        <v>30200</v>
      </c>
      <c r="F1110" s="2">
        <f ca="1">IFERROR(__xludf.DUMMYFUNCTION("""COMPUTED_VALUE"""),10541000)</f>
        <v>10541000</v>
      </c>
    </row>
    <row r="1111" spans="1:6">
      <c r="A1111" s="5">
        <f ca="1">IFERROR(__xludf.DUMMYFUNCTION("""COMPUTED_VALUE"""),43690.625)</f>
        <v>43690.625</v>
      </c>
      <c r="B1111" s="2">
        <f ca="1">IFERROR(__xludf.DUMMYFUNCTION("""COMPUTED_VALUE"""),30000)</f>
        <v>30000</v>
      </c>
      <c r="C1111" s="2">
        <f ca="1">IFERROR(__xludf.DUMMYFUNCTION("""COMPUTED_VALUE"""),30200)</f>
        <v>30200</v>
      </c>
      <c r="D1111" s="2">
        <f ca="1">IFERROR(__xludf.DUMMYFUNCTION("""COMPUTED_VALUE"""),30000)</f>
        <v>30000</v>
      </c>
      <c r="E1111" s="2">
        <f ca="1">IFERROR(__xludf.DUMMYFUNCTION("""COMPUTED_VALUE"""),30075)</f>
        <v>30075</v>
      </c>
      <c r="F1111" s="2">
        <f ca="1">IFERROR(__xludf.DUMMYFUNCTION("""COMPUTED_VALUE"""),16881200)</f>
        <v>16881200</v>
      </c>
    </row>
    <row r="1112" spans="1:6">
      <c r="A1112" s="5">
        <f ca="1">IFERROR(__xludf.DUMMYFUNCTION("""COMPUTED_VALUE"""),43691.625)</f>
        <v>43691.625</v>
      </c>
      <c r="B1112" s="2">
        <f ca="1">IFERROR(__xludf.DUMMYFUNCTION("""COMPUTED_VALUE"""),30200)</f>
        <v>30200</v>
      </c>
      <c r="C1112" s="2">
        <f ca="1">IFERROR(__xludf.DUMMYFUNCTION("""COMPUTED_VALUE"""),30300)</f>
        <v>30300</v>
      </c>
      <c r="D1112" s="2">
        <f ca="1">IFERROR(__xludf.DUMMYFUNCTION("""COMPUTED_VALUE"""),29900)</f>
        <v>29900</v>
      </c>
      <c r="E1112" s="2">
        <f ca="1">IFERROR(__xludf.DUMMYFUNCTION("""COMPUTED_VALUE"""),30050)</f>
        <v>30050</v>
      </c>
      <c r="F1112" s="2">
        <f ca="1">IFERROR(__xludf.DUMMYFUNCTION("""COMPUTED_VALUE"""),16388400)</f>
        <v>16388400</v>
      </c>
    </row>
    <row r="1113" spans="1:6">
      <c r="A1113" s="5">
        <f ca="1">IFERROR(__xludf.DUMMYFUNCTION("""COMPUTED_VALUE"""),43692.625)</f>
        <v>43692.625</v>
      </c>
      <c r="B1113" s="2">
        <f ca="1">IFERROR(__xludf.DUMMYFUNCTION("""COMPUTED_VALUE"""),29600)</f>
        <v>29600</v>
      </c>
      <c r="C1113" s="2">
        <f ca="1">IFERROR(__xludf.DUMMYFUNCTION("""COMPUTED_VALUE"""),30000)</f>
        <v>30000</v>
      </c>
      <c r="D1113" s="2">
        <f ca="1">IFERROR(__xludf.DUMMYFUNCTION("""COMPUTED_VALUE"""),29300)</f>
        <v>29300</v>
      </c>
      <c r="E1113" s="2">
        <f ca="1">IFERROR(__xludf.DUMMYFUNCTION("""COMPUTED_VALUE"""),30000)</f>
        <v>30000</v>
      </c>
      <c r="F1113" s="2">
        <f ca="1">IFERROR(__xludf.DUMMYFUNCTION("""COMPUTED_VALUE"""),10512300)</f>
        <v>10512300</v>
      </c>
    </row>
    <row r="1114" spans="1:6">
      <c r="A1114" s="5">
        <f ca="1">IFERROR(__xludf.DUMMYFUNCTION("""COMPUTED_VALUE"""),43693.625)</f>
        <v>43693.625</v>
      </c>
      <c r="B1114" s="2">
        <f ca="1">IFERROR(__xludf.DUMMYFUNCTION("""COMPUTED_VALUE"""),30200)</f>
        <v>30200</v>
      </c>
      <c r="C1114" s="2">
        <f ca="1">IFERROR(__xludf.DUMMYFUNCTION("""COMPUTED_VALUE"""),30200)</f>
        <v>30200</v>
      </c>
      <c r="D1114" s="2">
        <f ca="1">IFERROR(__xludf.DUMMYFUNCTION("""COMPUTED_VALUE"""),29800)</f>
        <v>29800</v>
      </c>
      <c r="E1114" s="2">
        <f ca="1">IFERROR(__xludf.DUMMYFUNCTION("""COMPUTED_VALUE"""),29800)</f>
        <v>29800</v>
      </c>
      <c r="F1114" s="2">
        <f ca="1">IFERROR(__xludf.DUMMYFUNCTION("""COMPUTED_VALUE"""),9964300)</f>
        <v>9964300</v>
      </c>
    </row>
    <row r="1115" spans="1:6">
      <c r="A1115" s="5">
        <f ca="1">IFERROR(__xludf.DUMMYFUNCTION("""COMPUTED_VALUE"""),43696.625)</f>
        <v>43696.625</v>
      </c>
      <c r="B1115" s="2">
        <f ca="1">IFERROR(__xludf.DUMMYFUNCTION("""COMPUTED_VALUE"""),30150)</f>
        <v>30150</v>
      </c>
      <c r="C1115" s="2">
        <f ca="1">IFERROR(__xludf.DUMMYFUNCTION("""COMPUTED_VALUE"""),30150)</f>
        <v>30150</v>
      </c>
      <c r="D1115" s="2">
        <f ca="1">IFERROR(__xludf.DUMMYFUNCTION("""COMPUTED_VALUE"""),29825)</f>
        <v>29825</v>
      </c>
      <c r="E1115" s="2">
        <f ca="1">IFERROR(__xludf.DUMMYFUNCTION("""COMPUTED_VALUE"""),30075)</f>
        <v>30075</v>
      </c>
      <c r="F1115" s="2">
        <f ca="1">IFERROR(__xludf.DUMMYFUNCTION("""COMPUTED_VALUE"""),6123800)</f>
        <v>6123800</v>
      </c>
    </row>
    <row r="1116" spans="1:6">
      <c r="A1116" s="5">
        <f ca="1">IFERROR(__xludf.DUMMYFUNCTION("""COMPUTED_VALUE"""),43697.625)</f>
        <v>43697.625</v>
      </c>
      <c r="B1116" s="2">
        <f ca="1">IFERROR(__xludf.DUMMYFUNCTION("""COMPUTED_VALUE"""),30175)</f>
        <v>30175</v>
      </c>
      <c r="C1116" s="2">
        <f ca="1">IFERROR(__xludf.DUMMYFUNCTION("""COMPUTED_VALUE"""),30175)</f>
        <v>30175</v>
      </c>
      <c r="D1116" s="2">
        <f ca="1">IFERROR(__xludf.DUMMYFUNCTION("""COMPUTED_VALUE"""),29925)</f>
        <v>29925</v>
      </c>
      <c r="E1116" s="2">
        <f ca="1">IFERROR(__xludf.DUMMYFUNCTION("""COMPUTED_VALUE"""),29925)</f>
        <v>29925</v>
      </c>
      <c r="F1116" s="2">
        <f ca="1">IFERROR(__xludf.DUMMYFUNCTION("""COMPUTED_VALUE"""),11678700)</f>
        <v>11678700</v>
      </c>
    </row>
    <row r="1117" spans="1:6">
      <c r="A1117" s="5">
        <f ca="1">IFERROR(__xludf.DUMMYFUNCTION("""COMPUTED_VALUE"""),43698.625)</f>
        <v>43698.625</v>
      </c>
      <c r="B1117" s="2">
        <f ca="1">IFERROR(__xludf.DUMMYFUNCTION("""COMPUTED_VALUE"""),30000)</f>
        <v>30000</v>
      </c>
      <c r="C1117" s="2">
        <f ca="1">IFERROR(__xludf.DUMMYFUNCTION("""COMPUTED_VALUE"""),30025)</f>
        <v>30025</v>
      </c>
      <c r="D1117" s="2">
        <f ca="1">IFERROR(__xludf.DUMMYFUNCTION("""COMPUTED_VALUE"""),29875)</f>
        <v>29875</v>
      </c>
      <c r="E1117" s="2">
        <f ca="1">IFERROR(__xludf.DUMMYFUNCTION("""COMPUTED_VALUE"""),29875)</f>
        <v>29875</v>
      </c>
      <c r="F1117" s="2">
        <f ca="1">IFERROR(__xludf.DUMMYFUNCTION("""COMPUTED_VALUE"""),11185500)</f>
        <v>11185500</v>
      </c>
    </row>
    <row r="1118" spans="1:6">
      <c r="A1118" s="5">
        <f ca="1">IFERROR(__xludf.DUMMYFUNCTION("""COMPUTED_VALUE"""),43699.625)</f>
        <v>43699.625</v>
      </c>
      <c r="B1118" s="2">
        <f ca="1">IFERROR(__xludf.DUMMYFUNCTION("""COMPUTED_VALUE"""),29625)</f>
        <v>29625</v>
      </c>
      <c r="C1118" s="2">
        <f ca="1">IFERROR(__xludf.DUMMYFUNCTION("""COMPUTED_VALUE"""),30000)</f>
        <v>30000</v>
      </c>
      <c r="D1118" s="2">
        <f ca="1">IFERROR(__xludf.DUMMYFUNCTION("""COMPUTED_VALUE"""),29600)</f>
        <v>29600</v>
      </c>
      <c r="E1118" s="2">
        <f ca="1">IFERROR(__xludf.DUMMYFUNCTION("""COMPUTED_VALUE"""),30000)</f>
        <v>30000</v>
      </c>
      <c r="F1118" s="2">
        <f ca="1">IFERROR(__xludf.DUMMYFUNCTION("""COMPUTED_VALUE"""),13177600)</f>
        <v>13177600</v>
      </c>
    </row>
    <row r="1119" spans="1:6">
      <c r="A1119" s="5">
        <f ca="1">IFERROR(__xludf.DUMMYFUNCTION("""COMPUTED_VALUE"""),43700.625)</f>
        <v>43700.625</v>
      </c>
      <c r="B1119" s="2">
        <f ca="1">IFERROR(__xludf.DUMMYFUNCTION("""COMPUTED_VALUE"""),29600)</f>
        <v>29600</v>
      </c>
      <c r="C1119" s="2">
        <f ca="1">IFERROR(__xludf.DUMMYFUNCTION("""COMPUTED_VALUE"""),29975)</f>
        <v>29975</v>
      </c>
      <c r="D1119" s="2">
        <f ca="1">IFERROR(__xludf.DUMMYFUNCTION("""COMPUTED_VALUE"""),29525)</f>
        <v>29525</v>
      </c>
      <c r="E1119" s="2">
        <f ca="1">IFERROR(__xludf.DUMMYFUNCTION("""COMPUTED_VALUE"""),29975)</f>
        <v>29975</v>
      </c>
      <c r="F1119" s="2">
        <f ca="1">IFERROR(__xludf.DUMMYFUNCTION("""COMPUTED_VALUE"""),6616700)</f>
        <v>6616700</v>
      </c>
    </row>
    <row r="1120" spans="1:6">
      <c r="A1120" s="5">
        <f ca="1">IFERROR(__xludf.DUMMYFUNCTION("""COMPUTED_VALUE"""),43703.625)</f>
        <v>43703.625</v>
      </c>
      <c r="B1120" s="2">
        <f ca="1">IFERROR(__xludf.DUMMYFUNCTION("""COMPUTED_VALUE"""),29700)</f>
        <v>29700</v>
      </c>
      <c r="C1120" s="2">
        <f ca="1">IFERROR(__xludf.DUMMYFUNCTION("""COMPUTED_VALUE"""),30000)</f>
        <v>30000</v>
      </c>
      <c r="D1120" s="2">
        <f ca="1">IFERROR(__xludf.DUMMYFUNCTION("""COMPUTED_VALUE"""),29300)</f>
        <v>29300</v>
      </c>
      <c r="E1120" s="2">
        <f ca="1">IFERROR(__xludf.DUMMYFUNCTION("""COMPUTED_VALUE"""),29950)</f>
        <v>29950</v>
      </c>
      <c r="F1120" s="2">
        <f ca="1">IFERROR(__xludf.DUMMYFUNCTION("""COMPUTED_VALUE"""),8277700)</f>
        <v>8277700</v>
      </c>
    </row>
    <row r="1121" spans="1:6">
      <c r="A1121" s="5">
        <f ca="1">IFERROR(__xludf.DUMMYFUNCTION("""COMPUTED_VALUE"""),43704.625)</f>
        <v>43704.625</v>
      </c>
      <c r="B1121" s="2">
        <f ca="1">IFERROR(__xludf.DUMMYFUNCTION("""COMPUTED_VALUE"""),30200)</f>
        <v>30200</v>
      </c>
      <c r="C1121" s="2">
        <f ca="1">IFERROR(__xludf.DUMMYFUNCTION("""COMPUTED_VALUE"""),30200)</f>
        <v>30200</v>
      </c>
      <c r="D1121" s="2">
        <f ca="1">IFERROR(__xludf.DUMMYFUNCTION("""COMPUTED_VALUE"""),29750)</f>
        <v>29750</v>
      </c>
      <c r="E1121" s="2">
        <f ca="1">IFERROR(__xludf.DUMMYFUNCTION("""COMPUTED_VALUE"""),30025)</f>
        <v>30025</v>
      </c>
      <c r="F1121" s="2">
        <f ca="1">IFERROR(__xludf.DUMMYFUNCTION("""COMPUTED_VALUE"""),24756000)</f>
        <v>24756000</v>
      </c>
    </row>
    <row r="1122" spans="1:6">
      <c r="A1122" s="5">
        <f ca="1">IFERROR(__xludf.DUMMYFUNCTION("""COMPUTED_VALUE"""),43705.625)</f>
        <v>43705.625</v>
      </c>
      <c r="B1122" s="2">
        <f ca="1">IFERROR(__xludf.DUMMYFUNCTION("""COMPUTED_VALUE"""),30000)</f>
        <v>30000</v>
      </c>
      <c r="C1122" s="2">
        <f ca="1">IFERROR(__xludf.DUMMYFUNCTION("""COMPUTED_VALUE"""),30100)</f>
        <v>30100</v>
      </c>
      <c r="D1122" s="2">
        <f ca="1">IFERROR(__xludf.DUMMYFUNCTION("""COMPUTED_VALUE"""),29925)</f>
        <v>29925</v>
      </c>
      <c r="E1122" s="2">
        <f ca="1">IFERROR(__xludf.DUMMYFUNCTION("""COMPUTED_VALUE"""),29975)</f>
        <v>29975</v>
      </c>
      <c r="F1122" s="2">
        <f ca="1">IFERROR(__xludf.DUMMYFUNCTION("""COMPUTED_VALUE"""),11137600)</f>
        <v>11137600</v>
      </c>
    </row>
    <row r="1123" spans="1:6">
      <c r="A1123" s="5">
        <f ca="1">IFERROR(__xludf.DUMMYFUNCTION("""COMPUTED_VALUE"""),43706.625)</f>
        <v>43706.625</v>
      </c>
      <c r="B1123" s="2">
        <f ca="1">IFERROR(__xludf.DUMMYFUNCTION("""COMPUTED_VALUE"""),29950)</f>
        <v>29950</v>
      </c>
      <c r="C1123" s="2">
        <f ca="1">IFERROR(__xludf.DUMMYFUNCTION("""COMPUTED_VALUE"""),30125)</f>
        <v>30125</v>
      </c>
      <c r="D1123" s="2">
        <f ca="1">IFERROR(__xludf.DUMMYFUNCTION("""COMPUTED_VALUE"""),29925)</f>
        <v>29925</v>
      </c>
      <c r="E1123" s="2">
        <f ca="1">IFERROR(__xludf.DUMMYFUNCTION("""COMPUTED_VALUE"""),30025)</f>
        <v>30025</v>
      </c>
      <c r="F1123" s="2">
        <f ca="1">IFERROR(__xludf.DUMMYFUNCTION("""COMPUTED_VALUE"""),10305100)</f>
        <v>10305100</v>
      </c>
    </row>
    <row r="1124" spans="1:6">
      <c r="A1124" s="5">
        <f ca="1">IFERROR(__xludf.DUMMYFUNCTION("""COMPUTED_VALUE"""),43707.625)</f>
        <v>43707.625</v>
      </c>
      <c r="B1124" s="2">
        <f ca="1">IFERROR(__xludf.DUMMYFUNCTION("""COMPUTED_VALUE"""),30400)</f>
        <v>30400</v>
      </c>
      <c r="C1124" s="2">
        <f ca="1">IFERROR(__xludf.DUMMYFUNCTION("""COMPUTED_VALUE"""),30500)</f>
        <v>30500</v>
      </c>
      <c r="D1124" s="2">
        <f ca="1">IFERROR(__xludf.DUMMYFUNCTION("""COMPUTED_VALUE"""),30025)</f>
        <v>30025</v>
      </c>
      <c r="E1124" s="2">
        <f ca="1">IFERROR(__xludf.DUMMYFUNCTION("""COMPUTED_VALUE"""),30500)</f>
        <v>30500</v>
      </c>
      <c r="F1124" s="2">
        <f ca="1">IFERROR(__xludf.DUMMYFUNCTION("""COMPUTED_VALUE"""),14730000)</f>
        <v>14730000</v>
      </c>
    </row>
    <row r="1125" spans="1:6">
      <c r="A1125" s="5">
        <f ca="1">IFERROR(__xludf.DUMMYFUNCTION("""COMPUTED_VALUE"""),43710.625)</f>
        <v>43710.625</v>
      </c>
      <c r="B1125" s="2">
        <f ca="1">IFERROR(__xludf.DUMMYFUNCTION("""COMPUTED_VALUE"""),30500)</f>
        <v>30500</v>
      </c>
      <c r="C1125" s="2">
        <f ca="1">IFERROR(__xludf.DUMMYFUNCTION("""COMPUTED_VALUE"""),30500)</f>
        <v>30500</v>
      </c>
      <c r="D1125" s="2">
        <f ca="1">IFERROR(__xludf.DUMMYFUNCTION("""COMPUTED_VALUE"""),30000)</f>
        <v>30000</v>
      </c>
      <c r="E1125" s="2">
        <f ca="1">IFERROR(__xludf.DUMMYFUNCTION("""COMPUTED_VALUE"""),30000)</f>
        <v>30000</v>
      </c>
      <c r="F1125" s="2">
        <f ca="1">IFERROR(__xludf.DUMMYFUNCTION("""COMPUTED_VALUE"""),8485800)</f>
        <v>8485800</v>
      </c>
    </row>
    <row r="1126" spans="1:6">
      <c r="A1126" s="5">
        <f ca="1">IFERROR(__xludf.DUMMYFUNCTION("""COMPUTED_VALUE"""),43711.625)</f>
        <v>43711.625</v>
      </c>
      <c r="B1126" s="2">
        <f ca="1">IFERROR(__xludf.DUMMYFUNCTION("""COMPUTED_VALUE"""),30000)</f>
        <v>30000</v>
      </c>
      <c r="C1126" s="2">
        <f ca="1">IFERROR(__xludf.DUMMYFUNCTION("""COMPUTED_VALUE"""),30275)</f>
        <v>30275</v>
      </c>
      <c r="D1126" s="2">
        <f ca="1">IFERROR(__xludf.DUMMYFUNCTION("""COMPUTED_VALUE"""),30000)</f>
        <v>30000</v>
      </c>
      <c r="E1126" s="2">
        <f ca="1">IFERROR(__xludf.DUMMYFUNCTION("""COMPUTED_VALUE"""),30275)</f>
        <v>30275</v>
      </c>
      <c r="F1126" s="2">
        <f ca="1">IFERROR(__xludf.DUMMYFUNCTION("""COMPUTED_VALUE"""),8548700)</f>
        <v>8548700</v>
      </c>
    </row>
    <row r="1127" spans="1:6">
      <c r="A1127" s="5">
        <f ca="1">IFERROR(__xludf.DUMMYFUNCTION("""COMPUTED_VALUE"""),43712.625)</f>
        <v>43712.625</v>
      </c>
      <c r="B1127" s="2">
        <f ca="1">IFERROR(__xludf.DUMMYFUNCTION("""COMPUTED_VALUE"""),30300)</f>
        <v>30300</v>
      </c>
      <c r="C1127" s="2">
        <f ca="1">IFERROR(__xludf.DUMMYFUNCTION("""COMPUTED_VALUE"""),30300)</f>
        <v>30300</v>
      </c>
      <c r="D1127" s="2">
        <f ca="1">IFERROR(__xludf.DUMMYFUNCTION("""COMPUTED_VALUE"""),30025)</f>
        <v>30025</v>
      </c>
      <c r="E1127" s="2">
        <f ca="1">IFERROR(__xludf.DUMMYFUNCTION("""COMPUTED_VALUE"""),30100)</f>
        <v>30100</v>
      </c>
      <c r="F1127" s="2">
        <f ca="1">IFERROR(__xludf.DUMMYFUNCTION("""COMPUTED_VALUE"""),8395800)</f>
        <v>8395800</v>
      </c>
    </row>
    <row r="1128" spans="1:6">
      <c r="A1128" s="5">
        <f ca="1">IFERROR(__xludf.DUMMYFUNCTION("""COMPUTED_VALUE"""),43713.625)</f>
        <v>43713.625</v>
      </c>
      <c r="B1128" s="2">
        <f ca="1">IFERROR(__xludf.DUMMYFUNCTION("""COMPUTED_VALUE"""),30425)</f>
        <v>30425</v>
      </c>
      <c r="C1128" s="2">
        <f ca="1">IFERROR(__xludf.DUMMYFUNCTION("""COMPUTED_VALUE"""),30425)</f>
        <v>30425</v>
      </c>
      <c r="D1128" s="2">
        <f ca="1">IFERROR(__xludf.DUMMYFUNCTION("""COMPUTED_VALUE"""),30075)</f>
        <v>30075</v>
      </c>
      <c r="E1128" s="2">
        <f ca="1">IFERROR(__xludf.DUMMYFUNCTION("""COMPUTED_VALUE"""),30200)</f>
        <v>30200</v>
      </c>
      <c r="F1128" s="2">
        <f ca="1">IFERROR(__xludf.DUMMYFUNCTION("""COMPUTED_VALUE"""),10730100)</f>
        <v>10730100</v>
      </c>
    </row>
    <row r="1129" spans="1:6">
      <c r="A1129" s="5">
        <f ca="1">IFERROR(__xludf.DUMMYFUNCTION("""COMPUTED_VALUE"""),43714.625)</f>
        <v>43714.625</v>
      </c>
      <c r="B1129" s="2">
        <f ca="1">IFERROR(__xludf.DUMMYFUNCTION("""COMPUTED_VALUE"""),30300)</f>
        <v>30300</v>
      </c>
      <c r="C1129" s="2">
        <f ca="1">IFERROR(__xludf.DUMMYFUNCTION("""COMPUTED_VALUE"""),30300)</f>
        <v>30300</v>
      </c>
      <c r="D1129" s="2">
        <f ca="1">IFERROR(__xludf.DUMMYFUNCTION("""COMPUTED_VALUE"""),30125)</f>
        <v>30125</v>
      </c>
      <c r="E1129" s="2">
        <f ca="1">IFERROR(__xludf.DUMMYFUNCTION("""COMPUTED_VALUE"""),30125)</f>
        <v>30125</v>
      </c>
      <c r="F1129" s="2">
        <f ca="1">IFERROR(__xludf.DUMMYFUNCTION("""COMPUTED_VALUE"""),10869800)</f>
        <v>10869800</v>
      </c>
    </row>
    <row r="1130" spans="1:6">
      <c r="A1130" s="5">
        <f ca="1">IFERROR(__xludf.DUMMYFUNCTION("""COMPUTED_VALUE"""),43717.625)</f>
        <v>43717.625</v>
      </c>
      <c r="B1130" s="2">
        <f ca="1">IFERROR(__xludf.DUMMYFUNCTION("""COMPUTED_VALUE"""),30250)</f>
        <v>30250</v>
      </c>
      <c r="C1130" s="2">
        <f ca="1">IFERROR(__xludf.DUMMYFUNCTION("""COMPUTED_VALUE"""),30275)</f>
        <v>30275</v>
      </c>
      <c r="D1130" s="2">
        <f ca="1">IFERROR(__xludf.DUMMYFUNCTION("""COMPUTED_VALUE"""),29900)</f>
        <v>29900</v>
      </c>
      <c r="E1130" s="2">
        <f ca="1">IFERROR(__xludf.DUMMYFUNCTION("""COMPUTED_VALUE"""),30175)</f>
        <v>30175</v>
      </c>
      <c r="F1130" s="2">
        <f ca="1">IFERROR(__xludf.DUMMYFUNCTION("""COMPUTED_VALUE"""),5182400)</f>
        <v>5182400</v>
      </c>
    </row>
    <row r="1131" spans="1:6">
      <c r="A1131" s="5">
        <f ca="1">IFERROR(__xludf.DUMMYFUNCTION("""COMPUTED_VALUE"""),43718.625)</f>
        <v>43718.625</v>
      </c>
      <c r="B1131" s="2">
        <f ca="1">IFERROR(__xludf.DUMMYFUNCTION("""COMPUTED_VALUE"""),30100)</f>
        <v>30100</v>
      </c>
      <c r="C1131" s="2">
        <f ca="1">IFERROR(__xludf.DUMMYFUNCTION("""COMPUTED_VALUE"""),30275)</f>
        <v>30275</v>
      </c>
      <c r="D1131" s="2">
        <f ca="1">IFERROR(__xludf.DUMMYFUNCTION("""COMPUTED_VALUE"""),29925)</f>
        <v>29925</v>
      </c>
      <c r="E1131" s="2">
        <f ca="1">IFERROR(__xludf.DUMMYFUNCTION("""COMPUTED_VALUE"""),30275)</f>
        <v>30275</v>
      </c>
      <c r="F1131" s="2">
        <f ca="1">IFERROR(__xludf.DUMMYFUNCTION("""COMPUTED_VALUE"""),8058200)</f>
        <v>8058200</v>
      </c>
    </row>
    <row r="1132" spans="1:6">
      <c r="A1132" s="5">
        <f ca="1">IFERROR(__xludf.DUMMYFUNCTION("""COMPUTED_VALUE"""),43719.625)</f>
        <v>43719.625</v>
      </c>
      <c r="B1132" s="2">
        <f ca="1">IFERROR(__xludf.DUMMYFUNCTION("""COMPUTED_VALUE"""),30250)</f>
        <v>30250</v>
      </c>
      <c r="C1132" s="2">
        <f ca="1">IFERROR(__xludf.DUMMYFUNCTION("""COMPUTED_VALUE"""),30500)</f>
        <v>30500</v>
      </c>
      <c r="D1132" s="2">
        <f ca="1">IFERROR(__xludf.DUMMYFUNCTION("""COMPUTED_VALUE"""),30050)</f>
        <v>30050</v>
      </c>
      <c r="E1132" s="2">
        <f ca="1">IFERROR(__xludf.DUMMYFUNCTION("""COMPUTED_VALUE"""),30500)</f>
        <v>30500</v>
      </c>
      <c r="F1132" s="2">
        <f ca="1">IFERROR(__xludf.DUMMYFUNCTION("""COMPUTED_VALUE"""),9048700)</f>
        <v>9048700</v>
      </c>
    </row>
    <row r="1133" spans="1:6">
      <c r="A1133" s="5">
        <f ca="1">IFERROR(__xludf.DUMMYFUNCTION("""COMPUTED_VALUE"""),43720.625)</f>
        <v>43720.625</v>
      </c>
      <c r="B1133" s="2">
        <f ca="1">IFERROR(__xludf.DUMMYFUNCTION("""COMPUTED_VALUE"""),30500)</f>
        <v>30500</v>
      </c>
      <c r="C1133" s="2">
        <f ca="1">IFERROR(__xludf.DUMMYFUNCTION("""COMPUTED_VALUE"""),30525)</f>
        <v>30525</v>
      </c>
      <c r="D1133" s="2">
        <f ca="1">IFERROR(__xludf.DUMMYFUNCTION("""COMPUTED_VALUE"""),30050)</f>
        <v>30050</v>
      </c>
      <c r="E1133" s="2">
        <f ca="1">IFERROR(__xludf.DUMMYFUNCTION("""COMPUTED_VALUE"""),30100)</f>
        <v>30100</v>
      </c>
      <c r="F1133" s="2">
        <f ca="1">IFERROR(__xludf.DUMMYFUNCTION("""COMPUTED_VALUE"""),8006800)</f>
        <v>8006800</v>
      </c>
    </row>
    <row r="1134" spans="1:6">
      <c r="A1134" s="5">
        <f ca="1">IFERROR(__xludf.DUMMYFUNCTION("""COMPUTED_VALUE"""),43721.625)</f>
        <v>43721.625</v>
      </c>
      <c r="B1134" s="2">
        <f ca="1">IFERROR(__xludf.DUMMYFUNCTION("""COMPUTED_VALUE"""),30400)</f>
        <v>30400</v>
      </c>
      <c r="C1134" s="2">
        <f ca="1">IFERROR(__xludf.DUMMYFUNCTION("""COMPUTED_VALUE"""),30450)</f>
        <v>30450</v>
      </c>
      <c r="D1134" s="2">
        <f ca="1">IFERROR(__xludf.DUMMYFUNCTION("""COMPUTED_VALUE"""),30050)</f>
        <v>30050</v>
      </c>
      <c r="E1134" s="2">
        <f ca="1">IFERROR(__xludf.DUMMYFUNCTION("""COMPUTED_VALUE"""),30150)</f>
        <v>30150</v>
      </c>
      <c r="F1134" s="2">
        <f ca="1">IFERROR(__xludf.DUMMYFUNCTION("""COMPUTED_VALUE"""),5683900)</f>
        <v>5683900</v>
      </c>
    </row>
    <row r="1135" spans="1:6">
      <c r="A1135" s="5">
        <f ca="1">IFERROR(__xludf.DUMMYFUNCTION("""COMPUTED_VALUE"""),43724.625)</f>
        <v>43724.625</v>
      </c>
      <c r="B1135" s="2">
        <f ca="1">IFERROR(__xludf.DUMMYFUNCTION("""COMPUTED_VALUE"""),30000)</f>
        <v>30000</v>
      </c>
      <c r="C1135" s="2">
        <f ca="1">IFERROR(__xludf.DUMMYFUNCTION("""COMPUTED_VALUE"""),30075)</f>
        <v>30075</v>
      </c>
      <c r="D1135" s="2">
        <f ca="1">IFERROR(__xludf.DUMMYFUNCTION("""COMPUTED_VALUE"""),29925)</f>
        <v>29925</v>
      </c>
      <c r="E1135" s="2">
        <f ca="1">IFERROR(__xludf.DUMMYFUNCTION("""COMPUTED_VALUE"""),30025)</f>
        <v>30025</v>
      </c>
      <c r="F1135" s="2">
        <f ca="1">IFERROR(__xludf.DUMMYFUNCTION("""COMPUTED_VALUE"""),15457800)</f>
        <v>15457800</v>
      </c>
    </row>
    <row r="1136" spans="1:6">
      <c r="A1136" s="5">
        <f ca="1">IFERROR(__xludf.DUMMYFUNCTION("""COMPUTED_VALUE"""),43725.625)</f>
        <v>43725.625</v>
      </c>
      <c r="B1136" s="2">
        <f ca="1">IFERROR(__xludf.DUMMYFUNCTION("""COMPUTED_VALUE"""),29950)</f>
        <v>29950</v>
      </c>
      <c r="C1136" s="2">
        <f ca="1">IFERROR(__xludf.DUMMYFUNCTION("""COMPUTED_VALUE"""),30175)</f>
        <v>30175</v>
      </c>
      <c r="D1136" s="2">
        <f ca="1">IFERROR(__xludf.DUMMYFUNCTION("""COMPUTED_VALUE"""),29925)</f>
        <v>29925</v>
      </c>
      <c r="E1136" s="2">
        <f ca="1">IFERROR(__xludf.DUMMYFUNCTION("""COMPUTED_VALUE"""),30150)</f>
        <v>30150</v>
      </c>
      <c r="F1136" s="2">
        <f ca="1">IFERROR(__xludf.DUMMYFUNCTION("""COMPUTED_VALUE"""),18407500)</f>
        <v>18407500</v>
      </c>
    </row>
    <row r="1137" spans="1:6">
      <c r="A1137" s="5">
        <f ca="1">IFERROR(__xludf.DUMMYFUNCTION("""COMPUTED_VALUE"""),43726.625)</f>
        <v>43726.625</v>
      </c>
      <c r="B1137" s="2">
        <f ca="1">IFERROR(__xludf.DUMMYFUNCTION("""COMPUTED_VALUE"""),29950)</f>
        <v>29950</v>
      </c>
      <c r="C1137" s="2">
        <f ca="1">IFERROR(__xludf.DUMMYFUNCTION("""COMPUTED_VALUE"""),30200)</f>
        <v>30200</v>
      </c>
      <c r="D1137" s="2">
        <f ca="1">IFERROR(__xludf.DUMMYFUNCTION("""COMPUTED_VALUE"""),29950)</f>
        <v>29950</v>
      </c>
      <c r="E1137" s="2">
        <f ca="1">IFERROR(__xludf.DUMMYFUNCTION("""COMPUTED_VALUE"""),30200)</f>
        <v>30200</v>
      </c>
      <c r="F1137" s="2">
        <f ca="1">IFERROR(__xludf.DUMMYFUNCTION("""COMPUTED_VALUE"""),5733400)</f>
        <v>5733400</v>
      </c>
    </row>
    <row r="1138" spans="1:6">
      <c r="A1138" s="5">
        <f ca="1">IFERROR(__xludf.DUMMYFUNCTION("""COMPUTED_VALUE"""),43727.625)</f>
        <v>43727.625</v>
      </c>
      <c r="B1138" s="2">
        <f ca="1">IFERROR(__xludf.DUMMYFUNCTION("""COMPUTED_VALUE"""),30075)</f>
        <v>30075</v>
      </c>
      <c r="C1138" s="2">
        <f ca="1">IFERROR(__xludf.DUMMYFUNCTION("""COMPUTED_VALUE"""),30225)</f>
        <v>30225</v>
      </c>
      <c r="D1138" s="2">
        <f ca="1">IFERROR(__xludf.DUMMYFUNCTION("""COMPUTED_VALUE"""),30000)</f>
        <v>30000</v>
      </c>
      <c r="E1138" s="2">
        <f ca="1">IFERROR(__xludf.DUMMYFUNCTION("""COMPUTED_VALUE"""),30150)</f>
        <v>30150</v>
      </c>
      <c r="F1138" s="2">
        <f ca="1">IFERROR(__xludf.DUMMYFUNCTION("""COMPUTED_VALUE"""),12397700)</f>
        <v>12397700</v>
      </c>
    </row>
    <row r="1139" spans="1:6">
      <c r="A1139" s="5">
        <f ca="1">IFERROR(__xludf.DUMMYFUNCTION("""COMPUTED_VALUE"""),43728.625)</f>
        <v>43728.625</v>
      </c>
      <c r="B1139" s="2">
        <f ca="1">IFERROR(__xludf.DUMMYFUNCTION("""COMPUTED_VALUE"""),30250)</f>
        <v>30250</v>
      </c>
      <c r="C1139" s="2">
        <f ca="1">IFERROR(__xludf.DUMMYFUNCTION("""COMPUTED_VALUE"""),30250)</f>
        <v>30250</v>
      </c>
      <c r="D1139" s="2">
        <f ca="1">IFERROR(__xludf.DUMMYFUNCTION("""COMPUTED_VALUE"""),29950)</f>
        <v>29950</v>
      </c>
      <c r="E1139" s="2">
        <f ca="1">IFERROR(__xludf.DUMMYFUNCTION("""COMPUTED_VALUE"""),29950)</f>
        <v>29950</v>
      </c>
      <c r="F1139" s="2">
        <f ca="1">IFERROR(__xludf.DUMMYFUNCTION("""COMPUTED_VALUE"""),26686600)</f>
        <v>26686600</v>
      </c>
    </row>
    <row r="1140" spans="1:6">
      <c r="A1140" s="5">
        <f ca="1">IFERROR(__xludf.DUMMYFUNCTION("""COMPUTED_VALUE"""),43731.625)</f>
        <v>43731.625</v>
      </c>
      <c r="B1140" s="2">
        <f ca="1">IFERROR(__xludf.DUMMYFUNCTION("""COMPUTED_VALUE"""),30150)</f>
        <v>30150</v>
      </c>
      <c r="C1140" s="2">
        <f ca="1">IFERROR(__xludf.DUMMYFUNCTION("""COMPUTED_VALUE"""),30150)</f>
        <v>30150</v>
      </c>
      <c r="D1140" s="2">
        <f ca="1">IFERROR(__xludf.DUMMYFUNCTION("""COMPUTED_VALUE"""),30000)</f>
        <v>30000</v>
      </c>
      <c r="E1140" s="2">
        <f ca="1">IFERROR(__xludf.DUMMYFUNCTION("""COMPUTED_VALUE"""),30125)</f>
        <v>30125</v>
      </c>
      <c r="F1140" s="2">
        <f ca="1">IFERROR(__xludf.DUMMYFUNCTION("""COMPUTED_VALUE"""),9446300)</f>
        <v>9446300</v>
      </c>
    </row>
    <row r="1141" spans="1:6">
      <c r="A1141" s="5">
        <f ca="1">IFERROR(__xludf.DUMMYFUNCTION("""COMPUTED_VALUE"""),43732.625)</f>
        <v>43732.625</v>
      </c>
      <c r="B1141" s="2">
        <f ca="1">IFERROR(__xludf.DUMMYFUNCTION("""COMPUTED_VALUE"""),29900)</f>
        <v>29900</v>
      </c>
      <c r="C1141" s="2">
        <f ca="1">IFERROR(__xludf.DUMMYFUNCTION("""COMPUTED_VALUE"""),30000)</f>
        <v>30000</v>
      </c>
      <c r="D1141" s="2">
        <f ca="1">IFERROR(__xludf.DUMMYFUNCTION("""COMPUTED_VALUE"""),29700)</f>
        <v>29700</v>
      </c>
      <c r="E1141" s="2">
        <f ca="1">IFERROR(__xludf.DUMMYFUNCTION("""COMPUTED_VALUE"""),29725)</f>
        <v>29725</v>
      </c>
      <c r="F1141" s="2">
        <f ca="1">IFERROR(__xludf.DUMMYFUNCTION("""COMPUTED_VALUE"""),15943700)</f>
        <v>15943700</v>
      </c>
    </row>
    <row r="1142" spans="1:6">
      <c r="A1142" s="5">
        <f ca="1">IFERROR(__xludf.DUMMYFUNCTION("""COMPUTED_VALUE"""),43733.625)</f>
        <v>43733.625</v>
      </c>
      <c r="B1142" s="2">
        <f ca="1">IFERROR(__xludf.DUMMYFUNCTION("""COMPUTED_VALUE"""),29500)</f>
        <v>29500</v>
      </c>
      <c r="C1142" s="2">
        <f ca="1">IFERROR(__xludf.DUMMYFUNCTION("""COMPUTED_VALUE"""),29675)</f>
        <v>29675</v>
      </c>
      <c r="D1142" s="2">
        <f ca="1">IFERROR(__xludf.DUMMYFUNCTION("""COMPUTED_VALUE"""),28900)</f>
        <v>28900</v>
      </c>
      <c r="E1142" s="2">
        <f ca="1">IFERROR(__xludf.DUMMYFUNCTION("""COMPUTED_VALUE"""),29675)</f>
        <v>29675</v>
      </c>
      <c r="F1142" s="2">
        <f ca="1">IFERROR(__xludf.DUMMYFUNCTION("""COMPUTED_VALUE"""),17724000)</f>
        <v>17724000</v>
      </c>
    </row>
    <row r="1143" spans="1:6">
      <c r="A1143" s="5">
        <f ca="1">IFERROR(__xludf.DUMMYFUNCTION("""COMPUTED_VALUE"""),43734.625)</f>
        <v>43734.625</v>
      </c>
      <c r="B1143" s="2">
        <f ca="1">IFERROR(__xludf.DUMMYFUNCTION("""COMPUTED_VALUE"""),30000)</f>
        <v>30000</v>
      </c>
      <c r="C1143" s="2">
        <f ca="1">IFERROR(__xludf.DUMMYFUNCTION("""COMPUTED_VALUE"""),30300)</f>
        <v>30300</v>
      </c>
      <c r="D1143" s="2">
        <f ca="1">IFERROR(__xludf.DUMMYFUNCTION("""COMPUTED_VALUE"""),29850)</f>
        <v>29850</v>
      </c>
      <c r="E1143" s="2">
        <f ca="1">IFERROR(__xludf.DUMMYFUNCTION("""COMPUTED_VALUE"""),30300)</f>
        <v>30300</v>
      </c>
      <c r="F1143" s="2">
        <f ca="1">IFERROR(__xludf.DUMMYFUNCTION("""COMPUTED_VALUE"""),21971800)</f>
        <v>21971800</v>
      </c>
    </row>
    <row r="1144" spans="1:6">
      <c r="A1144" s="5">
        <f ca="1">IFERROR(__xludf.DUMMYFUNCTION("""COMPUTED_VALUE"""),43735.625)</f>
        <v>43735.625</v>
      </c>
      <c r="B1144" s="2">
        <f ca="1">IFERROR(__xludf.DUMMYFUNCTION("""COMPUTED_VALUE"""),30025)</f>
        <v>30025</v>
      </c>
      <c r="C1144" s="2">
        <f ca="1">IFERROR(__xludf.DUMMYFUNCTION("""COMPUTED_VALUE"""),30375)</f>
        <v>30375</v>
      </c>
      <c r="D1144" s="2">
        <f ca="1">IFERROR(__xludf.DUMMYFUNCTION("""COMPUTED_VALUE"""),30000)</f>
        <v>30000</v>
      </c>
      <c r="E1144" s="2">
        <f ca="1">IFERROR(__xludf.DUMMYFUNCTION("""COMPUTED_VALUE"""),30350)</f>
        <v>30350</v>
      </c>
      <c r="F1144" s="2">
        <f ca="1">IFERROR(__xludf.DUMMYFUNCTION("""COMPUTED_VALUE"""),9602000)</f>
        <v>9602000</v>
      </c>
    </row>
    <row r="1145" spans="1:6">
      <c r="A1145" s="5">
        <f ca="1">IFERROR(__xludf.DUMMYFUNCTION("""COMPUTED_VALUE"""),43738.625)</f>
        <v>43738.625</v>
      </c>
      <c r="B1145" s="2">
        <f ca="1">IFERROR(__xludf.DUMMYFUNCTION("""COMPUTED_VALUE"""),30350)</f>
        <v>30350</v>
      </c>
      <c r="C1145" s="2">
        <f ca="1">IFERROR(__xludf.DUMMYFUNCTION("""COMPUTED_VALUE"""),30350)</f>
        <v>30350</v>
      </c>
      <c r="D1145" s="2">
        <f ca="1">IFERROR(__xludf.DUMMYFUNCTION("""COMPUTED_VALUE"""),30025)</f>
        <v>30025</v>
      </c>
      <c r="E1145" s="2">
        <f ca="1">IFERROR(__xludf.DUMMYFUNCTION("""COMPUTED_VALUE"""),30350)</f>
        <v>30350</v>
      </c>
      <c r="F1145" s="2">
        <f ca="1">IFERROR(__xludf.DUMMYFUNCTION("""COMPUTED_VALUE"""),14678200)</f>
        <v>14678200</v>
      </c>
    </row>
    <row r="1146" spans="1:6">
      <c r="A1146" s="5">
        <f ca="1">IFERROR(__xludf.DUMMYFUNCTION("""COMPUTED_VALUE"""),43739.625)</f>
        <v>43739.625</v>
      </c>
      <c r="B1146" s="2">
        <f ca="1">IFERROR(__xludf.DUMMYFUNCTION("""COMPUTED_VALUE"""),30050)</f>
        <v>30050</v>
      </c>
      <c r="C1146" s="2">
        <f ca="1">IFERROR(__xludf.DUMMYFUNCTION("""COMPUTED_VALUE"""),30325)</f>
        <v>30325</v>
      </c>
      <c r="D1146" s="2">
        <f ca="1">IFERROR(__xludf.DUMMYFUNCTION("""COMPUTED_VALUE"""),30050)</f>
        <v>30050</v>
      </c>
      <c r="E1146" s="2">
        <f ca="1">IFERROR(__xludf.DUMMYFUNCTION("""COMPUTED_VALUE"""),30200)</f>
        <v>30200</v>
      </c>
      <c r="F1146" s="2">
        <f ca="1">IFERROR(__xludf.DUMMYFUNCTION("""COMPUTED_VALUE"""),8011400)</f>
        <v>8011400</v>
      </c>
    </row>
    <row r="1147" spans="1:6">
      <c r="A1147" s="5">
        <f ca="1">IFERROR(__xludf.DUMMYFUNCTION("""COMPUTED_VALUE"""),43740.625)</f>
        <v>43740.625</v>
      </c>
      <c r="B1147" s="2">
        <f ca="1">IFERROR(__xludf.DUMMYFUNCTION("""COMPUTED_VALUE"""),30050)</f>
        <v>30050</v>
      </c>
      <c r="C1147" s="2">
        <f ca="1">IFERROR(__xludf.DUMMYFUNCTION("""COMPUTED_VALUE"""),30350)</f>
        <v>30350</v>
      </c>
      <c r="D1147" s="2">
        <f ca="1">IFERROR(__xludf.DUMMYFUNCTION("""COMPUTED_VALUE"""),30050)</f>
        <v>30050</v>
      </c>
      <c r="E1147" s="2">
        <f ca="1">IFERROR(__xludf.DUMMYFUNCTION("""COMPUTED_VALUE"""),30250)</f>
        <v>30250</v>
      </c>
      <c r="F1147" s="2">
        <f ca="1">IFERROR(__xludf.DUMMYFUNCTION("""COMPUTED_VALUE"""),10475300)</f>
        <v>10475300</v>
      </c>
    </row>
    <row r="1148" spans="1:6">
      <c r="A1148" s="5">
        <f ca="1">IFERROR(__xludf.DUMMYFUNCTION("""COMPUTED_VALUE"""),43741.625)</f>
        <v>43741.625</v>
      </c>
      <c r="B1148" s="2">
        <f ca="1">IFERROR(__xludf.DUMMYFUNCTION("""COMPUTED_VALUE"""),30050)</f>
        <v>30050</v>
      </c>
      <c r="C1148" s="2">
        <f ca="1">IFERROR(__xludf.DUMMYFUNCTION("""COMPUTED_VALUE"""),30225)</f>
        <v>30225</v>
      </c>
      <c r="D1148" s="2">
        <f ca="1">IFERROR(__xludf.DUMMYFUNCTION("""COMPUTED_VALUE"""),29750)</f>
        <v>29750</v>
      </c>
      <c r="E1148" s="2">
        <f ca="1">IFERROR(__xludf.DUMMYFUNCTION("""COMPUTED_VALUE"""),30200)</f>
        <v>30200</v>
      </c>
      <c r="F1148" s="2">
        <f ca="1">IFERROR(__xludf.DUMMYFUNCTION("""COMPUTED_VALUE"""),10053800)</f>
        <v>10053800</v>
      </c>
    </row>
    <row r="1149" spans="1:6">
      <c r="A1149" s="5">
        <f ca="1">IFERROR(__xludf.DUMMYFUNCTION("""COMPUTED_VALUE"""),43742.625)</f>
        <v>43742.625</v>
      </c>
      <c r="B1149" s="2">
        <f ca="1">IFERROR(__xludf.DUMMYFUNCTION("""COMPUTED_VALUE"""),29900)</f>
        <v>29900</v>
      </c>
      <c r="C1149" s="2">
        <f ca="1">IFERROR(__xludf.DUMMYFUNCTION("""COMPUTED_VALUE"""),30325)</f>
        <v>30325</v>
      </c>
      <c r="D1149" s="2">
        <f ca="1">IFERROR(__xludf.DUMMYFUNCTION("""COMPUTED_VALUE"""),29900)</f>
        <v>29900</v>
      </c>
      <c r="E1149" s="2">
        <f ca="1">IFERROR(__xludf.DUMMYFUNCTION("""COMPUTED_VALUE"""),30225)</f>
        <v>30225</v>
      </c>
      <c r="F1149" s="2">
        <f ca="1">IFERROR(__xludf.DUMMYFUNCTION("""COMPUTED_VALUE"""),11378100)</f>
        <v>11378100</v>
      </c>
    </row>
    <row r="1150" spans="1:6">
      <c r="A1150" s="5">
        <f ca="1">IFERROR(__xludf.DUMMYFUNCTION("""COMPUTED_VALUE"""),43745.625)</f>
        <v>43745.625</v>
      </c>
      <c r="B1150" s="2">
        <f ca="1">IFERROR(__xludf.DUMMYFUNCTION("""COMPUTED_VALUE"""),30350)</f>
        <v>30350</v>
      </c>
      <c r="C1150" s="2">
        <f ca="1">IFERROR(__xludf.DUMMYFUNCTION("""COMPUTED_VALUE"""),30400)</f>
        <v>30400</v>
      </c>
      <c r="D1150" s="2">
        <f ca="1">IFERROR(__xludf.DUMMYFUNCTION("""COMPUTED_VALUE"""),30250)</f>
        <v>30250</v>
      </c>
      <c r="E1150" s="2">
        <f ca="1">IFERROR(__xludf.DUMMYFUNCTION("""COMPUTED_VALUE"""),30350)</f>
        <v>30350</v>
      </c>
      <c r="F1150" s="2">
        <f ca="1">IFERROR(__xludf.DUMMYFUNCTION("""COMPUTED_VALUE"""),11341100)</f>
        <v>11341100</v>
      </c>
    </row>
    <row r="1151" spans="1:6">
      <c r="A1151" s="5">
        <f ca="1">IFERROR(__xludf.DUMMYFUNCTION("""COMPUTED_VALUE"""),43746.625)</f>
        <v>43746.625</v>
      </c>
      <c r="B1151" s="2">
        <f ca="1">IFERROR(__xludf.DUMMYFUNCTION("""COMPUTED_VALUE"""),30400)</f>
        <v>30400</v>
      </c>
      <c r="C1151" s="2">
        <f ca="1">IFERROR(__xludf.DUMMYFUNCTION("""COMPUTED_VALUE"""),30500)</f>
        <v>30500</v>
      </c>
      <c r="D1151" s="2">
        <f ca="1">IFERROR(__xludf.DUMMYFUNCTION("""COMPUTED_VALUE"""),30075)</f>
        <v>30075</v>
      </c>
      <c r="E1151" s="2">
        <f ca="1">IFERROR(__xludf.DUMMYFUNCTION("""COMPUTED_VALUE"""),30500)</f>
        <v>30500</v>
      </c>
      <c r="F1151" s="2">
        <f ca="1">IFERROR(__xludf.DUMMYFUNCTION("""COMPUTED_VALUE"""),9399500)</f>
        <v>9399500</v>
      </c>
    </row>
    <row r="1152" spans="1:6">
      <c r="A1152" s="5">
        <f ca="1">IFERROR(__xludf.DUMMYFUNCTION("""COMPUTED_VALUE"""),43747.625)</f>
        <v>43747.625</v>
      </c>
      <c r="B1152" s="2">
        <f ca="1">IFERROR(__xludf.DUMMYFUNCTION("""COMPUTED_VALUE"""),30500)</f>
        <v>30500</v>
      </c>
      <c r="C1152" s="2">
        <f ca="1">IFERROR(__xludf.DUMMYFUNCTION("""COMPUTED_VALUE"""),30500)</f>
        <v>30500</v>
      </c>
      <c r="D1152" s="2">
        <f ca="1">IFERROR(__xludf.DUMMYFUNCTION("""COMPUTED_VALUE"""),30250)</f>
        <v>30250</v>
      </c>
      <c r="E1152" s="2">
        <f ca="1">IFERROR(__xludf.DUMMYFUNCTION("""COMPUTED_VALUE"""),30350)</f>
        <v>30350</v>
      </c>
      <c r="F1152" s="2">
        <f ca="1">IFERROR(__xludf.DUMMYFUNCTION("""COMPUTED_VALUE"""),8299300)</f>
        <v>8299300</v>
      </c>
    </row>
    <row r="1153" spans="1:6">
      <c r="A1153" s="5">
        <f ca="1">IFERROR(__xludf.DUMMYFUNCTION("""COMPUTED_VALUE"""),43748.625)</f>
        <v>43748.625</v>
      </c>
      <c r="B1153" s="2">
        <f ca="1">IFERROR(__xludf.DUMMYFUNCTION("""COMPUTED_VALUE"""),30100)</f>
        <v>30100</v>
      </c>
      <c r="C1153" s="2">
        <f ca="1">IFERROR(__xludf.DUMMYFUNCTION("""COMPUTED_VALUE"""),30550)</f>
        <v>30550</v>
      </c>
      <c r="D1153" s="2">
        <f ca="1">IFERROR(__xludf.DUMMYFUNCTION("""COMPUTED_VALUE"""),30100)</f>
        <v>30100</v>
      </c>
      <c r="E1153" s="2">
        <f ca="1">IFERROR(__xludf.DUMMYFUNCTION("""COMPUTED_VALUE"""),30550)</f>
        <v>30550</v>
      </c>
      <c r="F1153" s="2">
        <f ca="1">IFERROR(__xludf.DUMMYFUNCTION("""COMPUTED_VALUE"""),13161300)</f>
        <v>13161300</v>
      </c>
    </row>
    <row r="1154" spans="1:6">
      <c r="A1154" s="5">
        <f ca="1">IFERROR(__xludf.DUMMYFUNCTION("""COMPUTED_VALUE"""),43749.625)</f>
        <v>43749.625</v>
      </c>
      <c r="B1154" s="2">
        <f ca="1">IFERROR(__xludf.DUMMYFUNCTION("""COMPUTED_VALUE"""),30400)</f>
        <v>30400</v>
      </c>
      <c r="C1154" s="2">
        <f ca="1">IFERROR(__xludf.DUMMYFUNCTION("""COMPUTED_VALUE"""),30775)</f>
        <v>30775</v>
      </c>
      <c r="D1154" s="2">
        <f ca="1">IFERROR(__xludf.DUMMYFUNCTION("""COMPUTED_VALUE"""),30400)</f>
        <v>30400</v>
      </c>
      <c r="E1154" s="2">
        <f ca="1">IFERROR(__xludf.DUMMYFUNCTION("""COMPUTED_VALUE"""),30625)</f>
        <v>30625</v>
      </c>
      <c r="F1154" s="2">
        <f ca="1">IFERROR(__xludf.DUMMYFUNCTION("""COMPUTED_VALUE"""),8172700)</f>
        <v>8172700</v>
      </c>
    </row>
    <row r="1155" spans="1:6">
      <c r="A1155" s="5">
        <f ca="1">IFERROR(__xludf.DUMMYFUNCTION("""COMPUTED_VALUE"""),43752.625)</f>
        <v>43752.625</v>
      </c>
      <c r="B1155" s="2">
        <f ca="1">IFERROR(__xludf.DUMMYFUNCTION("""COMPUTED_VALUE"""),30650)</f>
        <v>30650</v>
      </c>
      <c r="C1155" s="2">
        <f ca="1">IFERROR(__xludf.DUMMYFUNCTION("""COMPUTED_VALUE"""),31000)</f>
        <v>31000</v>
      </c>
      <c r="D1155" s="2">
        <f ca="1">IFERROR(__xludf.DUMMYFUNCTION("""COMPUTED_VALUE"""),30650)</f>
        <v>30650</v>
      </c>
      <c r="E1155" s="2">
        <f ca="1">IFERROR(__xludf.DUMMYFUNCTION("""COMPUTED_VALUE"""),31000)</f>
        <v>31000</v>
      </c>
      <c r="F1155" s="2">
        <f ca="1">IFERROR(__xludf.DUMMYFUNCTION("""COMPUTED_VALUE"""),7502900)</f>
        <v>7502900</v>
      </c>
    </row>
    <row r="1156" spans="1:6">
      <c r="A1156" s="5">
        <f ca="1">IFERROR(__xludf.DUMMYFUNCTION("""COMPUTED_VALUE"""),43753.625)</f>
        <v>43753.625</v>
      </c>
      <c r="B1156" s="2">
        <f ca="1">IFERROR(__xludf.DUMMYFUNCTION("""COMPUTED_VALUE"""),30950)</f>
        <v>30950</v>
      </c>
      <c r="C1156" s="2">
        <f ca="1">IFERROR(__xludf.DUMMYFUNCTION("""COMPUTED_VALUE"""),30950)</f>
        <v>30950</v>
      </c>
      <c r="D1156" s="2">
        <f ca="1">IFERROR(__xludf.DUMMYFUNCTION("""COMPUTED_VALUE"""),30725)</f>
        <v>30725</v>
      </c>
      <c r="E1156" s="2">
        <f ca="1">IFERROR(__xludf.DUMMYFUNCTION("""COMPUTED_VALUE"""),30875)</f>
        <v>30875</v>
      </c>
      <c r="F1156" s="2">
        <f ca="1">IFERROR(__xludf.DUMMYFUNCTION("""COMPUTED_VALUE"""),8187000)</f>
        <v>8187000</v>
      </c>
    </row>
    <row r="1157" spans="1:6">
      <c r="A1157" s="5">
        <f ca="1">IFERROR(__xludf.DUMMYFUNCTION("""COMPUTED_VALUE"""),43754.625)</f>
        <v>43754.625</v>
      </c>
      <c r="B1157" s="2">
        <f ca="1">IFERROR(__xludf.DUMMYFUNCTION("""COMPUTED_VALUE"""),31000)</f>
        <v>31000</v>
      </c>
      <c r="C1157" s="2">
        <f ca="1">IFERROR(__xludf.DUMMYFUNCTION("""COMPUTED_VALUE"""),31075)</f>
        <v>31075</v>
      </c>
      <c r="D1157" s="2">
        <f ca="1">IFERROR(__xludf.DUMMYFUNCTION("""COMPUTED_VALUE"""),30875)</f>
        <v>30875</v>
      </c>
      <c r="E1157" s="2">
        <f ca="1">IFERROR(__xludf.DUMMYFUNCTION("""COMPUTED_VALUE"""),31075)</f>
        <v>31075</v>
      </c>
      <c r="F1157" s="2">
        <f ca="1">IFERROR(__xludf.DUMMYFUNCTION("""COMPUTED_VALUE"""),13155300)</f>
        <v>13155300</v>
      </c>
    </row>
    <row r="1158" spans="1:6">
      <c r="A1158" s="5">
        <f ca="1">IFERROR(__xludf.DUMMYFUNCTION("""COMPUTED_VALUE"""),43755.625)</f>
        <v>43755.625</v>
      </c>
      <c r="B1158" s="2">
        <f ca="1">IFERROR(__xludf.DUMMYFUNCTION("""COMPUTED_VALUE"""),30925)</f>
        <v>30925</v>
      </c>
      <c r="C1158" s="2">
        <f ca="1">IFERROR(__xludf.DUMMYFUNCTION("""COMPUTED_VALUE"""),31050)</f>
        <v>31050</v>
      </c>
      <c r="D1158" s="2">
        <f ca="1">IFERROR(__xludf.DUMMYFUNCTION("""COMPUTED_VALUE"""),30525)</f>
        <v>30525</v>
      </c>
      <c r="E1158" s="2">
        <f ca="1">IFERROR(__xludf.DUMMYFUNCTION("""COMPUTED_VALUE"""),30575)</f>
        <v>30575</v>
      </c>
      <c r="F1158" s="2">
        <f ca="1">IFERROR(__xludf.DUMMYFUNCTION("""COMPUTED_VALUE"""),9133300)</f>
        <v>9133300</v>
      </c>
    </row>
    <row r="1159" spans="1:6">
      <c r="A1159" s="5">
        <f ca="1">IFERROR(__xludf.DUMMYFUNCTION("""COMPUTED_VALUE"""),43756.625)</f>
        <v>43756.625</v>
      </c>
      <c r="B1159" s="2">
        <f ca="1">IFERROR(__xludf.DUMMYFUNCTION("""COMPUTED_VALUE"""),30800)</f>
        <v>30800</v>
      </c>
      <c r="C1159" s="2">
        <f ca="1">IFERROR(__xludf.DUMMYFUNCTION("""COMPUTED_VALUE"""),30850)</f>
        <v>30850</v>
      </c>
      <c r="D1159" s="2">
        <f ca="1">IFERROR(__xludf.DUMMYFUNCTION("""COMPUTED_VALUE"""),30700)</f>
        <v>30700</v>
      </c>
      <c r="E1159" s="2">
        <f ca="1">IFERROR(__xludf.DUMMYFUNCTION("""COMPUTED_VALUE"""),30800)</f>
        <v>30800</v>
      </c>
      <c r="F1159" s="2">
        <f ca="1">IFERROR(__xludf.DUMMYFUNCTION("""COMPUTED_VALUE"""),8201700)</f>
        <v>8201700</v>
      </c>
    </row>
    <row r="1160" spans="1:6">
      <c r="A1160" s="5">
        <f ca="1">IFERROR(__xludf.DUMMYFUNCTION("""COMPUTED_VALUE"""),43759.625)</f>
        <v>43759.625</v>
      </c>
      <c r="B1160" s="2">
        <f ca="1">IFERROR(__xludf.DUMMYFUNCTION("""COMPUTED_VALUE"""),31000)</f>
        <v>31000</v>
      </c>
      <c r="C1160" s="2">
        <f ca="1">IFERROR(__xludf.DUMMYFUNCTION("""COMPUTED_VALUE"""),31275)</f>
        <v>31275</v>
      </c>
      <c r="D1160" s="2">
        <f ca="1">IFERROR(__xludf.DUMMYFUNCTION("""COMPUTED_VALUE"""),30925)</f>
        <v>30925</v>
      </c>
      <c r="E1160" s="2">
        <f ca="1">IFERROR(__xludf.DUMMYFUNCTION("""COMPUTED_VALUE"""),31100)</f>
        <v>31100</v>
      </c>
      <c r="F1160" s="2">
        <f ca="1">IFERROR(__xludf.DUMMYFUNCTION("""COMPUTED_VALUE"""),11994300)</f>
        <v>11994300</v>
      </c>
    </row>
    <row r="1161" spans="1:6">
      <c r="A1161" s="5">
        <f ca="1">IFERROR(__xludf.DUMMYFUNCTION("""COMPUTED_VALUE"""),43760.625)</f>
        <v>43760.625</v>
      </c>
      <c r="B1161" s="2">
        <f ca="1">IFERROR(__xludf.DUMMYFUNCTION("""COMPUTED_VALUE"""),31350)</f>
        <v>31350</v>
      </c>
      <c r="C1161" s="2">
        <f ca="1">IFERROR(__xludf.DUMMYFUNCTION("""COMPUTED_VALUE"""),31500)</f>
        <v>31500</v>
      </c>
      <c r="D1161" s="2">
        <f ca="1">IFERROR(__xludf.DUMMYFUNCTION("""COMPUTED_VALUE"""),31125)</f>
        <v>31125</v>
      </c>
      <c r="E1161" s="2">
        <f ca="1">IFERROR(__xludf.DUMMYFUNCTION("""COMPUTED_VALUE"""),31500)</f>
        <v>31500</v>
      </c>
      <c r="F1161" s="2">
        <f ca="1">IFERROR(__xludf.DUMMYFUNCTION("""COMPUTED_VALUE"""),13451900)</f>
        <v>13451900</v>
      </c>
    </row>
    <row r="1162" spans="1:6">
      <c r="A1162" s="5">
        <f ca="1">IFERROR(__xludf.DUMMYFUNCTION("""COMPUTED_VALUE"""),43761.625)</f>
        <v>43761.625</v>
      </c>
      <c r="B1162" s="2">
        <f ca="1">IFERROR(__xludf.DUMMYFUNCTION("""COMPUTED_VALUE"""),31500)</f>
        <v>31500</v>
      </c>
      <c r="C1162" s="2">
        <f ca="1">IFERROR(__xludf.DUMMYFUNCTION("""COMPUTED_VALUE"""),31525)</f>
        <v>31525</v>
      </c>
      <c r="D1162" s="2">
        <f ca="1">IFERROR(__xludf.DUMMYFUNCTION("""COMPUTED_VALUE"""),31300)</f>
        <v>31300</v>
      </c>
      <c r="E1162" s="2">
        <f ca="1">IFERROR(__xludf.DUMMYFUNCTION("""COMPUTED_VALUE"""),31375)</f>
        <v>31375</v>
      </c>
      <c r="F1162" s="2">
        <f ca="1">IFERROR(__xludf.DUMMYFUNCTION("""COMPUTED_VALUE"""),12443800)</f>
        <v>12443800</v>
      </c>
    </row>
    <row r="1163" spans="1:6">
      <c r="A1163" s="5">
        <f ca="1">IFERROR(__xludf.DUMMYFUNCTION("""COMPUTED_VALUE"""),43762.625)</f>
        <v>43762.625</v>
      </c>
      <c r="B1163" s="2">
        <f ca="1">IFERROR(__xludf.DUMMYFUNCTION("""COMPUTED_VALUE"""),31450)</f>
        <v>31450</v>
      </c>
      <c r="C1163" s="2">
        <f ca="1">IFERROR(__xludf.DUMMYFUNCTION("""COMPUTED_VALUE"""),31600)</f>
        <v>31600</v>
      </c>
      <c r="D1163" s="2">
        <f ca="1">IFERROR(__xludf.DUMMYFUNCTION("""COMPUTED_VALUE"""),31350)</f>
        <v>31350</v>
      </c>
      <c r="E1163" s="2">
        <f ca="1">IFERROR(__xludf.DUMMYFUNCTION("""COMPUTED_VALUE"""),31500)</f>
        <v>31500</v>
      </c>
      <c r="F1163" s="2">
        <f ca="1">IFERROR(__xludf.DUMMYFUNCTION("""COMPUTED_VALUE"""),14620200)</f>
        <v>14620200</v>
      </c>
    </row>
    <row r="1164" spans="1:6">
      <c r="A1164" s="5">
        <f ca="1">IFERROR(__xludf.DUMMYFUNCTION("""COMPUTED_VALUE"""),43763.625)</f>
        <v>43763.625</v>
      </c>
      <c r="B1164" s="2">
        <f ca="1">IFERROR(__xludf.DUMMYFUNCTION("""COMPUTED_VALUE"""),31600)</f>
        <v>31600</v>
      </c>
      <c r="C1164" s="2">
        <f ca="1">IFERROR(__xludf.DUMMYFUNCTION("""COMPUTED_VALUE"""),31625)</f>
        <v>31625</v>
      </c>
      <c r="D1164" s="2">
        <f ca="1">IFERROR(__xludf.DUMMYFUNCTION("""COMPUTED_VALUE"""),30875)</f>
        <v>30875</v>
      </c>
      <c r="E1164" s="2">
        <f ca="1">IFERROR(__xludf.DUMMYFUNCTION("""COMPUTED_VALUE"""),31000)</f>
        <v>31000</v>
      </c>
      <c r="F1164" s="2">
        <f ca="1">IFERROR(__xludf.DUMMYFUNCTION("""COMPUTED_VALUE"""),12385900)</f>
        <v>12385900</v>
      </c>
    </row>
    <row r="1165" spans="1:6">
      <c r="A1165" s="5">
        <f ca="1">IFERROR(__xludf.DUMMYFUNCTION("""COMPUTED_VALUE"""),43766.625)</f>
        <v>43766.625</v>
      </c>
      <c r="B1165" s="2">
        <f ca="1">IFERROR(__xludf.DUMMYFUNCTION("""COMPUTED_VALUE"""),31000)</f>
        <v>31000</v>
      </c>
      <c r="C1165" s="2">
        <f ca="1">IFERROR(__xludf.DUMMYFUNCTION("""COMPUTED_VALUE"""),31250)</f>
        <v>31250</v>
      </c>
      <c r="D1165" s="2">
        <f ca="1">IFERROR(__xludf.DUMMYFUNCTION("""COMPUTED_VALUE"""),31000)</f>
        <v>31000</v>
      </c>
      <c r="E1165" s="2">
        <f ca="1">IFERROR(__xludf.DUMMYFUNCTION("""COMPUTED_VALUE"""),31025)</f>
        <v>31025</v>
      </c>
      <c r="F1165" s="2">
        <f ca="1">IFERROR(__xludf.DUMMYFUNCTION("""COMPUTED_VALUE"""),8649900)</f>
        <v>8649900</v>
      </c>
    </row>
    <row r="1166" spans="1:6">
      <c r="A1166" s="5">
        <f ca="1">IFERROR(__xludf.DUMMYFUNCTION("""COMPUTED_VALUE"""),43767.625)</f>
        <v>43767.625</v>
      </c>
      <c r="B1166" s="2">
        <f ca="1">IFERROR(__xludf.DUMMYFUNCTION("""COMPUTED_VALUE"""),31025)</f>
        <v>31025</v>
      </c>
      <c r="C1166" s="2">
        <f ca="1">IFERROR(__xludf.DUMMYFUNCTION("""COMPUTED_VALUE"""),31200)</f>
        <v>31200</v>
      </c>
      <c r="D1166" s="2">
        <f ca="1">IFERROR(__xludf.DUMMYFUNCTION("""COMPUTED_VALUE"""),30750)</f>
        <v>30750</v>
      </c>
      <c r="E1166" s="2">
        <f ca="1">IFERROR(__xludf.DUMMYFUNCTION("""COMPUTED_VALUE"""),31100)</f>
        <v>31100</v>
      </c>
      <c r="F1166" s="2">
        <f ca="1">IFERROR(__xludf.DUMMYFUNCTION("""COMPUTED_VALUE"""),15972300)</f>
        <v>15972300</v>
      </c>
    </row>
    <row r="1167" spans="1:6">
      <c r="A1167" s="5">
        <f ca="1">IFERROR(__xludf.DUMMYFUNCTION("""COMPUTED_VALUE"""),43768.625)</f>
        <v>43768.625</v>
      </c>
      <c r="B1167" s="2">
        <f ca="1">IFERROR(__xludf.DUMMYFUNCTION("""COMPUTED_VALUE"""),31400)</f>
        <v>31400</v>
      </c>
      <c r="C1167" s="2">
        <f ca="1">IFERROR(__xludf.DUMMYFUNCTION("""COMPUTED_VALUE"""),31425)</f>
        <v>31425</v>
      </c>
      <c r="D1167" s="2">
        <f ca="1">IFERROR(__xludf.DUMMYFUNCTION("""COMPUTED_VALUE"""),31000)</f>
        <v>31000</v>
      </c>
      <c r="E1167" s="2">
        <f ca="1">IFERROR(__xludf.DUMMYFUNCTION("""COMPUTED_VALUE"""),31325)</f>
        <v>31325</v>
      </c>
      <c r="F1167" s="2">
        <f ca="1">IFERROR(__xludf.DUMMYFUNCTION("""COMPUTED_VALUE"""),12147600)</f>
        <v>12147600</v>
      </c>
    </row>
    <row r="1168" spans="1:6">
      <c r="A1168" s="5">
        <f ca="1">IFERROR(__xludf.DUMMYFUNCTION("""COMPUTED_VALUE"""),43769.625)</f>
        <v>43769.625</v>
      </c>
      <c r="B1168" s="2">
        <f ca="1">IFERROR(__xludf.DUMMYFUNCTION("""COMPUTED_VALUE"""),31350)</f>
        <v>31350</v>
      </c>
      <c r="C1168" s="2">
        <f ca="1">IFERROR(__xludf.DUMMYFUNCTION("""COMPUTED_VALUE"""),31500)</f>
        <v>31500</v>
      </c>
      <c r="D1168" s="2">
        <f ca="1">IFERROR(__xludf.DUMMYFUNCTION("""COMPUTED_VALUE"""),31250)</f>
        <v>31250</v>
      </c>
      <c r="E1168" s="2">
        <f ca="1">IFERROR(__xludf.DUMMYFUNCTION("""COMPUTED_VALUE"""),31450)</f>
        <v>31450</v>
      </c>
      <c r="F1168" s="2">
        <f ca="1">IFERROR(__xludf.DUMMYFUNCTION("""COMPUTED_VALUE"""),11684100)</f>
        <v>11684100</v>
      </c>
    </row>
    <row r="1169" spans="1:6">
      <c r="A1169" s="5">
        <f ca="1">IFERROR(__xludf.DUMMYFUNCTION("""COMPUTED_VALUE"""),43770.625)</f>
        <v>43770.625</v>
      </c>
      <c r="B1169" s="2">
        <f ca="1">IFERROR(__xludf.DUMMYFUNCTION("""COMPUTED_VALUE"""),31500)</f>
        <v>31500</v>
      </c>
      <c r="C1169" s="2">
        <f ca="1">IFERROR(__xludf.DUMMYFUNCTION("""COMPUTED_VALUE"""),31625)</f>
        <v>31625</v>
      </c>
      <c r="D1169" s="2">
        <f ca="1">IFERROR(__xludf.DUMMYFUNCTION("""COMPUTED_VALUE"""),31375)</f>
        <v>31375</v>
      </c>
      <c r="E1169" s="2">
        <f ca="1">IFERROR(__xludf.DUMMYFUNCTION("""COMPUTED_VALUE"""),31625)</f>
        <v>31625</v>
      </c>
      <c r="F1169" s="2">
        <f ca="1">IFERROR(__xludf.DUMMYFUNCTION("""COMPUTED_VALUE"""),8416100)</f>
        <v>8416100</v>
      </c>
    </row>
    <row r="1170" spans="1:6">
      <c r="A1170" s="5">
        <f ca="1">IFERROR(__xludf.DUMMYFUNCTION("""COMPUTED_VALUE"""),43773.625)</f>
        <v>43773.625</v>
      </c>
      <c r="B1170" s="2">
        <f ca="1">IFERROR(__xludf.DUMMYFUNCTION("""COMPUTED_VALUE"""),31750)</f>
        <v>31750</v>
      </c>
      <c r="C1170" s="2">
        <f ca="1">IFERROR(__xludf.DUMMYFUNCTION("""COMPUTED_VALUE"""),31900)</f>
        <v>31900</v>
      </c>
      <c r="D1170" s="2">
        <f ca="1">IFERROR(__xludf.DUMMYFUNCTION("""COMPUTED_VALUE"""),31300)</f>
        <v>31300</v>
      </c>
      <c r="E1170" s="2">
        <f ca="1">IFERROR(__xludf.DUMMYFUNCTION("""COMPUTED_VALUE"""),31375)</f>
        <v>31375</v>
      </c>
      <c r="F1170" s="2">
        <f ca="1">IFERROR(__xludf.DUMMYFUNCTION("""COMPUTED_VALUE"""),8758900)</f>
        <v>8758900</v>
      </c>
    </row>
    <row r="1171" spans="1:6">
      <c r="A1171" s="5">
        <f ca="1">IFERROR(__xludf.DUMMYFUNCTION("""COMPUTED_VALUE"""),43774.625)</f>
        <v>43774.625</v>
      </c>
      <c r="B1171" s="2">
        <f ca="1">IFERROR(__xludf.DUMMYFUNCTION("""COMPUTED_VALUE"""),31750)</f>
        <v>31750</v>
      </c>
      <c r="C1171" s="2">
        <f ca="1">IFERROR(__xludf.DUMMYFUNCTION("""COMPUTED_VALUE"""),31800)</f>
        <v>31800</v>
      </c>
      <c r="D1171" s="2">
        <f ca="1">IFERROR(__xludf.DUMMYFUNCTION("""COMPUTED_VALUE"""),31350)</f>
        <v>31350</v>
      </c>
      <c r="E1171" s="2">
        <f ca="1">IFERROR(__xludf.DUMMYFUNCTION("""COMPUTED_VALUE"""),31800)</f>
        <v>31800</v>
      </c>
      <c r="F1171" s="2">
        <f ca="1">IFERROR(__xludf.DUMMYFUNCTION("""COMPUTED_VALUE"""),13232300)</f>
        <v>13232300</v>
      </c>
    </row>
    <row r="1172" spans="1:6">
      <c r="A1172" s="5">
        <f ca="1">IFERROR(__xludf.DUMMYFUNCTION("""COMPUTED_VALUE"""),43775.625)</f>
        <v>43775.625</v>
      </c>
      <c r="B1172" s="2">
        <f ca="1">IFERROR(__xludf.DUMMYFUNCTION("""COMPUTED_VALUE"""),31900)</f>
        <v>31900</v>
      </c>
      <c r="C1172" s="2">
        <f ca="1">IFERROR(__xludf.DUMMYFUNCTION("""COMPUTED_VALUE"""),31900)</f>
        <v>31900</v>
      </c>
      <c r="D1172" s="2">
        <f ca="1">IFERROR(__xludf.DUMMYFUNCTION("""COMPUTED_VALUE"""),31475)</f>
        <v>31475</v>
      </c>
      <c r="E1172" s="2">
        <f ca="1">IFERROR(__xludf.DUMMYFUNCTION("""COMPUTED_VALUE"""),31475)</f>
        <v>31475</v>
      </c>
      <c r="F1172" s="2">
        <f ca="1">IFERROR(__xludf.DUMMYFUNCTION("""COMPUTED_VALUE"""),12678600)</f>
        <v>12678600</v>
      </c>
    </row>
    <row r="1173" spans="1:6">
      <c r="A1173" s="5">
        <f ca="1">IFERROR(__xludf.DUMMYFUNCTION("""COMPUTED_VALUE"""),43776.625)</f>
        <v>43776.625</v>
      </c>
      <c r="B1173" s="2">
        <f ca="1">IFERROR(__xludf.DUMMYFUNCTION("""COMPUTED_VALUE"""),31675)</f>
        <v>31675</v>
      </c>
      <c r="C1173" s="2">
        <f ca="1">IFERROR(__xludf.DUMMYFUNCTION("""COMPUTED_VALUE"""),31675)</f>
        <v>31675</v>
      </c>
      <c r="D1173" s="2">
        <f ca="1">IFERROR(__xludf.DUMMYFUNCTION("""COMPUTED_VALUE"""),31250)</f>
        <v>31250</v>
      </c>
      <c r="E1173" s="2">
        <f ca="1">IFERROR(__xludf.DUMMYFUNCTION("""COMPUTED_VALUE"""),31425)</f>
        <v>31425</v>
      </c>
      <c r="F1173" s="2">
        <f ca="1">IFERROR(__xludf.DUMMYFUNCTION("""COMPUTED_VALUE"""),12394400)</f>
        <v>12394400</v>
      </c>
    </row>
    <row r="1174" spans="1:6">
      <c r="A1174" s="5">
        <f ca="1">IFERROR(__xludf.DUMMYFUNCTION("""COMPUTED_VALUE"""),43777.625)</f>
        <v>43777.625</v>
      </c>
      <c r="B1174" s="2">
        <f ca="1">IFERROR(__xludf.DUMMYFUNCTION("""COMPUTED_VALUE"""),31575)</f>
        <v>31575</v>
      </c>
      <c r="C1174" s="2">
        <f ca="1">IFERROR(__xludf.DUMMYFUNCTION("""COMPUTED_VALUE"""),31575)</f>
        <v>31575</v>
      </c>
      <c r="D1174" s="2">
        <f ca="1">IFERROR(__xludf.DUMMYFUNCTION("""COMPUTED_VALUE"""),31250)</f>
        <v>31250</v>
      </c>
      <c r="E1174" s="2">
        <f ca="1">IFERROR(__xludf.DUMMYFUNCTION("""COMPUTED_VALUE"""),31400)</f>
        <v>31400</v>
      </c>
      <c r="F1174" s="2">
        <f ca="1">IFERROR(__xludf.DUMMYFUNCTION("""COMPUTED_VALUE"""),18008100)</f>
        <v>18008100</v>
      </c>
    </row>
    <row r="1175" spans="1:6">
      <c r="A1175" s="5">
        <f ca="1">IFERROR(__xludf.DUMMYFUNCTION("""COMPUTED_VALUE"""),43780.625)</f>
        <v>43780.625</v>
      </c>
      <c r="B1175" s="2">
        <f ca="1">IFERROR(__xludf.DUMMYFUNCTION("""COMPUTED_VALUE"""),31675)</f>
        <v>31675</v>
      </c>
      <c r="C1175" s="2">
        <f ca="1">IFERROR(__xludf.DUMMYFUNCTION("""COMPUTED_VALUE"""),31700)</f>
        <v>31700</v>
      </c>
      <c r="D1175" s="2">
        <f ca="1">IFERROR(__xludf.DUMMYFUNCTION("""COMPUTED_VALUE"""),31325)</f>
        <v>31325</v>
      </c>
      <c r="E1175" s="2">
        <f ca="1">IFERROR(__xludf.DUMMYFUNCTION("""COMPUTED_VALUE"""),31475)</f>
        <v>31475</v>
      </c>
      <c r="F1175" s="2">
        <f ca="1">IFERROR(__xludf.DUMMYFUNCTION("""COMPUTED_VALUE"""),14041400)</f>
        <v>14041400</v>
      </c>
    </row>
    <row r="1176" spans="1:6">
      <c r="A1176" s="5">
        <f ca="1">IFERROR(__xludf.DUMMYFUNCTION("""COMPUTED_VALUE"""),43781.625)</f>
        <v>43781.625</v>
      </c>
      <c r="B1176" s="2">
        <f ca="1">IFERROR(__xludf.DUMMYFUNCTION("""COMPUTED_VALUE"""),31100)</f>
        <v>31100</v>
      </c>
      <c r="C1176" s="2">
        <f ca="1">IFERROR(__xludf.DUMMYFUNCTION("""COMPUTED_VALUE"""),31400)</f>
        <v>31400</v>
      </c>
      <c r="D1176" s="2">
        <f ca="1">IFERROR(__xludf.DUMMYFUNCTION("""COMPUTED_VALUE"""),31100)</f>
        <v>31100</v>
      </c>
      <c r="E1176" s="2">
        <f ca="1">IFERROR(__xludf.DUMMYFUNCTION("""COMPUTED_VALUE"""),31325)</f>
        <v>31325</v>
      </c>
      <c r="F1176" s="2">
        <f ca="1">IFERROR(__xludf.DUMMYFUNCTION("""COMPUTED_VALUE"""),9527100)</f>
        <v>9527100</v>
      </c>
    </row>
    <row r="1177" spans="1:6">
      <c r="A1177" s="5">
        <f ca="1">IFERROR(__xludf.DUMMYFUNCTION("""COMPUTED_VALUE"""),43782.625)</f>
        <v>43782.625</v>
      </c>
      <c r="B1177" s="2">
        <f ca="1">IFERROR(__xludf.DUMMYFUNCTION("""COMPUTED_VALUE"""),31325)</f>
        <v>31325</v>
      </c>
      <c r="C1177" s="2">
        <f ca="1">IFERROR(__xludf.DUMMYFUNCTION("""COMPUTED_VALUE"""),31425)</f>
        <v>31425</v>
      </c>
      <c r="D1177" s="2">
        <f ca="1">IFERROR(__xludf.DUMMYFUNCTION("""COMPUTED_VALUE"""),31325)</f>
        <v>31325</v>
      </c>
      <c r="E1177" s="2">
        <f ca="1">IFERROR(__xludf.DUMMYFUNCTION("""COMPUTED_VALUE"""),31400)</f>
        <v>31400</v>
      </c>
      <c r="F1177" s="2">
        <f ca="1">IFERROR(__xludf.DUMMYFUNCTION("""COMPUTED_VALUE"""),8016700)</f>
        <v>8016700</v>
      </c>
    </row>
    <row r="1178" spans="1:6">
      <c r="A1178" s="5">
        <f ca="1">IFERROR(__xludf.DUMMYFUNCTION("""COMPUTED_VALUE"""),43783.625)</f>
        <v>43783.625</v>
      </c>
      <c r="B1178" s="2">
        <f ca="1">IFERROR(__xludf.DUMMYFUNCTION("""COMPUTED_VALUE"""),31325)</f>
        <v>31325</v>
      </c>
      <c r="C1178" s="2">
        <f ca="1">IFERROR(__xludf.DUMMYFUNCTION("""COMPUTED_VALUE"""),31400)</f>
        <v>31400</v>
      </c>
      <c r="D1178" s="2">
        <f ca="1">IFERROR(__xludf.DUMMYFUNCTION("""COMPUTED_VALUE"""),31050)</f>
        <v>31050</v>
      </c>
      <c r="E1178" s="2">
        <f ca="1">IFERROR(__xludf.DUMMYFUNCTION("""COMPUTED_VALUE"""),31350)</f>
        <v>31350</v>
      </c>
      <c r="F1178" s="2">
        <f ca="1">IFERROR(__xludf.DUMMYFUNCTION("""COMPUTED_VALUE"""),7572400)</f>
        <v>7572400</v>
      </c>
    </row>
    <row r="1179" spans="1:6">
      <c r="A1179" s="5">
        <f ca="1">IFERROR(__xludf.DUMMYFUNCTION("""COMPUTED_VALUE"""),43784.625)</f>
        <v>43784.625</v>
      </c>
      <c r="B1179" s="2">
        <f ca="1">IFERROR(__xludf.DUMMYFUNCTION("""COMPUTED_VALUE"""),31400)</f>
        <v>31400</v>
      </c>
      <c r="C1179" s="2">
        <f ca="1">IFERROR(__xludf.DUMMYFUNCTION("""COMPUTED_VALUE"""),31450)</f>
        <v>31450</v>
      </c>
      <c r="D1179" s="2">
        <f ca="1">IFERROR(__xludf.DUMMYFUNCTION("""COMPUTED_VALUE"""),31275)</f>
        <v>31275</v>
      </c>
      <c r="E1179" s="2">
        <f ca="1">IFERROR(__xludf.DUMMYFUNCTION("""COMPUTED_VALUE"""),31375)</f>
        <v>31375</v>
      </c>
      <c r="F1179" s="2">
        <f ca="1">IFERROR(__xludf.DUMMYFUNCTION("""COMPUTED_VALUE"""),9427600)</f>
        <v>9427600</v>
      </c>
    </row>
    <row r="1180" spans="1:6">
      <c r="A1180" s="5">
        <f ca="1">IFERROR(__xludf.DUMMYFUNCTION("""COMPUTED_VALUE"""),43787.625)</f>
        <v>43787.625</v>
      </c>
      <c r="B1180" s="2">
        <f ca="1">IFERROR(__xludf.DUMMYFUNCTION("""COMPUTED_VALUE"""),31225)</f>
        <v>31225</v>
      </c>
      <c r="C1180" s="2">
        <f ca="1">IFERROR(__xludf.DUMMYFUNCTION("""COMPUTED_VALUE"""),31425)</f>
        <v>31425</v>
      </c>
      <c r="D1180" s="2">
        <f ca="1">IFERROR(__xludf.DUMMYFUNCTION("""COMPUTED_VALUE"""),31050)</f>
        <v>31050</v>
      </c>
      <c r="E1180" s="2">
        <f ca="1">IFERROR(__xludf.DUMMYFUNCTION("""COMPUTED_VALUE"""),31400)</f>
        <v>31400</v>
      </c>
      <c r="F1180" s="2">
        <f ca="1">IFERROR(__xludf.DUMMYFUNCTION("""COMPUTED_VALUE"""),13119800)</f>
        <v>13119800</v>
      </c>
    </row>
    <row r="1181" spans="1:6">
      <c r="A1181" s="5">
        <f ca="1">IFERROR(__xludf.DUMMYFUNCTION("""COMPUTED_VALUE"""),43788.625)</f>
        <v>43788.625</v>
      </c>
      <c r="B1181" s="2">
        <f ca="1">IFERROR(__xludf.DUMMYFUNCTION("""COMPUTED_VALUE"""),31650)</f>
        <v>31650</v>
      </c>
      <c r="C1181" s="2">
        <f ca="1">IFERROR(__xludf.DUMMYFUNCTION("""COMPUTED_VALUE"""),31750)</f>
        <v>31750</v>
      </c>
      <c r="D1181" s="2">
        <f ca="1">IFERROR(__xludf.DUMMYFUNCTION("""COMPUTED_VALUE"""),31500)</f>
        <v>31500</v>
      </c>
      <c r="E1181" s="2">
        <f ca="1">IFERROR(__xludf.DUMMYFUNCTION("""COMPUTED_VALUE"""),31575)</f>
        <v>31575</v>
      </c>
      <c r="F1181" s="2">
        <f ca="1">IFERROR(__xludf.DUMMYFUNCTION("""COMPUTED_VALUE"""),12023000)</f>
        <v>12023000</v>
      </c>
    </row>
    <row r="1182" spans="1:6">
      <c r="A1182" s="5">
        <f ca="1">IFERROR(__xludf.DUMMYFUNCTION("""COMPUTED_VALUE"""),43789.625)</f>
        <v>43789.625</v>
      </c>
      <c r="B1182" s="2">
        <f ca="1">IFERROR(__xludf.DUMMYFUNCTION("""COMPUTED_VALUE"""),31275)</f>
        <v>31275</v>
      </c>
      <c r="C1182" s="2">
        <f ca="1">IFERROR(__xludf.DUMMYFUNCTION("""COMPUTED_VALUE"""),31750)</f>
        <v>31750</v>
      </c>
      <c r="D1182" s="2">
        <f ca="1">IFERROR(__xludf.DUMMYFUNCTION("""COMPUTED_VALUE"""),31275)</f>
        <v>31275</v>
      </c>
      <c r="E1182" s="2">
        <f ca="1">IFERROR(__xludf.DUMMYFUNCTION("""COMPUTED_VALUE"""),31750)</f>
        <v>31750</v>
      </c>
      <c r="F1182" s="2">
        <f ca="1">IFERROR(__xludf.DUMMYFUNCTION("""COMPUTED_VALUE"""),8645900)</f>
        <v>8645900</v>
      </c>
    </row>
    <row r="1183" spans="1:6">
      <c r="A1183" s="5">
        <f ca="1">IFERROR(__xludf.DUMMYFUNCTION("""COMPUTED_VALUE"""),43790.625)</f>
        <v>43790.625</v>
      </c>
      <c r="B1183" s="2">
        <f ca="1">IFERROR(__xludf.DUMMYFUNCTION("""COMPUTED_VALUE"""),31750)</f>
        <v>31750</v>
      </c>
      <c r="C1183" s="2">
        <f ca="1">IFERROR(__xludf.DUMMYFUNCTION("""COMPUTED_VALUE"""),31750)</f>
        <v>31750</v>
      </c>
      <c r="D1183" s="2">
        <f ca="1">IFERROR(__xludf.DUMMYFUNCTION("""COMPUTED_VALUE"""),31500)</f>
        <v>31500</v>
      </c>
      <c r="E1183" s="2">
        <f ca="1">IFERROR(__xludf.DUMMYFUNCTION("""COMPUTED_VALUE"""),31500)</f>
        <v>31500</v>
      </c>
      <c r="F1183" s="2">
        <f ca="1">IFERROR(__xludf.DUMMYFUNCTION("""COMPUTED_VALUE"""),11504700)</f>
        <v>11504700</v>
      </c>
    </row>
    <row r="1184" spans="1:6">
      <c r="A1184" s="5">
        <f ca="1">IFERROR(__xludf.DUMMYFUNCTION("""COMPUTED_VALUE"""),43791.625)</f>
        <v>43791.625</v>
      </c>
      <c r="B1184" s="2">
        <f ca="1">IFERROR(__xludf.DUMMYFUNCTION("""COMPUTED_VALUE"""),31400)</f>
        <v>31400</v>
      </c>
      <c r="C1184" s="2">
        <f ca="1">IFERROR(__xludf.DUMMYFUNCTION("""COMPUTED_VALUE"""),31550)</f>
        <v>31550</v>
      </c>
      <c r="D1184" s="2">
        <f ca="1">IFERROR(__xludf.DUMMYFUNCTION("""COMPUTED_VALUE"""),31350)</f>
        <v>31350</v>
      </c>
      <c r="E1184" s="2">
        <f ca="1">IFERROR(__xludf.DUMMYFUNCTION("""COMPUTED_VALUE"""),31525)</f>
        <v>31525</v>
      </c>
      <c r="F1184" s="2">
        <f ca="1">IFERROR(__xludf.DUMMYFUNCTION("""COMPUTED_VALUE"""),11207000)</f>
        <v>11207000</v>
      </c>
    </row>
    <row r="1185" spans="1:6">
      <c r="A1185" s="5">
        <f ca="1">IFERROR(__xludf.DUMMYFUNCTION("""COMPUTED_VALUE"""),43794.625)</f>
        <v>43794.625</v>
      </c>
      <c r="B1185" s="2">
        <f ca="1">IFERROR(__xludf.DUMMYFUNCTION("""COMPUTED_VALUE"""),31650)</f>
        <v>31650</v>
      </c>
      <c r="C1185" s="2">
        <f ca="1">IFERROR(__xludf.DUMMYFUNCTION("""COMPUTED_VALUE"""),31675)</f>
        <v>31675</v>
      </c>
      <c r="D1185" s="2">
        <f ca="1">IFERROR(__xludf.DUMMYFUNCTION("""COMPUTED_VALUE"""),31375)</f>
        <v>31375</v>
      </c>
      <c r="E1185" s="2">
        <f ca="1">IFERROR(__xludf.DUMMYFUNCTION("""COMPUTED_VALUE"""),31375)</f>
        <v>31375</v>
      </c>
      <c r="F1185" s="2">
        <f ca="1">IFERROR(__xludf.DUMMYFUNCTION("""COMPUTED_VALUE"""),11026700)</f>
        <v>11026700</v>
      </c>
    </row>
    <row r="1186" spans="1:6">
      <c r="A1186" s="5">
        <f ca="1">IFERROR(__xludf.DUMMYFUNCTION("""COMPUTED_VALUE"""),43795.625)</f>
        <v>43795.625</v>
      </c>
      <c r="B1186" s="2">
        <f ca="1">IFERROR(__xludf.DUMMYFUNCTION("""COMPUTED_VALUE"""),31650)</f>
        <v>31650</v>
      </c>
      <c r="C1186" s="2">
        <f ca="1">IFERROR(__xludf.DUMMYFUNCTION("""COMPUTED_VALUE"""),31650)</f>
        <v>31650</v>
      </c>
      <c r="D1186" s="2">
        <f ca="1">IFERROR(__xludf.DUMMYFUNCTION("""COMPUTED_VALUE"""),31350)</f>
        <v>31350</v>
      </c>
      <c r="E1186" s="2">
        <f ca="1">IFERROR(__xludf.DUMMYFUNCTION("""COMPUTED_VALUE"""),31425)</f>
        <v>31425</v>
      </c>
      <c r="F1186" s="2">
        <f ca="1">IFERROR(__xludf.DUMMYFUNCTION("""COMPUTED_VALUE"""),38556700)</f>
        <v>38556700</v>
      </c>
    </row>
    <row r="1187" spans="1:6">
      <c r="A1187" s="5">
        <f ca="1">IFERROR(__xludf.DUMMYFUNCTION("""COMPUTED_VALUE"""),43796.625)</f>
        <v>43796.625</v>
      </c>
      <c r="B1187" s="2">
        <f ca="1">IFERROR(__xludf.DUMMYFUNCTION("""COMPUTED_VALUE"""),31350)</f>
        <v>31350</v>
      </c>
      <c r="C1187" s="2">
        <f ca="1">IFERROR(__xludf.DUMMYFUNCTION("""COMPUTED_VALUE"""),31500)</f>
        <v>31500</v>
      </c>
      <c r="D1187" s="2">
        <f ca="1">IFERROR(__xludf.DUMMYFUNCTION("""COMPUTED_VALUE"""),31200)</f>
        <v>31200</v>
      </c>
      <c r="E1187" s="2">
        <f ca="1">IFERROR(__xludf.DUMMYFUNCTION("""COMPUTED_VALUE"""),31500)</f>
        <v>31500</v>
      </c>
      <c r="F1187" s="2">
        <f ca="1">IFERROR(__xludf.DUMMYFUNCTION("""COMPUTED_VALUE"""),11766700)</f>
        <v>11766700</v>
      </c>
    </row>
    <row r="1188" spans="1:6">
      <c r="A1188" s="5">
        <f ca="1">IFERROR(__xludf.DUMMYFUNCTION("""COMPUTED_VALUE"""),43797.625)</f>
        <v>43797.625</v>
      </c>
      <c r="B1188" s="2">
        <f ca="1">IFERROR(__xludf.DUMMYFUNCTION("""COMPUTED_VALUE"""),31475)</f>
        <v>31475</v>
      </c>
      <c r="C1188" s="2">
        <f ca="1">IFERROR(__xludf.DUMMYFUNCTION("""COMPUTED_VALUE"""),31475)</f>
        <v>31475</v>
      </c>
      <c r="D1188" s="2">
        <f ca="1">IFERROR(__xludf.DUMMYFUNCTION("""COMPUTED_VALUE"""),31225)</f>
        <v>31225</v>
      </c>
      <c r="E1188" s="2">
        <f ca="1">IFERROR(__xludf.DUMMYFUNCTION("""COMPUTED_VALUE"""),31250)</f>
        <v>31250</v>
      </c>
      <c r="F1188" s="2">
        <f ca="1">IFERROR(__xludf.DUMMYFUNCTION("""COMPUTED_VALUE"""),8849600)</f>
        <v>8849600</v>
      </c>
    </row>
    <row r="1189" spans="1:6">
      <c r="A1189" s="5">
        <f ca="1">IFERROR(__xludf.DUMMYFUNCTION("""COMPUTED_VALUE"""),43798.625)</f>
        <v>43798.625</v>
      </c>
      <c r="B1189" s="2">
        <f ca="1">IFERROR(__xludf.DUMMYFUNCTION("""COMPUTED_VALUE"""),31150)</f>
        <v>31150</v>
      </c>
      <c r="C1189" s="2">
        <f ca="1">IFERROR(__xludf.DUMMYFUNCTION("""COMPUTED_VALUE"""),31475)</f>
        <v>31475</v>
      </c>
      <c r="D1189" s="2">
        <f ca="1">IFERROR(__xludf.DUMMYFUNCTION("""COMPUTED_VALUE"""),31125)</f>
        <v>31125</v>
      </c>
      <c r="E1189" s="2">
        <f ca="1">IFERROR(__xludf.DUMMYFUNCTION("""COMPUTED_VALUE"""),31400)</f>
        <v>31400</v>
      </c>
      <c r="F1189" s="2">
        <f ca="1">IFERROR(__xludf.DUMMYFUNCTION("""COMPUTED_VALUE"""),10590900)</f>
        <v>10590900</v>
      </c>
    </row>
    <row r="1190" spans="1:6">
      <c r="A1190" s="5">
        <f ca="1">IFERROR(__xludf.DUMMYFUNCTION("""COMPUTED_VALUE"""),43801.625)</f>
        <v>43801.625</v>
      </c>
      <c r="B1190" s="2">
        <f ca="1">IFERROR(__xludf.DUMMYFUNCTION("""COMPUTED_VALUE"""),31400)</f>
        <v>31400</v>
      </c>
      <c r="C1190" s="2">
        <f ca="1">IFERROR(__xludf.DUMMYFUNCTION("""COMPUTED_VALUE"""),32125)</f>
        <v>32125</v>
      </c>
      <c r="D1190" s="2">
        <f ca="1">IFERROR(__xludf.DUMMYFUNCTION("""COMPUTED_VALUE"""),31350)</f>
        <v>31350</v>
      </c>
      <c r="E1190" s="2">
        <f ca="1">IFERROR(__xludf.DUMMYFUNCTION("""COMPUTED_VALUE"""),32125)</f>
        <v>32125</v>
      </c>
      <c r="F1190" s="2">
        <f ca="1">IFERROR(__xludf.DUMMYFUNCTION("""COMPUTED_VALUE"""),9981800)</f>
        <v>9981800</v>
      </c>
    </row>
    <row r="1191" spans="1:6">
      <c r="A1191" s="5">
        <f ca="1">IFERROR(__xludf.DUMMYFUNCTION("""COMPUTED_VALUE"""),43802.625)</f>
        <v>43802.625</v>
      </c>
      <c r="B1191" s="2">
        <f ca="1">IFERROR(__xludf.DUMMYFUNCTION("""COMPUTED_VALUE"""),32100)</f>
        <v>32100</v>
      </c>
      <c r="C1191" s="2">
        <f ca="1">IFERROR(__xludf.DUMMYFUNCTION("""COMPUTED_VALUE"""),32100)</f>
        <v>32100</v>
      </c>
      <c r="D1191" s="2">
        <f ca="1">IFERROR(__xludf.DUMMYFUNCTION("""COMPUTED_VALUE"""),31725)</f>
        <v>31725</v>
      </c>
      <c r="E1191" s="2">
        <f ca="1">IFERROR(__xludf.DUMMYFUNCTION("""COMPUTED_VALUE"""),31875)</f>
        <v>31875</v>
      </c>
      <c r="F1191" s="2">
        <f ca="1">IFERROR(__xludf.DUMMYFUNCTION("""COMPUTED_VALUE"""),8564600)</f>
        <v>8564600</v>
      </c>
    </row>
    <row r="1192" spans="1:6">
      <c r="A1192" s="5">
        <f ca="1">IFERROR(__xludf.DUMMYFUNCTION("""COMPUTED_VALUE"""),43803.625)</f>
        <v>43803.625</v>
      </c>
      <c r="B1192" s="2">
        <f ca="1">IFERROR(__xludf.DUMMYFUNCTION("""COMPUTED_VALUE"""),31800)</f>
        <v>31800</v>
      </c>
      <c r="C1192" s="2">
        <f ca="1">IFERROR(__xludf.DUMMYFUNCTION("""COMPUTED_VALUE"""),32000)</f>
        <v>32000</v>
      </c>
      <c r="D1192" s="2">
        <f ca="1">IFERROR(__xludf.DUMMYFUNCTION("""COMPUTED_VALUE"""),31775)</f>
        <v>31775</v>
      </c>
      <c r="E1192" s="2">
        <f ca="1">IFERROR(__xludf.DUMMYFUNCTION("""COMPUTED_VALUE"""),31825)</f>
        <v>31825</v>
      </c>
      <c r="F1192" s="2">
        <f ca="1">IFERROR(__xludf.DUMMYFUNCTION("""COMPUTED_VALUE"""),7510400)</f>
        <v>7510400</v>
      </c>
    </row>
    <row r="1193" spans="1:6">
      <c r="A1193" s="5">
        <f ca="1">IFERROR(__xludf.DUMMYFUNCTION("""COMPUTED_VALUE"""),43804.625)</f>
        <v>43804.625</v>
      </c>
      <c r="B1193" s="2">
        <f ca="1">IFERROR(__xludf.DUMMYFUNCTION("""COMPUTED_VALUE"""),31800)</f>
        <v>31800</v>
      </c>
      <c r="C1193" s="2">
        <f ca="1">IFERROR(__xludf.DUMMYFUNCTION("""COMPUTED_VALUE"""),31925)</f>
        <v>31925</v>
      </c>
      <c r="D1193" s="2">
        <f ca="1">IFERROR(__xludf.DUMMYFUNCTION("""COMPUTED_VALUE"""),31650)</f>
        <v>31650</v>
      </c>
      <c r="E1193" s="2">
        <f ca="1">IFERROR(__xludf.DUMMYFUNCTION("""COMPUTED_VALUE"""),31700)</f>
        <v>31700</v>
      </c>
      <c r="F1193" s="2">
        <f ca="1">IFERROR(__xludf.DUMMYFUNCTION("""COMPUTED_VALUE"""),10833600)</f>
        <v>10833600</v>
      </c>
    </row>
    <row r="1194" spans="1:6">
      <c r="A1194" s="5">
        <f ca="1">IFERROR(__xludf.DUMMYFUNCTION("""COMPUTED_VALUE"""),43805.625)</f>
        <v>43805.625</v>
      </c>
      <c r="B1194" s="2">
        <f ca="1">IFERROR(__xludf.DUMMYFUNCTION("""COMPUTED_VALUE"""),31700)</f>
        <v>31700</v>
      </c>
      <c r="C1194" s="2">
        <f ca="1">IFERROR(__xludf.DUMMYFUNCTION("""COMPUTED_VALUE"""),31975)</f>
        <v>31975</v>
      </c>
      <c r="D1194" s="2">
        <f ca="1">IFERROR(__xludf.DUMMYFUNCTION("""COMPUTED_VALUE"""),31600)</f>
        <v>31600</v>
      </c>
      <c r="E1194" s="2">
        <f ca="1">IFERROR(__xludf.DUMMYFUNCTION("""COMPUTED_VALUE"""),31975)</f>
        <v>31975</v>
      </c>
      <c r="F1194" s="2">
        <f ca="1">IFERROR(__xludf.DUMMYFUNCTION("""COMPUTED_VALUE"""),13984100)</f>
        <v>13984100</v>
      </c>
    </row>
    <row r="1195" spans="1:6">
      <c r="A1195" s="5">
        <f ca="1">IFERROR(__xludf.DUMMYFUNCTION("""COMPUTED_VALUE"""),43808.625)</f>
        <v>43808.625</v>
      </c>
      <c r="B1195" s="2">
        <f ca="1">IFERROR(__xludf.DUMMYFUNCTION("""COMPUTED_VALUE"""),31850)</f>
        <v>31850</v>
      </c>
      <c r="C1195" s="2">
        <f ca="1">IFERROR(__xludf.DUMMYFUNCTION("""COMPUTED_VALUE"""),31975)</f>
        <v>31975</v>
      </c>
      <c r="D1195" s="2">
        <f ca="1">IFERROR(__xludf.DUMMYFUNCTION("""COMPUTED_VALUE"""),31800)</f>
        <v>31800</v>
      </c>
      <c r="E1195" s="2">
        <f ca="1">IFERROR(__xludf.DUMMYFUNCTION("""COMPUTED_VALUE"""),31975)</f>
        <v>31975</v>
      </c>
      <c r="F1195" s="2">
        <f ca="1">IFERROR(__xludf.DUMMYFUNCTION("""COMPUTED_VALUE"""),10333500)</f>
        <v>10333500</v>
      </c>
    </row>
    <row r="1196" spans="1:6">
      <c r="A1196" s="5">
        <f ca="1">IFERROR(__xludf.DUMMYFUNCTION("""COMPUTED_VALUE"""),43809.625)</f>
        <v>43809.625</v>
      </c>
      <c r="B1196" s="2">
        <f ca="1">IFERROR(__xludf.DUMMYFUNCTION("""COMPUTED_VALUE"""),31975)</f>
        <v>31975</v>
      </c>
      <c r="C1196" s="2">
        <f ca="1">IFERROR(__xludf.DUMMYFUNCTION("""COMPUTED_VALUE"""),32000)</f>
        <v>32000</v>
      </c>
      <c r="D1196" s="2">
        <f ca="1">IFERROR(__xludf.DUMMYFUNCTION("""COMPUTED_VALUE"""),31800)</f>
        <v>31800</v>
      </c>
      <c r="E1196" s="2">
        <f ca="1">IFERROR(__xludf.DUMMYFUNCTION("""COMPUTED_VALUE"""),31825)</f>
        <v>31825</v>
      </c>
      <c r="F1196" s="2">
        <f ca="1">IFERROR(__xludf.DUMMYFUNCTION("""COMPUTED_VALUE"""),11530800)</f>
        <v>11530800</v>
      </c>
    </row>
    <row r="1197" spans="1:6">
      <c r="A1197" s="5">
        <f ca="1">IFERROR(__xludf.DUMMYFUNCTION("""COMPUTED_VALUE"""),43810.625)</f>
        <v>43810.625</v>
      </c>
      <c r="B1197" s="2">
        <f ca="1">IFERROR(__xludf.DUMMYFUNCTION("""COMPUTED_VALUE"""),31825)</f>
        <v>31825</v>
      </c>
      <c r="C1197" s="2">
        <f ca="1">IFERROR(__xludf.DUMMYFUNCTION("""COMPUTED_VALUE"""),31925)</f>
        <v>31925</v>
      </c>
      <c r="D1197" s="2">
        <f ca="1">IFERROR(__xludf.DUMMYFUNCTION("""COMPUTED_VALUE"""),31750)</f>
        <v>31750</v>
      </c>
      <c r="E1197" s="2">
        <f ca="1">IFERROR(__xludf.DUMMYFUNCTION("""COMPUTED_VALUE"""),31900)</f>
        <v>31900</v>
      </c>
      <c r="F1197" s="2">
        <f ca="1">IFERROR(__xludf.DUMMYFUNCTION("""COMPUTED_VALUE"""),9693800)</f>
        <v>9693800</v>
      </c>
    </row>
    <row r="1198" spans="1:6">
      <c r="A1198" s="5">
        <f ca="1">IFERROR(__xludf.DUMMYFUNCTION("""COMPUTED_VALUE"""),43811.625)</f>
        <v>43811.625</v>
      </c>
      <c r="B1198" s="2">
        <f ca="1">IFERROR(__xludf.DUMMYFUNCTION("""COMPUTED_VALUE"""),32000)</f>
        <v>32000</v>
      </c>
      <c r="C1198" s="2">
        <f ca="1">IFERROR(__xludf.DUMMYFUNCTION("""COMPUTED_VALUE"""),32025)</f>
        <v>32025</v>
      </c>
      <c r="D1198" s="2">
        <f ca="1">IFERROR(__xludf.DUMMYFUNCTION("""COMPUTED_VALUE"""),31700)</f>
        <v>31700</v>
      </c>
      <c r="E1198" s="2">
        <f ca="1">IFERROR(__xludf.DUMMYFUNCTION("""COMPUTED_VALUE"""),31700)</f>
        <v>31700</v>
      </c>
      <c r="F1198" s="2">
        <f ca="1">IFERROR(__xludf.DUMMYFUNCTION("""COMPUTED_VALUE"""),15839700)</f>
        <v>15839700</v>
      </c>
    </row>
    <row r="1199" spans="1:6">
      <c r="A1199" s="5">
        <f ca="1">IFERROR(__xludf.DUMMYFUNCTION("""COMPUTED_VALUE"""),43812.625)</f>
        <v>43812.625</v>
      </c>
      <c r="B1199" s="2">
        <f ca="1">IFERROR(__xludf.DUMMYFUNCTION("""COMPUTED_VALUE"""),31975)</f>
        <v>31975</v>
      </c>
      <c r="C1199" s="2">
        <f ca="1">IFERROR(__xludf.DUMMYFUNCTION("""COMPUTED_VALUE"""),32100)</f>
        <v>32100</v>
      </c>
      <c r="D1199" s="2">
        <f ca="1">IFERROR(__xludf.DUMMYFUNCTION("""COMPUTED_VALUE"""),31750)</f>
        <v>31750</v>
      </c>
      <c r="E1199" s="2">
        <f ca="1">IFERROR(__xludf.DUMMYFUNCTION("""COMPUTED_VALUE"""),31800)</f>
        <v>31800</v>
      </c>
      <c r="F1199" s="2">
        <f ca="1">IFERROR(__xludf.DUMMYFUNCTION("""COMPUTED_VALUE"""),14164500)</f>
        <v>14164500</v>
      </c>
    </row>
    <row r="1200" spans="1:6">
      <c r="A1200" s="5">
        <f ca="1">IFERROR(__xludf.DUMMYFUNCTION("""COMPUTED_VALUE"""),43815.625)</f>
        <v>43815.625</v>
      </c>
      <c r="B1200" s="2">
        <f ca="1">IFERROR(__xludf.DUMMYFUNCTION("""COMPUTED_VALUE"""),31700)</f>
        <v>31700</v>
      </c>
      <c r="C1200" s="2">
        <f ca="1">IFERROR(__xludf.DUMMYFUNCTION("""COMPUTED_VALUE"""),31975)</f>
        <v>31975</v>
      </c>
      <c r="D1200" s="2">
        <f ca="1">IFERROR(__xludf.DUMMYFUNCTION("""COMPUTED_VALUE"""),31700)</f>
        <v>31700</v>
      </c>
      <c r="E1200" s="2">
        <f ca="1">IFERROR(__xludf.DUMMYFUNCTION("""COMPUTED_VALUE"""),31800)</f>
        <v>31800</v>
      </c>
      <c r="F1200" s="2">
        <f ca="1">IFERROR(__xludf.DUMMYFUNCTION("""COMPUTED_VALUE"""),15736800)</f>
        <v>15736800</v>
      </c>
    </row>
    <row r="1201" spans="1:6">
      <c r="A1201" s="5">
        <f ca="1">IFERROR(__xludf.DUMMYFUNCTION("""COMPUTED_VALUE"""),43816.625)</f>
        <v>43816.625</v>
      </c>
      <c r="B1201" s="2">
        <f ca="1">IFERROR(__xludf.DUMMYFUNCTION("""COMPUTED_VALUE"""),31975)</f>
        <v>31975</v>
      </c>
      <c r="C1201" s="2">
        <f ca="1">IFERROR(__xludf.DUMMYFUNCTION("""COMPUTED_VALUE"""),32500)</f>
        <v>32500</v>
      </c>
      <c r="D1201" s="2">
        <f ca="1">IFERROR(__xludf.DUMMYFUNCTION("""COMPUTED_VALUE"""),31825)</f>
        <v>31825</v>
      </c>
      <c r="E1201" s="2">
        <f ca="1">IFERROR(__xludf.DUMMYFUNCTION("""COMPUTED_VALUE"""),32500)</f>
        <v>32500</v>
      </c>
      <c r="F1201" s="2">
        <f ca="1">IFERROR(__xludf.DUMMYFUNCTION("""COMPUTED_VALUE"""),20582900)</f>
        <v>20582900</v>
      </c>
    </row>
    <row r="1202" spans="1:6">
      <c r="A1202" s="5">
        <f ca="1">IFERROR(__xludf.DUMMYFUNCTION("""COMPUTED_VALUE"""),43817.625)</f>
        <v>43817.625</v>
      </c>
      <c r="B1202" s="2">
        <f ca="1">IFERROR(__xludf.DUMMYFUNCTION("""COMPUTED_VALUE"""),32500)</f>
        <v>32500</v>
      </c>
      <c r="C1202" s="2">
        <f ca="1">IFERROR(__xludf.DUMMYFUNCTION("""COMPUTED_VALUE"""),34000)</f>
        <v>34000</v>
      </c>
      <c r="D1202" s="2">
        <f ca="1">IFERROR(__xludf.DUMMYFUNCTION("""COMPUTED_VALUE"""),32200)</f>
        <v>32200</v>
      </c>
      <c r="E1202" s="2">
        <f ca="1">IFERROR(__xludf.DUMMYFUNCTION("""COMPUTED_VALUE"""),33775)</f>
        <v>33775</v>
      </c>
      <c r="F1202" s="2">
        <f ca="1">IFERROR(__xludf.DUMMYFUNCTION("""COMPUTED_VALUE"""),36360800)</f>
        <v>36360800</v>
      </c>
    </row>
    <row r="1203" spans="1:6">
      <c r="A1203" s="5">
        <f ca="1">IFERROR(__xludf.DUMMYFUNCTION("""COMPUTED_VALUE"""),43818.625)</f>
        <v>43818.625</v>
      </c>
      <c r="B1203" s="2">
        <f ca="1">IFERROR(__xludf.DUMMYFUNCTION("""COMPUTED_VALUE"""),33500)</f>
        <v>33500</v>
      </c>
      <c r="C1203" s="2">
        <f ca="1">IFERROR(__xludf.DUMMYFUNCTION("""COMPUTED_VALUE"""),33600)</f>
        <v>33600</v>
      </c>
      <c r="D1203" s="2">
        <f ca="1">IFERROR(__xludf.DUMMYFUNCTION("""COMPUTED_VALUE"""),32950)</f>
        <v>32950</v>
      </c>
      <c r="E1203" s="2">
        <f ca="1">IFERROR(__xludf.DUMMYFUNCTION("""COMPUTED_VALUE"""),33000)</f>
        <v>33000</v>
      </c>
      <c r="F1203" s="2">
        <f ca="1">IFERROR(__xludf.DUMMYFUNCTION("""COMPUTED_VALUE"""),14834200)</f>
        <v>14834200</v>
      </c>
    </row>
    <row r="1204" spans="1:6">
      <c r="A1204" s="5">
        <f ca="1">IFERROR(__xludf.DUMMYFUNCTION("""COMPUTED_VALUE"""),43819.625)</f>
        <v>43819.625</v>
      </c>
      <c r="B1204" s="2">
        <f ca="1">IFERROR(__xludf.DUMMYFUNCTION("""COMPUTED_VALUE"""),33400)</f>
        <v>33400</v>
      </c>
      <c r="C1204" s="2">
        <f ca="1">IFERROR(__xludf.DUMMYFUNCTION("""COMPUTED_VALUE"""),33700)</f>
        <v>33700</v>
      </c>
      <c r="D1204" s="2">
        <f ca="1">IFERROR(__xludf.DUMMYFUNCTION("""COMPUTED_VALUE"""),33050)</f>
        <v>33050</v>
      </c>
      <c r="E1204" s="2">
        <f ca="1">IFERROR(__xludf.DUMMYFUNCTION("""COMPUTED_VALUE"""),33300)</f>
        <v>33300</v>
      </c>
      <c r="F1204" s="2">
        <f ca="1">IFERROR(__xludf.DUMMYFUNCTION("""COMPUTED_VALUE"""),19890600)</f>
        <v>19890600</v>
      </c>
    </row>
    <row r="1205" spans="1:6">
      <c r="A1205" s="5">
        <f ca="1">IFERROR(__xludf.DUMMYFUNCTION("""COMPUTED_VALUE"""),43822.625)</f>
        <v>43822.625</v>
      </c>
      <c r="B1205" s="2">
        <f ca="1">IFERROR(__xludf.DUMMYFUNCTION("""COMPUTED_VALUE"""),33400)</f>
        <v>33400</v>
      </c>
      <c r="C1205" s="2">
        <f ca="1">IFERROR(__xludf.DUMMYFUNCTION("""COMPUTED_VALUE"""),33650)</f>
        <v>33650</v>
      </c>
      <c r="D1205" s="2">
        <f ca="1">IFERROR(__xludf.DUMMYFUNCTION("""COMPUTED_VALUE"""),33250)</f>
        <v>33250</v>
      </c>
      <c r="E1205" s="2">
        <f ca="1">IFERROR(__xludf.DUMMYFUNCTION("""COMPUTED_VALUE"""),33300)</f>
        <v>33300</v>
      </c>
      <c r="F1205" s="2">
        <f ca="1">IFERROR(__xludf.DUMMYFUNCTION("""COMPUTED_VALUE"""),9311700)</f>
        <v>9311700</v>
      </c>
    </row>
    <row r="1206" spans="1:6">
      <c r="A1206" s="5">
        <f ca="1">IFERROR(__xludf.DUMMYFUNCTION("""COMPUTED_VALUE"""),43825.625)</f>
        <v>43825.625</v>
      </c>
      <c r="B1206" s="2">
        <f ca="1">IFERROR(__xludf.DUMMYFUNCTION("""COMPUTED_VALUE"""),33300)</f>
        <v>33300</v>
      </c>
      <c r="C1206" s="2">
        <f ca="1">IFERROR(__xludf.DUMMYFUNCTION("""COMPUTED_VALUE"""),33625)</f>
        <v>33625</v>
      </c>
      <c r="D1206" s="2">
        <f ca="1">IFERROR(__xludf.DUMMYFUNCTION("""COMPUTED_VALUE"""),33300)</f>
        <v>33300</v>
      </c>
      <c r="E1206" s="2">
        <f ca="1">IFERROR(__xludf.DUMMYFUNCTION("""COMPUTED_VALUE"""),33400)</f>
        <v>33400</v>
      </c>
      <c r="F1206" s="2">
        <f ca="1">IFERROR(__xludf.DUMMYFUNCTION("""COMPUTED_VALUE"""),7637700)</f>
        <v>7637700</v>
      </c>
    </row>
    <row r="1207" spans="1:6">
      <c r="A1207" s="5">
        <f ca="1">IFERROR(__xludf.DUMMYFUNCTION("""COMPUTED_VALUE"""),43826.625)</f>
        <v>43826.625</v>
      </c>
      <c r="B1207" s="2">
        <f ca="1">IFERROR(__xludf.DUMMYFUNCTION("""COMPUTED_VALUE"""),33350)</f>
        <v>33350</v>
      </c>
      <c r="C1207" s="2">
        <f ca="1">IFERROR(__xludf.DUMMYFUNCTION("""COMPUTED_VALUE"""),33500)</f>
        <v>33500</v>
      </c>
      <c r="D1207" s="2">
        <f ca="1">IFERROR(__xludf.DUMMYFUNCTION("""COMPUTED_VALUE"""),33350)</f>
        <v>33350</v>
      </c>
      <c r="E1207" s="2">
        <f ca="1">IFERROR(__xludf.DUMMYFUNCTION("""COMPUTED_VALUE"""),33475)</f>
        <v>33475</v>
      </c>
      <c r="F1207" s="2">
        <f ca="1">IFERROR(__xludf.DUMMYFUNCTION("""COMPUTED_VALUE"""),5989000)</f>
        <v>5989000</v>
      </c>
    </row>
    <row r="1208" spans="1:6">
      <c r="A1208" s="5">
        <f ca="1">IFERROR(__xludf.DUMMYFUNCTION("""COMPUTED_VALUE"""),43829.625)</f>
        <v>43829.625</v>
      </c>
      <c r="B1208" s="2">
        <f ca="1">IFERROR(__xludf.DUMMYFUNCTION("""COMPUTED_VALUE"""),33400)</f>
        <v>33400</v>
      </c>
      <c r="C1208" s="2">
        <f ca="1">IFERROR(__xludf.DUMMYFUNCTION("""COMPUTED_VALUE"""),33600)</f>
        <v>33600</v>
      </c>
      <c r="D1208" s="2">
        <f ca="1">IFERROR(__xludf.DUMMYFUNCTION("""COMPUTED_VALUE"""),33350)</f>
        <v>33350</v>
      </c>
      <c r="E1208" s="2">
        <f ca="1">IFERROR(__xludf.DUMMYFUNCTION("""COMPUTED_VALUE"""),33425)</f>
        <v>33425</v>
      </c>
      <c r="F1208" s="2">
        <f ca="1">IFERROR(__xludf.DUMMYFUNCTION("""COMPUTED_VALUE"""),12233600)</f>
        <v>12233600</v>
      </c>
    </row>
    <row r="1209" spans="1:6">
      <c r="A1209" s="5">
        <f ca="1">IFERROR(__xludf.DUMMYFUNCTION("""COMPUTED_VALUE"""),43832.625)</f>
        <v>43832.625</v>
      </c>
      <c r="B1209" s="2">
        <f ca="1">IFERROR(__xludf.DUMMYFUNCTION("""COMPUTED_VALUE"""),33475)</f>
        <v>33475</v>
      </c>
      <c r="C1209" s="2">
        <f ca="1">IFERROR(__xludf.DUMMYFUNCTION("""COMPUTED_VALUE"""),33900)</f>
        <v>33900</v>
      </c>
      <c r="D1209" s="2">
        <f ca="1">IFERROR(__xludf.DUMMYFUNCTION("""COMPUTED_VALUE"""),33400)</f>
        <v>33400</v>
      </c>
      <c r="E1209" s="2">
        <f ca="1">IFERROR(__xludf.DUMMYFUNCTION("""COMPUTED_VALUE"""),33450)</f>
        <v>33450</v>
      </c>
      <c r="F1209" s="2">
        <f ca="1">IFERROR(__xludf.DUMMYFUNCTION("""COMPUTED_VALUE"""),9889000)</f>
        <v>9889000</v>
      </c>
    </row>
    <row r="1210" spans="1:6">
      <c r="A1210" s="5">
        <f ca="1">IFERROR(__xludf.DUMMYFUNCTION("""COMPUTED_VALUE"""),43833.625)</f>
        <v>43833.625</v>
      </c>
      <c r="B1210" s="2">
        <f ca="1">IFERROR(__xludf.DUMMYFUNCTION("""COMPUTED_VALUE"""),33750)</f>
        <v>33750</v>
      </c>
      <c r="C1210" s="2">
        <f ca="1">IFERROR(__xludf.DUMMYFUNCTION("""COMPUTED_VALUE"""),34000)</f>
        <v>34000</v>
      </c>
      <c r="D1210" s="2">
        <f ca="1">IFERROR(__xludf.DUMMYFUNCTION("""COMPUTED_VALUE"""),33625)</f>
        <v>33625</v>
      </c>
      <c r="E1210" s="2">
        <f ca="1">IFERROR(__xludf.DUMMYFUNCTION("""COMPUTED_VALUE"""),34000)</f>
        <v>34000</v>
      </c>
      <c r="F1210" s="2">
        <f ca="1">IFERROR(__xludf.DUMMYFUNCTION("""COMPUTED_VALUE"""),9551100)</f>
        <v>9551100</v>
      </c>
    </row>
    <row r="1211" spans="1:6">
      <c r="A1211" s="5">
        <f ca="1">IFERROR(__xludf.DUMMYFUNCTION("""COMPUTED_VALUE"""),43836.625)</f>
        <v>43836.625</v>
      </c>
      <c r="B1211" s="2">
        <f ca="1">IFERROR(__xludf.DUMMYFUNCTION("""COMPUTED_VALUE"""),33600)</f>
        <v>33600</v>
      </c>
      <c r="C1211" s="2">
        <f ca="1">IFERROR(__xludf.DUMMYFUNCTION("""COMPUTED_VALUE"""),33750)</f>
        <v>33750</v>
      </c>
      <c r="D1211" s="2">
        <f ca="1">IFERROR(__xludf.DUMMYFUNCTION("""COMPUTED_VALUE"""),33450)</f>
        <v>33450</v>
      </c>
      <c r="E1211" s="2">
        <f ca="1">IFERROR(__xludf.DUMMYFUNCTION("""COMPUTED_VALUE"""),33675)</f>
        <v>33675</v>
      </c>
      <c r="F1211" s="2">
        <f ca="1">IFERROR(__xludf.DUMMYFUNCTION("""COMPUTED_VALUE"""),5460000)</f>
        <v>5460000</v>
      </c>
    </row>
    <row r="1212" spans="1:6">
      <c r="A1212" s="5">
        <f ca="1">IFERROR(__xludf.DUMMYFUNCTION("""COMPUTED_VALUE"""),43837.625)</f>
        <v>43837.625</v>
      </c>
      <c r="B1212" s="2">
        <f ca="1">IFERROR(__xludf.DUMMYFUNCTION("""COMPUTED_VALUE"""),33675)</f>
        <v>33675</v>
      </c>
      <c r="C1212" s="2">
        <f ca="1">IFERROR(__xludf.DUMMYFUNCTION("""COMPUTED_VALUE"""),33850)</f>
        <v>33850</v>
      </c>
      <c r="D1212" s="2">
        <f ca="1">IFERROR(__xludf.DUMMYFUNCTION("""COMPUTED_VALUE"""),33650)</f>
        <v>33650</v>
      </c>
      <c r="E1212" s="2">
        <f ca="1">IFERROR(__xludf.DUMMYFUNCTION("""COMPUTED_VALUE"""),33700)</f>
        <v>33700</v>
      </c>
      <c r="F1212" s="2">
        <f ca="1">IFERROR(__xludf.DUMMYFUNCTION("""COMPUTED_VALUE"""),9004500)</f>
        <v>9004500</v>
      </c>
    </row>
    <row r="1213" spans="1:6">
      <c r="A1213" s="5">
        <f ca="1">IFERROR(__xludf.DUMMYFUNCTION("""COMPUTED_VALUE"""),43838.625)</f>
        <v>43838.625</v>
      </c>
      <c r="B1213" s="2">
        <f ca="1">IFERROR(__xludf.DUMMYFUNCTION("""COMPUTED_VALUE"""),33350)</f>
        <v>33350</v>
      </c>
      <c r="C1213" s="2">
        <f ca="1">IFERROR(__xludf.DUMMYFUNCTION("""COMPUTED_VALUE"""),33725)</f>
        <v>33725</v>
      </c>
      <c r="D1213" s="2">
        <f ca="1">IFERROR(__xludf.DUMMYFUNCTION("""COMPUTED_VALUE"""),33350)</f>
        <v>33350</v>
      </c>
      <c r="E1213" s="2">
        <f ca="1">IFERROR(__xludf.DUMMYFUNCTION("""COMPUTED_VALUE"""),33400)</f>
        <v>33400</v>
      </c>
      <c r="F1213" s="2">
        <f ca="1">IFERROR(__xludf.DUMMYFUNCTION("""COMPUTED_VALUE"""),10738500)</f>
        <v>10738500</v>
      </c>
    </row>
    <row r="1214" spans="1:6">
      <c r="A1214" s="5">
        <f ca="1">IFERROR(__xludf.DUMMYFUNCTION("""COMPUTED_VALUE"""),43839.625)</f>
        <v>43839.625</v>
      </c>
      <c r="B1214" s="2">
        <f ca="1">IFERROR(__xludf.DUMMYFUNCTION("""COMPUTED_VALUE"""),33700)</f>
        <v>33700</v>
      </c>
      <c r="C1214" s="2">
        <f ca="1">IFERROR(__xludf.DUMMYFUNCTION("""COMPUTED_VALUE"""),33775)</f>
        <v>33775</v>
      </c>
      <c r="D1214" s="2">
        <f ca="1">IFERROR(__xludf.DUMMYFUNCTION("""COMPUTED_VALUE"""),33650)</f>
        <v>33650</v>
      </c>
      <c r="E1214" s="2">
        <f ca="1">IFERROR(__xludf.DUMMYFUNCTION("""COMPUTED_VALUE"""),33700)</f>
        <v>33700</v>
      </c>
      <c r="F1214" s="2">
        <f ca="1">IFERROR(__xludf.DUMMYFUNCTION("""COMPUTED_VALUE"""),8072700)</f>
        <v>8072700</v>
      </c>
    </row>
    <row r="1215" spans="1:6">
      <c r="A1215" s="5">
        <f ca="1">IFERROR(__xludf.DUMMYFUNCTION("""COMPUTED_VALUE"""),43840.625)</f>
        <v>43840.625</v>
      </c>
      <c r="B1215" s="2">
        <f ca="1">IFERROR(__xludf.DUMMYFUNCTION("""COMPUTED_VALUE"""),33825)</f>
        <v>33825</v>
      </c>
      <c r="C1215" s="2">
        <f ca="1">IFERROR(__xludf.DUMMYFUNCTION("""COMPUTED_VALUE"""),34125)</f>
        <v>34125</v>
      </c>
      <c r="D1215" s="2">
        <f ca="1">IFERROR(__xludf.DUMMYFUNCTION("""COMPUTED_VALUE"""),33550)</f>
        <v>33550</v>
      </c>
      <c r="E1215" s="2">
        <f ca="1">IFERROR(__xludf.DUMMYFUNCTION("""COMPUTED_VALUE"""),33625)</f>
        <v>33625</v>
      </c>
      <c r="F1215" s="2">
        <f ca="1">IFERROR(__xludf.DUMMYFUNCTION("""COMPUTED_VALUE"""),14672400)</f>
        <v>14672400</v>
      </c>
    </row>
    <row r="1216" spans="1:6">
      <c r="A1216" s="5">
        <f ca="1">IFERROR(__xludf.DUMMYFUNCTION("""COMPUTED_VALUE"""),43843.625)</f>
        <v>43843.625</v>
      </c>
      <c r="B1216" s="2">
        <f ca="1">IFERROR(__xludf.DUMMYFUNCTION("""COMPUTED_VALUE"""),33700)</f>
        <v>33700</v>
      </c>
      <c r="C1216" s="2">
        <f ca="1">IFERROR(__xludf.DUMMYFUNCTION("""COMPUTED_VALUE"""),33800)</f>
        <v>33800</v>
      </c>
      <c r="D1216" s="2">
        <f ca="1">IFERROR(__xludf.DUMMYFUNCTION("""COMPUTED_VALUE"""),33675)</f>
        <v>33675</v>
      </c>
      <c r="E1216" s="2">
        <f ca="1">IFERROR(__xludf.DUMMYFUNCTION("""COMPUTED_VALUE"""),33725)</f>
        <v>33725</v>
      </c>
      <c r="F1216" s="2">
        <f ca="1">IFERROR(__xludf.DUMMYFUNCTION("""COMPUTED_VALUE"""),13571000)</f>
        <v>13571000</v>
      </c>
    </row>
    <row r="1217" spans="1:6">
      <c r="A1217" s="5">
        <f ca="1">IFERROR(__xludf.DUMMYFUNCTION("""COMPUTED_VALUE"""),43844.625)</f>
        <v>43844.625</v>
      </c>
      <c r="B1217" s="2">
        <f ca="1">IFERROR(__xludf.DUMMYFUNCTION("""COMPUTED_VALUE"""),33725)</f>
        <v>33725</v>
      </c>
      <c r="C1217" s="2">
        <f ca="1">IFERROR(__xludf.DUMMYFUNCTION("""COMPUTED_VALUE"""),34425)</f>
        <v>34425</v>
      </c>
      <c r="D1217" s="2">
        <f ca="1">IFERROR(__xludf.DUMMYFUNCTION("""COMPUTED_VALUE"""),33700)</f>
        <v>33700</v>
      </c>
      <c r="E1217" s="2">
        <f ca="1">IFERROR(__xludf.DUMMYFUNCTION("""COMPUTED_VALUE"""),34350)</f>
        <v>34350</v>
      </c>
      <c r="F1217" s="2">
        <f ca="1">IFERROR(__xludf.DUMMYFUNCTION("""COMPUTED_VALUE"""),18716400)</f>
        <v>18716400</v>
      </c>
    </row>
    <row r="1218" spans="1:6">
      <c r="A1218" s="5">
        <f ca="1">IFERROR(__xludf.DUMMYFUNCTION("""COMPUTED_VALUE"""),43845.625)</f>
        <v>43845.625</v>
      </c>
      <c r="B1218" s="2">
        <f ca="1">IFERROR(__xludf.DUMMYFUNCTION("""COMPUTED_VALUE"""),34350)</f>
        <v>34350</v>
      </c>
      <c r="C1218" s="2">
        <f ca="1">IFERROR(__xludf.DUMMYFUNCTION("""COMPUTED_VALUE"""),35300)</f>
        <v>35300</v>
      </c>
      <c r="D1218" s="2">
        <f ca="1">IFERROR(__xludf.DUMMYFUNCTION("""COMPUTED_VALUE"""),34000)</f>
        <v>34000</v>
      </c>
      <c r="E1218" s="2">
        <f ca="1">IFERROR(__xludf.DUMMYFUNCTION("""COMPUTED_VALUE"""),34175)</f>
        <v>34175</v>
      </c>
      <c r="F1218" s="2">
        <f ca="1">IFERROR(__xludf.DUMMYFUNCTION("""COMPUTED_VALUE"""),15124700)</f>
        <v>15124700</v>
      </c>
    </row>
    <row r="1219" spans="1:6">
      <c r="A1219" s="5">
        <f ca="1">IFERROR(__xludf.DUMMYFUNCTION("""COMPUTED_VALUE"""),43846.625)</f>
        <v>43846.625</v>
      </c>
      <c r="B1219" s="2">
        <f ca="1">IFERROR(__xludf.DUMMYFUNCTION("""COMPUTED_VALUE"""),34025)</f>
        <v>34025</v>
      </c>
      <c r="C1219" s="2">
        <f ca="1">IFERROR(__xludf.DUMMYFUNCTION("""COMPUTED_VALUE"""),34450)</f>
        <v>34450</v>
      </c>
      <c r="D1219" s="2">
        <f ca="1">IFERROR(__xludf.DUMMYFUNCTION("""COMPUTED_VALUE"""),33975)</f>
        <v>33975</v>
      </c>
      <c r="E1219" s="2">
        <f ca="1">IFERROR(__xludf.DUMMYFUNCTION("""COMPUTED_VALUE"""),34250)</f>
        <v>34250</v>
      </c>
      <c r="F1219" s="2">
        <f ca="1">IFERROR(__xludf.DUMMYFUNCTION("""COMPUTED_VALUE"""),17786300)</f>
        <v>17786300</v>
      </c>
    </row>
    <row r="1220" spans="1:6">
      <c r="A1220" s="5">
        <f ca="1">IFERROR(__xludf.DUMMYFUNCTION("""COMPUTED_VALUE"""),43847.625)</f>
        <v>43847.625</v>
      </c>
      <c r="B1220" s="2">
        <f ca="1">IFERROR(__xludf.DUMMYFUNCTION("""COMPUTED_VALUE"""),34200)</f>
        <v>34200</v>
      </c>
      <c r="C1220" s="2">
        <f ca="1">IFERROR(__xludf.DUMMYFUNCTION("""COMPUTED_VALUE"""),34450)</f>
        <v>34450</v>
      </c>
      <c r="D1220" s="2">
        <f ca="1">IFERROR(__xludf.DUMMYFUNCTION("""COMPUTED_VALUE"""),34000)</f>
        <v>34000</v>
      </c>
      <c r="E1220" s="2">
        <f ca="1">IFERROR(__xludf.DUMMYFUNCTION("""COMPUTED_VALUE"""),34375)</f>
        <v>34375</v>
      </c>
      <c r="F1220" s="2">
        <f ca="1">IFERROR(__xludf.DUMMYFUNCTION("""COMPUTED_VALUE"""),7649900)</f>
        <v>7649900</v>
      </c>
    </row>
    <row r="1221" spans="1:6">
      <c r="A1221" s="5">
        <f ca="1">IFERROR(__xludf.DUMMYFUNCTION("""COMPUTED_VALUE"""),43850.625)</f>
        <v>43850.625</v>
      </c>
      <c r="B1221" s="2">
        <f ca="1">IFERROR(__xludf.DUMMYFUNCTION("""COMPUTED_VALUE"""),34750)</f>
        <v>34750</v>
      </c>
      <c r="C1221" s="2">
        <f ca="1">IFERROR(__xludf.DUMMYFUNCTION("""COMPUTED_VALUE"""),34875)</f>
        <v>34875</v>
      </c>
      <c r="D1221" s="2">
        <f ca="1">IFERROR(__xludf.DUMMYFUNCTION("""COMPUTED_VALUE"""),34150)</f>
        <v>34150</v>
      </c>
      <c r="E1221" s="2">
        <f ca="1">IFERROR(__xludf.DUMMYFUNCTION("""COMPUTED_VALUE"""),34175)</f>
        <v>34175</v>
      </c>
      <c r="F1221" s="2">
        <f ca="1">IFERROR(__xludf.DUMMYFUNCTION("""COMPUTED_VALUE"""),18710900)</f>
        <v>18710900</v>
      </c>
    </row>
    <row r="1222" spans="1:6">
      <c r="A1222" s="5">
        <f ca="1">IFERROR(__xludf.DUMMYFUNCTION("""COMPUTED_VALUE"""),43851.625)</f>
        <v>43851.625</v>
      </c>
      <c r="B1222" s="2">
        <f ca="1">IFERROR(__xludf.DUMMYFUNCTION("""COMPUTED_VALUE"""),34425)</f>
        <v>34425</v>
      </c>
      <c r="C1222" s="2">
        <f ca="1">IFERROR(__xludf.DUMMYFUNCTION("""COMPUTED_VALUE"""),34475)</f>
        <v>34475</v>
      </c>
      <c r="D1222" s="2">
        <f ca="1">IFERROR(__xludf.DUMMYFUNCTION("""COMPUTED_VALUE"""),34125)</f>
        <v>34125</v>
      </c>
      <c r="E1222" s="2">
        <f ca="1">IFERROR(__xludf.DUMMYFUNCTION("""COMPUTED_VALUE"""),34150)</f>
        <v>34150</v>
      </c>
      <c r="F1222" s="2">
        <f ca="1">IFERROR(__xludf.DUMMYFUNCTION("""COMPUTED_VALUE"""),20796900)</f>
        <v>20796900</v>
      </c>
    </row>
    <row r="1223" spans="1:6">
      <c r="A1223" s="5">
        <f ca="1">IFERROR(__xludf.DUMMYFUNCTION("""COMPUTED_VALUE"""),43852.625)</f>
        <v>43852.625</v>
      </c>
      <c r="B1223" s="2">
        <f ca="1">IFERROR(__xludf.DUMMYFUNCTION("""COMPUTED_VALUE"""),34275)</f>
        <v>34275</v>
      </c>
      <c r="C1223" s="2">
        <f ca="1">IFERROR(__xludf.DUMMYFUNCTION("""COMPUTED_VALUE"""),34475)</f>
        <v>34475</v>
      </c>
      <c r="D1223" s="2">
        <f ca="1">IFERROR(__xludf.DUMMYFUNCTION("""COMPUTED_VALUE"""),34175)</f>
        <v>34175</v>
      </c>
      <c r="E1223" s="2">
        <f ca="1">IFERROR(__xludf.DUMMYFUNCTION("""COMPUTED_VALUE"""),34200)</f>
        <v>34200</v>
      </c>
      <c r="F1223" s="2">
        <f ca="1">IFERROR(__xludf.DUMMYFUNCTION("""COMPUTED_VALUE"""),18862300)</f>
        <v>18862300</v>
      </c>
    </row>
    <row r="1224" spans="1:6">
      <c r="A1224" s="5">
        <f ca="1">IFERROR(__xludf.DUMMYFUNCTION("""COMPUTED_VALUE"""),43853.625)</f>
        <v>43853.625</v>
      </c>
      <c r="B1224" s="2">
        <f ca="1">IFERROR(__xludf.DUMMYFUNCTION("""COMPUTED_VALUE"""),34425)</f>
        <v>34425</v>
      </c>
      <c r="C1224" s="2">
        <f ca="1">IFERROR(__xludf.DUMMYFUNCTION("""COMPUTED_VALUE"""),34475)</f>
        <v>34475</v>
      </c>
      <c r="D1224" s="2">
        <f ca="1">IFERROR(__xludf.DUMMYFUNCTION("""COMPUTED_VALUE"""),34150)</f>
        <v>34150</v>
      </c>
      <c r="E1224" s="2">
        <f ca="1">IFERROR(__xludf.DUMMYFUNCTION("""COMPUTED_VALUE"""),34200)</f>
        <v>34200</v>
      </c>
      <c r="F1224" s="2">
        <f ca="1">IFERROR(__xludf.DUMMYFUNCTION("""COMPUTED_VALUE"""),17545600)</f>
        <v>17545600</v>
      </c>
    </row>
    <row r="1225" spans="1:6">
      <c r="A1225" s="5">
        <f ca="1">IFERROR(__xludf.DUMMYFUNCTION("""COMPUTED_VALUE"""),43854.625)</f>
        <v>43854.625</v>
      </c>
      <c r="B1225" s="2">
        <f ca="1">IFERROR(__xludf.DUMMYFUNCTION("""COMPUTED_VALUE"""),34100)</f>
        <v>34100</v>
      </c>
      <c r="C1225" s="2">
        <f ca="1">IFERROR(__xludf.DUMMYFUNCTION("""COMPUTED_VALUE"""),34400)</f>
        <v>34400</v>
      </c>
      <c r="D1225" s="2">
        <f ca="1">IFERROR(__xludf.DUMMYFUNCTION("""COMPUTED_VALUE"""),34050)</f>
        <v>34050</v>
      </c>
      <c r="E1225" s="2">
        <f ca="1">IFERROR(__xludf.DUMMYFUNCTION("""COMPUTED_VALUE"""),34050)</f>
        <v>34050</v>
      </c>
      <c r="F1225" s="2">
        <f ca="1">IFERROR(__xludf.DUMMYFUNCTION("""COMPUTED_VALUE"""),13930700)</f>
        <v>13930700</v>
      </c>
    </row>
    <row r="1226" spans="1:6">
      <c r="A1226" s="5">
        <f ca="1">IFERROR(__xludf.DUMMYFUNCTION("""COMPUTED_VALUE"""),43857.625)</f>
        <v>43857.625</v>
      </c>
      <c r="B1226" s="2">
        <f ca="1">IFERROR(__xludf.DUMMYFUNCTION("""COMPUTED_VALUE"""),34325)</f>
        <v>34325</v>
      </c>
      <c r="C1226" s="2">
        <f ca="1">IFERROR(__xludf.DUMMYFUNCTION("""COMPUTED_VALUE"""),34700)</f>
        <v>34700</v>
      </c>
      <c r="D1226" s="2">
        <f ca="1">IFERROR(__xludf.DUMMYFUNCTION("""COMPUTED_VALUE"""),34075)</f>
        <v>34075</v>
      </c>
      <c r="E1226" s="2">
        <f ca="1">IFERROR(__xludf.DUMMYFUNCTION("""COMPUTED_VALUE"""),34200)</f>
        <v>34200</v>
      </c>
      <c r="F1226" s="2">
        <f ca="1">IFERROR(__xludf.DUMMYFUNCTION("""COMPUTED_VALUE"""),7935800)</f>
        <v>7935800</v>
      </c>
    </row>
    <row r="1227" spans="1:6">
      <c r="A1227" s="5">
        <f ca="1">IFERROR(__xludf.DUMMYFUNCTION("""COMPUTED_VALUE"""),43858.625)</f>
        <v>43858.625</v>
      </c>
      <c r="B1227" s="2">
        <f ca="1">IFERROR(__xludf.DUMMYFUNCTION("""COMPUTED_VALUE"""),34175)</f>
        <v>34175</v>
      </c>
      <c r="C1227" s="2">
        <f ca="1">IFERROR(__xludf.DUMMYFUNCTION("""COMPUTED_VALUE"""),34225)</f>
        <v>34225</v>
      </c>
      <c r="D1227" s="2">
        <f ca="1">IFERROR(__xludf.DUMMYFUNCTION("""COMPUTED_VALUE"""),33775)</f>
        <v>33775</v>
      </c>
      <c r="E1227" s="2">
        <f ca="1">IFERROR(__xludf.DUMMYFUNCTION("""COMPUTED_VALUE"""),33950)</f>
        <v>33950</v>
      </c>
      <c r="F1227" s="2">
        <f ca="1">IFERROR(__xludf.DUMMYFUNCTION("""COMPUTED_VALUE"""),16523000)</f>
        <v>16523000</v>
      </c>
    </row>
    <row r="1228" spans="1:6">
      <c r="A1228" s="5">
        <f ca="1">IFERROR(__xludf.DUMMYFUNCTION("""COMPUTED_VALUE"""),43859.625)</f>
        <v>43859.625</v>
      </c>
      <c r="B1228" s="2">
        <f ca="1">IFERROR(__xludf.DUMMYFUNCTION("""COMPUTED_VALUE"""),34000)</f>
        <v>34000</v>
      </c>
      <c r="C1228" s="2">
        <f ca="1">IFERROR(__xludf.DUMMYFUNCTION("""COMPUTED_VALUE"""),34225)</f>
        <v>34225</v>
      </c>
      <c r="D1228" s="2">
        <f ca="1">IFERROR(__xludf.DUMMYFUNCTION("""COMPUTED_VALUE"""),33850)</f>
        <v>33850</v>
      </c>
      <c r="E1228" s="2">
        <f ca="1">IFERROR(__xludf.DUMMYFUNCTION("""COMPUTED_VALUE"""),33925)</f>
        <v>33925</v>
      </c>
      <c r="F1228" s="2">
        <f ca="1">IFERROR(__xludf.DUMMYFUNCTION("""COMPUTED_VALUE"""),8764200)</f>
        <v>8764200</v>
      </c>
    </row>
    <row r="1229" spans="1:6">
      <c r="A1229" s="5">
        <f ca="1">IFERROR(__xludf.DUMMYFUNCTION("""COMPUTED_VALUE"""),43860.625)</f>
        <v>43860.625</v>
      </c>
      <c r="B1229" s="2">
        <f ca="1">IFERROR(__xludf.DUMMYFUNCTION("""COMPUTED_VALUE"""),34225)</f>
        <v>34225</v>
      </c>
      <c r="C1229" s="2">
        <f ca="1">IFERROR(__xludf.DUMMYFUNCTION("""COMPUTED_VALUE"""),34225)</f>
        <v>34225</v>
      </c>
      <c r="D1229" s="2">
        <f ca="1">IFERROR(__xludf.DUMMYFUNCTION("""COMPUTED_VALUE"""),33650)</f>
        <v>33650</v>
      </c>
      <c r="E1229" s="2">
        <f ca="1">IFERROR(__xludf.DUMMYFUNCTION("""COMPUTED_VALUE"""),33700)</f>
        <v>33700</v>
      </c>
      <c r="F1229" s="2">
        <f ca="1">IFERROR(__xludf.DUMMYFUNCTION("""COMPUTED_VALUE"""),14398000)</f>
        <v>14398000</v>
      </c>
    </row>
    <row r="1230" spans="1:6">
      <c r="A1230" s="5">
        <f ca="1">IFERROR(__xludf.DUMMYFUNCTION("""COMPUTED_VALUE"""),43861.625)</f>
        <v>43861.625</v>
      </c>
      <c r="B1230" s="2">
        <f ca="1">IFERROR(__xludf.DUMMYFUNCTION("""COMPUTED_VALUE"""),34000)</f>
        <v>34000</v>
      </c>
      <c r="C1230" s="2">
        <f ca="1">IFERROR(__xludf.DUMMYFUNCTION("""COMPUTED_VALUE"""),34025)</f>
        <v>34025</v>
      </c>
      <c r="D1230" s="2">
        <f ca="1">IFERROR(__xludf.DUMMYFUNCTION("""COMPUTED_VALUE"""),32400)</f>
        <v>32400</v>
      </c>
      <c r="E1230" s="2">
        <f ca="1">IFERROR(__xludf.DUMMYFUNCTION("""COMPUTED_VALUE"""),32400)</f>
        <v>32400</v>
      </c>
      <c r="F1230" s="2">
        <f ca="1">IFERROR(__xludf.DUMMYFUNCTION("""COMPUTED_VALUE"""),32627300)</f>
        <v>32627300</v>
      </c>
    </row>
    <row r="1231" spans="1:6">
      <c r="A1231" s="5">
        <f ca="1">IFERROR(__xludf.DUMMYFUNCTION("""COMPUTED_VALUE"""),43864.625)</f>
        <v>43864.625</v>
      </c>
      <c r="B1231" s="2">
        <f ca="1">IFERROR(__xludf.DUMMYFUNCTION("""COMPUTED_VALUE"""),32400)</f>
        <v>32400</v>
      </c>
      <c r="C1231" s="2">
        <f ca="1">IFERROR(__xludf.DUMMYFUNCTION("""COMPUTED_VALUE"""),32925)</f>
        <v>32925</v>
      </c>
      <c r="D1231" s="2">
        <f ca="1">IFERROR(__xludf.DUMMYFUNCTION("""COMPUTED_VALUE"""),31850)</f>
        <v>31850</v>
      </c>
      <c r="E1231" s="2">
        <f ca="1">IFERROR(__xludf.DUMMYFUNCTION("""COMPUTED_VALUE"""),32200)</f>
        <v>32200</v>
      </c>
      <c r="F1231" s="2">
        <f ca="1">IFERROR(__xludf.DUMMYFUNCTION("""COMPUTED_VALUE"""),29959400)</f>
        <v>29959400</v>
      </c>
    </row>
    <row r="1232" spans="1:6">
      <c r="A1232" s="5">
        <f ca="1">IFERROR(__xludf.DUMMYFUNCTION("""COMPUTED_VALUE"""),43865.625)</f>
        <v>43865.625</v>
      </c>
      <c r="B1232" s="2">
        <f ca="1">IFERROR(__xludf.DUMMYFUNCTION("""COMPUTED_VALUE"""),32850)</f>
        <v>32850</v>
      </c>
      <c r="C1232" s="2">
        <f ca="1">IFERROR(__xludf.DUMMYFUNCTION("""COMPUTED_VALUE"""),33100)</f>
        <v>33100</v>
      </c>
      <c r="D1232" s="2">
        <f ca="1">IFERROR(__xludf.DUMMYFUNCTION("""COMPUTED_VALUE"""),32600)</f>
        <v>32600</v>
      </c>
      <c r="E1232" s="2">
        <f ca="1">IFERROR(__xludf.DUMMYFUNCTION("""COMPUTED_VALUE"""),33000)</f>
        <v>33000</v>
      </c>
      <c r="F1232" s="2">
        <f ca="1">IFERROR(__xludf.DUMMYFUNCTION("""COMPUTED_VALUE"""),22663300)</f>
        <v>22663300</v>
      </c>
    </row>
    <row r="1233" spans="1:6">
      <c r="A1233" s="5">
        <f ca="1">IFERROR(__xludf.DUMMYFUNCTION("""COMPUTED_VALUE"""),43866.625)</f>
        <v>43866.625</v>
      </c>
      <c r="B1233" s="2">
        <f ca="1">IFERROR(__xludf.DUMMYFUNCTION("""COMPUTED_VALUE"""),33900)</f>
        <v>33900</v>
      </c>
      <c r="C1233" s="2">
        <f ca="1">IFERROR(__xludf.DUMMYFUNCTION("""COMPUTED_VALUE"""),33900)</f>
        <v>33900</v>
      </c>
      <c r="D1233" s="2">
        <f ca="1">IFERROR(__xludf.DUMMYFUNCTION("""COMPUTED_VALUE"""),33250)</f>
        <v>33250</v>
      </c>
      <c r="E1233" s="2">
        <f ca="1">IFERROR(__xludf.DUMMYFUNCTION("""COMPUTED_VALUE"""),33650)</f>
        <v>33650</v>
      </c>
      <c r="F1233" s="2">
        <f ca="1">IFERROR(__xludf.DUMMYFUNCTION("""COMPUTED_VALUE"""),24600500)</f>
        <v>24600500</v>
      </c>
    </row>
    <row r="1234" spans="1:6">
      <c r="A1234" s="5">
        <f ca="1">IFERROR(__xludf.DUMMYFUNCTION("""COMPUTED_VALUE"""),43867.625)</f>
        <v>43867.625</v>
      </c>
      <c r="B1234" s="2">
        <f ca="1">IFERROR(__xludf.DUMMYFUNCTION("""COMPUTED_VALUE"""),33700)</f>
        <v>33700</v>
      </c>
      <c r="C1234" s="2">
        <f ca="1">IFERROR(__xludf.DUMMYFUNCTION("""COMPUTED_VALUE"""),33900)</f>
        <v>33900</v>
      </c>
      <c r="D1234" s="2">
        <f ca="1">IFERROR(__xludf.DUMMYFUNCTION("""COMPUTED_VALUE"""),33400)</f>
        <v>33400</v>
      </c>
      <c r="E1234" s="2">
        <f ca="1">IFERROR(__xludf.DUMMYFUNCTION("""COMPUTED_VALUE"""),33700)</f>
        <v>33700</v>
      </c>
      <c r="F1234" s="2">
        <f ca="1">IFERROR(__xludf.DUMMYFUNCTION("""COMPUTED_VALUE"""),30938700)</f>
        <v>30938700</v>
      </c>
    </row>
    <row r="1235" spans="1:6">
      <c r="A1235" s="5">
        <f ca="1">IFERROR(__xludf.DUMMYFUNCTION("""COMPUTED_VALUE"""),43868.625)</f>
        <v>43868.625</v>
      </c>
      <c r="B1235" s="2">
        <f ca="1">IFERROR(__xludf.DUMMYFUNCTION("""COMPUTED_VALUE"""),33550)</f>
        <v>33550</v>
      </c>
      <c r="C1235" s="2">
        <f ca="1">IFERROR(__xludf.DUMMYFUNCTION("""COMPUTED_VALUE"""),33900)</f>
        <v>33900</v>
      </c>
      <c r="D1235" s="2">
        <f ca="1">IFERROR(__xludf.DUMMYFUNCTION("""COMPUTED_VALUE"""),33525)</f>
        <v>33525</v>
      </c>
      <c r="E1235" s="2">
        <f ca="1">IFERROR(__xludf.DUMMYFUNCTION("""COMPUTED_VALUE"""),33800)</f>
        <v>33800</v>
      </c>
      <c r="F1235" s="2">
        <f ca="1">IFERROR(__xludf.DUMMYFUNCTION("""COMPUTED_VALUE"""),16521800)</f>
        <v>16521800</v>
      </c>
    </row>
    <row r="1236" spans="1:6">
      <c r="A1236" s="5">
        <f ca="1">IFERROR(__xludf.DUMMYFUNCTION("""COMPUTED_VALUE"""),43871.625)</f>
        <v>43871.625</v>
      </c>
      <c r="B1236" s="2">
        <f ca="1">IFERROR(__xludf.DUMMYFUNCTION("""COMPUTED_VALUE"""),33800)</f>
        <v>33800</v>
      </c>
      <c r="C1236" s="2">
        <f ca="1">IFERROR(__xludf.DUMMYFUNCTION("""COMPUTED_VALUE"""),33925)</f>
        <v>33925</v>
      </c>
      <c r="D1236" s="2">
        <f ca="1">IFERROR(__xludf.DUMMYFUNCTION("""COMPUTED_VALUE"""),33150)</f>
        <v>33150</v>
      </c>
      <c r="E1236" s="2">
        <f ca="1">IFERROR(__xludf.DUMMYFUNCTION("""COMPUTED_VALUE"""),33925)</f>
        <v>33925</v>
      </c>
      <c r="F1236" s="2">
        <f ca="1">IFERROR(__xludf.DUMMYFUNCTION("""COMPUTED_VALUE"""),13315700)</f>
        <v>13315700</v>
      </c>
    </row>
    <row r="1237" spans="1:6">
      <c r="A1237" s="5">
        <f ca="1">IFERROR(__xludf.DUMMYFUNCTION("""COMPUTED_VALUE"""),43872.625)</f>
        <v>43872.625</v>
      </c>
      <c r="B1237" s="2">
        <f ca="1">IFERROR(__xludf.DUMMYFUNCTION("""COMPUTED_VALUE"""),33925)</f>
        <v>33925</v>
      </c>
      <c r="C1237" s="2">
        <f ca="1">IFERROR(__xludf.DUMMYFUNCTION("""COMPUTED_VALUE"""),33925)</f>
        <v>33925</v>
      </c>
      <c r="D1237" s="2">
        <f ca="1">IFERROR(__xludf.DUMMYFUNCTION("""COMPUTED_VALUE"""),33725)</f>
        <v>33725</v>
      </c>
      <c r="E1237" s="2">
        <f ca="1">IFERROR(__xludf.DUMMYFUNCTION("""COMPUTED_VALUE"""),33900)</f>
        <v>33900</v>
      </c>
      <c r="F1237" s="2">
        <f ca="1">IFERROR(__xludf.DUMMYFUNCTION("""COMPUTED_VALUE"""),15505300)</f>
        <v>15505300</v>
      </c>
    </row>
    <row r="1238" spans="1:6">
      <c r="A1238" s="5">
        <f ca="1">IFERROR(__xludf.DUMMYFUNCTION("""COMPUTED_VALUE"""),43873.625)</f>
        <v>43873.625</v>
      </c>
      <c r="B1238" s="2">
        <f ca="1">IFERROR(__xludf.DUMMYFUNCTION("""COMPUTED_VALUE"""),34000)</f>
        <v>34000</v>
      </c>
      <c r="C1238" s="2">
        <f ca="1">IFERROR(__xludf.DUMMYFUNCTION("""COMPUTED_VALUE"""),34000)</f>
        <v>34000</v>
      </c>
      <c r="D1238" s="2">
        <f ca="1">IFERROR(__xludf.DUMMYFUNCTION("""COMPUTED_VALUE"""),33800)</f>
        <v>33800</v>
      </c>
      <c r="E1238" s="2">
        <f ca="1">IFERROR(__xludf.DUMMYFUNCTION("""COMPUTED_VALUE"""),34000)</f>
        <v>34000</v>
      </c>
      <c r="F1238" s="2">
        <f ca="1">IFERROR(__xludf.DUMMYFUNCTION("""COMPUTED_VALUE"""),13994300)</f>
        <v>13994300</v>
      </c>
    </row>
    <row r="1239" spans="1:6">
      <c r="A1239" s="5">
        <f ca="1">IFERROR(__xludf.DUMMYFUNCTION("""COMPUTED_VALUE"""),43874.625)</f>
        <v>43874.625</v>
      </c>
      <c r="B1239" s="2">
        <f ca="1">IFERROR(__xludf.DUMMYFUNCTION("""COMPUTED_VALUE"""),34100)</f>
        <v>34100</v>
      </c>
      <c r="C1239" s="2">
        <f ca="1">IFERROR(__xludf.DUMMYFUNCTION("""COMPUTED_VALUE"""),34100)</f>
        <v>34100</v>
      </c>
      <c r="D1239" s="2">
        <f ca="1">IFERROR(__xludf.DUMMYFUNCTION("""COMPUTED_VALUE"""),33700)</f>
        <v>33700</v>
      </c>
      <c r="E1239" s="2">
        <f ca="1">IFERROR(__xludf.DUMMYFUNCTION("""COMPUTED_VALUE"""),33950)</f>
        <v>33950</v>
      </c>
      <c r="F1239" s="2">
        <f ca="1">IFERROR(__xludf.DUMMYFUNCTION("""COMPUTED_VALUE"""),9947400)</f>
        <v>9947400</v>
      </c>
    </row>
    <row r="1240" spans="1:6">
      <c r="A1240" s="5">
        <f ca="1">IFERROR(__xludf.DUMMYFUNCTION("""COMPUTED_VALUE"""),43875.625)</f>
        <v>43875.625</v>
      </c>
      <c r="B1240" s="2">
        <f ca="1">IFERROR(__xludf.DUMMYFUNCTION("""COMPUTED_VALUE"""),33900)</f>
        <v>33900</v>
      </c>
      <c r="C1240" s="2">
        <f ca="1">IFERROR(__xludf.DUMMYFUNCTION("""COMPUTED_VALUE"""),33975)</f>
        <v>33975</v>
      </c>
      <c r="D1240" s="2">
        <f ca="1">IFERROR(__xludf.DUMMYFUNCTION("""COMPUTED_VALUE"""),33375)</f>
        <v>33375</v>
      </c>
      <c r="E1240" s="2">
        <f ca="1">IFERROR(__xludf.DUMMYFUNCTION("""COMPUTED_VALUE"""),33400)</f>
        <v>33400</v>
      </c>
      <c r="F1240" s="2">
        <f ca="1">IFERROR(__xludf.DUMMYFUNCTION("""COMPUTED_VALUE"""),29405700)</f>
        <v>29405700</v>
      </c>
    </row>
    <row r="1241" spans="1:6">
      <c r="A1241" s="5">
        <f ca="1">IFERROR(__xludf.DUMMYFUNCTION("""COMPUTED_VALUE"""),43878.625)</f>
        <v>43878.625</v>
      </c>
      <c r="B1241" s="2">
        <f ca="1">IFERROR(__xludf.DUMMYFUNCTION("""COMPUTED_VALUE"""),33400)</f>
        <v>33400</v>
      </c>
      <c r="C1241" s="2">
        <f ca="1">IFERROR(__xludf.DUMMYFUNCTION("""COMPUTED_VALUE"""),33750)</f>
        <v>33750</v>
      </c>
      <c r="D1241" s="2">
        <f ca="1">IFERROR(__xludf.DUMMYFUNCTION("""COMPUTED_VALUE"""),33400)</f>
        <v>33400</v>
      </c>
      <c r="E1241" s="2">
        <f ca="1">IFERROR(__xludf.DUMMYFUNCTION("""COMPUTED_VALUE"""),33600)</f>
        <v>33600</v>
      </c>
      <c r="F1241" s="2">
        <f ca="1">IFERROR(__xludf.DUMMYFUNCTION("""COMPUTED_VALUE"""),23063800)</f>
        <v>23063800</v>
      </c>
    </row>
    <row r="1242" spans="1:6">
      <c r="A1242" s="5">
        <f ca="1">IFERROR(__xludf.DUMMYFUNCTION("""COMPUTED_VALUE"""),43879.625)</f>
        <v>43879.625</v>
      </c>
      <c r="B1242" s="2">
        <f ca="1">IFERROR(__xludf.DUMMYFUNCTION("""COMPUTED_VALUE"""),33425)</f>
        <v>33425</v>
      </c>
      <c r="C1242" s="2">
        <f ca="1">IFERROR(__xludf.DUMMYFUNCTION("""COMPUTED_VALUE"""),33600)</f>
        <v>33600</v>
      </c>
      <c r="D1242" s="2">
        <f ca="1">IFERROR(__xludf.DUMMYFUNCTION("""COMPUTED_VALUE"""),33350)</f>
        <v>33350</v>
      </c>
      <c r="E1242" s="2">
        <f ca="1">IFERROR(__xludf.DUMMYFUNCTION("""COMPUTED_VALUE"""),33475)</f>
        <v>33475</v>
      </c>
      <c r="F1242" s="2">
        <f ca="1">IFERROR(__xludf.DUMMYFUNCTION("""COMPUTED_VALUE"""),19687300)</f>
        <v>19687300</v>
      </c>
    </row>
    <row r="1243" spans="1:6">
      <c r="A1243" s="5">
        <f ca="1">IFERROR(__xludf.DUMMYFUNCTION("""COMPUTED_VALUE"""),43880.625)</f>
        <v>43880.625</v>
      </c>
      <c r="B1243" s="2">
        <f ca="1">IFERROR(__xludf.DUMMYFUNCTION("""COMPUTED_VALUE"""),33325)</f>
        <v>33325</v>
      </c>
      <c r="C1243" s="2">
        <f ca="1">IFERROR(__xludf.DUMMYFUNCTION("""COMPUTED_VALUE"""),33800)</f>
        <v>33800</v>
      </c>
      <c r="D1243" s="2">
        <f ca="1">IFERROR(__xludf.DUMMYFUNCTION("""COMPUTED_VALUE"""),33325)</f>
        <v>33325</v>
      </c>
      <c r="E1243" s="2">
        <f ca="1">IFERROR(__xludf.DUMMYFUNCTION("""COMPUTED_VALUE"""),33475)</f>
        <v>33475</v>
      </c>
      <c r="F1243" s="2">
        <f ca="1">IFERROR(__xludf.DUMMYFUNCTION("""COMPUTED_VALUE"""),14918800)</f>
        <v>14918800</v>
      </c>
    </row>
    <row r="1244" spans="1:6">
      <c r="A1244" s="5">
        <f ca="1">IFERROR(__xludf.DUMMYFUNCTION("""COMPUTED_VALUE"""),43881.625)</f>
        <v>43881.625</v>
      </c>
      <c r="B1244" s="2">
        <f ca="1">IFERROR(__xludf.DUMMYFUNCTION("""COMPUTED_VALUE"""),33450)</f>
        <v>33450</v>
      </c>
      <c r="C1244" s="2">
        <f ca="1">IFERROR(__xludf.DUMMYFUNCTION("""COMPUTED_VALUE"""),33475)</f>
        <v>33475</v>
      </c>
      <c r="D1244" s="2">
        <f ca="1">IFERROR(__xludf.DUMMYFUNCTION("""COMPUTED_VALUE"""),32825)</f>
        <v>32825</v>
      </c>
      <c r="E1244" s="2">
        <f ca="1">IFERROR(__xludf.DUMMYFUNCTION("""COMPUTED_VALUE"""),32975)</f>
        <v>32975</v>
      </c>
      <c r="F1244" s="2">
        <f ca="1">IFERROR(__xludf.DUMMYFUNCTION("""COMPUTED_VALUE"""),27344900)</f>
        <v>27344900</v>
      </c>
    </row>
    <row r="1245" spans="1:6">
      <c r="A1245" s="5">
        <f ca="1">IFERROR(__xludf.DUMMYFUNCTION("""COMPUTED_VALUE"""),43882.625)</f>
        <v>43882.625</v>
      </c>
      <c r="B1245" s="2">
        <f ca="1">IFERROR(__xludf.DUMMYFUNCTION("""COMPUTED_VALUE"""),33000)</f>
        <v>33000</v>
      </c>
      <c r="C1245" s="2">
        <f ca="1">IFERROR(__xludf.DUMMYFUNCTION("""COMPUTED_VALUE"""),33300)</f>
        <v>33300</v>
      </c>
      <c r="D1245" s="2">
        <f ca="1">IFERROR(__xludf.DUMMYFUNCTION("""COMPUTED_VALUE"""),32975)</f>
        <v>32975</v>
      </c>
      <c r="E1245" s="2">
        <f ca="1">IFERROR(__xludf.DUMMYFUNCTION("""COMPUTED_VALUE"""),33075)</f>
        <v>33075</v>
      </c>
      <c r="F1245" s="2">
        <f ca="1">IFERROR(__xludf.DUMMYFUNCTION("""COMPUTED_VALUE"""),19652200)</f>
        <v>19652200</v>
      </c>
    </row>
    <row r="1246" spans="1:6">
      <c r="A1246" s="5">
        <f ca="1">IFERROR(__xludf.DUMMYFUNCTION("""COMPUTED_VALUE"""),43885.625)</f>
        <v>43885.625</v>
      </c>
      <c r="B1246" s="2">
        <f ca="1">IFERROR(__xludf.DUMMYFUNCTION("""COMPUTED_VALUE"""),32825)</f>
        <v>32825</v>
      </c>
      <c r="C1246" s="2">
        <f ca="1">IFERROR(__xludf.DUMMYFUNCTION("""COMPUTED_VALUE"""),33000)</f>
        <v>33000</v>
      </c>
      <c r="D1246" s="2">
        <f ca="1">IFERROR(__xludf.DUMMYFUNCTION("""COMPUTED_VALUE"""),32550)</f>
        <v>32550</v>
      </c>
      <c r="E1246" s="2">
        <f ca="1">IFERROR(__xludf.DUMMYFUNCTION("""COMPUTED_VALUE"""),32625)</f>
        <v>32625</v>
      </c>
      <c r="F1246" s="2">
        <f ca="1">IFERROR(__xludf.DUMMYFUNCTION("""COMPUTED_VALUE"""),16982000)</f>
        <v>16982000</v>
      </c>
    </row>
    <row r="1247" spans="1:6">
      <c r="A1247" s="5">
        <f ca="1">IFERROR(__xludf.DUMMYFUNCTION("""COMPUTED_VALUE"""),43886.625)</f>
        <v>43886.625</v>
      </c>
      <c r="B1247" s="2">
        <f ca="1">IFERROR(__xludf.DUMMYFUNCTION("""COMPUTED_VALUE"""),32750)</f>
        <v>32750</v>
      </c>
      <c r="C1247" s="2">
        <f ca="1">IFERROR(__xludf.DUMMYFUNCTION("""COMPUTED_VALUE"""),32800)</f>
        <v>32800</v>
      </c>
      <c r="D1247" s="2">
        <f ca="1">IFERROR(__xludf.DUMMYFUNCTION("""COMPUTED_VALUE"""),32550)</f>
        <v>32550</v>
      </c>
      <c r="E1247" s="2">
        <f ca="1">IFERROR(__xludf.DUMMYFUNCTION("""COMPUTED_VALUE"""),32650)</f>
        <v>32650</v>
      </c>
      <c r="F1247" s="2">
        <f ca="1">IFERROR(__xludf.DUMMYFUNCTION("""COMPUTED_VALUE"""),17289300)</f>
        <v>17289300</v>
      </c>
    </row>
    <row r="1248" spans="1:6">
      <c r="A1248" s="5">
        <f ca="1">IFERROR(__xludf.DUMMYFUNCTION("""COMPUTED_VALUE"""),43887.625)</f>
        <v>43887.625</v>
      </c>
      <c r="B1248" s="2">
        <f ca="1">IFERROR(__xludf.DUMMYFUNCTION("""COMPUTED_VALUE"""),32500)</f>
        <v>32500</v>
      </c>
      <c r="C1248" s="2">
        <f ca="1">IFERROR(__xludf.DUMMYFUNCTION("""COMPUTED_VALUE"""),32675)</f>
        <v>32675</v>
      </c>
      <c r="D1248" s="2">
        <f ca="1">IFERROR(__xludf.DUMMYFUNCTION("""COMPUTED_VALUE"""),32100)</f>
        <v>32100</v>
      </c>
      <c r="E1248" s="2">
        <f ca="1">IFERROR(__xludf.DUMMYFUNCTION("""COMPUTED_VALUE"""),32100)</f>
        <v>32100</v>
      </c>
      <c r="F1248" s="2">
        <f ca="1">IFERROR(__xludf.DUMMYFUNCTION("""COMPUTED_VALUE"""),18564900)</f>
        <v>18564900</v>
      </c>
    </row>
    <row r="1249" spans="1:6">
      <c r="A1249" s="5">
        <f ca="1">IFERROR(__xludf.DUMMYFUNCTION("""COMPUTED_VALUE"""),43888.625)</f>
        <v>43888.625</v>
      </c>
      <c r="B1249" s="2">
        <f ca="1">IFERROR(__xludf.DUMMYFUNCTION("""COMPUTED_VALUE"""),32350)</f>
        <v>32350</v>
      </c>
      <c r="C1249" s="2">
        <f ca="1">IFERROR(__xludf.DUMMYFUNCTION("""COMPUTED_VALUE"""),32375)</f>
        <v>32375</v>
      </c>
      <c r="D1249" s="2">
        <f ca="1">IFERROR(__xludf.DUMMYFUNCTION("""COMPUTED_VALUE"""),31000)</f>
        <v>31000</v>
      </c>
      <c r="E1249" s="2">
        <f ca="1">IFERROR(__xludf.DUMMYFUNCTION("""COMPUTED_VALUE"""),31450)</f>
        <v>31450</v>
      </c>
      <c r="F1249" s="2">
        <f ca="1">IFERROR(__xludf.DUMMYFUNCTION("""COMPUTED_VALUE"""),25850900)</f>
        <v>25850900</v>
      </c>
    </row>
    <row r="1250" spans="1:6">
      <c r="A1250" s="5">
        <f ca="1">IFERROR(__xludf.DUMMYFUNCTION("""COMPUTED_VALUE"""),43889.625)</f>
        <v>43889.625</v>
      </c>
      <c r="B1250" s="2">
        <f ca="1">IFERROR(__xludf.DUMMYFUNCTION("""COMPUTED_VALUE"""),31000)</f>
        <v>31000</v>
      </c>
      <c r="C1250" s="2">
        <f ca="1">IFERROR(__xludf.DUMMYFUNCTION("""COMPUTED_VALUE"""),31450)</f>
        <v>31450</v>
      </c>
      <c r="D1250" s="2">
        <f ca="1">IFERROR(__xludf.DUMMYFUNCTION("""COMPUTED_VALUE"""),30175)</f>
        <v>30175</v>
      </c>
      <c r="E1250" s="2">
        <f ca="1">IFERROR(__xludf.DUMMYFUNCTION("""COMPUTED_VALUE"""),31450)</f>
        <v>31450</v>
      </c>
      <c r="F1250" s="2">
        <f ca="1">IFERROR(__xludf.DUMMYFUNCTION("""COMPUTED_VALUE"""),33989300)</f>
        <v>33989300</v>
      </c>
    </row>
    <row r="1251" spans="1:6">
      <c r="A1251" s="5">
        <f ca="1">IFERROR(__xludf.DUMMYFUNCTION("""COMPUTED_VALUE"""),43892.625)</f>
        <v>43892.625</v>
      </c>
      <c r="B1251" s="2">
        <f ca="1">IFERROR(__xludf.DUMMYFUNCTION("""COMPUTED_VALUE"""),31450)</f>
        <v>31450</v>
      </c>
      <c r="C1251" s="2">
        <f ca="1">IFERROR(__xludf.DUMMYFUNCTION("""COMPUTED_VALUE"""),31450)</f>
        <v>31450</v>
      </c>
      <c r="D1251" s="2">
        <f ca="1">IFERROR(__xludf.DUMMYFUNCTION("""COMPUTED_VALUE"""),30175)</f>
        <v>30175</v>
      </c>
      <c r="E1251" s="2">
        <f ca="1">IFERROR(__xludf.DUMMYFUNCTION("""COMPUTED_VALUE"""),30400)</f>
        <v>30400</v>
      </c>
      <c r="F1251" s="2">
        <f ca="1">IFERROR(__xludf.DUMMYFUNCTION("""COMPUTED_VALUE"""),28974300)</f>
        <v>28974300</v>
      </c>
    </row>
    <row r="1252" spans="1:6">
      <c r="A1252" s="5">
        <f ca="1">IFERROR(__xludf.DUMMYFUNCTION("""COMPUTED_VALUE"""),43893.625)</f>
        <v>43893.625</v>
      </c>
      <c r="B1252" s="2">
        <f ca="1">IFERROR(__xludf.DUMMYFUNCTION("""COMPUTED_VALUE"""),31000)</f>
        <v>31000</v>
      </c>
      <c r="C1252" s="2">
        <f ca="1">IFERROR(__xludf.DUMMYFUNCTION("""COMPUTED_VALUE"""),31750)</f>
        <v>31750</v>
      </c>
      <c r="D1252" s="2">
        <f ca="1">IFERROR(__xludf.DUMMYFUNCTION("""COMPUTED_VALUE"""),31000)</f>
        <v>31000</v>
      </c>
      <c r="E1252" s="2">
        <f ca="1">IFERROR(__xludf.DUMMYFUNCTION("""COMPUTED_VALUE"""),31600)</f>
        <v>31600</v>
      </c>
      <c r="F1252" s="2">
        <f ca="1">IFERROR(__xludf.DUMMYFUNCTION("""COMPUTED_VALUE"""),22932700)</f>
        <v>22932700</v>
      </c>
    </row>
    <row r="1253" spans="1:6">
      <c r="A1253" s="5">
        <f ca="1">IFERROR(__xludf.DUMMYFUNCTION("""COMPUTED_VALUE"""),43894.625)</f>
        <v>43894.625</v>
      </c>
      <c r="B1253" s="2">
        <f ca="1">IFERROR(__xludf.DUMMYFUNCTION("""COMPUTED_VALUE"""),31575)</f>
        <v>31575</v>
      </c>
      <c r="C1253" s="2">
        <f ca="1">IFERROR(__xludf.DUMMYFUNCTION("""COMPUTED_VALUE"""),32500)</f>
        <v>32500</v>
      </c>
      <c r="D1253" s="2">
        <f ca="1">IFERROR(__xludf.DUMMYFUNCTION("""COMPUTED_VALUE"""),31300)</f>
        <v>31300</v>
      </c>
      <c r="E1253" s="2">
        <f ca="1">IFERROR(__xludf.DUMMYFUNCTION("""COMPUTED_VALUE"""),32200)</f>
        <v>32200</v>
      </c>
      <c r="F1253" s="2">
        <f ca="1">IFERROR(__xludf.DUMMYFUNCTION("""COMPUTED_VALUE"""),16605000)</f>
        <v>16605000</v>
      </c>
    </row>
    <row r="1254" spans="1:6">
      <c r="A1254" s="5">
        <f ca="1">IFERROR(__xludf.DUMMYFUNCTION("""COMPUTED_VALUE"""),43895.625)</f>
        <v>43895.625</v>
      </c>
      <c r="B1254" s="2">
        <f ca="1">IFERROR(__xludf.DUMMYFUNCTION("""COMPUTED_VALUE"""),32700)</f>
        <v>32700</v>
      </c>
      <c r="C1254" s="2">
        <f ca="1">IFERROR(__xludf.DUMMYFUNCTION("""COMPUTED_VALUE"""),32700)</f>
        <v>32700</v>
      </c>
      <c r="D1254" s="2">
        <f ca="1">IFERROR(__xludf.DUMMYFUNCTION("""COMPUTED_VALUE"""),31700)</f>
        <v>31700</v>
      </c>
      <c r="E1254" s="2">
        <f ca="1">IFERROR(__xludf.DUMMYFUNCTION("""COMPUTED_VALUE"""),32175)</f>
        <v>32175</v>
      </c>
      <c r="F1254" s="2">
        <f ca="1">IFERROR(__xludf.DUMMYFUNCTION("""COMPUTED_VALUE"""),15516600)</f>
        <v>15516600</v>
      </c>
    </row>
    <row r="1255" spans="1:6">
      <c r="A1255" s="5">
        <f ca="1">IFERROR(__xludf.DUMMYFUNCTION("""COMPUTED_VALUE"""),43896.625)</f>
        <v>43896.625</v>
      </c>
      <c r="B1255" s="2">
        <f ca="1">IFERROR(__xludf.DUMMYFUNCTION("""COMPUTED_VALUE"""),31750)</f>
        <v>31750</v>
      </c>
      <c r="C1255" s="2">
        <f ca="1">IFERROR(__xludf.DUMMYFUNCTION("""COMPUTED_VALUE"""),31750)</f>
        <v>31750</v>
      </c>
      <c r="D1255" s="2">
        <f ca="1">IFERROR(__xludf.DUMMYFUNCTION("""COMPUTED_VALUE"""),31000)</f>
        <v>31000</v>
      </c>
      <c r="E1255" s="2">
        <f ca="1">IFERROR(__xludf.DUMMYFUNCTION("""COMPUTED_VALUE"""),31000)</f>
        <v>31000</v>
      </c>
      <c r="F1255" s="2">
        <f ca="1">IFERROR(__xludf.DUMMYFUNCTION("""COMPUTED_VALUE"""),15567100)</f>
        <v>15567100</v>
      </c>
    </row>
    <row r="1256" spans="1:6">
      <c r="A1256" s="5">
        <f ca="1">IFERROR(__xludf.DUMMYFUNCTION("""COMPUTED_VALUE"""),43899.625)</f>
        <v>43899.625</v>
      </c>
      <c r="B1256" s="2">
        <f ca="1">IFERROR(__xludf.DUMMYFUNCTION("""COMPUTED_VALUE"""),30000)</f>
        <v>30000</v>
      </c>
      <c r="C1256" s="2">
        <f ca="1">IFERROR(__xludf.DUMMYFUNCTION("""COMPUTED_VALUE"""),30200)</f>
        <v>30200</v>
      </c>
      <c r="D1256" s="2">
        <f ca="1">IFERROR(__xludf.DUMMYFUNCTION("""COMPUTED_VALUE"""),28925)</f>
        <v>28925</v>
      </c>
      <c r="E1256" s="2">
        <f ca="1">IFERROR(__xludf.DUMMYFUNCTION("""COMPUTED_VALUE"""),28925)</f>
        <v>28925</v>
      </c>
      <c r="F1256" s="2">
        <f ca="1">IFERROR(__xludf.DUMMYFUNCTION("""COMPUTED_VALUE"""),28177900)</f>
        <v>28177900</v>
      </c>
    </row>
    <row r="1257" spans="1:6">
      <c r="A1257" s="5">
        <f ca="1">IFERROR(__xludf.DUMMYFUNCTION("""COMPUTED_VALUE"""),43900.625)</f>
        <v>43900.625</v>
      </c>
      <c r="B1257" s="2">
        <f ca="1">IFERROR(__xludf.DUMMYFUNCTION("""COMPUTED_VALUE"""),29200)</f>
        <v>29200</v>
      </c>
      <c r="C1257" s="2">
        <f ca="1">IFERROR(__xludf.DUMMYFUNCTION("""COMPUTED_VALUE"""),30050)</f>
        <v>30050</v>
      </c>
      <c r="D1257" s="2">
        <f ca="1">IFERROR(__xludf.DUMMYFUNCTION("""COMPUTED_VALUE"""),29200)</f>
        <v>29200</v>
      </c>
      <c r="E1257" s="2">
        <f ca="1">IFERROR(__xludf.DUMMYFUNCTION("""COMPUTED_VALUE"""),29625)</f>
        <v>29625</v>
      </c>
      <c r="F1257" s="2">
        <f ca="1">IFERROR(__xludf.DUMMYFUNCTION("""COMPUTED_VALUE"""),26733400)</f>
        <v>26733400</v>
      </c>
    </row>
    <row r="1258" spans="1:6">
      <c r="A1258" s="5">
        <f ca="1">IFERROR(__xludf.DUMMYFUNCTION("""COMPUTED_VALUE"""),43901.625)</f>
        <v>43901.625</v>
      </c>
      <c r="B1258" s="2">
        <f ca="1">IFERROR(__xludf.DUMMYFUNCTION("""COMPUTED_VALUE"""),29750)</f>
        <v>29750</v>
      </c>
      <c r="C1258" s="2">
        <f ca="1">IFERROR(__xludf.DUMMYFUNCTION("""COMPUTED_VALUE"""),29900)</f>
        <v>29900</v>
      </c>
      <c r="D1258" s="2">
        <f ca="1">IFERROR(__xludf.DUMMYFUNCTION("""COMPUTED_VALUE"""),28950)</f>
        <v>28950</v>
      </c>
      <c r="E1258" s="2">
        <f ca="1">IFERROR(__xludf.DUMMYFUNCTION("""COMPUTED_VALUE"""),29250)</f>
        <v>29250</v>
      </c>
      <c r="F1258" s="2">
        <f ca="1">IFERROR(__xludf.DUMMYFUNCTION("""COMPUTED_VALUE"""),18640900)</f>
        <v>18640900</v>
      </c>
    </row>
    <row r="1259" spans="1:6">
      <c r="A1259" s="5">
        <f ca="1">IFERROR(__xludf.DUMMYFUNCTION("""COMPUTED_VALUE"""),43902.625)</f>
        <v>43902.625</v>
      </c>
      <c r="B1259" s="2">
        <f ca="1">IFERROR(__xludf.DUMMYFUNCTION("""COMPUTED_VALUE"""),28000)</f>
        <v>28000</v>
      </c>
      <c r="C1259" s="2">
        <f ca="1">IFERROR(__xludf.DUMMYFUNCTION("""COMPUTED_VALUE"""),28200)</f>
        <v>28200</v>
      </c>
      <c r="D1259" s="2">
        <f ca="1">IFERROR(__xludf.DUMMYFUNCTION("""COMPUTED_VALUE"""),27300)</f>
        <v>27300</v>
      </c>
      <c r="E1259" s="2">
        <f ca="1">IFERROR(__xludf.DUMMYFUNCTION("""COMPUTED_VALUE"""),27800)</f>
        <v>27800</v>
      </c>
      <c r="F1259" s="2">
        <f ca="1">IFERROR(__xludf.DUMMYFUNCTION("""COMPUTED_VALUE"""),25969100)</f>
        <v>25969100</v>
      </c>
    </row>
    <row r="1260" spans="1:6">
      <c r="A1260" s="5">
        <f ca="1">IFERROR(__xludf.DUMMYFUNCTION("""COMPUTED_VALUE"""),43903.625)</f>
        <v>43903.625</v>
      </c>
      <c r="B1260" s="2">
        <f ca="1">IFERROR(__xludf.DUMMYFUNCTION("""COMPUTED_VALUE"""),27800)</f>
        <v>27800</v>
      </c>
      <c r="C1260" s="2">
        <f ca="1">IFERROR(__xludf.DUMMYFUNCTION("""COMPUTED_VALUE"""),28750)</f>
        <v>28750</v>
      </c>
      <c r="D1260" s="2">
        <f ca="1">IFERROR(__xludf.DUMMYFUNCTION("""COMPUTED_VALUE"""),25875)</f>
        <v>25875</v>
      </c>
      <c r="E1260" s="2">
        <f ca="1">IFERROR(__xludf.DUMMYFUNCTION("""COMPUTED_VALUE"""),28300)</f>
        <v>28300</v>
      </c>
      <c r="F1260" s="2">
        <f ca="1">IFERROR(__xludf.DUMMYFUNCTION("""COMPUTED_VALUE"""),42338000)</f>
        <v>42338000</v>
      </c>
    </row>
    <row r="1261" spans="1:6">
      <c r="A1261" s="5">
        <f ca="1">IFERROR(__xludf.DUMMYFUNCTION("""COMPUTED_VALUE"""),43906.625)</f>
        <v>43906.625</v>
      </c>
      <c r="B1261" s="2">
        <f ca="1">IFERROR(__xludf.DUMMYFUNCTION("""COMPUTED_VALUE"""),28300)</f>
        <v>28300</v>
      </c>
      <c r="C1261" s="2">
        <f ca="1">IFERROR(__xludf.DUMMYFUNCTION("""COMPUTED_VALUE"""),28300)</f>
        <v>28300</v>
      </c>
      <c r="D1261" s="2">
        <f ca="1">IFERROR(__xludf.DUMMYFUNCTION("""COMPUTED_VALUE"""),26575)</f>
        <v>26575</v>
      </c>
      <c r="E1261" s="2">
        <f ca="1">IFERROR(__xludf.DUMMYFUNCTION("""COMPUTED_VALUE"""),27525)</f>
        <v>27525</v>
      </c>
      <c r="F1261" s="2">
        <f ca="1">IFERROR(__xludf.DUMMYFUNCTION("""COMPUTED_VALUE"""),30109700)</f>
        <v>30109700</v>
      </c>
    </row>
    <row r="1262" spans="1:6">
      <c r="A1262" s="5">
        <f ca="1">IFERROR(__xludf.DUMMYFUNCTION("""COMPUTED_VALUE"""),43907.625)</f>
        <v>43907.625</v>
      </c>
      <c r="B1262" s="2">
        <f ca="1">IFERROR(__xludf.DUMMYFUNCTION("""COMPUTED_VALUE"""),27475)</f>
        <v>27475</v>
      </c>
      <c r="C1262" s="2">
        <f ca="1">IFERROR(__xludf.DUMMYFUNCTION("""COMPUTED_VALUE"""),27525)</f>
        <v>27525</v>
      </c>
      <c r="D1262" s="2">
        <f ca="1">IFERROR(__xludf.DUMMYFUNCTION("""COMPUTED_VALUE"""),25600)</f>
        <v>25600</v>
      </c>
      <c r="E1262" s="2">
        <f ca="1">IFERROR(__xludf.DUMMYFUNCTION("""COMPUTED_VALUE"""),25600)</f>
        <v>25600</v>
      </c>
      <c r="F1262" s="2">
        <f ca="1">IFERROR(__xludf.DUMMYFUNCTION("""COMPUTED_VALUE"""),42440000)</f>
        <v>42440000</v>
      </c>
    </row>
    <row r="1263" spans="1:6">
      <c r="A1263" s="5">
        <f ca="1">IFERROR(__xludf.DUMMYFUNCTION("""COMPUTED_VALUE"""),43908.625)</f>
        <v>43908.625</v>
      </c>
      <c r="B1263" s="2">
        <f ca="1">IFERROR(__xludf.DUMMYFUNCTION("""COMPUTED_VALUE"""),25600)</f>
        <v>25600</v>
      </c>
      <c r="C1263" s="2">
        <f ca="1">IFERROR(__xludf.DUMMYFUNCTION("""COMPUTED_VALUE"""),26900)</f>
        <v>26900</v>
      </c>
      <c r="D1263" s="2">
        <f ca="1">IFERROR(__xludf.DUMMYFUNCTION("""COMPUTED_VALUE"""),23825)</f>
        <v>23825</v>
      </c>
      <c r="E1263" s="2">
        <f ca="1">IFERROR(__xludf.DUMMYFUNCTION("""COMPUTED_VALUE"""),25000)</f>
        <v>25000</v>
      </c>
      <c r="F1263" s="2">
        <f ca="1">IFERROR(__xludf.DUMMYFUNCTION("""COMPUTED_VALUE"""),36010700)</f>
        <v>36010700</v>
      </c>
    </row>
    <row r="1264" spans="1:6">
      <c r="A1264" s="5">
        <f ca="1">IFERROR(__xludf.DUMMYFUNCTION("""COMPUTED_VALUE"""),43909.625)</f>
        <v>43909.625</v>
      </c>
      <c r="B1264" s="2">
        <f ca="1">IFERROR(__xludf.DUMMYFUNCTION("""COMPUTED_VALUE"""),24975)</f>
        <v>24975</v>
      </c>
      <c r="C1264" s="2">
        <f ca="1">IFERROR(__xludf.DUMMYFUNCTION("""COMPUTED_VALUE"""),24975)</f>
        <v>24975</v>
      </c>
      <c r="D1264" s="2">
        <f ca="1">IFERROR(__xludf.DUMMYFUNCTION("""COMPUTED_VALUE"""),23250)</f>
        <v>23250</v>
      </c>
      <c r="E1264" s="2">
        <f ca="1">IFERROR(__xludf.DUMMYFUNCTION("""COMPUTED_VALUE"""),23250)</f>
        <v>23250</v>
      </c>
      <c r="F1264" s="2">
        <f ca="1">IFERROR(__xludf.DUMMYFUNCTION("""COMPUTED_VALUE"""),52883800)</f>
        <v>52883800</v>
      </c>
    </row>
    <row r="1265" spans="1:6">
      <c r="A1265" s="5">
        <f ca="1">IFERROR(__xludf.DUMMYFUNCTION("""COMPUTED_VALUE"""),43910.625)</f>
        <v>43910.625</v>
      </c>
      <c r="B1265" s="2">
        <f ca="1">IFERROR(__xludf.DUMMYFUNCTION("""COMPUTED_VALUE"""),23000)</f>
        <v>23000</v>
      </c>
      <c r="C1265" s="2">
        <f ca="1">IFERROR(__xludf.DUMMYFUNCTION("""COMPUTED_VALUE"""),26925)</f>
        <v>26925</v>
      </c>
      <c r="D1265" s="2">
        <f ca="1">IFERROR(__xludf.DUMMYFUNCTION("""COMPUTED_VALUE"""),21625)</f>
        <v>21625</v>
      </c>
      <c r="E1265" s="2">
        <f ca="1">IFERROR(__xludf.DUMMYFUNCTION("""COMPUTED_VALUE"""),23675)</f>
        <v>23675</v>
      </c>
      <c r="F1265" s="2">
        <f ca="1">IFERROR(__xludf.DUMMYFUNCTION("""COMPUTED_VALUE"""),67026400)</f>
        <v>67026400</v>
      </c>
    </row>
    <row r="1266" spans="1:6">
      <c r="A1266" s="5">
        <f ca="1">IFERROR(__xludf.DUMMYFUNCTION("""COMPUTED_VALUE"""),43913.625)</f>
        <v>43913.625</v>
      </c>
      <c r="B1266" s="2">
        <f ca="1">IFERROR(__xludf.DUMMYFUNCTION("""COMPUTED_VALUE"""),23800)</f>
        <v>23800</v>
      </c>
      <c r="C1266" s="2">
        <f ca="1">IFERROR(__xludf.DUMMYFUNCTION("""COMPUTED_VALUE"""),25000)</f>
        <v>25000</v>
      </c>
      <c r="D1266" s="2">
        <f ca="1">IFERROR(__xludf.DUMMYFUNCTION("""COMPUTED_VALUE"""),22025)</f>
        <v>22025</v>
      </c>
      <c r="E1266" s="2">
        <f ca="1">IFERROR(__xludf.DUMMYFUNCTION("""COMPUTED_VALUE"""),22150)</f>
        <v>22150</v>
      </c>
      <c r="F1266" s="2">
        <f ca="1">IFERROR(__xludf.DUMMYFUNCTION("""COMPUTED_VALUE"""),43568700)</f>
        <v>43568700</v>
      </c>
    </row>
    <row r="1267" spans="1:6">
      <c r="A1267" s="5">
        <f ca="1">IFERROR(__xludf.DUMMYFUNCTION("""COMPUTED_VALUE"""),43914.625)</f>
        <v>43914.625</v>
      </c>
      <c r="B1267" s="2">
        <f ca="1">IFERROR(__xludf.DUMMYFUNCTION("""COMPUTED_VALUE"""),22250)</f>
        <v>22250</v>
      </c>
      <c r="C1267" s="2">
        <f ca="1">IFERROR(__xludf.DUMMYFUNCTION("""COMPUTED_VALUE"""),24975)</f>
        <v>24975</v>
      </c>
      <c r="D1267" s="2">
        <f ca="1">IFERROR(__xludf.DUMMYFUNCTION("""COMPUTED_VALUE"""),22250)</f>
        <v>22250</v>
      </c>
      <c r="E1267" s="2">
        <f ca="1">IFERROR(__xludf.DUMMYFUNCTION("""COMPUTED_VALUE"""),22500)</f>
        <v>22500</v>
      </c>
      <c r="F1267" s="2">
        <f ca="1">IFERROR(__xludf.DUMMYFUNCTION("""COMPUTED_VALUE"""),50794200)</f>
        <v>50794200</v>
      </c>
    </row>
    <row r="1268" spans="1:6">
      <c r="A1268" s="5">
        <f ca="1">IFERROR(__xludf.DUMMYFUNCTION("""COMPUTED_VALUE"""),43916.625)</f>
        <v>43916.625</v>
      </c>
      <c r="B1268" s="2">
        <f ca="1">IFERROR(__xludf.DUMMYFUNCTION("""COMPUTED_VALUE"""),23250)</f>
        <v>23250</v>
      </c>
      <c r="C1268" s="2">
        <f ca="1">IFERROR(__xludf.DUMMYFUNCTION("""COMPUTED_VALUE"""),26975)</f>
        <v>26975</v>
      </c>
      <c r="D1268" s="2">
        <f ca="1">IFERROR(__xludf.DUMMYFUNCTION("""COMPUTED_VALUE"""),23250)</f>
        <v>23250</v>
      </c>
      <c r="E1268" s="2">
        <f ca="1">IFERROR(__xludf.DUMMYFUNCTION("""COMPUTED_VALUE"""),26400)</f>
        <v>26400</v>
      </c>
      <c r="F1268" s="2">
        <f ca="1">IFERROR(__xludf.DUMMYFUNCTION("""COMPUTED_VALUE"""),66326600)</f>
        <v>66326600</v>
      </c>
    </row>
    <row r="1269" spans="1:6">
      <c r="A1269" s="5">
        <f ca="1">IFERROR(__xludf.DUMMYFUNCTION("""COMPUTED_VALUE"""),43917.625)</f>
        <v>43917.625</v>
      </c>
      <c r="B1269" s="2">
        <f ca="1">IFERROR(__xludf.DUMMYFUNCTION("""COMPUTED_VALUE"""),26800)</f>
        <v>26800</v>
      </c>
      <c r="C1269" s="2">
        <f ca="1">IFERROR(__xludf.DUMMYFUNCTION("""COMPUTED_VALUE"""),29475)</f>
        <v>29475</v>
      </c>
      <c r="D1269" s="2">
        <f ca="1">IFERROR(__xludf.DUMMYFUNCTION("""COMPUTED_VALUE"""),26775)</f>
        <v>26775</v>
      </c>
      <c r="E1269" s="2">
        <f ca="1">IFERROR(__xludf.DUMMYFUNCTION("""COMPUTED_VALUE"""),27550)</f>
        <v>27550</v>
      </c>
      <c r="F1269" s="2">
        <f ca="1">IFERROR(__xludf.DUMMYFUNCTION("""COMPUTED_VALUE"""),53936600)</f>
        <v>53936600</v>
      </c>
    </row>
    <row r="1270" spans="1:6">
      <c r="A1270" s="5">
        <f ca="1">IFERROR(__xludf.DUMMYFUNCTION("""COMPUTED_VALUE"""),43920.625)</f>
        <v>43920.625</v>
      </c>
      <c r="B1270" s="2">
        <f ca="1">IFERROR(__xludf.DUMMYFUNCTION("""COMPUTED_VALUE"""),27400)</f>
        <v>27400</v>
      </c>
      <c r="C1270" s="2">
        <f ca="1">IFERROR(__xludf.DUMMYFUNCTION("""COMPUTED_VALUE"""),27775)</f>
        <v>27775</v>
      </c>
      <c r="D1270" s="2">
        <f ca="1">IFERROR(__xludf.DUMMYFUNCTION("""COMPUTED_VALUE"""),25775)</f>
        <v>25775</v>
      </c>
      <c r="E1270" s="2">
        <f ca="1">IFERROR(__xludf.DUMMYFUNCTION("""COMPUTED_VALUE"""),27475)</f>
        <v>27475</v>
      </c>
      <c r="F1270" s="2">
        <f ca="1">IFERROR(__xludf.DUMMYFUNCTION("""COMPUTED_VALUE"""),31992900)</f>
        <v>31992900</v>
      </c>
    </row>
    <row r="1271" spans="1:6">
      <c r="A1271" s="5">
        <f ca="1">IFERROR(__xludf.DUMMYFUNCTION("""COMPUTED_VALUE"""),43921.625)</f>
        <v>43921.625</v>
      </c>
      <c r="B1271" s="2">
        <f ca="1">IFERROR(__xludf.DUMMYFUNCTION("""COMPUTED_VALUE"""),28300)</f>
        <v>28300</v>
      </c>
      <c r="C1271" s="2">
        <f ca="1">IFERROR(__xludf.DUMMYFUNCTION("""COMPUTED_VALUE"""),28550)</f>
        <v>28550</v>
      </c>
      <c r="D1271" s="2">
        <f ca="1">IFERROR(__xludf.DUMMYFUNCTION("""COMPUTED_VALUE"""),27425)</f>
        <v>27425</v>
      </c>
      <c r="E1271" s="2">
        <f ca="1">IFERROR(__xludf.DUMMYFUNCTION("""COMPUTED_VALUE"""),27625)</f>
        <v>27625</v>
      </c>
      <c r="F1271" s="2">
        <f ca="1">IFERROR(__xludf.DUMMYFUNCTION("""COMPUTED_VALUE"""),36527700)</f>
        <v>36527700</v>
      </c>
    </row>
    <row r="1272" spans="1:6">
      <c r="A1272" s="5">
        <f ca="1">IFERROR(__xludf.DUMMYFUNCTION("""COMPUTED_VALUE"""),43922.625)</f>
        <v>43922.625</v>
      </c>
      <c r="B1272" s="2">
        <f ca="1">IFERROR(__xludf.DUMMYFUNCTION("""COMPUTED_VALUE"""),27800)</f>
        <v>27800</v>
      </c>
      <c r="C1272" s="2">
        <f ca="1">IFERROR(__xludf.DUMMYFUNCTION("""COMPUTED_VALUE"""),28750)</f>
        <v>28750</v>
      </c>
      <c r="D1272" s="2">
        <f ca="1">IFERROR(__xludf.DUMMYFUNCTION("""COMPUTED_VALUE"""),27125)</f>
        <v>27125</v>
      </c>
      <c r="E1272" s="2">
        <f ca="1">IFERROR(__xludf.DUMMYFUNCTION("""COMPUTED_VALUE"""),27400)</f>
        <v>27400</v>
      </c>
      <c r="F1272" s="2">
        <f ca="1">IFERROR(__xludf.DUMMYFUNCTION("""COMPUTED_VALUE"""),30566300)</f>
        <v>30566300</v>
      </c>
    </row>
    <row r="1273" spans="1:6">
      <c r="A1273" s="5">
        <f ca="1">IFERROR(__xludf.DUMMYFUNCTION("""COMPUTED_VALUE"""),43923.625)</f>
        <v>43923.625</v>
      </c>
      <c r="B1273" s="2">
        <f ca="1">IFERROR(__xludf.DUMMYFUNCTION("""COMPUTED_VALUE"""),27350)</f>
        <v>27350</v>
      </c>
      <c r="C1273" s="2">
        <f ca="1">IFERROR(__xludf.DUMMYFUNCTION("""COMPUTED_VALUE"""),27350)</f>
        <v>27350</v>
      </c>
      <c r="D1273" s="2">
        <f ca="1">IFERROR(__xludf.DUMMYFUNCTION("""COMPUTED_VALUE"""),26800)</f>
        <v>26800</v>
      </c>
      <c r="E1273" s="2">
        <f ca="1">IFERROR(__xludf.DUMMYFUNCTION("""COMPUTED_VALUE"""),27050)</f>
        <v>27050</v>
      </c>
      <c r="F1273" s="2">
        <f ca="1">IFERROR(__xludf.DUMMYFUNCTION("""COMPUTED_VALUE"""),27324700)</f>
        <v>27324700</v>
      </c>
    </row>
    <row r="1274" spans="1:6">
      <c r="A1274" s="5">
        <f ca="1">IFERROR(__xludf.DUMMYFUNCTION("""COMPUTED_VALUE"""),43924.625)</f>
        <v>43924.625</v>
      </c>
      <c r="B1274" s="2">
        <f ca="1">IFERROR(__xludf.DUMMYFUNCTION("""COMPUTED_VALUE"""),27300)</f>
        <v>27300</v>
      </c>
      <c r="C1274" s="2">
        <f ca="1">IFERROR(__xludf.DUMMYFUNCTION("""COMPUTED_VALUE"""),27650)</f>
        <v>27650</v>
      </c>
      <c r="D1274" s="2">
        <f ca="1">IFERROR(__xludf.DUMMYFUNCTION("""COMPUTED_VALUE"""),26825)</f>
        <v>26825</v>
      </c>
      <c r="E1274" s="2">
        <f ca="1">IFERROR(__xludf.DUMMYFUNCTION("""COMPUTED_VALUE"""),27475)</f>
        <v>27475</v>
      </c>
      <c r="F1274" s="2">
        <f ca="1">IFERROR(__xludf.DUMMYFUNCTION("""COMPUTED_VALUE"""),22101200)</f>
        <v>22101200</v>
      </c>
    </row>
    <row r="1275" spans="1:6">
      <c r="A1275" s="5">
        <f ca="1">IFERROR(__xludf.DUMMYFUNCTION("""COMPUTED_VALUE"""),43927.625)</f>
        <v>43927.625</v>
      </c>
      <c r="B1275" s="2">
        <f ca="1">IFERROR(__xludf.DUMMYFUNCTION("""COMPUTED_VALUE"""),27600)</f>
        <v>27600</v>
      </c>
      <c r="C1275" s="2">
        <f ca="1">IFERROR(__xludf.DUMMYFUNCTION("""COMPUTED_VALUE"""),28700)</f>
        <v>28700</v>
      </c>
      <c r="D1275" s="2">
        <f ca="1">IFERROR(__xludf.DUMMYFUNCTION("""COMPUTED_VALUE"""),27475)</f>
        <v>27475</v>
      </c>
      <c r="E1275" s="2">
        <f ca="1">IFERROR(__xludf.DUMMYFUNCTION("""COMPUTED_VALUE"""),28675)</f>
        <v>28675</v>
      </c>
      <c r="F1275" s="2">
        <f ca="1">IFERROR(__xludf.DUMMYFUNCTION("""COMPUTED_VALUE"""),15636800)</f>
        <v>15636800</v>
      </c>
    </row>
    <row r="1276" spans="1:6">
      <c r="A1276" s="5">
        <f ca="1">IFERROR(__xludf.DUMMYFUNCTION("""COMPUTED_VALUE"""),43928.625)</f>
        <v>43928.625</v>
      </c>
      <c r="B1276" s="2">
        <f ca="1">IFERROR(__xludf.DUMMYFUNCTION("""COMPUTED_VALUE"""),28675)</f>
        <v>28675</v>
      </c>
      <c r="C1276" s="2">
        <f ca="1">IFERROR(__xludf.DUMMYFUNCTION("""COMPUTED_VALUE"""),30500)</f>
        <v>30500</v>
      </c>
      <c r="D1276" s="2">
        <f ca="1">IFERROR(__xludf.DUMMYFUNCTION("""COMPUTED_VALUE"""),27900)</f>
        <v>27900</v>
      </c>
      <c r="E1276" s="2">
        <f ca="1">IFERROR(__xludf.DUMMYFUNCTION("""COMPUTED_VALUE"""),28275)</f>
        <v>28275</v>
      </c>
      <c r="F1276" s="2">
        <f ca="1">IFERROR(__xludf.DUMMYFUNCTION("""COMPUTED_VALUE"""),29830700)</f>
        <v>29830700</v>
      </c>
    </row>
    <row r="1277" spans="1:6">
      <c r="A1277" s="5">
        <f ca="1">IFERROR(__xludf.DUMMYFUNCTION("""COMPUTED_VALUE"""),43929.625)</f>
        <v>43929.625</v>
      </c>
      <c r="B1277" s="2">
        <f ca="1">IFERROR(__xludf.DUMMYFUNCTION("""COMPUTED_VALUE"""),28275)</f>
        <v>28275</v>
      </c>
      <c r="C1277" s="2">
        <f ca="1">IFERROR(__xludf.DUMMYFUNCTION("""COMPUTED_VALUE"""),28300)</f>
        <v>28300</v>
      </c>
      <c r="D1277" s="2">
        <f ca="1">IFERROR(__xludf.DUMMYFUNCTION("""COMPUTED_VALUE"""),27400)</f>
        <v>27400</v>
      </c>
      <c r="E1277" s="2">
        <f ca="1">IFERROR(__xludf.DUMMYFUNCTION("""COMPUTED_VALUE"""),28175)</f>
        <v>28175</v>
      </c>
      <c r="F1277" s="2">
        <f ca="1">IFERROR(__xludf.DUMMYFUNCTION("""COMPUTED_VALUE"""),21222300)</f>
        <v>21222300</v>
      </c>
    </row>
    <row r="1278" spans="1:6">
      <c r="A1278" s="5">
        <f ca="1">IFERROR(__xludf.DUMMYFUNCTION("""COMPUTED_VALUE"""),43930.625)</f>
        <v>43930.625</v>
      </c>
      <c r="B1278" s="2">
        <f ca="1">IFERROR(__xludf.DUMMYFUNCTION("""COMPUTED_VALUE"""),28000)</f>
        <v>28000</v>
      </c>
      <c r="C1278" s="2">
        <f ca="1">IFERROR(__xludf.DUMMYFUNCTION("""COMPUTED_VALUE"""),28475)</f>
        <v>28475</v>
      </c>
      <c r="D1278" s="2">
        <f ca="1">IFERROR(__xludf.DUMMYFUNCTION("""COMPUTED_VALUE"""),27500)</f>
        <v>27500</v>
      </c>
      <c r="E1278" s="2">
        <f ca="1">IFERROR(__xludf.DUMMYFUNCTION("""COMPUTED_VALUE"""),27975)</f>
        <v>27975</v>
      </c>
      <c r="F1278" s="2">
        <f ca="1">IFERROR(__xludf.DUMMYFUNCTION("""COMPUTED_VALUE"""),17999400)</f>
        <v>17999400</v>
      </c>
    </row>
    <row r="1279" spans="1:6">
      <c r="A1279" s="5">
        <f ca="1">IFERROR(__xludf.DUMMYFUNCTION("""COMPUTED_VALUE"""),43934.625)</f>
        <v>43934.625</v>
      </c>
      <c r="B1279" s="2">
        <f ca="1">IFERROR(__xludf.DUMMYFUNCTION("""COMPUTED_VALUE"""),27700)</f>
        <v>27700</v>
      </c>
      <c r="C1279" s="2">
        <f ca="1">IFERROR(__xludf.DUMMYFUNCTION("""COMPUTED_VALUE"""),28075)</f>
        <v>28075</v>
      </c>
      <c r="D1279" s="2">
        <f ca="1">IFERROR(__xludf.DUMMYFUNCTION("""COMPUTED_VALUE"""),27400)</f>
        <v>27400</v>
      </c>
      <c r="E1279" s="2">
        <f ca="1">IFERROR(__xludf.DUMMYFUNCTION("""COMPUTED_VALUE"""),27500)</f>
        <v>27500</v>
      </c>
      <c r="F1279" s="2">
        <f ca="1">IFERROR(__xludf.DUMMYFUNCTION("""COMPUTED_VALUE"""),11608600)</f>
        <v>11608600</v>
      </c>
    </row>
    <row r="1280" spans="1:6">
      <c r="A1280" s="5">
        <f ca="1">IFERROR(__xludf.DUMMYFUNCTION("""COMPUTED_VALUE"""),43935.625)</f>
        <v>43935.625</v>
      </c>
      <c r="B1280" s="2">
        <f ca="1">IFERROR(__xludf.DUMMYFUNCTION("""COMPUTED_VALUE"""),27525)</f>
        <v>27525</v>
      </c>
      <c r="C1280" s="2">
        <f ca="1">IFERROR(__xludf.DUMMYFUNCTION("""COMPUTED_VALUE"""),27950)</f>
        <v>27950</v>
      </c>
      <c r="D1280" s="2">
        <f ca="1">IFERROR(__xludf.DUMMYFUNCTION("""COMPUTED_VALUE"""),27225)</f>
        <v>27225</v>
      </c>
      <c r="E1280" s="2">
        <f ca="1">IFERROR(__xludf.DUMMYFUNCTION("""COMPUTED_VALUE"""),27575)</f>
        <v>27575</v>
      </c>
      <c r="F1280" s="2">
        <f ca="1">IFERROR(__xludf.DUMMYFUNCTION("""COMPUTED_VALUE"""),19159200)</f>
        <v>19159200</v>
      </c>
    </row>
    <row r="1281" spans="1:6">
      <c r="A1281" s="5">
        <f ca="1">IFERROR(__xludf.DUMMYFUNCTION("""COMPUTED_VALUE"""),43936.625)</f>
        <v>43936.625</v>
      </c>
      <c r="B1281" s="2">
        <f ca="1">IFERROR(__xludf.DUMMYFUNCTION("""COMPUTED_VALUE"""),27575)</f>
        <v>27575</v>
      </c>
      <c r="C1281" s="2">
        <f ca="1">IFERROR(__xludf.DUMMYFUNCTION("""COMPUTED_VALUE"""),28150)</f>
        <v>28150</v>
      </c>
      <c r="D1281" s="2">
        <f ca="1">IFERROR(__xludf.DUMMYFUNCTION("""COMPUTED_VALUE"""),27225)</f>
        <v>27225</v>
      </c>
      <c r="E1281" s="2">
        <f ca="1">IFERROR(__xludf.DUMMYFUNCTION("""COMPUTED_VALUE"""),27425)</f>
        <v>27425</v>
      </c>
      <c r="F1281" s="2">
        <f ca="1">IFERROR(__xludf.DUMMYFUNCTION("""COMPUTED_VALUE"""),19068400)</f>
        <v>19068400</v>
      </c>
    </row>
    <row r="1282" spans="1:6">
      <c r="A1282" s="5">
        <f ca="1">IFERROR(__xludf.DUMMYFUNCTION("""COMPUTED_VALUE"""),43937.625)</f>
        <v>43937.625</v>
      </c>
      <c r="B1282" s="2">
        <f ca="1">IFERROR(__xludf.DUMMYFUNCTION("""COMPUTED_VALUE"""),27425)</f>
        <v>27425</v>
      </c>
      <c r="C1282" s="2">
        <f ca="1">IFERROR(__xludf.DUMMYFUNCTION("""COMPUTED_VALUE"""),27600)</f>
        <v>27600</v>
      </c>
      <c r="D1282" s="2">
        <f ca="1">IFERROR(__xludf.DUMMYFUNCTION("""COMPUTED_VALUE"""),25925)</f>
        <v>25925</v>
      </c>
      <c r="E1282" s="2">
        <f ca="1">IFERROR(__xludf.DUMMYFUNCTION("""COMPUTED_VALUE"""),26200)</f>
        <v>26200</v>
      </c>
      <c r="F1282" s="2">
        <f ca="1">IFERROR(__xludf.DUMMYFUNCTION("""COMPUTED_VALUE"""),35398100)</f>
        <v>35398100</v>
      </c>
    </row>
    <row r="1283" spans="1:6">
      <c r="A1283" s="5">
        <f ca="1">IFERROR(__xludf.DUMMYFUNCTION("""COMPUTED_VALUE"""),43938.625)</f>
        <v>43938.625</v>
      </c>
      <c r="B1283" s="2">
        <f ca="1">IFERROR(__xludf.DUMMYFUNCTION("""COMPUTED_VALUE"""),26500)</f>
        <v>26500</v>
      </c>
      <c r="C1283" s="2">
        <f ca="1">IFERROR(__xludf.DUMMYFUNCTION("""COMPUTED_VALUE"""),27225)</f>
        <v>27225</v>
      </c>
      <c r="D1283" s="2">
        <f ca="1">IFERROR(__xludf.DUMMYFUNCTION("""COMPUTED_VALUE"""),26400)</f>
        <v>26400</v>
      </c>
      <c r="E1283" s="2">
        <f ca="1">IFERROR(__xludf.DUMMYFUNCTION("""COMPUTED_VALUE"""),27125)</f>
        <v>27125</v>
      </c>
      <c r="F1283" s="2">
        <f ca="1">IFERROR(__xludf.DUMMYFUNCTION("""COMPUTED_VALUE"""),32187100)</f>
        <v>32187100</v>
      </c>
    </row>
    <row r="1284" spans="1:6">
      <c r="A1284" s="5">
        <f ca="1">IFERROR(__xludf.DUMMYFUNCTION("""COMPUTED_VALUE"""),43941.625)</f>
        <v>43941.625</v>
      </c>
      <c r="B1284" s="2">
        <f ca="1">IFERROR(__xludf.DUMMYFUNCTION("""COMPUTED_VALUE"""),27150)</f>
        <v>27150</v>
      </c>
      <c r="C1284" s="2">
        <f ca="1">IFERROR(__xludf.DUMMYFUNCTION("""COMPUTED_VALUE"""),27500)</f>
        <v>27500</v>
      </c>
      <c r="D1284" s="2">
        <f ca="1">IFERROR(__xludf.DUMMYFUNCTION("""COMPUTED_VALUE"""),26650)</f>
        <v>26650</v>
      </c>
      <c r="E1284" s="2">
        <f ca="1">IFERROR(__xludf.DUMMYFUNCTION("""COMPUTED_VALUE"""),26775)</f>
        <v>26775</v>
      </c>
      <c r="F1284" s="2">
        <f ca="1">IFERROR(__xludf.DUMMYFUNCTION("""COMPUTED_VALUE"""),18148800)</f>
        <v>18148800</v>
      </c>
    </row>
    <row r="1285" spans="1:6">
      <c r="A1285" s="5">
        <f ca="1">IFERROR(__xludf.DUMMYFUNCTION("""COMPUTED_VALUE"""),43942.625)</f>
        <v>43942.625</v>
      </c>
      <c r="B1285" s="2">
        <f ca="1">IFERROR(__xludf.DUMMYFUNCTION("""COMPUTED_VALUE"""),26775)</f>
        <v>26775</v>
      </c>
      <c r="C1285" s="2">
        <f ca="1">IFERROR(__xludf.DUMMYFUNCTION("""COMPUTED_VALUE"""),26775)</f>
        <v>26775</v>
      </c>
      <c r="D1285" s="2">
        <f ca="1">IFERROR(__xludf.DUMMYFUNCTION("""COMPUTED_VALUE"""),25800)</f>
        <v>25800</v>
      </c>
      <c r="E1285" s="2">
        <f ca="1">IFERROR(__xludf.DUMMYFUNCTION("""COMPUTED_VALUE"""),25800)</f>
        <v>25800</v>
      </c>
      <c r="F1285" s="2">
        <f ca="1">IFERROR(__xludf.DUMMYFUNCTION("""COMPUTED_VALUE"""),14686200)</f>
        <v>14686200</v>
      </c>
    </row>
    <row r="1286" spans="1:6">
      <c r="A1286" s="5">
        <f ca="1">IFERROR(__xludf.DUMMYFUNCTION("""COMPUTED_VALUE"""),43943.625)</f>
        <v>43943.625</v>
      </c>
      <c r="B1286" s="2">
        <f ca="1">IFERROR(__xludf.DUMMYFUNCTION("""COMPUTED_VALUE"""),25800)</f>
        <v>25800</v>
      </c>
      <c r="C1286" s="2">
        <f ca="1">IFERROR(__xludf.DUMMYFUNCTION("""COMPUTED_VALUE"""),26175)</f>
        <v>26175</v>
      </c>
      <c r="D1286" s="2">
        <f ca="1">IFERROR(__xludf.DUMMYFUNCTION("""COMPUTED_VALUE"""),25225)</f>
        <v>25225</v>
      </c>
      <c r="E1286" s="2">
        <f ca="1">IFERROR(__xludf.DUMMYFUNCTION("""COMPUTED_VALUE"""),25725)</f>
        <v>25725</v>
      </c>
      <c r="F1286" s="2">
        <f ca="1">IFERROR(__xludf.DUMMYFUNCTION("""COMPUTED_VALUE"""),21452700)</f>
        <v>21452700</v>
      </c>
    </row>
    <row r="1287" spans="1:6">
      <c r="A1287" s="5">
        <f ca="1">IFERROR(__xludf.DUMMYFUNCTION("""COMPUTED_VALUE"""),43944.625)</f>
        <v>43944.625</v>
      </c>
      <c r="B1287" s="2">
        <f ca="1">IFERROR(__xludf.DUMMYFUNCTION("""COMPUTED_VALUE"""),25900)</f>
        <v>25900</v>
      </c>
      <c r="C1287" s="2">
        <f ca="1">IFERROR(__xludf.DUMMYFUNCTION("""COMPUTED_VALUE"""),26225)</f>
        <v>26225</v>
      </c>
      <c r="D1287" s="2">
        <f ca="1">IFERROR(__xludf.DUMMYFUNCTION("""COMPUTED_VALUE"""),25600)</f>
        <v>25600</v>
      </c>
      <c r="E1287" s="2">
        <f ca="1">IFERROR(__xludf.DUMMYFUNCTION("""COMPUTED_VALUE"""),25600)</f>
        <v>25600</v>
      </c>
      <c r="F1287" s="2">
        <f ca="1">IFERROR(__xludf.DUMMYFUNCTION("""COMPUTED_VALUE"""),21083900)</f>
        <v>21083900</v>
      </c>
    </row>
    <row r="1288" spans="1:6">
      <c r="A1288" s="5">
        <f ca="1">IFERROR(__xludf.DUMMYFUNCTION("""COMPUTED_VALUE"""),43945.625)</f>
        <v>43945.625</v>
      </c>
      <c r="B1288" s="2">
        <f ca="1">IFERROR(__xludf.DUMMYFUNCTION("""COMPUTED_VALUE"""),25600)</f>
        <v>25600</v>
      </c>
      <c r="C1288" s="2">
        <f ca="1">IFERROR(__xludf.DUMMYFUNCTION("""COMPUTED_VALUE"""),25700)</f>
        <v>25700</v>
      </c>
      <c r="D1288" s="2">
        <f ca="1">IFERROR(__xludf.DUMMYFUNCTION("""COMPUTED_VALUE"""),24600)</f>
        <v>24600</v>
      </c>
      <c r="E1288" s="2">
        <f ca="1">IFERROR(__xludf.DUMMYFUNCTION("""COMPUTED_VALUE"""),24600)</f>
        <v>24600</v>
      </c>
      <c r="F1288" s="2">
        <f ca="1">IFERROR(__xludf.DUMMYFUNCTION("""COMPUTED_VALUE"""),26229900)</f>
        <v>26229900</v>
      </c>
    </row>
    <row r="1289" spans="1:6">
      <c r="A1289" s="5">
        <f ca="1">IFERROR(__xludf.DUMMYFUNCTION("""COMPUTED_VALUE"""),43948.625)</f>
        <v>43948.625</v>
      </c>
      <c r="B1289" s="2">
        <f ca="1">IFERROR(__xludf.DUMMYFUNCTION("""COMPUTED_VALUE"""),24700)</f>
        <v>24700</v>
      </c>
      <c r="C1289" s="2">
        <f ca="1">IFERROR(__xludf.DUMMYFUNCTION("""COMPUTED_VALUE"""),25100)</f>
        <v>25100</v>
      </c>
      <c r="D1289" s="2">
        <f ca="1">IFERROR(__xludf.DUMMYFUNCTION("""COMPUTED_VALUE"""),24275)</f>
        <v>24275</v>
      </c>
      <c r="E1289" s="2">
        <f ca="1">IFERROR(__xludf.DUMMYFUNCTION("""COMPUTED_VALUE"""),24800)</f>
        <v>24800</v>
      </c>
      <c r="F1289" s="2">
        <f ca="1">IFERROR(__xludf.DUMMYFUNCTION("""COMPUTED_VALUE"""),30220700)</f>
        <v>30220700</v>
      </c>
    </row>
    <row r="1290" spans="1:6">
      <c r="A1290" s="5">
        <f ca="1">IFERROR(__xludf.DUMMYFUNCTION("""COMPUTED_VALUE"""),43949.625)</f>
        <v>43949.625</v>
      </c>
      <c r="B1290" s="2">
        <f ca="1">IFERROR(__xludf.DUMMYFUNCTION("""COMPUTED_VALUE"""),24800)</f>
        <v>24800</v>
      </c>
      <c r="C1290" s="2">
        <f ca="1">IFERROR(__xludf.DUMMYFUNCTION("""COMPUTED_VALUE"""),24875)</f>
        <v>24875</v>
      </c>
      <c r="D1290" s="2">
        <f ca="1">IFERROR(__xludf.DUMMYFUNCTION("""COMPUTED_VALUE"""),24025)</f>
        <v>24025</v>
      </c>
      <c r="E1290" s="2">
        <f ca="1">IFERROR(__xludf.DUMMYFUNCTION("""COMPUTED_VALUE"""),24150)</f>
        <v>24150</v>
      </c>
      <c r="F1290" s="2">
        <f ca="1">IFERROR(__xludf.DUMMYFUNCTION("""COMPUTED_VALUE"""),36097600)</f>
        <v>36097600</v>
      </c>
    </row>
    <row r="1291" spans="1:6">
      <c r="A1291" s="5">
        <f ca="1">IFERROR(__xludf.DUMMYFUNCTION("""COMPUTED_VALUE"""),43950.625)</f>
        <v>43950.625</v>
      </c>
      <c r="B1291" s="2">
        <f ca="1">IFERROR(__xludf.DUMMYFUNCTION("""COMPUTED_VALUE"""),24125)</f>
        <v>24125</v>
      </c>
      <c r="C1291" s="2">
        <f ca="1">IFERROR(__xludf.DUMMYFUNCTION("""COMPUTED_VALUE"""),24250)</f>
        <v>24250</v>
      </c>
      <c r="D1291" s="2">
        <f ca="1">IFERROR(__xludf.DUMMYFUNCTION("""COMPUTED_VALUE"""),24000)</f>
        <v>24000</v>
      </c>
      <c r="E1291" s="2">
        <f ca="1">IFERROR(__xludf.DUMMYFUNCTION("""COMPUTED_VALUE"""),24250)</f>
        <v>24250</v>
      </c>
      <c r="F1291" s="2">
        <f ca="1">IFERROR(__xludf.DUMMYFUNCTION("""COMPUTED_VALUE"""),24232200)</f>
        <v>24232200</v>
      </c>
    </row>
    <row r="1292" spans="1:6">
      <c r="A1292" s="5">
        <f ca="1">IFERROR(__xludf.DUMMYFUNCTION("""COMPUTED_VALUE"""),43951.625)</f>
        <v>43951.625</v>
      </c>
      <c r="B1292" s="2">
        <f ca="1">IFERROR(__xludf.DUMMYFUNCTION("""COMPUTED_VALUE"""),24400)</f>
        <v>24400</v>
      </c>
      <c r="C1292" s="2">
        <f ca="1">IFERROR(__xludf.DUMMYFUNCTION("""COMPUTED_VALUE"""),26250)</f>
        <v>26250</v>
      </c>
      <c r="D1292" s="2">
        <f ca="1">IFERROR(__xludf.DUMMYFUNCTION("""COMPUTED_VALUE"""),24400)</f>
        <v>24400</v>
      </c>
      <c r="E1292" s="2">
        <f ca="1">IFERROR(__xludf.DUMMYFUNCTION("""COMPUTED_VALUE"""),25850)</f>
        <v>25850</v>
      </c>
      <c r="F1292" s="2">
        <f ca="1">IFERROR(__xludf.DUMMYFUNCTION("""COMPUTED_VALUE"""),34816200)</f>
        <v>34816200</v>
      </c>
    </row>
    <row r="1293" spans="1:6">
      <c r="A1293" s="5">
        <f ca="1">IFERROR(__xludf.DUMMYFUNCTION("""COMPUTED_VALUE"""),43955.625)</f>
        <v>43955.625</v>
      </c>
      <c r="B1293" s="2">
        <f ca="1">IFERROR(__xludf.DUMMYFUNCTION("""COMPUTED_VALUE"""),25750)</f>
        <v>25750</v>
      </c>
      <c r="C1293" s="2">
        <f ca="1">IFERROR(__xludf.DUMMYFUNCTION("""COMPUTED_VALUE"""),26500)</f>
        <v>26500</v>
      </c>
      <c r="D1293" s="2">
        <f ca="1">IFERROR(__xludf.DUMMYFUNCTION("""COMPUTED_VALUE"""),25000)</f>
        <v>25000</v>
      </c>
      <c r="E1293" s="2">
        <f ca="1">IFERROR(__xludf.DUMMYFUNCTION("""COMPUTED_VALUE"""),26100)</f>
        <v>26100</v>
      </c>
      <c r="F1293" s="2">
        <f ca="1">IFERROR(__xludf.DUMMYFUNCTION("""COMPUTED_VALUE"""),22899500)</f>
        <v>22899500</v>
      </c>
    </row>
    <row r="1294" spans="1:6">
      <c r="A1294" s="5">
        <f ca="1">IFERROR(__xludf.DUMMYFUNCTION("""COMPUTED_VALUE"""),43956.625)</f>
        <v>43956.625</v>
      </c>
      <c r="B1294" s="2">
        <f ca="1">IFERROR(__xludf.DUMMYFUNCTION("""COMPUTED_VALUE"""),26100)</f>
        <v>26100</v>
      </c>
      <c r="C1294" s="2">
        <f ca="1">IFERROR(__xludf.DUMMYFUNCTION("""COMPUTED_VALUE"""),26700)</f>
        <v>26700</v>
      </c>
      <c r="D1294" s="2">
        <f ca="1">IFERROR(__xludf.DUMMYFUNCTION("""COMPUTED_VALUE"""),26000)</f>
        <v>26000</v>
      </c>
      <c r="E1294" s="2">
        <f ca="1">IFERROR(__xludf.DUMMYFUNCTION("""COMPUTED_VALUE"""),26425)</f>
        <v>26425</v>
      </c>
      <c r="F1294" s="2">
        <f ca="1">IFERROR(__xludf.DUMMYFUNCTION("""COMPUTED_VALUE"""),23728700)</f>
        <v>23728700</v>
      </c>
    </row>
    <row r="1295" spans="1:6">
      <c r="A1295" s="5">
        <f ca="1">IFERROR(__xludf.DUMMYFUNCTION("""COMPUTED_VALUE"""),43957.625)</f>
        <v>43957.625</v>
      </c>
      <c r="B1295" s="2">
        <f ca="1">IFERROR(__xludf.DUMMYFUNCTION("""COMPUTED_VALUE"""),26575)</f>
        <v>26575</v>
      </c>
      <c r="C1295" s="2">
        <f ca="1">IFERROR(__xludf.DUMMYFUNCTION("""COMPUTED_VALUE"""),26850)</f>
        <v>26850</v>
      </c>
      <c r="D1295" s="2">
        <f ca="1">IFERROR(__xludf.DUMMYFUNCTION("""COMPUTED_VALUE"""),26500)</f>
        <v>26500</v>
      </c>
      <c r="E1295" s="2">
        <f ca="1">IFERROR(__xludf.DUMMYFUNCTION("""COMPUTED_VALUE"""),26775)</f>
        <v>26775</v>
      </c>
      <c r="F1295" s="2">
        <f ca="1">IFERROR(__xludf.DUMMYFUNCTION("""COMPUTED_VALUE"""),17279100)</f>
        <v>17279100</v>
      </c>
    </row>
    <row r="1296" spans="1:6">
      <c r="A1296" s="5">
        <f ca="1">IFERROR(__xludf.DUMMYFUNCTION("""COMPUTED_VALUE"""),43959.625)</f>
        <v>43959.625</v>
      </c>
      <c r="B1296" s="2">
        <f ca="1">IFERROR(__xludf.DUMMYFUNCTION("""COMPUTED_VALUE"""),26725)</f>
        <v>26725</v>
      </c>
      <c r="C1296" s="2">
        <f ca="1">IFERROR(__xludf.DUMMYFUNCTION("""COMPUTED_VALUE"""),27000)</f>
        <v>27000</v>
      </c>
      <c r="D1296" s="2">
        <f ca="1">IFERROR(__xludf.DUMMYFUNCTION("""COMPUTED_VALUE"""),25750)</f>
        <v>25750</v>
      </c>
      <c r="E1296" s="2">
        <f ca="1">IFERROR(__xludf.DUMMYFUNCTION("""COMPUTED_VALUE"""),26225)</f>
        <v>26225</v>
      </c>
      <c r="F1296" s="2">
        <f ca="1">IFERROR(__xludf.DUMMYFUNCTION("""COMPUTED_VALUE"""),24605600)</f>
        <v>24605600</v>
      </c>
    </row>
    <row r="1297" spans="1:6">
      <c r="A1297" s="5">
        <f ca="1">IFERROR(__xludf.DUMMYFUNCTION("""COMPUTED_VALUE"""),43962.625)</f>
        <v>43962.625</v>
      </c>
      <c r="B1297" s="2">
        <f ca="1">IFERROR(__xludf.DUMMYFUNCTION("""COMPUTED_VALUE"""),26225)</f>
        <v>26225</v>
      </c>
      <c r="C1297" s="2">
        <f ca="1">IFERROR(__xludf.DUMMYFUNCTION("""COMPUTED_VALUE"""),26625)</f>
        <v>26625</v>
      </c>
      <c r="D1297" s="2">
        <f ca="1">IFERROR(__xludf.DUMMYFUNCTION("""COMPUTED_VALUE"""),26225)</f>
        <v>26225</v>
      </c>
      <c r="E1297" s="2">
        <f ca="1">IFERROR(__xludf.DUMMYFUNCTION("""COMPUTED_VALUE"""),26475)</f>
        <v>26475</v>
      </c>
      <c r="F1297" s="2">
        <f ca="1">IFERROR(__xludf.DUMMYFUNCTION("""COMPUTED_VALUE"""),8123100)</f>
        <v>8123100</v>
      </c>
    </row>
    <row r="1298" spans="1:6">
      <c r="A1298" s="5">
        <f ca="1">IFERROR(__xludf.DUMMYFUNCTION("""COMPUTED_VALUE"""),43963.625)</f>
        <v>43963.625</v>
      </c>
      <c r="B1298" s="2">
        <f ca="1">IFERROR(__xludf.DUMMYFUNCTION("""COMPUTED_VALUE"""),26700)</f>
        <v>26700</v>
      </c>
      <c r="C1298" s="2">
        <f ca="1">IFERROR(__xludf.DUMMYFUNCTION("""COMPUTED_VALUE"""),26700)</f>
        <v>26700</v>
      </c>
      <c r="D1298" s="2">
        <f ca="1">IFERROR(__xludf.DUMMYFUNCTION("""COMPUTED_VALUE"""),25150)</f>
        <v>25150</v>
      </c>
      <c r="E1298" s="2">
        <f ca="1">IFERROR(__xludf.DUMMYFUNCTION("""COMPUTED_VALUE"""),26100)</f>
        <v>26100</v>
      </c>
      <c r="F1298" s="2">
        <f ca="1">IFERROR(__xludf.DUMMYFUNCTION("""COMPUTED_VALUE"""),23732000)</f>
        <v>23732000</v>
      </c>
    </row>
    <row r="1299" spans="1:6">
      <c r="A1299" s="5">
        <f ca="1">IFERROR(__xludf.DUMMYFUNCTION("""COMPUTED_VALUE"""),43964.625)</f>
        <v>43964.625</v>
      </c>
      <c r="B1299" s="2">
        <f ca="1">IFERROR(__xludf.DUMMYFUNCTION("""COMPUTED_VALUE"""),25800)</f>
        <v>25800</v>
      </c>
      <c r="C1299" s="2">
        <f ca="1">IFERROR(__xludf.DUMMYFUNCTION("""COMPUTED_VALUE"""),25850)</f>
        <v>25850</v>
      </c>
      <c r="D1299" s="2">
        <f ca="1">IFERROR(__xludf.DUMMYFUNCTION("""COMPUTED_VALUE"""),25425)</f>
        <v>25425</v>
      </c>
      <c r="E1299" s="2">
        <f ca="1">IFERROR(__xludf.DUMMYFUNCTION("""COMPUTED_VALUE"""),25550)</f>
        <v>25550</v>
      </c>
      <c r="F1299" s="2">
        <f ca="1">IFERROR(__xludf.DUMMYFUNCTION("""COMPUTED_VALUE"""),18994600)</f>
        <v>18994600</v>
      </c>
    </row>
    <row r="1300" spans="1:6">
      <c r="A1300" s="5">
        <f ca="1">IFERROR(__xludf.DUMMYFUNCTION("""COMPUTED_VALUE"""),43965.625)</f>
        <v>43965.625</v>
      </c>
      <c r="B1300" s="2">
        <f ca="1">IFERROR(__xludf.DUMMYFUNCTION("""COMPUTED_VALUE"""),25350)</f>
        <v>25350</v>
      </c>
      <c r="C1300" s="2">
        <f ca="1">IFERROR(__xludf.DUMMYFUNCTION("""COMPUTED_VALUE"""),25550)</f>
        <v>25550</v>
      </c>
      <c r="D1300" s="2">
        <f ca="1">IFERROR(__xludf.DUMMYFUNCTION("""COMPUTED_VALUE"""),24525)</f>
        <v>24525</v>
      </c>
      <c r="E1300" s="2">
        <f ca="1">IFERROR(__xludf.DUMMYFUNCTION("""COMPUTED_VALUE"""),24600)</f>
        <v>24600</v>
      </c>
      <c r="F1300" s="2">
        <f ca="1">IFERROR(__xludf.DUMMYFUNCTION("""COMPUTED_VALUE"""),26253600)</f>
        <v>26253600</v>
      </c>
    </row>
    <row r="1301" spans="1:6">
      <c r="A1301" s="5">
        <f ca="1">IFERROR(__xludf.DUMMYFUNCTION("""COMPUTED_VALUE"""),43966.625)</f>
        <v>43966.625</v>
      </c>
      <c r="B1301" s="2">
        <f ca="1">IFERROR(__xludf.DUMMYFUNCTION("""COMPUTED_VALUE"""),24600)</f>
        <v>24600</v>
      </c>
      <c r="C1301" s="2">
        <f ca="1">IFERROR(__xludf.DUMMYFUNCTION("""COMPUTED_VALUE"""),24975)</f>
        <v>24975</v>
      </c>
      <c r="D1301" s="2">
        <f ca="1">IFERROR(__xludf.DUMMYFUNCTION("""COMPUTED_VALUE"""),23400)</f>
        <v>23400</v>
      </c>
      <c r="E1301" s="2">
        <f ca="1">IFERROR(__xludf.DUMMYFUNCTION("""COMPUTED_VALUE"""),23925)</f>
        <v>23925</v>
      </c>
      <c r="F1301" s="2">
        <f ca="1">IFERROR(__xludf.DUMMYFUNCTION("""COMPUTED_VALUE"""),41158000)</f>
        <v>41158000</v>
      </c>
    </row>
    <row r="1302" spans="1:6">
      <c r="A1302" s="5">
        <f ca="1">IFERROR(__xludf.DUMMYFUNCTION("""COMPUTED_VALUE"""),43969.625)</f>
        <v>43969.625</v>
      </c>
      <c r="B1302" s="2">
        <f ca="1">IFERROR(__xludf.DUMMYFUNCTION("""COMPUTED_VALUE"""),24000)</f>
        <v>24000</v>
      </c>
      <c r="C1302" s="2">
        <f ca="1">IFERROR(__xludf.DUMMYFUNCTION("""COMPUTED_VALUE"""),24225)</f>
        <v>24225</v>
      </c>
      <c r="D1302" s="2">
        <f ca="1">IFERROR(__xludf.DUMMYFUNCTION("""COMPUTED_VALUE"""),23750)</f>
        <v>23750</v>
      </c>
      <c r="E1302" s="2">
        <f ca="1">IFERROR(__xludf.DUMMYFUNCTION("""COMPUTED_VALUE"""),23825)</f>
        <v>23825</v>
      </c>
      <c r="F1302" s="2">
        <f ca="1">IFERROR(__xludf.DUMMYFUNCTION("""COMPUTED_VALUE"""),27999500)</f>
        <v>27999500</v>
      </c>
    </row>
    <row r="1303" spans="1:6">
      <c r="A1303" s="5">
        <f ca="1">IFERROR(__xludf.DUMMYFUNCTION("""COMPUTED_VALUE"""),43970.625)</f>
        <v>43970.625</v>
      </c>
      <c r="B1303" s="2">
        <f ca="1">IFERROR(__xludf.DUMMYFUNCTION("""COMPUTED_VALUE"""),24200)</f>
        <v>24200</v>
      </c>
      <c r="C1303" s="2">
        <f ca="1">IFERROR(__xludf.DUMMYFUNCTION("""COMPUTED_VALUE"""),24800)</f>
        <v>24800</v>
      </c>
      <c r="D1303" s="2">
        <f ca="1">IFERROR(__xludf.DUMMYFUNCTION("""COMPUTED_VALUE"""),23400)</f>
        <v>23400</v>
      </c>
      <c r="E1303" s="2">
        <f ca="1">IFERROR(__xludf.DUMMYFUNCTION("""COMPUTED_VALUE"""),23400)</f>
        <v>23400</v>
      </c>
      <c r="F1303" s="2">
        <f ca="1">IFERROR(__xludf.DUMMYFUNCTION("""COMPUTED_VALUE"""),25700900)</f>
        <v>25700900</v>
      </c>
    </row>
    <row r="1304" spans="1:6">
      <c r="A1304" s="5">
        <f ca="1">IFERROR(__xludf.DUMMYFUNCTION("""COMPUTED_VALUE"""),43971.625)</f>
        <v>43971.625</v>
      </c>
      <c r="B1304" s="2">
        <f ca="1">IFERROR(__xludf.DUMMYFUNCTION("""COMPUTED_VALUE"""),23600)</f>
        <v>23600</v>
      </c>
      <c r="C1304" s="2">
        <f ca="1">IFERROR(__xludf.DUMMYFUNCTION("""COMPUTED_VALUE"""),24000)</f>
        <v>24000</v>
      </c>
      <c r="D1304" s="2">
        <f ca="1">IFERROR(__xludf.DUMMYFUNCTION("""COMPUTED_VALUE"""),23450)</f>
        <v>23450</v>
      </c>
      <c r="E1304" s="2">
        <f ca="1">IFERROR(__xludf.DUMMYFUNCTION("""COMPUTED_VALUE"""),23825)</f>
        <v>23825</v>
      </c>
      <c r="F1304" s="2">
        <f ca="1">IFERROR(__xludf.DUMMYFUNCTION("""COMPUTED_VALUE"""),23831600)</f>
        <v>23831600</v>
      </c>
    </row>
    <row r="1305" spans="1:6">
      <c r="A1305" s="5">
        <f ca="1">IFERROR(__xludf.DUMMYFUNCTION("""COMPUTED_VALUE"""),43977.625)</f>
        <v>43977.625</v>
      </c>
      <c r="B1305" s="2">
        <f ca="1">IFERROR(__xludf.DUMMYFUNCTION("""COMPUTED_VALUE"""),23875)</f>
        <v>23875</v>
      </c>
      <c r="C1305" s="2">
        <f ca="1">IFERROR(__xludf.DUMMYFUNCTION("""COMPUTED_VALUE"""),25000)</f>
        <v>25000</v>
      </c>
      <c r="D1305" s="2">
        <f ca="1">IFERROR(__xludf.DUMMYFUNCTION("""COMPUTED_VALUE"""),23875)</f>
        <v>23875</v>
      </c>
      <c r="E1305" s="2">
        <f ca="1">IFERROR(__xludf.DUMMYFUNCTION("""COMPUTED_VALUE"""),24850)</f>
        <v>24850</v>
      </c>
      <c r="F1305" s="2">
        <f ca="1">IFERROR(__xludf.DUMMYFUNCTION("""COMPUTED_VALUE"""),35215300)</f>
        <v>35215300</v>
      </c>
    </row>
    <row r="1306" spans="1:6">
      <c r="A1306" s="5">
        <f ca="1">IFERROR(__xludf.DUMMYFUNCTION("""COMPUTED_VALUE"""),43978.625)</f>
        <v>43978.625</v>
      </c>
      <c r="B1306" s="2">
        <f ca="1">IFERROR(__xludf.DUMMYFUNCTION("""COMPUTED_VALUE"""),24850)</f>
        <v>24850</v>
      </c>
      <c r="C1306" s="2">
        <f ca="1">IFERROR(__xludf.DUMMYFUNCTION("""COMPUTED_VALUE"""),25000)</f>
        <v>25000</v>
      </c>
      <c r="D1306" s="2">
        <f ca="1">IFERROR(__xludf.DUMMYFUNCTION("""COMPUTED_VALUE"""),24275)</f>
        <v>24275</v>
      </c>
      <c r="E1306" s="2">
        <f ca="1">IFERROR(__xludf.DUMMYFUNCTION("""COMPUTED_VALUE"""),24825)</f>
        <v>24825</v>
      </c>
      <c r="F1306" s="2">
        <f ca="1">IFERROR(__xludf.DUMMYFUNCTION("""COMPUTED_VALUE"""),30350700)</f>
        <v>30350700</v>
      </c>
    </row>
    <row r="1307" spans="1:6">
      <c r="A1307" s="5">
        <f ca="1">IFERROR(__xludf.DUMMYFUNCTION("""COMPUTED_VALUE"""),43979.625)</f>
        <v>43979.625</v>
      </c>
      <c r="B1307" s="2">
        <f ca="1">IFERROR(__xludf.DUMMYFUNCTION("""COMPUTED_VALUE"""),25000)</f>
        <v>25000</v>
      </c>
      <c r="C1307" s="2">
        <f ca="1">IFERROR(__xludf.DUMMYFUNCTION("""COMPUTED_VALUE"""),26600)</f>
        <v>26600</v>
      </c>
      <c r="D1307" s="2">
        <f ca="1">IFERROR(__xludf.DUMMYFUNCTION("""COMPUTED_VALUE"""),25000)</f>
        <v>25000</v>
      </c>
      <c r="E1307" s="2">
        <f ca="1">IFERROR(__xludf.DUMMYFUNCTION("""COMPUTED_VALUE"""),26475)</f>
        <v>26475</v>
      </c>
      <c r="F1307" s="2">
        <f ca="1">IFERROR(__xludf.DUMMYFUNCTION("""COMPUTED_VALUE"""),45846600)</f>
        <v>45846600</v>
      </c>
    </row>
    <row r="1308" spans="1:6">
      <c r="A1308" s="5">
        <f ca="1">IFERROR(__xludf.DUMMYFUNCTION("""COMPUTED_VALUE"""),43980.625)</f>
        <v>43980.625</v>
      </c>
      <c r="B1308" s="2">
        <f ca="1">IFERROR(__xludf.DUMMYFUNCTION("""COMPUTED_VALUE"""),26475)</f>
        <v>26475</v>
      </c>
      <c r="C1308" s="2">
        <f ca="1">IFERROR(__xludf.DUMMYFUNCTION("""COMPUTED_VALUE"""),26475)</f>
        <v>26475</v>
      </c>
      <c r="D1308" s="2">
        <f ca="1">IFERROR(__xludf.DUMMYFUNCTION("""COMPUTED_VALUE"""),25950)</f>
        <v>25950</v>
      </c>
      <c r="E1308" s="2">
        <f ca="1">IFERROR(__xludf.DUMMYFUNCTION("""COMPUTED_VALUE"""),25950)</f>
        <v>25950</v>
      </c>
      <c r="F1308" s="2">
        <f ca="1">IFERROR(__xludf.DUMMYFUNCTION("""COMPUTED_VALUE"""),79882800)</f>
        <v>79882800</v>
      </c>
    </row>
    <row r="1309" spans="1:6">
      <c r="A1309" s="5">
        <f ca="1">IFERROR(__xludf.DUMMYFUNCTION("""COMPUTED_VALUE"""),43984.625)</f>
        <v>43984.625</v>
      </c>
      <c r="B1309" s="2">
        <f ca="1">IFERROR(__xludf.DUMMYFUNCTION("""COMPUTED_VALUE"""),26300)</f>
        <v>26300</v>
      </c>
      <c r="C1309" s="2">
        <f ca="1">IFERROR(__xludf.DUMMYFUNCTION("""COMPUTED_VALUE"""),27500)</f>
        <v>27500</v>
      </c>
      <c r="D1309" s="2">
        <f ca="1">IFERROR(__xludf.DUMMYFUNCTION("""COMPUTED_VALUE"""),26200)</f>
        <v>26200</v>
      </c>
      <c r="E1309" s="2">
        <f ca="1">IFERROR(__xludf.DUMMYFUNCTION("""COMPUTED_VALUE"""),26800)</f>
        <v>26800</v>
      </c>
      <c r="F1309" s="2">
        <f ca="1">IFERROR(__xludf.DUMMYFUNCTION("""COMPUTED_VALUE"""),36273900)</f>
        <v>36273900</v>
      </c>
    </row>
    <row r="1310" spans="1:6">
      <c r="A1310" s="5">
        <f ca="1">IFERROR(__xludf.DUMMYFUNCTION("""COMPUTED_VALUE"""),43985.625)</f>
        <v>43985.625</v>
      </c>
      <c r="B1310" s="2">
        <f ca="1">IFERROR(__xludf.DUMMYFUNCTION("""COMPUTED_VALUE"""),27050)</f>
        <v>27050</v>
      </c>
      <c r="C1310" s="2">
        <f ca="1">IFERROR(__xludf.DUMMYFUNCTION("""COMPUTED_VALUE"""),28900)</f>
        <v>28900</v>
      </c>
      <c r="D1310" s="2">
        <f ca="1">IFERROR(__xludf.DUMMYFUNCTION("""COMPUTED_VALUE"""),27000)</f>
        <v>27000</v>
      </c>
      <c r="E1310" s="2">
        <f ca="1">IFERROR(__xludf.DUMMYFUNCTION("""COMPUTED_VALUE"""),28900)</f>
        <v>28900</v>
      </c>
      <c r="F1310" s="2">
        <f ca="1">IFERROR(__xludf.DUMMYFUNCTION("""COMPUTED_VALUE"""),55934700)</f>
        <v>55934700</v>
      </c>
    </row>
    <row r="1311" spans="1:6">
      <c r="A1311" s="5">
        <f ca="1">IFERROR(__xludf.DUMMYFUNCTION("""COMPUTED_VALUE"""),43986.625)</f>
        <v>43986.625</v>
      </c>
      <c r="B1311" s="2">
        <f ca="1">IFERROR(__xludf.DUMMYFUNCTION("""COMPUTED_VALUE"""),28900)</f>
        <v>28900</v>
      </c>
      <c r="C1311" s="2">
        <f ca="1">IFERROR(__xludf.DUMMYFUNCTION("""COMPUTED_VALUE"""),29950)</f>
        <v>29950</v>
      </c>
      <c r="D1311" s="2">
        <f ca="1">IFERROR(__xludf.DUMMYFUNCTION("""COMPUTED_VALUE"""),28000)</f>
        <v>28000</v>
      </c>
      <c r="E1311" s="2">
        <f ca="1">IFERROR(__xludf.DUMMYFUNCTION("""COMPUTED_VALUE"""),28950)</f>
        <v>28950</v>
      </c>
      <c r="F1311" s="2">
        <f ca="1">IFERROR(__xludf.DUMMYFUNCTION("""COMPUTED_VALUE"""),47231700)</f>
        <v>47231700</v>
      </c>
    </row>
    <row r="1312" spans="1:6">
      <c r="A1312" s="5">
        <f ca="1">IFERROR(__xludf.DUMMYFUNCTION("""COMPUTED_VALUE"""),43987.625)</f>
        <v>43987.625</v>
      </c>
      <c r="B1312" s="2">
        <f ca="1">IFERROR(__xludf.DUMMYFUNCTION("""COMPUTED_VALUE"""),28950)</f>
        <v>28950</v>
      </c>
      <c r="C1312" s="2">
        <f ca="1">IFERROR(__xludf.DUMMYFUNCTION("""COMPUTED_VALUE"""),29275)</f>
        <v>29275</v>
      </c>
      <c r="D1312" s="2">
        <f ca="1">IFERROR(__xludf.DUMMYFUNCTION("""COMPUTED_VALUE"""),27925)</f>
        <v>27925</v>
      </c>
      <c r="E1312" s="2">
        <f ca="1">IFERROR(__xludf.DUMMYFUNCTION("""COMPUTED_VALUE"""),28625)</f>
        <v>28625</v>
      </c>
      <c r="F1312" s="2">
        <f ca="1">IFERROR(__xludf.DUMMYFUNCTION("""COMPUTED_VALUE"""),17631500)</f>
        <v>17631500</v>
      </c>
    </row>
    <row r="1313" spans="1:6">
      <c r="A1313" s="5">
        <f ca="1">IFERROR(__xludf.DUMMYFUNCTION("""COMPUTED_VALUE"""),43990.625)</f>
        <v>43990.625</v>
      </c>
      <c r="B1313" s="2">
        <f ca="1">IFERROR(__xludf.DUMMYFUNCTION("""COMPUTED_VALUE"""),28775)</f>
        <v>28775</v>
      </c>
      <c r="C1313" s="2">
        <f ca="1">IFERROR(__xludf.DUMMYFUNCTION("""COMPUTED_VALUE"""),29625)</f>
        <v>29625</v>
      </c>
      <c r="D1313" s="2">
        <f ca="1">IFERROR(__xludf.DUMMYFUNCTION("""COMPUTED_VALUE"""),28775)</f>
        <v>28775</v>
      </c>
      <c r="E1313" s="2">
        <f ca="1">IFERROR(__xludf.DUMMYFUNCTION("""COMPUTED_VALUE"""),29500)</f>
        <v>29500</v>
      </c>
      <c r="F1313" s="2">
        <f ca="1">IFERROR(__xludf.DUMMYFUNCTION("""COMPUTED_VALUE"""),34711500)</f>
        <v>34711500</v>
      </c>
    </row>
    <row r="1314" spans="1:6">
      <c r="A1314" s="5">
        <f ca="1">IFERROR(__xludf.DUMMYFUNCTION("""COMPUTED_VALUE"""),43991.625)</f>
        <v>43991.625</v>
      </c>
      <c r="B1314" s="2">
        <f ca="1">IFERROR(__xludf.DUMMYFUNCTION("""COMPUTED_VALUE"""),29700)</f>
        <v>29700</v>
      </c>
      <c r="C1314" s="2">
        <f ca="1">IFERROR(__xludf.DUMMYFUNCTION("""COMPUTED_VALUE"""),29975)</f>
        <v>29975</v>
      </c>
      <c r="D1314" s="2">
        <f ca="1">IFERROR(__xludf.DUMMYFUNCTION("""COMPUTED_VALUE"""),28975)</f>
        <v>28975</v>
      </c>
      <c r="E1314" s="2">
        <f ca="1">IFERROR(__xludf.DUMMYFUNCTION("""COMPUTED_VALUE"""),29025)</f>
        <v>29025</v>
      </c>
      <c r="F1314" s="2">
        <f ca="1">IFERROR(__xludf.DUMMYFUNCTION("""COMPUTED_VALUE"""),20022000)</f>
        <v>20022000</v>
      </c>
    </row>
    <row r="1315" spans="1:6">
      <c r="A1315" s="5">
        <f ca="1">IFERROR(__xludf.DUMMYFUNCTION("""COMPUTED_VALUE"""),43992.625)</f>
        <v>43992.625</v>
      </c>
      <c r="B1315" s="2">
        <f ca="1">IFERROR(__xludf.DUMMYFUNCTION("""COMPUTED_VALUE"""),29000)</f>
        <v>29000</v>
      </c>
      <c r="C1315" s="2">
        <f ca="1">IFERROR(__xludf.DUMMYFUNCTION("""COMPUTED_VALUE"""),29325)</f>
        <v>29325</v>
      </c>
      <c r="D1315" s="2">
        <f ca="1">IFERROR(__xludf.DUMMYFUNCTION("""COMPUTED_VALUE"""),27975)</f>
        <v>27975</v>
      </c>
      <c r="E1315" s="2">
        <f ca="1">IFERROR(__xludf.DUMMYFUNCTION("""COMPUTED_VALUE"""),29000)</f>
        <v>29000</v>
      </c>
      <c r="F1315" s="2">
        <f ca="1">IFERROR(__xludf.DUMMYFUNCTION("""COMPUTED_VALUE"""),23076500)</f>
        <v>23076500</v>
      </c>
    </row>
    <row r="1316" spans="1:6">
      <c r="A1316" s="5">
        <f ca="1">IFERROR(__xludf.DUMMYFUNCTION("""COMPUTED_VALUE"""),43993.625)</f>
        <v>43993.625</v>
      </c>
      <c r="B1316" s="2">
        <f ca="1">IFERROR(__xludf.DUMMYFUNCTION("""COMPUTED_VALUE"""),28750)</f>
        <v>28750</v>
      </c>
      <c r="C1316" s="2">
        <f ca="1">IFERROR(__xludf.DUMMYFUNCTION("""COMPUTED_VALUE"""),29050)</f>
        <v>29050</v>
      </c>
      <c r="D1316" s="2">
        <f ca="1">IFERROR(__xludf.DUMMYFUNCTION("""COMPUTED_VALUE"""),28025)</f>
        <v>28025</v>
      </c>
      <c r="E1316" s="2">
        <f ca="1">IFERROR(__xludf.DUMMYFUNCTION("""COMPUTED_VALUE"""),28400)</f>
        <v>28400</v>
      </c>
      <c r="F1316" s="2">
        <f ca="1">IFERROR(__xludf.DUMMYFUNCTION("""COMPUTED_VALUE"""),17037500)</f>
        <v>17037500</v>
      </c>
    </row>
    <row r="1317" spans="1:6">
      <c r="A1317" s="5">
        <f ca="1">IFERROR(__xludf.DUMMYFUNCTION("""COMPUTED_VALUE"""),43994.625)</f>
        <v>43994.625</v>
      </c>
      <c r="B1317" s="2">
        <f ca="1">IFERROR(__xludf.DUMMYFUNCTION("""COMPUTED_VALUE"""),28400)</f>
        <v>28400</v>
      </c>
      <c r="C1317" s="2">
        <f ca="1">IFERROR(__xludf.DUMMYFUNCTION("""COMPUTED_VALUE"""),28400)</f>
        <v>28400</v>
      </c>
      <c r="D1317" s="2">
        <f ca="1">IFERROR(__xludf.DUMMYFUNCTION("""COMPUTED_VALUE"""),27400)</f>
        <v>27400</v>
      </c>
      <c r="E1317" s="2">
        <f ca="1">IFERROR(__xludf.DUMMYFUNCTION("""COMPUTED_VALUE"""),28350)</f>
        <v>28350</v>
      </c>
      <c r="F1317" s="2">
        <f ca="1">IFERROR(__xludf.DUMMYFUNCTION("""COMPUTED_VALUE"""),19208800)</f>
        <v>19208800</v>
      </c>
    </row>
    <row r="1318" spans="1:6">
      <c r="A1318" s="5">
        <f ca="1">IFERROR(__xludf.DUMMYFUNCTION("""COMPUTED_VALUE"""),43997.625)</f>
        <v>43997.625</v>
      </c>
      <c r="B1318" s="2">
        <f ca="1">IFERROR(__xludf.DUMMYFUNCTION("""COMPUTED_VALUE"""),28400)</f>
        <v>28400</v>
      </c>
      <c r="C1318" s="2">
        <f ca="1">IFERROR(__xludf.DUMMYFUNCTION("""COMPUTED_VALUE"""),28550)</f>
        <v>28550</v>
      </c>
      <c r="D1318" s="2">
        <f ca="1">IFERROR(__xludf.DUMMYFUNCTION("""COMPUTED_VALUE"""),27500)</f>
        <v>27500</v>
      </c>
      <c r="E1318" s="2">
        <f ca="1">IFERROR(__xludf.DUMMYFUNCTION("""COMPUTED_VALUE"""),27500)</f>
        <v>27500</v>
      </c>
      <c r="F1318" s="2">
        <f ca="1">IFERROR(__xludf.DUMMYFUNCTION("""COMPUTED_VALUE"""),20168900)</f>
        <v>20168900</v>
      </c>
    </row>
    <row r="1319" spans="1:6">
      <c r="A1319" s="5">
        <f ca="1">IFERROR(__xludf.DUMMYFUNCTION("""COMPUTED_VALUE"""),43998.625)</f>
        <v>43998.625</v>
      </c>
      <c r="B1319" s="2">
        <f ca="1">IFERROR(__xludf.DUMMYFUNCTION("""COMPUTED_VALUE"""),27900)</f>
        <v>27900</v>
      </c>
      <c r="C1319" s="2">
        <f ca="1">IFERROR(__xludf.DUMMYFUNCTION("""COMPUTED_VALUE"""),28975)</f>
        <v>28975</v>
      </c>
      <c r="D1319" s="2">
        <f ca="1">IFERROR(__xludf.DUMMYFUNCTION("""COMPUTED_VALUE"""),27900)</f>
        <v>27900</v>
      </c>
      <c r="E1319" s="2">
        <f ca="1">IFERROR(__xludf.DUMMYFUNCTION("""COMPUTED_VALUE"""),28800)</f>
        <v>28800</v>
      </c>
      <c r="F1319" s="2">
        <f ca="1">IFERROR(__xludf.DUMMYFUNCTION("""COMPUTED_VALUE"""),18303700)</f>
        <v>18303700</v>
      </c>
    </row>
    <row r="1320" spans="1:6">
      <c r="A1320" s="5">
        <f ca="1">IFERROR(__xludf.DUMMYFUNCTION("""COMPUTED_VALUE"""),43999.625)</f>
        <v>43999.625</v>
      </c>
      <c r="B1320" s="2">
        <f ca="1">IFERROR(__xludf.DUMMYFUNCTION("""COMPUTED_VALUE"""),29000)</f>
        <v>29000</v>
      </c>
      <c r="C1320" s="2">
        <f ca="1">IFERROR(__xludf.DUMMYFUNCTION("""COMPUTED_VALUE"""),29000)</f>
        <v>29000</v>
      </c>
      <c r="D1320" s="2">
        <f ca="1">IFERROR(__xludf.DUMMYFUNCTION("""COMPUTED_VALUE"""),28400)</f>
        <v>28400</v>
      </c>
      <c r="E1320" s="2">
        <f ca="1">IFERROR(__xludf.DUMMYFUNCTION("""COMPUTED_VALUE"""),28600)</f>
        <v>28600</v>
      </c>
      <c r="F1320" s="2">
        <f ca="1">IFERROR(__xludf.DUMMYFUNCTION("""COMPUTED_VALUE"""),15960000)</f>
        <v>15960000</v>
      </c>
    </row>
    <row r="1321" spans="1:6">
      <c r="A1321" s="5">
        <f ca="1">IFERROR(__xludf.DUMMYFUNCTION("""COMPUTED_VALUE"""),44000.625)</f>
        <v>44000.625</v>
      </c>
      <c r="B1321" s="2">
        <f ca="1">IFERROR(__xludf.DUMMYFUNCTION("""COMPUTED_VALUE"""),28600)</f>
        <v>28600</v>
      </c>
      <c r="C1321" s="2">
        <f ca="1">IFERROR(__xludf.DUMMYFUNCTION("""COMPUTED_VALUE"""),28700)</f>
        <v>28700</v>
      </c>
      <c r="D1321" s="2">
        <f ca="1">IFERROR(__xludf.DUMMYFUNCTION("""COMPUTED_VALUE"""),27925)</f>
        <v>27925</v>
      </c>
      <c r="E1321" s="2">
        <f ca="1">IFERROR(__xludf.DUMMYFUNCTION("""COMPUTED_VALUE"""),27925)</f>
        <v>27925</v>
      </c>
      <c r="F1321" s="2">
        <f ca="1">IFERROR(__xludf.DUMMYFUNCTION("""COMPUTED_VALUE"""),13606400)</f>
        <v>13606400</v>
      </c>
    </row>
    <row r="1322" spans="1:6">
      <c r="A1322" s="5">
        <f ca="1">IFERROR(__xludf.DUMMYFUNCTION("""COMPUTED_VALUE"""),44001.625)</f>
        <v>44001.625</v>
      </c>
      <c r="B1322" s="2">
        <f ca="1">IFERROR(__xludf.DUMMYFUNCTION("""COMPUTED_VALUE"""),28000)</f>
        <v>28000</v>
      </c>
      <c r="C1322" s="2">
        <f ca="1">IFERROR(__xludf.DUMMYFUNCTION("""COMPUTED_VALUE"""),28250)</f>
        <v>28250</v>
      </c>
      <c r="D1322" s="2">
        <f ca="1">IFERROR(__xludf.DUMMYFUNCTION("""COMPUTED_VALUE"""),27725)</f>
        <v>27725</v>
      </c>
      <c r="E1322" s="2">
        <f ca="1">IFERROR(__xludf.DUMMYFUNCTION("""COMPUTED_VALUE"""),27875)</f>
        <v>27875</v>
      </c>
      <c r="F1322" s="2">
        <f ca="1">IFERROR(__xludf.DUMMYFUNCTION("""COMPUTED_VALUE"""),22014200)</f>
        <v>22014200</v>
      </c>
    </row>
    <row r="1323" spans="1:6">
      <c r="A1323" s="5">
        <f ca="1">IFERROR(__xludf.DUMMYFUNCTION("""COMPUTED_VALUE"""),44004.625)</f>
        <v>44004.625</v>
      </c>
      <c r="B1323" s="2">
        <f ca="1">IFERROR(__xludf.DUMMYFUNCTION("""COMPUTED_VALUE"""),27975)</f>
        <v>27975</v>
      </c>
      <c r="C1323" s="2">
        <f ca="1">IFERROR(__xludf.DUMMYFUNCTION("""COMPUTED_VALUE"""),28300)</f>
        <v>28300</v>
      </c>
      <c r="D1323" s="2">
        <f ca="1">IFERROR(__xludf.DUMMYFUNCTION("""COMPUTED_VALUE"""),27650)</f>
        <v>27650</v>
      </c>
      <c r="E1323" s="2">
        <f ca="1">IFERROR(__xludf.DUMMYFUNCTION("""COMPUTED_VALUE"""),27700)</f>
        <v>27700</v>
      </c>
      <c r="F1323" s="2">
        <f ca="1">IFERROR(__xludf.DUMMYFUNCTION("""COMPUTED_VALUE"""),10318100)</f>
        <v>10318100</v>
      </c>
    </row>
    <row r="1324" spans="1:6">
      <c r="A1324" s="5">
        <f ca="1">IFERROR(__xludf.DUMMYFUNCTION("""COMPUTED_VALUE"""),44005.625)</f>
        <v>44005.625</v>
      </c>
      <c r="B1324" s="2">
        <f ca="1">IFERROR(__xludf.DUMMYFUNCTION("""COMPUTED_VALUE"""),27850)</f>
        <v>27850</v>
      </c>
      <c r="C1324" s="2">
        <f ca="1">IFERROR(__xludf.DUMMYFUNCTION("""COMPUTED_VALUE"""),28300)</f>
        <v>28300</v>
      </c>
      <c r="D1324" s="2">
        <f ca="1">IFERROR(__xludf.DUMMYFUNCTION("""COMPUTED_VALUE"""),27600)</f>
        <v>27600</v>
      </c>
      <c r="E1324" s="2">
        <f ca="1">IFERROR(__xludf.DUMMYFUNCTION("""COMPUTED_VALUE"""),28100)</f>
        <v>28100</v>
      </c>
      <c r="F1324" s="2">
        <f ca="1">IFERROR(__xludf.DUMMYFUNCTION("""COMPUTED_VALUE"""),13990800)</f>
        <v>13990800</v>
      </c>
    </row>
    <row r="1325" spans="1:6">
      <c r="A1325" s="5">
        <f ca="1">IFERROR(__xludf.DUMMYFUNCTION("""COMPUTED_VALUE"""),44006.625)</f>
        <v>44006.625</v>
      </c>
      <c r="B1325" s="2">
        <f ca="1">IFERROR(__xludf.DUMMYFUNCTION("""COMPUTED_VALUE"""),28250)</f>
        <v>28250</v>
      </c>
      <c r="C1325" s="2">
        <f ca="1">IFERROR(__xludf.DUMMYFUNCTION("""COMPUTED_VALUE"""),28800)</f>
        <v>28800</v>
      </c>
      <c r="D1325" s="2">
        <f ca="1">IFERROR(__xludf.DUMMYFUNCTION("""COMPUTED_VALUE"""),28200)</f>
        <v>28200</v>
      </c>
      <c r="E1325" s="2">
        <f ca="1">IFERROR(__xludf.DUMMYFUNCTION("""COMPUTED_VALUE"""),28525)</f>
        <v>28525</v>
      </c>
      <c r="F1325" s="2">
        <f ca="1">IFERROR(__xludf.DUMMYFUNCTION("""COMPUTED_VALUE"""),11466600)</f>
        <v>11466600</v>
      </c>
    </row>
    <row r="1326" spans="1:6">
      <c r="A1326" s="5">
        <f ca="1">IFERROR(__xludf.DUMMYFUNCTION("""COMPUTED_VALUE"""),44007.625)</f>
        <v>44007.625</v>
      </c>
      <c r="B1326" s="2">
        <f ca="1">IFERROR(__xludf.DUMMYFUNCTION("""COMPUTED_VALUE"""),28500)</f>
        <v>28500</v>
      </c>
      <c r="C1326" s="2">
        <f ca="1">IFERROR(__xludf.DUMMYFUNCTION("""COMPUTED_VALUE"""),28725)</f>
        <v>28725</v>
      </c>
      <c r="D1326" s="2">
        <f ca="1">IFERROR(__xludf.DUMMYFUNCTION("""COMPUTED_VALUE"""),28200)</f>
        <v>28200</v>
      </c>
      <c r="E1326" s="2">
        <f ca="1">IFERROR(__xludf.DUMMYFUNCTION("""COMPUTED_VALUE"""),28625)</f>
        <v>28625</v>
      </c>
      <c r="F1326" s="2">
        <f ca="1">IFERROR(__xludf.DUMMYFUNCTION("""COMPUTED_VALUE"""),10283000)</f>
        <v>10283000</v>
      </c>
    </row>
    <row r="1327" spans="1:6">
      <c r="A1327" s="5">
        <f ca="1">IFERROR(__xludf.DUMMYFUNCTION("""COMPUTED_VALUE"""),44008.625)</f>
        <v>44008.625</v>
      </c>
      <c r="B1327" s="2">
        <f ca="1">IFERROR(__xludf.DUMMYFUNCTION("""COMPUTED_VALUE"""),28600)</f>
        <v>28600</v>
      </c>
      <c r="C1327" s="2">
        <f ca="1">IFERROR(__xludf.DUMMYFUNCTION("""COMPUTED_VALUE"""),28800)</f>
        <v>28800</v>
      </c>
      <c r="D1327" s="2">
        <f ca="1">IFERROR(__xludf.DUMMYFUNCTION("""COMPUTED_VALUE"""),28200)</f>
        <v>28200</v>
      </c>
      <c r="E1327" s="2">
        <f ca="1">IFERROR(__xludf.DUMMYFUNCTION("""COMPUTED_VALUE"""),28225)</f>
        <v>28225</v>
      </c>
      <c r="F1327" s="2">
        <f ca="1">IFERROR(__xludf.DUMMYFUNCTION("""COMPUTED_VALUE"""),11493500)</f>
        <v>11493500</v>
      </c>
    </row>
    <row r="1328" spans="1:6">
      <c r="A1328" s="5">
        <f ca="1">IFERROR(__xludf.DUMMYFUNCTION("""COMPUTED_VALUE"""),44011.625)</f>
        <v>44011.625</v>
      </c>
      <c r="B1328" s="2">
        <f ca="1">IFERROR(__xludf.DUMMYFUNCTION("""COMPUTED_VALUE"""),28200)</f>
        <v>28200</v>
      </c>
      <c r="C1328" s="2">
        <f ca="1">IFERROR(__xludf.DUMMYFUNCTION("""COMPUTED_VALUE"""),28475)</f>
        <v>28475</v>
      </c>
      <c r="D1328" s="2">
        <f ca="1">IFERROR(__xludf.DUMMYFUNCTION("""COMPUTED_VALUE"""),27925)</f>
        <v>27925</v>
      </c>
      <c r="E1328" s="2">
        <f ca="1">IFERROR(__xludf.DUMMYFUNCTION("""COMPUTED_VALUE"""),28375)</f>
        <v>28375</v>
      </c>
      <c r="F1328" s="2">
        <f ca="1">IFERROR(__xludf.DUMMYFUNCTION("""COMPUTED_VALUE"""),9759300)</f>
        <v>9759300</v>
      </c>
    </row>
    <row r="1329" spans="1:6">
      <c r="A1329" s="5">
        <f ca="1">IFERROR(__xludf.DUMMYFUNCTION("""COMPUTED_VALUE"""),44012.625)</f>
        <v>44012.625</v>
      </c>
      <c r="B1329" s="2">
        <f ca="1">IFERROR(__xludf.DUMMYFUNCTION("""COMPUTED_VALUE"""),28500)</f>
        <v>28500</v>
      </c>
      <c r="C1329" s="2">
        <f ca="1">IFERROR(__xludf.DUMMYFUNCTION("""COMPUTED_VALUE"""),28700)</f>
        <v>28700</v>
      </c>
      <c r="D1329" s="2">
        <f ca="1">IFERROR(__xludf.DUMMYFUNCTION("""COMPUTED_VALUE"""),28300)</f>
        <v>28300</v>
      </c>
      <c r="E1329" s="2">
        <f ca="1">IFERROR(__xludf.DUMMYFUNCTION("""COMPUTED_VALUE"""),28475)</f>
        <v>28475</v>
      </c>
      <c r="F1329" s="2">
        <f ca="1">IFERROR(__xludf.DUMMYFUNCTION("""COMPUTED_VALUE"""),14894800)</f>
        <v>14894800</v>
      </c>
    </row>
    <row r="1330" spans="1:6">
      <c r="A1330" s="5">
        <f ca="1">IFERROR(__xludf.DUMMYFUNCTION("""COMPUTED_VALUE"""),44013.625)</f>
        <v>44013.625</v>
      </c>
      <c r="B1330" s="2">
        <f ca="1">IFERROR(__xludf.DUMMYFUNCTION("""COMPUTED_VALUE"""),28500)</f>
        <v>28500</v>
      </c>
      <c r="C1330" s="2">
        <f ca="1">IFERROR(__xludf.DUMMYFUNCTION("""COMPUTED_VALUE"""),29000)</f>
        <v>29000</v>
      </c>
      <c r="D1330" s="2">
        <f ca="1">IFERROR(__xludf.DUMMYFUNCTION("""COMPUTED_VALUE"""),28375)</f>
        <v>28375</v>
      </c>
      <c r="E1330" s="2">
        <f ca="1">IFERROR(__xludf.DUMMYFUNCTION("""COMPUTED_VALUE"""),29000)</f>
        <v>29000</v>
      </c>
      <c r="F1330" s="2">
        <f ca="1">IFERROR(__xludf.DUMMYFUNCTION("""COMPUTED_VALUE"""),12791800)</f>
        <v>12791800</v>
      </c>
    </row>
    <row r="1331" spans="1:6">
      <c r="A1331" s="5">
        <f ca="1">IFERROR(__xludf.DUMMYFUNCTION("""COMPUTED_VALUE"""),44014.625)</f>
        <v>44014.625</v>
      </c>
      <c r="B1331" s="2">
        <f ca="1">IFERROR(__xludf.DUMMYFUNCTION("""COMPUTED_VALUE"""),28875)</f>
        <v>28875</v>
      </c>
      <c r="C1331" s="2">
        <f ca="1">IFERROR(__xludf.DUMMYFUNCTION("""COMPUTED_VALUE"""),29350)</f>
        <v>29350</v>
      </c>
      <c r="D1331" s="2">
        <f ca="1">IFERROR(__xludf.DUMMYFUNCTION("""COMPUTED_VALUE"""),28800)</f>
        <v>28800</v>
      </c>
      <c r="E1331" s="2">
        <f ca="1">IFERROR(__xludf.DUMMYFUNCTION("""COMPUTED_VALUE"""),29350)</f>
        <v>29350</v>
      </c>
      <c r="F1331" s="2">
        <f ca="1">IFERROR(__xludf.DUMMYFUNCTION("""COMPUTED_VALUE"""),15117100)</f>
        <v>15117100</v>
      </c>
    </row>
    <row r="1332" spans="1:6">
      <c r="A1332" s="5">
        <f ca="1">IFERROR(__xludf.DUMMYFUNCTION("""COMPUTED_VALUE"""),44015.625)</f>
        <v>44015.625</v>
      </c>
      <c r="B1332" s="2">
        <f ca="1">IFERROR(__xludf.DUMMYFUNCTION("""COMPUTED_VALUE"""),29350)</f>
        <v>29350</v>
      </c>
      <c r="C1332" s="2">
        <f ca="1">IFERROR(__xludf.DUMMYFUNCTION("""COMPUTED_VALUE"""),29525)</f>
        <v>29525</v>
      </c>
      <c r="D1332" s="2">
        <f ca="1">IFERROR(__xludf.DUMMYFUNCTION("""COMPUTED_VALUE"""),29200)</f>
        <v>29200</v>
      </c>
      <c r="E1332" s="2">
        <f ca="1">IFERROR(__xludf.DUMMYFUNCTION("""COMPUTED_VALUE"""),29350)</f>
        <v>29350</v>
      </c>
      <c r="F1332" s="2">
        <f ca="1">IFERROR(__xludf.DUMMYFUNCTION("""COMPUTED_VALUE"""),10443800)</f>
        <v>10443800</v>
      </c>
    </row>
    <row r="1333" spans="1:6">
      <c r="A1333" s="5">
        <f ca="1">IFERROR(__xludf.DUMMYFUNCTION("""COMPUTED_VALUE"""),44018.625)</f>
        <v>44018.625</v>
      </c>
      <c r="B1333" s="2">
        <f ca="1">IFERROR(__xludf.DUMMYFUNCTION("""COMPUTED_VALUE"""),29300)</f>
        <v>29300</v>
      </c>
      <c r="C1333" s="2">
        <f ca="1">IFERROR(__xludf.DUMMYFUNCTION("""COMPUTED_VALUE"""),29675)</f>
        <v>29675</v>
      </c>
      <c r="D1333" s="2">
        <f ca="1">IFERROR(__xludf.DUMMYFUNCTION("""COMPUTED_VALUE"""),29250)</f>
        <v>29250</v>
      </c>
      <c r="E1333" s="2">
        <f ca="1">IFERROR(__xludf.DUMMYFUNCTION("""COMPUTED_VALUE"""),29675)</f>
        <v>29675</v>
      </c>
      <c r="F1333" s="2">
        <f ca="1">IFERROR(__xludf.DUMMYFUNCTION("""COMPUTED_VALUE"""),13560000)</f>
        <v>13560000</v>
      </c>
    </row>
    <row r="1334" spans="1:6">
      <c r="A1334" s="5">
        <f ca="1">IFERROR(__xludf.DUMMYFUNCTION("""COMPUTED_VALUE"""),44019.625)</f>
        <v>44019.625</v>
      </c>
      <c r="B1334" s="2">
        <f ca="1">IFERROR(__xludf.DUMMYFUNCTION("""COMPUTED_VALUE"""),29700)</f>
        <v>29700</v>
      </c>
      <c r="C1334" s="2">
        <f ca="1">IFERROR(__xludf.DUMMYFUNCTION("""COMPUTED_VALUE"""),29975)</f>
        <v>29975</v>
      </c>
      <c r="D1334" s="2">
        <f ca="1">IFERROR(__xludf.DUMMYFUNCTION("""COMPUTED_VALUE"""),29500)</f>
        <v>29500</v>
      </c>
      <c r="E1334" s="2">
        <f ca="1">IFERROR(__xludf.DUMMYFUNCTION("""COMPUTED_VALUE"""),29950)</f>
        <v>29950</v>
      </c>
      <c r="F1334" s="2">
        <f ca="1">IFERROR(__xludf.DUMMYFUNCTION("""COMPUTED_VALUE"""),14833600)</f>
        <v>14833600</v>
      </c>
    </row>
    <row r="1335" spans="1:6">
      <c r="A1335" s="5">
        <f ca="1">IFERROR(__xludf.DUMMYFUNCTION("""COMPUTED_VALUE"""),44020.625)</f>
        <v>44020.625</v>
      </c>
      <c r="B1335" s="2">
        <f ca="1">IFERROR(__xludf.DUMMYFUNCTION("""COMPUTED_VALUE"""),29950)</f>
        <v>29950</v>
      </c>
      <c r="C1335" s="2">
        <f ca="1">IFERROR(__xludf.DUMMYFUNCTION("""COMPUTED_VALUE"""),31325)</f>
        <v>31325</v>
      </c>
      <c r="D1335" s="2">
        <f ca="1">IFERROR(__xludf.DUMMYFUNCTION("""COMPUTED_VALUE"""),29900)</f>
        <v>29900</v>
      </c>
      <c r="E1335" s="2">
        <f ca="1">IFERROR(__xludf.DUMMYFUNCTION("""COMPUTED_VALUE"""),31000)</f>
        <v>31000</v>
      </c>
      <c r="F1335" s="2">
        <f ca="1">IFERROR(__xludf.DUMMYFUNCTION("""COMPUTED_VALUE"""),21288900)</f>
        <v>21288900</v>
      </c>
    </row>
    <row r="1336" spans="1:6">
      <c r="A1336" s="5">
        <f ca="1">IFERROR(__xludf.DUMMYFUNCTION("""COMPUTED_VALUE"""),44021.625)</f>
        <v>44021.625</v>
      </c>
      <c r="B1336" s="2">
        <f ca="1">IFERROR(__xludf.DUMMYFUNCTION("""COMPUTED_VALUE"""),31050)</f>
        <v>31050</v>
      </c>
      <c r="C1336" s="2">
        <f ca="1">IFERROR(__xludf.DUMMYFUNCTION("""COMPUTED_VALUE"""),31200)</f>
        <v>31200</v>
      </c>
      <c r="D1336" s="2">
        <f ca="1">IFERROR(__xludf.DUMMYFUNCTION("""COMPUTED_VALUE"""),30150)</f>
        <v>30150</v>
      </c>
      <c r="E1336" s="2">
        <f ca="1">IFERROR(__xludf.DUMMYFUNCTION("""COMPUTED_VALUE"""),30500)</f>
        <v>30500</v>
      </c>
      <c r="F1336" s="2">
        <f ca="1">IFERROR(__xludf.DUMMYFUNCTION("""COMPUTED_VALUE"""),18708700)</f>
        <v>18708700</v>
      </c>
    </row>
    <row r="1337" spans="1:6">
      <c r="A1337" s="5">
        <f ca="1">IFERROR(__xludf.DUMMYFUNCTION("""COMPUTED_VALUE"""),44022.625)</f>
        <v>44022.625</v>
      </c>
      <c r="B1337" s="2">
        <f ca="1">IFERROR(__xludf.DUMMYFUNCTION("""COMPUTED_VALUE"""),30500)</f>
        <v>30500</v>
      </c>
      <c r="C1337" s="2">
        <f ca="1">IFERROR(__xludf.DUMMYFUNCTION("""COMPUTED_VALUE"""),31200)</f>
        <v>31200</v>
      </c>
      <c r="D1337" s="2">
        <f ca="1">IFERROR(__xludf.DUMMYFUNCTION("""COMPUTED_VALUE"""),30400)</f>
        <v>30400</v>
      </c>
      <c r="E1337" s="2">
        <f ca="1">IFERROR(__xludf.DUMMYFUNCTION("""COMPUTED_VALUE"""),31000)</f>
        <v>31000</v>
      </c>
      <c r="F1337" s="2">
        <f ca="1">IFERROR(__xludf.DUMMYFUNCTION("""COMPUTED_VALUE"""),13444800)</f>
        <v>13444800</v>
      </c>
    </row>
    <row r="1338" spans="1:6">
      <c r="A1338" s="5">
        <f ca="1">IFERROR(__xludf.DUMMYFUNCTION("""COMPUTED_VALUE"""),44025.625)</f>
        <v>44025.625</v>
      </c>
      <c r="B1338" s="2">
        <f ca="1">IFERROR(__xludf.DUMMYFUNCTION("""COMPUTED_VALUE"""),31150)</f>
        <v>31150</v>
      </c>
      <c r="C1338" s="2">
        <f ca="1">IFERROR(__xludf.DUMMYFUNCTION("""COMPUTED_VALUE"""),31200)</f>
        <v>31200</v>
      </c>
      <c r="D1338" s="2">
        <f ca="1">IFERROR(__xludf.DUMMYFUNCTION("""COMPUTED_VALUE"""),30700)</f>
        <v>30700</v>
      </c>
      <c r="E1338" s="2">
        <f ca="1">IFERROR(__xludf.DUMMYFUNCTION("""COMPUTED_VALUE"""),30875)</f>
        <v>30875</v>
      </c>
      <c r="F1338" s="2">
        <f ca="1">IFERROR(__xludf.DUMMYFUNCTION("""COMPUTED_VALUE"""),17201200)</f>
        <v>17201200</v>
      </c>
    </row>
    <row r="1339" spans="1:6">
      <c r="A1339" s="5">
        <f ca="1">IFERROR(__xludf.DUMMYFUNCTION("""COMPUTED_VALUE"""),44026.625)</f>
        <v>44026.625</v>
      </c>
      <c r="B1339" s="2">
        <f ca="1">IFERROR(__xludf.DUMMYFUNCTION("""COMPUTED_VALUE"""),30875)</f>
        <v>30875</v>
      </c>
      <c r="C1339" s="2">
        <f ca="1">IFERROR(__xludf.DUMMYFUNCTION("""COMPUTED_VALUE"""),31000)</f>
        <v>31000</v>
      </c>
      <c r="D1339" s="2">
        <f ca="1">IFERROR(__xludf.DUMMYFUNCTION("""COMPUTED_VALUE"""),30550)</f>
        <v>30550</v>
      </c>
      <c r="E1339" s="2">
        <f ca="1">IFERROR(__xludf.DUMMYFUNCTION("""COMPUTED_VALUE"""),31000)</f>
        <v>31000</v>
      </c>
      <c r="F1339" s="2">
        <f ca="1">IFERROR(__xludf.DUMMYFUNCTION("""COMPUTED_VALUE"""),9123300)</f>
        <v>9123300</v>
      </c>
    </row>
    <row r="1340" spans="1:6">
      <c r="A1340" s="5">
        <f ca="1">IFERROR(__xludf.DUMMYFUNCTION("""COMPUTED_VALUE"""),44027.625)</f>
        <v>44027.625</v>
      </c>
      <c r="B1340" s="2">
        <f ca="1">IFERROR(__xludf.DUMMYFUNCTION("""COMPUTED_VALUE"""),31000)</f>
        <v>31000</v>
      </c>
      <c r="C1340" s="2">
        <f ca="1">IFERROR(__xludf.DUMMYFUNCTION("""COMPUTED_VALUE"""),31200)</f>
        <v>31200</v>
      </c>
      <c r="D1340" s="2">
        <f ca="1">IFERROR(__xludf.DUMMYFUNCTION("""COMPUTED_VALUE"""),30750)</f>
        <v>30750</v>
      </c>
      <c r="E1340" s="2">
        <f ca="1">IFERROR(__xludf.DUMMYFUNCTION("""COMPUTED_VALUE"""),30750)</f>
        <v>30750</v>
      </c>
      <c r="F1340" s="2">
        <f ca="1">IFERROR(__xludf.DUMMYFUNCTION("""COMPUTED_VALUE"""),12293600)</f>
        <v>12293600</v>
      </c>
    </row>
    <row r="1341" spans="1:6">
      <c r="A1341" s="5">
        <f ca="1">IFERROR(__xludf.DUMMYFUNCTION("""COMPUTED_VALUE"""),44028.625)</f>
        <v>44028.625</v>
      </c>
      <c r="B1341" s="2">
        <f ca="1">IFERROR(__xludf.DUMMYFUNCTION("""COMPUTED_VALUE"""),30750)</f>
        <v>30750</v>
      </c>
      <c r="C1341" s="2">
        <f ca="1">IFERROR(__xludf.DUMMYFUNCTION("""COMPUTED_VALUE"""),31000)</f>
        <v>31000</v>
      </c>
      <c r="D1341" s="2">
        <f ca="1">IFERROR(__xludf.DUMMYFUNCTION("""COMPUTED_VALUE"""),30700)</f>
        <v>30700</v>
      </c>
      <c r="E1341" s="2">
        <f ca="1">IFERROR(__xludf.DUMMYFUNCTION("""COMPUTED_VALUE"""),30900)</f>
        <v>30900</v>
      </c>
      <c r="F1341" s="2">
        <f ca="1">IFERROR(__xludf.DUMMYFUNCTION("""COMPUTED_VALUE"""),13304100)</f>
        <v>13304100</v>
      </c>
    </row>
    <row r="1342" spans="1:6">
      <c r="A1342" s="5">
        <f ca="1">IFERROR(__xludf.DUMMYFUNCTION("""COMPUTED_VALUE"""),44029.625)</f>
        <v>44029.625</v>
      </c>
      <c r="B1342" s="2">
        <f ca="1">IFERROR(__xludf.DUMMYFUNCTION("""COMPUTED_VALUE"""),30675)</f>
        <v>30675</v>
      </c>
      <c r="C1342" s="2">
        <f ca="1">IFERROR(__xludf.DUMMYFUNCTION("""COMPUTED_VALUE"""),30900)</f>
        <v>30900</v>
      </c>
      <c r="D1342" s="2">
        <f ca="1">IFERROR(__xludf.DUMMYFUNCTION("""COMPUTED_VALUE"""),30200)</f>
        <v>30200</v>
      </c>
      <c r="E1342" s="2">
        <f ca="1">IFERROR(__xludf.DUMMYFUNCTION("""COMPUTED_VALUE"""),30600)</f>
        <v>30600</v>
      </c>
      <c r="F1342" s="2">
        <f ca="1">IFERROR(__xludf.DUMMYFUNCTION("""COMPUTED_VALUE"""),14669600)</f>
        <v>14669600</v>
      </c>
    </row>
    <row r="1343" spans="1:6">
      <c r="A1343" s="5">
        <f ca="1">IFERROR(__xludf.DUMMYFUNCTION("""COMPUTED_VALUE"""),44032.625)</f>
        <v>44032.625</v>
      </c>
      <c r="B1343" s="2">
        <f ca="1">IFERROR(__xludf.DUMMYFUNCTION("""COMPUTED_VALUE"""),30600)</f>
        <v>30600</v>
      </c>
      <c r="C1343" s="2">
        <f ca="1">IFERROR(__xludf.DUMMYFUNCTION("""COMPUTED_VALUE"""),30800)</f>
        <v>30800</v>
      </c>
      <c r="D1343" s="2">
        <f ca="1">IFERROR(__xludf.DUMMYFUNCTION("""COMPUTED_VALUE"""),30300)</f>
        <v>30300</v>
      </c>
      <c r="E1343" s="2">
        <f ca="1">IFERROR(__xludf.DUMMYFUNCTION("""COMPUTED_VALUE"""),30700)</f>
        <v>30700</v>
      </c>
      <c r="F1343" s="2">
        <f ca="1">IFERROR(__xludf.DUMMYFUNCTION("""COMPUTED_VALUE"""),11958900)</f>
        <v>11958900</v>
      </c>
    </row>
    <row r="1344" spans="1:6">
      <c r="A1344" s="5">
        <f ca="1">IFERROR(__xludf.DUMMYFUNCTION("""COMPUTED_VALUE"""),44033.625)</f>
        <v>44033.625</v>
      </c>
      <c r="B1344" s="2">
        <f ca="1">IFERROR(__xludf.DUMMYFUNCTION("""COMPUTED_VALUE"""),30500)</f>
        <v>30500</v>
      </c>
      <c r="C1344" s="2">
        <f ca="1">IFERROR(__xludf.DUMMYFUNCTION("""COMPUTED_VALUE"""),31175)</f>
        <v>31175</v>
      </c>
      <c r="D1344" s="2">
        <f ca="1">IFERROR(__xludf.DUMMYFUNCTION("""COMPUTED_VALUE"""),30500)</f>
        <v>30500</v>
      </c>
      <c r="E1344" s="2">
        <f ca="1">IFERROR(__xludf.DUMMYFUNCTION("""COMPUTED_VALUE"""),31000)</f>
        <v>31000</v>
      </c>
      <c r="F1344" s="2">
        <f ca="1">IFERROR(__xludf.DUMMYFUNCTION("""COMPUTED_VALUE"""),16831900)</f>
        <v>16831900</v>
      </c>
    </row>
    <row r="1345" spans="1:6">
      <c r="A1345" s="5">
        <f ca="1">IFERROR(__xludf.DUMMYFUNCTION("""COMPUTED_VALUE"""),44034.625)</f>
        <v>44034.625</v>
      </c>
      <c r="B1345" s="2">
        <f ca="1">IFERROR(__xludf.DUMMYFUNCTION("""COMPUTED_VALUE"""),31050)</f>
        <v>31050</v>
      </c>
      <c r="C1345" s="2">
        <f ca="1">IFERROR(__xludf.DUMMYFUNCTION("""COMPUTED_VALUE"""),31250)</f>
        <v>31250</v>
      </c>
      <c r="D1345" s="2">
        <f ca="1">IFERROR(__xludf.DUMMYFUNCTION("""COMPUTED_VALUE"""),30650)</f>
        <v>30650</v>
      </c>
      <c r="E1345" s="2">
        <f ca="1">IFERROR(__xludf.DUMMYFUNCTION("""COMPUTED_VALUE"""),30900)</f>
        <v>30900</v>
      </c>
      <c r="F1345" s="2">
        <f ca="1">IFERROR(__xludf.DUMMYFUNCTION("""COMPUTED_VALUE"""),8945100)</f>
        <v>8945100</v>
      </c>
    </row>
    <row r="1346" spans="1:6">
      <c r="A1346" s="5">
        <f ca="1">IFERROR(__xludf.DUMMYFUNCTION("""COMPUTED_VALUE"""),44035.625)</f>
        <v>44035.625</v>
      </c>
      <c r="B1346" s="2">
        <f ca="1">IFERROR(__xludf.DUMMYFUNCTION("""COMPUTED_VALUE"""),30900)</f>
        <v>30900</v>
      </c>
      <c r="C1346" s="2">
        <f ca="1">IFERROR(__xludf.DUMMYFUNCTION("""COMPUTED_VALUE"""),31075)</f>
        <v>31075</v>
      </c>
      <c r="D1346" s="2">
        <f ca="1">IFERROR(__xludf.DUMMYFUNCTION("""COMPUTED_VALUE"""),30700)</f>
        <v>30700</v>
      </c>
      <c r="E1346" s="2">
        <f ca="1">IFERROR(__xludf.DUMMYFUNCTION("""COMPUTED_VALUE"""),31000)</f>
        <v>31000</v>
      </c>
      <c r="F1346" s="2">
        <f ca="1">IFERROR(__xludf.DUMMYFUNCTION("""COMPUTED_VALUE"""),16805300)</f>
        <v>16805300</v>
      </c>
    </row>
    <row r="1347" spans="1:6">
      <c r="A1347" s="5">
        <f ca="1">IFERROR(__xludf.DUMMYFUNCTION("""COMPUTED_VALUE"""),44036.625)</f>
        <v>44036.625</v>
      </c>
      <c r="B1347" s="2">
        <f ca="1">IFERROR(__xludf.DUMMYFUNCTION("""COMPUTED_VALUE"""),31000)</f>
        <v>31000</v>
      </c>
      <c r="C1347" s="2">
        <f ca="1">IFERROR(__xludf.DUMMYFUNCTION("""COMPUTED_VALUE"""),31000)</f>
        <v>31000</v>
      </c>
      <c r="D1347" s="2">
        <f ca="1">IFERROR(__xludf.DUMMYFUNCTION("""COMPUTED_VALUE"""),30500)</f>
        <v>30500</v>
      </c>
      <c r="E1347" s="2">
        <f ca="1">IFERROR(__xludf.DUMMYFUNCTION("""COMPUTED_VALUE"""),30500)</f>
        <v>30500</v>
      </c>
      <c r="F1347" s="2">
        <f ca="1">IFERROR(__xludf.DUMMYFUNCTION("""COMPUTED_VALUE"""),11673300)</f>
        <v>11673300</v>
      </c>
    </row>
    <row r="1348" spans="1:6">
      <c r="A1348" s="5">
        <f ca="1">IFERROR(__xludf.DUMMYFUNCTION("""COMPUTED_VALUE"""),44039.625)</f>
        <v>44039.625</v>
      </c>
      <c r="B1348" s="2">
        <f ca="1">IFERROR(__xludf.DUMMYFUNCTION("""COMPUTED_VALUE"""),30500)</f>
        <v>30500</v>
      </c>
      <c r="C1348" s="2">
        <f ca="1">IFERROR(__xludf.DUMMYFUNCTION("""COMPUTED_VALUE"""),30700)</f>
        <v>30700</v>
      </c>
      <c r="D1348" s="2">
        <f ca="1">IFERROR(__xludf.DUMMYFUNCTION("""COMPUTED_VALUE"""),30000)</f>
        <v>30000</v>
      </c>
      <c r="E1348" s="2">
        <f ca="1">IFERROR(__xludf.DUMMYFUNCTION("""COMPUTED_VALUE"""),30500)</f>
        <v>30500</v>
      </c>
      <c r="F1348" s="2">
        <f ca="1">IFERROR(__xludf.DUMMYFUNCTION("""COMPUTED_VALUE"""),8394500)</f>
        <v>8394500</v>
      </c>
    </row>
    <row r="1349" spans="1:6">
      <c r="A1349" s="5">
        <f ca="1">IFERROR(__xludf.DUMMYFUNCTION("""COMPUTED_VALUE"""),44040.625)</f>
        <v>44040.625</v>
      </c>
      <c r="B1349" s="2">
        <f ca="1">IFERROR(__xludf.DUMMYFUNCTION("""COMPUTED_VALUE"""),30600)</f>
        <v>30600</v>
      </c>
      <c r="C1349" s="2">
        <f ca="1">IFERROR(__xludf.DUMMYFUNCTION("""COMPUTED_VALUE"""),31000)</f>
        <v>31000</v>
      </c>
      <c r="D1349" s="2">
        <f ca="1">IFERROR(__xludf.DUMMYFUNCTION("""COMPUTED_VALUE"""),30300)</f>
        <v>30300</v>
      </c>
      <c r="E1349" s="2">
        <f ca="1">IFERROR(__xludf.DUMMYFUNCTION("""COMPUTED_VALUE"""),30925)</f>
        <v>30925</v>
      </c>
      <c r="F1349" s="2">
        <f ca="1">IFERROR(__xludf.DUMMYFUNCTION("""COMPUTED_VALUE"""),13055800)</f>
        <v>13055800</v>
      </c>
    </row>
    <row r="1350" spans="1:6">
      <c r="A1350" s="5">
        <f ca="1">IFERROR(__xludf.DUMMYFUNCTION("""COMPUTED_VALUE"""),44041.625)</f>
        <v>44041.625</v>
      </c>
      <c r="B1350" s="2">
        <f ca="1">IFERROR(__xludf.DUMMYFUNCTION("""COMPUTED_VALUE"""),30925)</f>
        <v>30925</v>
      </c>
      <c r="C1350" s="2">
        <f ca="1">IFERROR(__xludf.DUMMYFUNCTION("""COMPUTED_VALUE"""),30925)</f>
        <v>30925</v>
      </c>
      <c r="D1350" s="2">
        <f ca="1">IFERROR(__xludf.DUMMYFUNCTION("""COMPUTED_VALUE"""),30500)</f>
        <v>30500</v>
      </c>
      <c r="E1350" s="2">
        <f ca="1">IFERROR(__xludf.DUMMYFUNCTION("""COMPUTED_VALUE"""),30675)</f>
        <v>30675</v>
      </c>
      <c r="F1350" s="2">
        <f ca="1">IFERROR(__xludf.DUMMYFUNCTION("""COMPUTED_VALUE"""),10052500)</f>
        <v>10052500</v>
      </c>
    </row>
    <row r="1351" spans="1:6">
      <c r="A1351" s="5">
        <f ca="1">IFERROR(__xludf.DUMMYFUNCTION("""COMPUTED_VALUE"""),44042.625)</f>
        <v>44042.625</v>
      </c>
      <c r="B1351" s="2">
        <f ca="1">IFERROR(__xludf.DUMMYFUNCTION("""COMPUTED_VALUE"""),30675)</f>
        <v>30675</v>
      </c>
      <c r="C1351" s="2">
        <f ca="1">IFERROR(__xludf.DUMMYFUNCTION("""COMPUTED_VALUE"""),31200)</f>
        <v>31200</v>
      </c>
      <c r="D1351" s="2">
        <f ca="1">IFERROR(__xludf.DUMMYFUNCTION("""COMPUTED_VALUE"""),30275)</f>
        <v>30275</v>
      </c>
      <c r="E1351" s="2">
        <f ca="1">IFERROR(__xludf.DUMMYFUNCTION("""COMPUTED_VALUE"""),31200)</f>
        <v>31200</v>
      </c>
      <c r="F1351" s="2">
        <f ca="1">IFERROR(__xludf.DUMMYFUNCTION("""COMPUTED_VALUE"""),16106700)</f>
        <v>16106700</v>
      </c>
    </row>
    <row r="1352" spans="1:6">
      <c r="A1352" s="5">
        <f ca="1">IFERROR(__xludf.DUMMYFUNCTION("""COMPUTED_VALUE"""),44046.625)</f>
        <v>44046.625</v>
      </c>
      <c r="B1352" s="2">
        <f ca="1">IFERROR(__xludf.DUMMYFUNCTION("""COMPUTED_VALUE"""),31100)</f>
        <v>31100</v>
      </c>
      <c r="C1352" s="2">
        <f ca="1">IFERROR(__xludf.DUMMYFUNCTION("""COMPUTED_VALUE"""),31175)</f>
        <v>31175</v>
      </c>
      <c r="D1352" s="2">
        <f ca="1">IFERROR(__xludf.DUMMYFUNCTION("""COMPUTED_VALUE"""),29125)</f>
        <v>29125</v>
      </c>
      <c r="E1352" s="2">
        <f ca="1">IFERROR(__xludf.DUMMYFUNCTION("""COMPUTED_VALUE"""),30650)</f>
        <v>30650</v>
      </c>
      <c r="F1352" s="2">
        <f ca="1">IFERROR(__xludf.DUMMYFUNCTION("""COMPUTED_VALUE"""),27415800)</f>
        <v>27415800</v>
      </c>
    </row>
    <row r="1353" spans="1:6">
      <c r="A1353" s="5">
        <f ca="1">IFERROR(__xludf.DUMMYFUNCTION("""COMPUTED_VALUE"""),44047.625)</f>
        <v>44047.625</v>
      </c>
      <c r="B1353" s="2">
        <f ca="1">IFERROR(__xludf.DUMMYFUNCTION("""COMPUTED_VALUE"""),30775)</f>
        <v>30775</v>
      </c>
      <c r="C1353" s="2">
        <f ca="1">IFERROR(__xludf.DUMMYFUNCTION("""COMPUTED_VALUE"""),31100)</f>
        <v>31100</v>
      </c>
      <c r="D1353" s="2">
        <f ca="1">IFERROR(__xludf.DUMMYFUNCTION("""COMPUTED_VALUE"""),30650)</f>
        <v>30650</v>
      </c>
      <c r="E1353" s="2">
        <f ca="1">IFERROR(__xludf.DUMMYFUNCTION("""COMPUTED_VALUE"""),31050)</f>
        <v>31050</v>
      </c>
      <c r="F1353" s="2">
        <f ca="1">IFERROR(__xludf.DUMMYFUNCTION("""COMPUTED_VALUE"""),15871400)</f>
        <v>15871400</v>
      </c>
    </row>
    <row r="1354" spans="1:6">
      <c r="A1354" s="5">
        <f ca="1">IFERROR(__xludf.DUMMYFUNCTION("""COMPUTED_VALUE"""),44048.625)</f>
        <v>44048.625</v>
      </c>
      <c r="B1354" s="2">
        <f ca="1">IFERROR(__xludf.DUMMYFUNCTION("""COMPUTED_VALUE"""),31000)</f>
        <v>31000</v>
      </c>
      <c r="C1354" s="2">
        <f ca="1">IFERROR(__xludf.DUMMYFUNCTION("""COMPUTED_VALUE"""),31100)</f>
        <v>31100</v>
      </c>
      <c r="D1354" s="2">
        <f ca="1">IFERROR(__xludf.DUMMYFUNCTION("""COMPUTED_VALUE"""),30500)</f>
        <v>30500</v>
      </c>
      <c r="E1354" s="2">
        <f ca="1">IFERROR(__xludf.DUMMYFUNCTION("""COMPUTED_VALUE"""),31025)</f>
        <v>31025</v>
      </c>
      <c r="F1354" s="2">
        <f ca="1">IFERROR(__xludf.DUMMYFUNCTION("""COMPUTED_VALUE"""),9878600)</f>
        <v>9878600</v>
      </c>
    </row>
    <row r="1355" spans="1:6">
      <c r="A1355" s="5">
        <f ca="1">IFERROR(__xludf.DUMMYFUNCTION("""COMPUTED_VALUE"""),44049.625)</f>
        <v>44049.625</v>
      </c>
      <c r="B1355" s="2">
        <f ca="1">IFERROR(__xludf.DUMMYFUNCTION("""COMPUTED_VALUE"""),31075)</f>
        <v>31075</v>
      </c>
      <c r="C1355" s="2">
        <f ca="1">IFERROR(__xludf.DUMMYFUNCTION("""COMPUTED_VALUE"""),31475)</f>
        <v>31475</v>
      </c>
      <c r="D1355" s="2">
        <f ca="1">IFERROR(__xludf.DUMMYFUNCTION("""COMPUTED_VALUE"""),30925)</f>
        <v>30925</v>
      </c>
      <c r="E1355" s="2">
        <f ca="1">IFERROR(__xludf.DUMMYFUNCTION("""COMPUTED_VALUE"""),31300)</f>
        <v>31300</v>
      </c>
      <c r="F1355" s="2">
        <f ca="1">IFERROR(__xludf.DUMMYFUNCTION("""COMPUTED_VALUE"""),11051700)</f>
        <v>11051700</v>
      </c>
    </row>
    <row r="1356" spans="1:6">
      <c r="A1356" s="5">
        <f ca="1">IFERROR(__xludf.DUMMYFUNCTION("""COMPUTED_VALUE"""),44050.625)</f>
        <v>44050.625</v>
      </c>
      <c r="B1356" s="2">
        <f ca="1">IFERROR(__xludf.DUMMYFUNCTION("""COMPUTED_VALUE"""),31325)</f>
        <v>31325</v>
      </c>
      <c r="C1356" s="2">
        <f ca="1">IFERROR(__xludf.DUMMYFUNCTION("""COMPUTED_VALUE"""),31425)</f>
        <v>31425</v>
      </c>
      <c r="D1356" s="2">
        <f ca="1">IFERROR(__xludf.DUMMYFUNCTION("""COMPUTED_VALUE"""),30800)</f>
        <v>30800</v>
      </c>
      <c r="E1356" s="2">
        <f ca="1">IFERROR(__xludf.DUMMYFUNCTION("""COMPUTED_VALUE"""),30900)</f>
        <v>30900</v>
      </c>
      <c r="F1356" s="2">
        <f ca="1">IFERROR(__xludf.DUMMYFUNCTION("""COMPUTED_VALUE"""),8724200)</f>
        <v>8724200</v>
      </c>
    </row>
    <row r="1357" spans="1:6">
      <c r="A1357" s="5">
        <f ca="1">IFERROR(__xludf.DUMMYFUNCTION("""COMPUTED_VALUE"""),44053.625)</f>
        <v>44053.625</v>
      </c>
      <c r="B1357" s="2">
        <f ca="1">IFERROR(__xludf.DUMMYFUNCTION("""COMPUTED_VALUE"""),30900)</f>
        <v>30900</v>
      </c>
      <c r="C1357" s="2">
        <f ca="1">IFERROR(__xludf.DUMMYFUNCTION("""COMPUTED_VALUE"""),31000)</f>
        <v>31000</v>
      </c>
      <c r="D1357" s="2">
        <f ca="1">IFERROR(__xludf.DUMMYFUNCTION("""COMPUTED_VALUE"""),30525)</f>
        <v>30525</v>
      </c>
      <c r="E1357" s="2">
        <f ca="1">IFERROR(__xludf.DUMMYFUNCTION("""COMPUTED_VALUE"""),30600)</f>
        <v>30600</v>
      </c>
      <c r="F1357" s="2">
        <f ca="1">IFERROR(__xludf.DUMMYFUNCTION("""COMPUTED_VALUE"""),7554900)</f>
        <v>7554900</v>
      </c>
    </row>
    <row r="1358" spans="1:6">
      <c r="A1358" s="5">
        <f ca="1">IFERROR(__xludf.DUMMYFUNCTION("""COMPUTED_VALUE"""),44054.625)</f>
        <v>44054.625</v>
      </c>
      <c r="B1358" s="2">
        <f ca="1">IFERROR(__xludf.DUMMYFUNCTION("""COMPUTED_VALUE"""),30700)</f>
        <v>30700</v>
      </c>
      <c r="C1358" s="2">
        <f ca="1">IFERROR(__xludf.DUMMYFUNCTION("""COMPUTED_VALUE"""),31000)</f>
        <v>31000</v>
      </c>
      <c r="D1358" s="2">
        <f ca="1">IFERROR(__xludf.DUMMYFUNCTION("""COMPUTED_VALUE"""),30650)</f>
        <v>30650</v>
      </c>
      <c r="E1358" s="2">
        <f ca="1">IFERROR(__xludf.DUMMYFUNCTION("""COMPUTED_VALUE"""),30875)</f>
        <v>30875</v>
      </c>
      <c r="F1358" s="2">
        <f ca="1">IFERROR(__xludf.DUMMYFUNCTION("""COMPUTED_VALUE"""),7759100)</f>
        <v>7759100</v>
      </c>
    </row>
    <row r="1359" spans="1:6">
      <c r="A1359" s="5">
        <f ca="1">IFERROR(__xludf.DUMMYFUNCTION("""COMPUTED_VALUE"""),44055.625)</f>
        <v>44055.625</v>
      </c>
      <c r="B1359" s="2">
        <f ca="1">IFERROR(__xludf.DUMMYFUNCTION("""COMPUTED_VALUE"""),30875)</f>
        <v>30875</v>
      </c>
      <c r="C1359" s="2">
        <f ca="1">IFERROR(__xludf.DUMMYFUNCTION("""COMPUTED_VALUE"""),31300)</f>
        <v>31300</v>
      </c>
      <c r="D1359" s="2">
        <f ca="1">IFERROR(__xludf.DUMMYFUNCTION("""COMPUTED_VALUE"""),30800)</f>
        <v>30800</v>
      </c>
      <c r="E1359" s="2">
        <f ca="1">IFERROR(__xludf.DUMMYFUNCTION("""COMPUTED_VALUE"""),31300)</f>
        <v>31300</v>
      </c>
      <c r="F1359" s="2">
        <f ca="1">IFERROR(__xludf.DUMMYFUNCTION("""COMPUTED_VALUE"""),7122400)</f>
        <v>7122400</v>
      </c>
    </row>
    <row r="1360" spans="1:6">
      <c r="A1360" s="5">
        <f ca="1">IFERROR(__xludf.DUMMYFUNCTION("""COMPUTED_VALUE"""),44056.625)</f>
        <v>44056.625</v>
      </c>
      <c r="B1360" s="2">
        <f ca="1">IFERROR(__xludf.DUMMYFUNCTION("""COMPUTED_VALUE"""),31300)</f>
        <v>31300</v>
      </c>
      <c r="C1360" s="2">
        <f ca="1">IFERROR(__xludf.DUMMYFUNCTION("""COMPUTED_VALUE"""),31500)</f>
        <v>31500</v>
      </c>
      <c r="D1360" s="2">
        <f ca="1">IFERROR(__xludf.DUMMYFUNCTION("""COMPUTED_VALUE"""),30900)</f>
        <v>30900</v>
      </c>
      <c r="E1360" s="2">
        <f ca="1">IFERROR(__xludf.DUMMYFUNCTION("""COMPUTED_VALUE"""),31500)</f>
        <v>31500</v>
      </c>
      <c r="F1360" s="2">
        <f ca="1">IFERROR(__xludf.DUMMYFUNCTION("""COMPUTED_VALUE"""),9716200)</f>
        <v>9716200</v>
      </c>
    </row>
    <row r="1361" spans="1:6">
      <c r="A1361" s="5">
        <f ca="1">IFERROR(__xludf.DUMMYFUNCTION("""COMPUTED_VALUE"""),44057.625)</f>
        <v>44057.625</v>
      </c>
      <c r="B1361" s="2">
        <f ca="1">IFERROR(__xludf.DUMMYFUNCTION("""COMPUTED_VALUE"""),31500)</f>
        <v>31500</v>
      </c>
      <c r="C1361" s="2">
        <f ca="1">IFERROR(__xludf.DUMMYFUNCTION("""COMPUTED_VALUE"""),32025)</f>
        <v>32025</v>
      </c>
      <c r="D1361" s="2">
        <f ca="1">IFERROR(__xludf.DUMMYFUNCTION("""COMPUTED_VALUE"""),31200)</f>
        <v>31200</v>
      </c>
      <c r="E1361" s="2">
        <f ca="1">IFERROR(__xludf.DUMMYFUNCTION("""COMPUTED_VALUE"""),32025)</f>
        <v>32025</v>
      </c>
      <c r="F1361" s="2">
        <f ca="1">IFERROR(__xludf.DUMMYFUNCTION("""COMPUTED_VALUE"""),11463200)</f>
        <v>11463200</v>
      </c>
    </row>
    <row r="1362" spans="1:6">
      <c r="A1362" s="5">
        <f ca="1">IFERROR(__xludf.DUMMYFUNCTION("""COMPUTED_VALUE"""),44061.625)</f>
        <v>44061.625</v>
      </c>
      <c r="B1362" s="2">
        <f ca="1">IFERROR(__xludf.DUMMYFUNCTION("""COMPUTED_VALUE"""),32025)</f>
        <v>32025</v>
      </c>
      <c r="C1362" s="2">
        <f ca="1">IFERROR(__xludf.DUMMYFUNCTION("""COMPUTED_VALUE"""),32125)</f>
        <v>32125</v>
      </c>
      <c r="D1362" s="2">
        <f ca="1">IFERROR(__xludf.DUMMYFUNCTION("""COMPUTED_VALUE"""),31500)</f>
        <v>31500</v>
      </c>
      <c r="E1362" s="2">
        <f ca="1">IFERROR(__xludf.DUMMYFUNCTION("""COMPUTED_VALUE"""),31800)</f>
        <v>31800</v>
      </c>
      <c r="F1362" s="2">
        <f ca="1">IFERROR(__xludf.DUMMYFUNCTION("""COMPUTED_VALUE"""),16312700)</f>
        <v>16312700</v>
      </c>
    </row>
    <row r="1363" spans="1:6">
      <c r="A1363" s="5">
        <f ca="1">IFERROR(__xludf.DUMMYFUNCTION("""COMPUTED_VALUE"""),44062.625)</f>
        <v>44062.625</v>
      </c>
      <c r="B1363" s="2">
        <f ca="1">IFERROR(__xludf.DUMMYFUNCTION("""COMPUTED_VALUE"""),31800)</f>
        <v>31800</v>
      </c>
      <c r="C1363" s="2">
        <f ca="1">IFERROR(__xludf.DUMMYFUNCTION("""COMPUTED_VALUE"""),32050)</f>
        <v>32050</v>
      </c>
      <c r="D1363" s="2">
        <f ca="1">IFERROR(__xludf.DUMMYFUNCTION("""COMPUTED_VALUE"""),31550)</f>
        <v>31550</v>
      </c>
      <c r="E1363" s="2">
        <f ca="1">IFERROR(__xludf.DUMMYFUNCTION("""COMPUTED_VALUE"""),31650)</f>
        <v>31650</v>
      </c>
      <c r="F1363" s="2">
        <f ca="1">IFERROR(__xludf.DUMMYFUNCTION("""COMPUTED_VALUE"""),11758700)</f>
        <v>11758700</v>
      </c>
    </row>
    <row r="1364" spans="1:6">
      <c r="A1364" s="5">
        <f ca="1">IFERROR(__xludf.DUMMYFUNCTION("""COMPUTED_VALUE"""),44067.625)</f>
        <v>44067.625</v>
      </c>
      <c r="B1364" s="2">
        <f ca="1">IFERROR(__xludf.DUMMYFUNCTION("""COMPUTED_VALUE"""),31700)</f>
        <v>31700</v>
      </c>
      <c r="C1364" s="2">
        <f ca="1">IFERROR(__xludf.DUMMYFUNCTION("""COMPUTED_VALUE"""),31900)</f>
        <v>31900</v>
      </c>
      <c r="D1364" s="2">
        <f ca="1">IFERROR(__xludf.DUMMYFUNCTION("""COMPUTED_VALUE"""),31400)</f>
        <v>31400</v>
      </c>
      <c r="E1364" s="2">
        <f ca="1">IFERROR(__xludf.DUMMYFUNCTION("""COMPUTED_VALUE"""),31575)</f>
        <v>31575</v>
      </c>
      <c r="F1364" s="2">
        <f ca="1">IFERROR(__xludf.DUMMYFUNCTION("""COMPUTED_VALUE"""),13376500)</f>
        <v>13376500</v>
      </c>
    </row>
    <row r="1365" spans="1:6">
      <c r="A1365" s="5">
        <f ca="1">IFERROR(__xludf.DUMMYFUNCTION("""COMPUTED_VALUE"""),44068.625)</f>
        <v>44068.625</v>
      </c>
      <c r="B1365" s="2">
        <f ca="1">IFERROR(__xludf.DUMMYFUNCTION("""COMPUTED_VALUE"""),31600)</f>
        <v>31600</v>
      </c>
      <c r="C1365" s="2">
        <f ca="1">IFERROR(__xludf.DUMMYFUNCTION("""COMPUTED_VALUE"""),31900)</f>
        <v>31900</v>
      </c>
      <c r="D1365" s="2">
        <f ca="1">IFERROR(__xludf.DUMMYFUNCTION("""COMPUTED_VALUE"""),31525)</f>
        <v>31525</v>
      </c>
      <c r="E1365" s="2">
        <f ca="1">IFERROR(__xludf.DUMMYFUNCTION("""COMPUTED_VALUE"""),31825)</f>
        <v>31825</v>
      </c>
      <c r="F1365" s="2">
        <f ca="1">IFERROR(__xludf.DUMMYFUNCTION("""COMPUTED_VALUE"""),9842200)</f>
        <v>9842200</v>
      </c>
    </row>
    <row r="1366" spans="1:6">
      <c r="A1366" s="5">
        <f ca="1">IFERROR(__xludf.DUMMYFUNCTION("""COMPUTED_VALUE"""),44069.625)</f>
        <v>44069.625</v>
      </c>
      <c r="B1366" s="2">
        <f ca="1">IFERROR(__xludf.DUMMYFUNCTION("""COMPUTED_VALUE"""),31925)</f>
        <v>31925</v>
      </c>
      <c r="C1366" s="2">
        <f ca="1">IFERROR(__xludf.DUMMYFUNCTION("""COMPUTED_VALUE"""),31950)</f>
        <v>31950</v>
      </c>
      <c r="D1366" s="2">
        <f ca="1">IFERROR(__xludf.DUMMYFUNCTION("""COMPUTED_VALUE"""),31525)</f>
        <v>31525</v>
      </c>
      <c r="E1366" s="2">
        <f ca="1">IFERROR(__xludf.DUMMYFUNCTION("""COMPUTED_VALUE"""),31700)</f>
        <v>31700</v>
      </c>
      <c r="F1366" s="2">
        <f ca="1">IFERROR(__xludf.DUMMYFUNCTION("""COMPUTED_VALUE"""),8596600)</f>
        <v>8596600</v>
      </c>
    </row>
    <row r="1367" spans="1:6">
      <c r="A1367" s="5">
        <f ca="1">IFERROR(__xludf.DUMMYFUNCTION("""COMPUTED_VALUE"""),44070.625)</f>
        <v>44070.625</v>
      </c>
      <c r="B1367" s="2">
        <f ca="1">IFERROR(__xludf.DUMMYFUNCTION("""COMPUTED_VALUE"""),31825)</f>
        <v>31825</v>
      </c>
      <c r="C1367" s="2">
        <f ca="1">IFERROR(__xludf.DUMMYFUNCTION("""COMPUTED_VALUE"""),33000)</f>
        <v>33000</v>
      </c>
      <c r="D1367" s="2">
        <f ca="1">IFERROR(__xludf.DUMMYFUNCTION("""COMPUTED_VALUE"""),31700)</f>
        <v>31700</v>
      </c>
      <c r="E1367" s="2">
        <f ca="1">IFERROR(__xludf.DUMMYFUNCTION("""COMPUTED_VALUE"""),33000)</f>
        <v>33000</v>
      </c>
      <c r="F1367" s="2">
        <f ca="1">IFERROR(__xludf.DUMMYFUNCTION("""COMPUTED_VALUE"""),13665200)</f>
        <v>13665200</v>
      </c>
    </row>
    <row r="1368" spans="1:6">
      <c r="A1368" s="5">
        <f ca="1">IFERROR(__xludf.DUMMYFUNCTION("""COMPUTED_VALUE"""),44071.625)</f>
        <v>44071.625</v>
      </c>
      <c r="B1368" s="2">
        <f ca="1">IFERROR(__xludf.DUMMYFUNCTION("""COMPUTED_VALUE"""),32800)</f>
        <v>32800</v>
      </c>
      <c r="C1368" s="2">
        <f ca="1">IFERROR(__xludf.DUMMYFUNCTION("""COMPUTED_VALUE"""),33000)</f>
        <v>33000</v>
      </c>
      <c r="D1368" s="2">
        <f ca="1">IFERROR(__xludf.DUMMYFUNCTION("""COMPUTED_VALUE"""),32125)</f>
        <v>32125</v>
      </c>
      <c r="E1368" s="2">
        <f ca="1">IFERROR(__xludf.DUMMYFUNCTION("""COMPUTED_VALUE"""),32475)</f>
        <v>32475</v>
      </c>
      <c r="F1368" s="2">
        <f ca="1">IFERROR(__xludf.DUMMYFUNCTION("""COMPUTED_VALUE"""),10458500)</f>
        <v>10458500</v>
      </c>
    </row>
    <row r="1369" spans="1:6">
      <c r="A1369" s="5">
        <f ca="1">IFERROR(__xludf.DUMMYFUNCTION("""COMPUTED_VALUE"""),44074.625)</f>
        <v>44074.625</v>
      </c>
      <c r="B1369" s="2">
        <f ca="1">IFERROR(__xludf.DUMMYFUNCTION("""COMPUTED_VALUE"""),32500)</f>
        <v>32500</v>
      </c>
      <c r="C1369" s="2">
        <f ca="1">IFERROR(__xludf.DUMMYFUNCTION("""COMPUTED_VALUE"""),32700)</f>
        <v>32700</v>
      </c>
      <c r="D1369" s="2">
        <f ca="1">IFERROR(__xludf.DUMMYFUNCTION("""COMPUTED_VALUE"""),31375)</f>
        <v>31375</v>
      </c>
      <c r="E1369" s="2">
        <f ca="1">IFERROR(__xludf.DUMMYFUNCTION("""COMPUTED_VALUE"""),31375)</f>
        <v>31375</v>
      </c>
      <c r="F1369" s="2">
        <f ca="1">IFERROR(__xludf.DUMMYFUNCTION("""COMPUTED_VALUE"""),19406400)</f>
        <v>19406400</v>
      </c>
    </row>
    <row r="1370" spans="1:6">
      <c r="A1370" s="5">
        <f ca="1">IFERROR(__xludf.DUMMYFUNCTION("""COMPUTED_VALUE"""),44075.625)</f>
        <v>44075.625</v>
      </c>
      <c r="B1370" s="2">
        <f ca="1">IFERROR(__xludf.DUMMYFUNCTION("""COMPUTED_VALUE"""),31400)</f>
        <v>31400</v>
      </c>
      <c r="C1370" s="2">
        <f ca="1">IFERROR(__xludf.DUMMYFUNCTION("""COMPUTED_VALUE"""),32600)</f>
        <v>32600</v>
      </c>
      <c r="D1370" s="2">
        <f ca="1">IFERROR(__xludf.DUMMYFUNCTION("""COMPUTED_VALUE"""),31200)</f>
        <v>31200</v>
      </c>
      <c r="E1370" s="2">
        <f ca="1">IFERROR(__xludf.DUMMYFUNCTION("""COMPUTED_VALUE"""),32600)</f>
        <v>32600</v>
      </c>
      <c r="F1370" s="2">
        <f ca="1">IFERROR(__xludf.DUMMYFUNCTION("""COMPUTED_VALUE"""),13489200)</f>
        <v>13489200</v>
      </c>
    </row>
    <row r="1371" spans="1:6">
      <c r="A1371" s="5">
        <f ca="1">IFERROR(__xludf.DUMMYFUNCTION("""COMPUTED_VALUE"""),44076.625)</f>
        <v>44076.625</v>
      </c>
      <c r="B1371" s="2">
        <f ca="1">IFERROR(__xludf.DUMMYFUNCTION("""COMPUTED_VALUE"""),32600)</f>
        <v>32600</v>
      </c>
      <c r="C1371" s="2">
        <f ca="1">IFERROR(__xludf.DUMMYFUNCTION("""COMPUTED_VALUE"""),32800)</f>
        <v>32800</v>
      </c>
      <c r="D1371" s="2">
        <f ca="1">IFERROR(__xludf.DUMMYFUNCTION("""COMPUTED_VALUE"""),31825)</f>
        <v>31825</v>
      </c>
      <c r="E1371" s="2">
        <f ca="1">IFERROR(__xludf.DUMMYFUNCTION("""COMPUTED_VALUE"""),32175)</f>
        <v>32175</v>
      </c>
      <c r="F1371" s="2">
        <f ca="1">IFERROR(__xludf.DUMMYFUNCTION("""COMPUTED_VALUE"""),13213000)</f>
        <v>13213000</v>
      </c>
    </row>
    <row r="1372" spans="1:6">
      <c r="A1372" s="5">
        <f ca="1">IFERROR(__xludf.DUMMYFUNCTION("""COMPUTED_VALUE"""),44077.625)</f>
        <v>44077.625</v>
      </c>
      <c r="B1372" s="2">
        <f ca="1">IFERROR(__xludf.DUMMYFUNCTION("""COMPUTED_VALUE"""),32325)</f>
        <v>32325</v>
      </c>
      <c r="C1372" s="2">
        <f ca="1">IFERROR(__xludf.DUMMYFUNCTION("""COMPUTED_VALUE"""),32500)</f>
        <v>32500</v>
      </c>
      <c r="D1372" s="2">
        <f ca="1">IFERROR(__xludf.DUMMYFUNCTION("""COMPUTED_VALUE"""),31500)</f>
        <v>31500</v>
      </c>
      <c r="E1372" s="2">
        <f ca="1">IFERROR(__xludf.DUMMYFUNCTION("""COMPUTED_VALUE"""),32500)</f>
        <v>32500</v>
      </c>
      <c r="F1372" s="2">
        <f ca="1">IFERROR(__xludf.DUMMYFUNCTION("""COMPUTED_VALUE"""),13641700)</f>
        <v>13641700</v>
      </c>
    </row>
    <row r="1373" spans="1:6">
      <c r="A1373" s="5">
        <f ca="1">IFERROR(__xludf.DUMMYFUNCTION("""COMPUTED_VALUE"""),44078.625)</f>
        <v>44078.625</v>
      </c>
      <c r="B1373" s="2">
        <f ca="1">IFERROR(__xludf.DUMMYFUNCTION("""COMPUTED_VALUE"""),32250)</f>
        <v>32250</v>
      </c>
      <c r="C1373" s="2">
        <f ca="1">IFERROR(__xludf.DUMMYFUNCTION("""COMPUTED_VALUE"""),32250)</f>
        <v>32250</v>
      </c>
      <c r="D1373" s="2">
        <f ca="1">IFERROR(__xludf.DUMMYFUNCTION("""COMPUTED_VALUE"""),31325)</f>
        <v>31325</v>
      </c>
      <c r="E1373" s="2">
        <f ca="1">IFERROR(__xludf.DUMMYFUNCTION("""COMPUTED_VALUE"""),31900)</f>
        <v>31900</v>
      </c>
      <c r="F1373" s="2">
        <f ca="1">IFERROR(__xludf.DUMMYFUNCTION("""COMPUTED_VALUE"""),16122700)</f>
        <v>16122700</v>
      </c>
    </row>
    <row r="1374" spans="1:6">
      <c r="A1374" s="5">
        <f ca="1">IFERROR(__xludf.DUMMYFUNCTION("""COMPUTED_VALUE"""),44081.625)</f>
        <v>44081.625</v>
      </c>
      <c r="B1374" s="2">
        <f ca="1">IFERROR(__xludf.DUMMYFUNCTION("""COMPUTED_VALUE"""),31675)</f>
        <v>31675</v>
      </c>
      <c r="C1374" s="2">
        <f ca="1">IFERROR(__xludf.DUMMYFUNCTION("""COMPUTED_VALUE"""),31800)</f>
        <v>31800</v>
      </c>
      <c r="D1374" s="2">
        <f ca="1">IFERROR(__xludf.DUMMYFUNCTION("""COMPUTED_VALUE"""),31000)</f>
        <v>31000</v>
      </c>
      <c r="E1374" s="2">
        <f ca="1">IFERROR(__xludf.DUMMYFUNCTION("""COMPUTED_VALUE"""),31425)</f>
        <v>31425</v>
      </c>
      <c r="F1374" s="2">
        <f ca="1">IFERROR(__xludf.DUMMYFUNCTION("""COMPUTED_VALUE"""),12849900)</f>
        <v>12849900</v>
      </c>
    </row>
    <row r="1375" spans="1:6">
      <c r="A1375" s="5">
        <f ca="1">IFERROR(__xludf.DUMMYFUNCTION("""COMPUTED_VALUE"""),44082.625)</f>
        <v>44082.625</v>
      </c>
      <c r="B1375" s="2">
        <f ca="1">IFERROR(__xludf.DUMMYFUNCTION("""COMPUTED_VALUE"""),31425)</f>
        <v>31425</v>
      </c>
      <c r="C1375" s="2">
        <f ca="1">IFERROR(__xludf.DUMMYFUNCTION("""COMPUTED_VALUE"""),31800)</f>
        <v>31800</v>
      </c>
      <c r="D1375" s="2">
        <f ca="1">IFERROR(__xludf.DUMMYFUNCTION("""COMPUTED_VALUE"""),31425)</f>
        <v>31425</v>
      </c>
      <c r="E1375" s="2">
        <f ca="1">IFERROR(__xludf.DUMMYFUNCTION("""COMPUTED_VALUE"""),31675)</f>
        <v>31675</v>
      </c>
      <c r="F1375" s="2">
        <f ca="1">IFERROR(__xludf.DUMMYFUNCTION("""COMPUTED_VALUE"""),7929800)</f>
        <v>7929800</v>
      </c>
    </row>
    <row r="1376" spans="1:6">
      <c r="A1376" s="5">
        <f ca="1">IFERROR(__xludf.DUMMYFUNCTION("""COMPUTED_VALUE"""),44083.625)</f>
        <v>44083.625</v>
      </c>
      <c r="B1376" s="2">
        <f ca="1">IFERROR(__xludf.DUMMYFUNCTION("""COMPUTED_VALUE"""),31500)</f>
        <v>31500</v>
      </c>
      <c r="C1376" s="2">
        <f ca="1">IFERROR(__xludf.DUMMYFUNCTION("""COMPUTED_VALUE"""),31600)</f>
        <v>31600</v>
      </c>
      <c r="D1376" s="2">
        <f ca="1">IFERROR(__xludf.DUMMYFUNCTION("""COMPUTED_VALUE"""),31050)</f>
        <v>31050</v>
      </c>
      <c r="E1376" s="2">
        <f ca="1">IFERROR(__xludf.DUMMYFUNCTION("""COMPUTED_VALUE"""),31225)</f>
        <v>31225</v>
      </c>
      <c r="F1376" s="2">
        <f ca="1">IFERROR(__xludf.DUMMYFUNCTION("""COMPUTED_VALUE"""),9857000)</f>
        <v>9857000</v>
      </c>
    </row>
    <row r="1377" spans="1:6">
      <c r="A1377" s="5">
        <f ca="1">IFERROR(__xludf.DUMMYFUNCTION("""COMPUTED_VALUE"""),44084.625)</f>
        <v>44084.625</v>
      </c>
      <c r="B1377" s="2">
        <f ca="1">IFERROR(__xludf.DUMMYFUNCTION("""COMPUTED_VALUE"""),31100)</f>
        <v>31100</v>
      </c>
      <c r="C1377" s="2">
        <f ca="1">IFERROR(__xludf.DUMMYFUNCTION("""COMPUTED_VALUE"""),31100)</f>
        <v>31100</v>
      </c>
      <c r="D1377" s="2">
        <f ca="1">IFERROR(__xludf.DUMMYFUNCTION("""COMPUTED_VALUE"""),29050)</f>
        <v>29050</v>
      </c>
      <c r="E1377" s="2">
        <f ca="1">IFERROR(__xludf.DUMMYFUNCTION("""COMPUTED_VALUE"""),29050)</f>
        <v>29050</v>
      </c>
      <c r="F1377" s="2">
        <f ca="1">IFERROR(__xludf.DUMMYFUNCTION("""COMPUTED_VALUE"""),35147000)</f>
        <v>35147000</v>
      </c>
    </row>
    <row r="1378" spans="1:6">
      <c r="A1378" s="5">
        <f ca="1">IFERROR(__xludf.DUMMYFUNCTION("""COMPUTED_VALUE"""),44085.625)</f>
        <v>44085.625</v>
      </c>
      <c r="B1378" s="2">
        <f ca="1">IFERROR(__xludf.DUMMYFUNCTION("""COMPUTED_VALUE"""),29000)</f>
        <v>29000</v>
      </c>
      <c r="C1378" s="2">
        <f ca="1">IFERROR(__xludf.DUMMYFUNCTION("""COMPUTED_VALUE"""),29875)</f>
        <v>29875</v>
      </c>
      <c r="D1378" s="2">
        <f ca="1">IFERROR(__xludf.DUMMYFUNCTION("""COMPUTED_VALUE"""),28100)</f>
        <v>28100</v>
      </c>
      <c r="E1378" s="2">
        <f ca="1">IFERROR(__xludf.DUMMYFUNCTION("""COMPUTED_VALUE"""),29525)</f>
        <v>29525</v>
      </c>
      <c r="F1378" s="2">
        <f ca="1">IFERROR(__xludf.DUMMYFUNCTION("""COMPUTED_VALUE"""),80606500)</f>
        <v>80606500</v>
      </c>
    </row>
    <row r="1379" spans="1:6">
      <c r="A1379" s="5">
        <f ca="1">IFERROR(__xludf.DUMMYFUNCTION("""COMPUTED_VALUE"""),44088.625)</f>
        <v>44088.625</v>
      </c>
      <c r="B1379" s="2">
        <f ca="1">IFERROR(__xludf.DUMMYFUNCTION("""COMPUTED_VALUE"""),30000)</f>
        <v>30000</v>
      </c>
      <c r="C1379" s="2">
        <f ca="1">IFERROR(__xludf.DUMMYFUNCTION("""COMPUTED_VALUE"""),30575)</f>
        <v>30575</v>
      </c>
      <c r="D1379" s="2">
        <f ca="1">IFERROR(__xludf.DUMMYFUNCTION("""COMPUTED_VALUE"""),29925)</f>
        <v>29925</v>
      </c>
      <c r="E1379" s="2">
        <f ca="1">IFERROR(__xludf.DUMMYFUNCTION("""COMPUTED_VALUE"""),30250)</f>
        <v>30250</v>
      </c>
      <c r="F1379" s="2">
        <f ca="1">IFERROR(__xludf.DUMMYFUNCTION("""COMPUTED_VALUE"""),27623000)</f>
        <v>27623000</v>
      </c>
    </row>
    <row r="1380" spans="1:6">
      <c r="A1380" s="5">
        <f ca="1">IFERROR(__xludf.DUMMYFUNCTION("""COMPUTED_VALUE"""),44089.625)</f>
        <v>44089.625</v>
      </c>
      <c r="B1380" s="2">
        <f ca="1">IFERROR(__xludf.DUMMYFUNCTION("""COMPUTED_VALUE"""),30200)</f>
        <v>30200</v>
      </c>
      <c r="C1380" s="2">
        <f ca="1">IFERROR(__xludf.DUMMYFUNCTION("""COMPUTED_VALUE"""),30500)</f>
        <v>30500</v>
      </c>
      <c r="D1380" s="2">
        <f ca="1">IFERROR(__xludf.DUMMYFUNCTION("""COMPUTED_VALUE"""),29300)</f>
        <v>29300</v>
      </c>
      <c r="E1380" s="2">
        <f ca="1">IFERROR(__xludf.DUMMYFUNCTION("""COMPUTED_VALUE"""),29300)</f>
        <v>29300</v>
      </c>
      <c r="F1380" s="2">
        <f ca="1">IFERROR(__xludf.DUMMYFUNCTION("""COMPUTED_VALUE"""),34017400)</f>
        <v>34017400</v>
      </c>
    </row>
    <row r="1381" spans="1:6">
      <c r="A1381" s="5">
        <f ca="1">IFERROR(__xludf.DUMMYFUNCTION("""COMPUTED_VALUE"""),44090.625)</f>
        <v>44090.625</v>
      </c>
      <c r="B1381" s="2">
        <f ca="1">IFERROR(__xludf.DUMMYFUNCTION("""COMPUTED_VALUE"""),29300)</f>
        <v>29300</v>
      </c>
      <c r="C1381" s="2">
        <f ca="1">IFERROR(__xludf.DUMMYFUNCTION("""COMPUTED_VALUE"""),29350)</f>
        <v>29350</v>
      </c>
      <c r="D1381" s="2">
        <f ca="1">IFERROR(__xludf.DUMMYFUNCTION("""COMPUTED_VALUE"""),28725)</f>
        <v>28725</v>
      </c>
      <c r="E1381" s="2">
        <f ca="1">IFERROR(__xludf.DUMMYFUNCTION("""COMPUTED_VALUE"""),28750)</f>
        <v>28750</v>
      </c>
      <c r="F1381" s="2">
        <f ca="1">IFERROR(__xludf.DUMMYFUNCTION("""COMPUTED_VALUE"""),31713100)</f>
        <v>31713100</v>
      </c>
    </row>
    <row r="1382" spans="1:6">
      <c r="A1382" s="5">
        <f ca="1">IFERROR(__xludf.DUMMYFUNCTION("""COMPUTED_VALUE"""),44091.625)</f>
        <v>44091.625</v>
      </c>
      <c r="B1382" s="2">
        <f ca="1">IFERROR(__xludf.DUMMYFUNCTION("""COMPUTED_VALUE"""),28750)</f>
        <v>28750</v>
      </c>
      <c r="C1382" s="2">
        <f ca="1">IFERROR(__xludf.DUMMYFUNCTION("""COMPUTED_VALUE"""),29275)</f>
        <v>29275</v>
      </c>
      <c r="D1382" s="2">
        <f ca="1">IFERROR(__xludf.DUMMYFUNCTION("""COMPUTED_VALUE"""),28325)</f>
        <v>28325</v>
      </c>
      <c r="E1382" s="2">
        <f ca="1">IFERROR(__xludf.DUMMYFUNCTION("""COMPUTED_VALUE"""),28775)</f>
        <v>28775</v>
      </c>
      <c r="F1382" s="2">
        <f ca="1">IFERROR(__xludf.DUMMYFUNCTION("""COMPUTED_VALUE"""),27759200)</f>
        <v>27759200</v>
      </c>
    </row>
    <row r="1383" spans="1:6">
      <c r="A1383" s="5">
        <f ca="1">IFERROR(__xludf.DUMMYFUNCTION("""COMPUTED_VALUE"""),44092.625)</f>
        <v>44092.625</v>
      </c>
      <c r="B1383" s="2">
        <f ca="1">IFERROR(__xludf.DUMMYFUNCTION("""COMPUTED_VALUE"""),28500)</f>
        <v>28500</v>
      </c>
      <c r="C1383" s="2">
        <f ca="1">IFERROR(__xludf.DUMMYFUNCTION("""COMPUTED_VALUE"""),28675)</f>
        <v>28675</v>
      </c>
      <c r="D1383" s="2">
        <f ca="1">IFERROR(__xludf.DUMMYFUNCTION("""COMPUTED_VALUE"""),27850)</f>
        <v>27850</v>
      </c>
      <c r="E1383" s="2">
        <f ca="1">IFERROR(__xludf.DUMMYFUNCTION("""COMPUTED_VALUE"""),28150)</f>
        <v>28150</v>
      </c>
      <c r="F1383" s="2">
        <f ca="1">IFERROR(__xludf.DUMMYFUNCTION("""COMPUTED_VALUE"""),63382400)</f>
        <v>63382400</v>
      </c>
    </row>
    <row r="1384" spans="1:6">
      <c r="A1384" s="5">
        <f ca="1">IFERROR(__xludf.DUMMYFUNCTION("""COMPUTED_VALUE"""),44095.625)</f>
        <v>44095.625</v>
      </c>
      <c r="B1384" s="2">
        <f ca="1">IFERROR(__xludf.DUMMYFUNCTION("""COMPUTED_VALUE"""),28200)</f>
        <v>28200</v>
      </c>
      <c r="C1384" s="2">
        <f ca="1">IFERROR(__xludf.DUMMYFUNCTION("""COMPUTED_VALUE"""),28675)</f>
        <v>28675</v>
      </c>
      <c r="D1384" s="2">
        <f ca="1">IFERROR(__xludf.DUMMYFUNCTION("""COMPUTED_VALUE"""),27975)</f>
        <v>27975</v>
      </c>
      <c r="E1384" s="2">
        <f ca="1">IFERROR(__xludf.DUMMYFUNCTION("""COMPUTED_VALUE"""),28025)</f>
        <v>28025</v>
      </c>
      <c r="F1384" s="2">
        <f ca="1">IFERROR(__xludf.DUMMYFUNCTION("""COMPUTED_VALUE"""),22488600)</f>
        <v>22488600</v>
      </c>
    </row>
    <row r="1385" spans="1:6">
      <c r="A1385" s="5">
        <f ca="1">IFERROR(__xludf.DUMMYFUNCTION("""COMPUTED_VALUE"""),44096.625)</f>
        <v>44096.625</v>
      </c>
      <c r="B1385" s="2">
        <f ca="1">IFERROR(__xludf.DUMMYFUNCTION("""COMPUTED_VALUE"""),27600)</f>
        <v>27600</v>
      </c>
      <c r="C1385" s="2">
        <f ca="1">IFERROR(__xludf.DUMMYFUNCTION("""COMPUTED_VALUE"""),27825)</f>
        <v>27825</v>
      </c>
      <c r="D1385" s="2">
        <f ca="1">IFERROR(__xludf.DUMMYFUNCTION("""COMPUTED_VALUE"""),27150)</f>
        <v>27150</v>
      </c>
      <c r="E1385" s="2">
        <f ca="1">IFERROR(__xludf.DUMMYFUNCTION("""COMPUTED_VALUE"""),27250)</f>
        <v>27250</v>
      </c>
      <c r="F1385" s="2">
        <f ca="1">IFERROR(__xludf.DUMMYFUNCTION("""COMPUTED_VALUE"""),32688500)</f>
        <v>32688500</v>
      </c>
    </row>
    <row r="1386" spans="1:6">
      <c r="A1386" s="5">
        <f ca="1">IFERROR(__xludf.DUMMYFUNCTION("""COMPUTED_VALUE"""),44097.625)</f>
        <v>44097.625</v>
      </c>
      <c r="B1386" s="2">
        <f ca="1">IFERROR(__xludf.DUMMYFUNCTION("""COMPUTED_VALUE"""),27250)</f>
        <v>27250</v>
      </c>
      <c r="C1386" s="2">
        <f ca="1">IFERROR(__xludf.DUMMYFUNCTION("""COMPUTED_VALUE"""),27925)</f>
        <v>27925</v>
      </c>
      <c r="D1386" s="2">
        <f ca="1">IFERROR(__xludf.DUMMYFUNCTION("""COMPUTED_VALUE"""),27125)</f>
        <v>27125</v>
      </c>
      <c r="E1386" s="2">
        <f ca="1">IFERROR(__xludf.DUMMYFUNCTION("""COMPUTED_VALUE"""),27525)</f>
        <v>27525</v>
      </c>
      <c r="F1386" s="2">
        <f ca="1">IFERROR(__xludf.DUMMYFUNCTION("""COMPUTED_VALUE"""),20103400)</f>
        <v>20103400</v>
      </c>
    </row>
    <row r="1387" spans="1:6">
      <c r="A1387" s="5">
        <f ca="1">IFERROR(__xludf.DUMMYFUNCTION("""COMPUTED_VALUE"""),44098.625)</f>
        <v>44098.625</v>
      </c>
      <c r="B1387" s="2">
        <f ca="1">IFERROR(__xludf.DUMMYFUNCTION("""COMPUTED_VALUE"""),27150)</f>
        <v>27150</v>
      </c>
      <c r="C1387" s="2">
        <f ca="1">IFERROR(__xludf.DUMMYFUNCTION("""COMPUTED_VALUE"""),27675)</f>
        <v>27675</v>
      </c>
      <c r="D1387" s="2">
        <f ca="1">IFERROR(__xludf.DUMMYFUNCTION("""COMPUTED_VALUE"""),26950)</f>
        <v>26950</v>
      </c>
      <c r="E1387" s="2">
        <f ca="1">IFERROR(__xludf.DUMMYFUNCTION("""COMPUTED_VALUE"""),27225)</f>
        <v>27225</v>
      </c>
      <c r="F1387" s="2">
        <f ca="1">IFERROR(__xludf.DUMMYFUNCTION("""COMPUTED_VALUE"""),17723700)</f>
        <v>17723700</v>
      </c>
    </row>
    <row r="1388" spans="1:6">
      <c r="A1388" s="5">
        <f ca="1">IFERROR(__xludf.DUMMYFUNCTION("""COMPUTED_VALUE"""),44099.625)</f>
        <v>44099.625</v>
      </c>
      <c r="B1388" s="2">
        <f ca="1">IFERROR(__xludf.DUMMYFUNCTION("""COMPUTED_VALUE"""),27400)</f>
        <v>27400</v>
      </c>
      <c r="C1388" s="2">
        <f ca="1">IFERROR(__xludf.DUMMYFUNCTION("""COMPUTED_VALUE"""),28125)</f>
        <v>28125</v>
      </c>
      <c r="D1388" s="2">
        <f ca="1">IFERROR(__xludf.DUMMYFUNCTION("""COMPUTED_VALUE"""),27300)</f>
        <v>27300</v>
      </c>
      <c r="E1388" s="2">
        <f ca="1">IFERROR(__xludf.DUMMYFUNCTION("""COMPUTED_VALUE"""),28050)</f>
        <v>28050</v>
      </c>
      <c r="F1388" s="2">
        <f ca="1">IFERROR(__xludf.DUMMYFUNCTION("""COMPUTED_VALUE"""),20141000)</f>
        <v>20141000</v>
      </c>
    </row>
    <row r="1389" spans="1:6">
      <c r="A1389" s="5">
        <f ca="1">IFERROR(__xludf.DUMMYFUNCTION("""COMPUTED_VALUE"""),44102.625)</f>
        <v>44102.625</v>
      </c>
      <c r="B1389" s="2">
        <f ca="1">IFERROR(__xludf.DUMMYFUNCTION("""COMPUTED_VALUE"""),28250)</f>
        <v>28250</v>
      </c>
      <c r="C1389" s="2">
        <f ca="1">IFERROR(__xludf.DUMMYFUNCTION("""COMPUTED_VALUE"""),28475)</f>
        <v>28475</v>
      </c>
      <c r="D1389" s="2">
        <f ca="1">IFERROR(__xludf.DUMMYFUNCTION("""COMPUTED_VALUE"""),27500)</f>
        <v>27500</v>
      </c>
      <c r="E1389" s="2">
        <f ca="1">IFERROR(__xludf.DUMMYFUNCTION("""COMPUTED_VALUE"""),27575)</f>
        <v>27575</v>
      </c>
      <c r="F1389" s="2">
        <f ca="1">IFERROR(__xludf.DUMMYFUNCTION("""COMPUTED_VALUE"""),18704400)</f>
        <v>18704400</v>
      </c>
    </row>
    <row r="1390" spans="1:6">
      <c r="A1390" s="5">
        <f ca="1">IFERROR(__xludf.DUMMYFUNCTION("""COMPUTED_VALUE"""),44103.625)</f>
        <v>44103.625</v>
      </c>
      <c r="B1390" s="2">
        <f ca="1">IFERROR(__xludf.DUMMYFUNCTION("""COMPUTED_VALUE"""),27875)</f>
        <v>27875</v>
      </c>
      <c r="C1390" s="2">
        <f ca="1">IFERROR(__xludf.DUMMYFUNCTION("""COMPUTED_VALUE"""),28175)</f>
        <v>28175</v>
      </c>
      <c r="D1390" s="2">
        <f ca="1">IFERROR(__xludf.DUMMYFUNCTION("""COMPUTED_VALUE"""),27300)</f>
        <v>27300</v>
      </c>
      <c r="E1390" s="2">
        <f ca="1">IFERROR(__xludf.DUMMYFUNCTION("""COMPUTED_VALUE"""),27525)</f>
        <v>27525</v>
      </c>
      <c r="F1390" s="2">
        <f ca="1">IFERROR(__xludf.DUMMYFUNCTION("""COMPUTED_VALUE"""),23555700)</f>
        <v>23555700</v>
      </c>
    </row>
    <row r="1391" spans="1:6">
      <c r="A1391" s="5">
        <f ca="1">IFERROR(__xludf.DUMMYFUNCTION("""COMPUTED_VALUE"""),44104.625)</f>
        <v>44104.625</v>
      </c>
      <c r="B1391" s="2">
        <f ca="1">IFERROR(__xludf.DUMMYFUNCTION("""COMPUTED_VALUE"""),27825)</f>
        <v>27825</v>
      </c>
      <c r="C1391" s="2">
        <f ca="1">IFERROR(__xludf.DUMMYFUNCTION("""COMPUTED_VALUE"""),27825)</f>
        <v>27825</v>
      </c>
      <c r="D1391" s="2">
        <f ca="1">IFERROR(__xludf.DUMMYFUNCTION("""COMPUTED_VALUE"""),27100)</f>
        <v>27100</v>
      </c>
      <c r="E1391" s="2">
        <f ca="1">IFERROR(__xludf.DUMMYFUNCTION("""COMPUTED_VALUE"""),27100)</f>
        <v>27100</v>
      </c>
      <c r="F1391" s="2">
        <f ca="1">IFERROR(__xludf.DUMMYFUNCTION("""COMPUTED_VALUE"""),21475400)</f>
        <v>21475400</v>
      </c>
    </row>
    <row r="1392" spans="1:6">
      <c r="A1392" s="5">
        <f ca="1">IFERROR(__xludf.DUMMYFUNCTION("""COMPUTED_VALUE"""),44105.625)</f>
        <v>44105.625</v>
      </c>
      <c r="B1392" s="2">
        <f ca="1">IFERROR(__xludf.DUMMYFUNCTION("""COMPUTED_VALUE"""),27425)</f>
        <v>27425</v>
      </c>
      <c r="C1392" s="2">
        <f ca="1">IFERROR(__xludf.DUMMYFUNCTION("""COMPUTED_VALUE"""),27850)</f>
        <v>27850</v>
      </c>
      <c r="D1392" s="2">
        <f ca="1">IFERROR(__xludf.DUMMYFUNCTION("""COMPUTED_VALUE"""),27400)</f>
        <v>27400</v>
      </c>
      <c r="E1392" s="2">
        <f ca="1">IFERROR(__xludf.DUMMYFUNCTION("""COMPUTED_VALUE"""),27850)</f>
        <v>27850</v>
      </c>
      <c r="F1392" s="2">
        <f ca="1">IFERROR(__xludf.DUMMYFUNCTION("""COMPUTED_VALUE"""),11378600)</f>
        <v>11378600</v>
      </c>
    </row>
    <row r="1393" spans="1:6">
      <c r="A1393" s="5">
        <f ca="1">IFERROR(__xludf.DUMMYFUNCTION("""COMPUTED_VALUE"""),44106.625)</f>
        <v>44106.625</v>
      </c>
      <c r="B1393" s="2">
        <f ca="1">IFERROR(__xludf.DUMMYFUNCTION("""COMPUTED_VALUE"""),27800)</f>
        <v>27800</v>
      </c>
      <c r="C1393" s="2">
        <f ca="1">IFERROR(__xludf.DUMMYFUNCTION("""COMPUTED_VALUE"""),27825)</f>
        <v>27825</v>
      </c>
      <c r="D1393" s="2">
        <f ca="1">IFERROR(__xludf.DUMMYFUNCTION("""COMPUTED_VALUE"""),27200)</f>
        <v>27200</v>
      </c>
      <c r="E1393" s="2">
        <f ca="1">IFERROR(__xludf.DUMMYFUNCTION("""COMPUTED_VALUE"""),27525)</f>
        <v>27525</v>
      </c>
      <c r="F1393" s="2">
        <f ca="1">IFERROR(__xludf.DUMMYFUNCTION("""COMPUTED_VALUE"""),13369600)</f>
        <v>13369600</v>
      </c>
    </row>
    <row r="1394" spans="1:6">
      <c r="A1394" s="5">
        <f ca="1">IFERROR(__xludf.DUMMYFUNCTION("""COMPUTED_VALUE"""),44109.625)</f>
        <v>44109.625</v>
      </c>
      <c r="B1394" s="2">
        <f ca="1">IFERROR(__xludf.DUMMYFUNCTION("""COMPUTED_VALUE"""),27575)</f>
        <v>27575</v>
      </c>
      <c r="C1394" s="2">
        <f ca="1">IFERROR(__xludf.DUMMYFUNCTION("""COMPUTED_VALUE"""),27800)</f>
        <v>27800</v>
      </c>
      <c r="D1394" s="2">
        <f ca="1">IFERROR(__xludf.DUMMYFUNCTION("""COMPUTED_VALUE"""),27300)</f>
        <v>27300</v>
      </c>
      <c r="E1394" s="2">
        <f ca="1">IFERROR(__xludf.DUMMYFUNCTION("""COMPUTED_VALUE"""),27600)</f>
        <v>27600</v>
      </c>
      <c r="F1394" s="2">
        <f ca="1">IFERROR(__xludf.DUMMYFUNCTION("""COMPUTED_VALUE"""),11658200)</f>
        <v>11658200</v>
      </c>
    </row>
    <row r="1395" spans="1:6">
      <c r="A1395" s="5">
        <f ca="1">IFERROR(__xludf.DUMMYFUNCTION("""COMPUTED_VALUE"""),44110.625)</f>
        <v>44110.625</v>
      </c>
      <c r="B1395" s="2">
        <f ca="1">IFERROR(__xludf.DUMMYFUNCTION("""COMPUTED_VALUE"""),28150)</f>
        <v>28150</v>
      </c>
      <c r="C1395" s="2">
        <f ca="1">IFERROR(__xludf.DUMMYFUNCTION("""COMPUTED_VALUE"""),28575)</f>
        <v>28575</v>
      </c>
      <c r="D1395" s="2">
        <f ca="1">IFERROR(__xludf.DUMMYFUNCTION("""COMPUTED_VALUE"""),28000)</f>
        <v>28000</v>
      </c>
      <c r="E1395" s="2">
        <f ca="1">IFERROR(__xludf.DUMMYFUNCTION("""COMPUTED_VALUE"""),28500)</f>
        <v>28500</v>
      </c>
      <c r="F1395" s="2">
        <f ca="1">IFERROR(__xludf.DUMMYFUNCTION("""COMPUTED_VALUE"""),28391100)</f>
        <v>28391100</v>
      </c>
    </row>
    <row r="1396" spans="1:6">
      <c r="A1396" s="5">
        <f ca="1">IFERROR(__xludf.DUMMYFUNCTION("""COMPUTED_VALUE"""),44111.625)</f>
        <v>44111.625</v>
      </c>
      <c r="B1396" s="2">
        <f ca="1">IFERROR(__xludf.DUMMYFUNCTION("""COMPUTED_VALUE"""),28000)</f>
        <v>28000</v>
      </c>
      <c r="C1396" s="2">
        <f ca="1">IFERROR(__xludf.DUMMYFUNCTION("""COMPUTED_VALUE"""),28775)</f>
        <v>28775</v>
      </c>
      <c r="D1396" s="2">
        <f ca="1">IFERROR(__xludf.DUMMYFUNCTION("""COMPUTED_VALUE"""),27900)</f>
        <v>27900</v>
      </c>
      <c r="E1396" s="2">
        <f ca="1">IFERROR(__xludf.DUMMYFUNCTION("""COMPUTED_VALUE"""),28775)</f>
        <v>28775</v>
      </c>
      <c r="F1396" s="2">
        <f ca="1">IFERROR(__xludf.DUMMYFUNCTION("""COMPUTED_VALUE"""),17987500)</f>
        <v>17987500</v>
      </c>
    </row>
    <row r="1397" spans="1:6">
      <c r="A1397" s="5">
        <f ca="1">IFERROR(__xludf.DUMMYFUNCTION("""COMPUTED_VALUE"""),44112.625)</f>
        <v>44112.625</v>
      </c>
      <c r="B1397" s="2">
        <f ca="1">IFERROR(__xludf.DUMMYFUNCTION("""COMPUTED_VALUE"""),28950)</f>
        <v>28950</v>
      </c>
      <c r="C1397" s="2">
        <f ca="1">IFERROR(__xludf.DUMMYFUNCTION("""COMPUTED_VALUE"""),29000)</f>
        <v>29000</v>
      </c>
      <c r="D1397" s="2">
        <f ca="1">IFERROR(__xludf.DUMMYFUNCTION("""COMPUTED_VALUE"""),28550)</f>
        <v>28550</v>
      </c>
      <c r="E1397" s="2">
        <f ca="1">IFERROR(__xludf.DUMMYFUNCTION("""COMPUTED_VALUE"""),28900)</f>
        <v>28900</v>
      </c>
      <c r="F1397" s="2">
        <f ca="1">IFERROR(__xludf.DUMMYFUNCTION("""COMPUTED_VALUE"""),15476900)</f>
        <v>15476900</v>
      </c>
    </row>
    <row r="1398" spans="1:6">
      <c r="A1398" s="5">
        <f ca="1">IFERROR(__xludf.DUMMYFUNCTION("""COMPUTED_VALUE"""),44113.625)</f>
        <v>44113.625</v>
      </c>
      <c r="B1398" s="2">
        <f ca="1">IFERROR(__xludf.DUMMYFUNCTION("""COMPUTED_VALUE"""),28750)</f>
        <v>28750</v>
      </c>
      <c r="C1398" s="2">
        <f ca="1">IFERROR(__xludf.DUMMYFUNCTION("""COMPUTED_VALUE"""),28875)</f>
        <v>28875</v>
      </c>
      <c r="D1398" s="2">
        <f ca="1">IFERROR(__xludf.DUMMYFUNCTION("""COMPUTED_VALUE"""),28600)</f>
        <v>28600</v>
      </c>
      <c r="E1398" s="2">
        <f ca="1">IFERROR(__xludf.DUMMYFUNCTION("""COMPUTED_VALUE"""),28875)</f>
        <v>28875</v>
      </c>
      <c r="F1398" s="2">
        <f ca="1">IFERROR(__xludf.DUMMYFUNCTION("""COMPUTED_VALUE"""),10850100)</f>
        <v>10850100</v>
      </c>
    </row>
    <row r="1399" spans="1:6">
      <c r="A1399" s="5">
        <f ca="1">IFERROR(__xludf.DUMMYFUNCTION("""COMPUTED_VALUE"""),44116.625)</f>
        <v>44116.625</v>
      </c>
      <c r="B1399" s="2">
        <f ca="1">IFERROR(__xludf.DUMMYFUNCTION("""COMPUTED_VALUE"""),29200)</f>
        <v>29200</v>
      </c>
      <c r="C1399" s="2">
        <f ca="1">IFERROR(__xludf.DUMMYFUNCTION("""COMPUTED_VALUE"""),29375)</f>
        <v>29375</v>
      </c>
      <c r="D1399" s="2">
        <f ca="1">IFERROR(__xludf.DUMMYFUNCTION("""COMPUTED_VALUE"""),29150)</f>
        <v>29150</v>
      </c>
      <c r="E1399" s="2">
        <f ca="1">IFERROR(__xludf.DUMMYFUNCTION("""COMPUTED_VALUE"""),29275)</f>
        <v>29275</v>
      </c>
      <c r="F1399" s="2">
        <f ca="1">IFERROR(__xludf.DUMMYFUNCTION("""COMPUTED_VALUE"""),16583700)</f>
        <v>16583700</v>
      </c>
    </row>
    <row r="1400" spans="1:6">
      <c r="A1400" s="5">
        <f ca="1">IFERROR(__xludf.DUMMYFUNCTION("""COMPUTED_VALUE"""),44117.625)</f>
        <v>44117.625</v>
      </c>
      <c r="B1400" s="2">
        <f ca="1">IFERROR(__xludf.DUMMYFUNCTION("""COMPUTED_VALUE"""),29200)</f>
        <v>29200</v>
      </c>
      <c r="C1400" s="2">
        <f ca="1">IFERROR(__xludf.DUMMYFUNCTION("""COMPUTED_VALUE"""),29300)</f>
        <v>29300</v>
      </c>
      <c r="D1400" s="2">
        <f ca="1">IFERROR(__xludf.DUMMYFUNCTION("""COMPUTED_VALUE"""),28850)</f>
        <v>28850</v>
      </c>
      <c r="E1400" s="2">
        <f ca="1">IFERROR(__xludf.DUMMYFUNCTION("""COMPUTED_VALUE"""),29275)</f>
        <v>29275</v>
      </c>
      <c r="F1400" s="2">
        <f ca="1">IFERROR(__xludf.DUMMYFUNCTION("""COMPUTED_VALUE"""),9650100)</f>
        <v>9650100</v>
      </c>
    </row>
    <row r="1401" spans="1:6">
      <c r="A1401" s="5">
        <f ca="1">IFERROR(__xludf.DUMMYFUNCTION("""COMPUTED_VALUE"""),44118.625)</f>
        <v>44118.625</v>
      </c>
      <c r="B1401" s="2">
        <f ca="1">IFERROR(__xludf.DUMMYFUNCTION("""COMPUTED_VALUE"""),29200)</f>
        <v>29200</v>
      </c>
      <c r="C1401" s="2">
        <f ca="1">IFERROR(__xludf.DUMMYFUNCTION("""COMPUTED_VALUE"""),29500)</f>
        <v>29500</v>
      </c>
      <c r="D1401" s="2">
        <f ca="1">IFERROR(__xludf.DUMMYFUNCTION("""COMPUTED_VALUE"""),29050)</f>
        <v>29050</v>
      </c>
      <c r="E1401" s="2">
        <f ca="1">IFERROR(__xludf.DUMMYFUNCTION("""COMPUTED_VALUE"""),29500)</f>
        <v>29500</v>
      </c>
      <c r="F1401" s="2">
        <f ca="1">IFERROR(__xludf.DUMMYFUNCTION("""COMPUTED_VALUE"""),16623500)</f>
        <v>16623500</v>
      </c>
    </row>
    <row r="1402" spans="1:6">
      <c r="A1402" s="5">
        <f ca="1">IFERROR(__xludf.DUMMYFUNCTION("""COMPUTED_VALUE"""),44119.625)</f>
        <v>44119.625</v>
      </c>
      <c r="B1402" s="2">
        <f ca="1">IFERROR(__xludf.DUMMYFUNCTION("""COMPUTED_VALUE"""),29375)</f>
        <v>29375</v>
      </c>
      <c r="C1402" s="2">
        <f ca="1">IFERROR(__xludf.DUMMYFUNCTION("""COMPUTED_VALUE"""),29400)</f>
        <v>29400</v>
      </c>
      <c r="D1402" s="2">
        <f ca="1">IFERROR(__xludf.DUMMYFUNCTION("""COMPUTED_VALUE"""),28800)</f>
        <v>28800</v>
      </c>
      <c r="E1402" s="2">
        <f ca="1">IFERROR(__xludf.DUMMYFUNCTION("""COMPUTED_VALUE"""),28925)</f>
        <v>28925</v>
      </c>
      <c r="F1402" s="2">
        <f ca="1">IFERROR(__xludf.DUMMYFUNCTION("""COMPUTED_VALUE"""),16413400)</f>
        <v>16413400</v>
      </c>
    </row>
    <row r="1403" spans="1:6">
      <c r="A1403" s="5">
        <f ca="1">IFERROR(__xludf.DUMMYFUNCTION("""COMPUTED_VALUE"""),44120.625)</f>
        <v>44120.625</v>
      </c>
      <c r="B1403" s="2">
        <f ca="1">IFERROR(__xludf.DUMMYFUNCTION("""COMPUTED_VALUE"""),28925)</f>
        <v>28925</v>
      </c>
      <c r="C1403" s="2">
        <f ca="1">IFERROR(__xludf.DUMMYFUNCTION("""COMPUTED_VALUE"""),28950)</f>
        <v>28950</v>
      </c>
      <c r="D1403" s="2">
        <f ca="1">IFERROR(__xludf.DUMMYFUNCTION("""COMPUTED_VALUE"""),28650)</f>
        <v>28650</v>
      </c>
      <c r="E1403" s="2">
        <f ca="1">IFERROR(__xludf.DUMMYFUNCTION("""COMPUTED_VALUE"""),28800)</f>
        <v>28800</v>
      </c>
      <c r="F1403" s="2">
        <f ca="1">IFERROR(__xludf.DUMMYFUNCTION("""COMPUTED_VALUE"""),17810300)</f>
        <v>17810300</v>
      </c>
    </row>
    <row r="1404" spans="1:6">
      <c r="A1404" s="5">
        <f ca="1">IFERROR(__xludf.DUMMYFUNCTION("""COMPUTED_VALUE"""),44123.625)</f>
        <v>44123.625</v>
      </c>
      <c r="B1404" s="2">
        <f ca="1">IFERROR(__xludf.DUMMYFUNCTION("""COMPUTED_VALUE"""),28750)</f>
        <v>28750</v>
      </c>
      <c r="C1404" s="2">
        <f ca="1">IFERROR(__xludf.DUMMYFUNCTION("""COMPUTED_VALUE"""),29500)</f>
        <v>29500</v>
      </c>
      <c r="D1404" s="2">
        <f ca="1">IFERROR(__xludf.DUMMYFUNCTION("""COMPUTED_VALUE"""),28550)</f>
        <v>28550</v>
      </c>
      <c r="E1404" s="2">
        <f ca="1">IFERROR(__xludf.DUMMYFUNCTION("""COMPUTED_VALUE"""),29500)</f>
        <v>29500</v>
      </c>
      <c r="F1404" s="2">
        <f ca="1">IFERROR(__xludf.DUMMYFUNCTION("""COMPUTED_VALUE"""),11374300)</f>
        <v>11374300</v>
      </c>
    </row>
    <row r="1405" spans="1:6">
      <c r="A1405" s="5">
        <f ca="1">IFERROR(__xludf.DUMMYFUNCTION("""COMPUTED_VALUE"""),44124.625)</f>
        <v>44124.625</v>
      </c>
      <c r="B1405" s="2">
        <f ca="1">IFERROR(__xludf.DUMMYFUNCTION("""COMPUTED_VALUE"""),29400)</f>
        <v>29400</v>
      </c>
      <c r="C1405" s="2">
        <f ca="1">IFERROR(__xludf.DUMMYFUNCTION("""COMPUTED_VALUE"""),29400)</f>
        <v>29400</v>
      </c>
      <c r="D1405" s="2">
        <f ca="1">IFERROR(__xludf.DUMMYFUNCTION("""COMPUTED_VALUE"""),28925)</f>
        <v>28925</v>
      </c>
      <c r="E1405" s="2">
        <f ca="1">IFERROR(__xludf.DUMMYFUNCTION("""COMPUTED_VALUE"""),29025)</f>
        <v>29025</v>
      </c>
      <c r="F1405" s="2">
        <f ca="1">IFERROR(__xludf.DUMMYFUNCTION("""COMPUTED_VALUE"""),14999100)</f>
        <v>14999100</v>
      </c>
    </row>
    <row r="1406" spans="1:6">
      <c r="A1406" s="5">
        <f ca="1">IFERROR(__xludf.DUMMYFUNCTION("""COMPUTED_VALUE"""),44125.625)</f>
        <v>44125.625</v>
      </c>
      <c r="B1406" s="2">
        <f ca="1">IFERROR(__xludf.DUMMYFUNCTION("""COMPUTED_VALUE"""),29300)</f>
        <v>29300</v>
      </c>
      <c r="C1406" s="2">
        <f ca="1">IFERROR(__xludf.DUMMYFUNCTION("""COMPUTED_VALUE"""),29325)</f>
        <v>29325</v>
      </c>
      <c r="D1406" s="2">
        <f ca="1">IFERROR(__xludf.DUMMYFUNCTION("""COMPUTED_VALUE"""),28650)</f>
        <v>28650</v>
      </c>
      <c r="E1406" s="2">
        <f ca="1">IFERROR(__xludf.DUMMYFUNCTION("""COMPUTED_VALUE"""),28900)</f>
        <v>28900</v>
      </c>
      <c r="F1406" s="2">
        <f ca="1">IFERROR(__xludf.DUMMYFUNCTION("""COMPUTED_VALUE"""),15588800)</f>
        <v>15588800</v>
      </c>
    </row>
    <row r="1407" spans="1:6">
      <c r="A1407" s="5">
        <f ca="1">IFERROR(__xludf.DUMMYFUNCTION("""COMPUTED_VALUE"""),44126.625)</f>
        <v>44126.625</v>
      </c>
      <c r="B1407" s="2">
        <f ca="1">IFERROR(__xludf.DUMMYFUNCTION("""COMPUTED_VALUE"""),28700)</f>
        <v>28700</v>
      </c>
      <c r="C1407" s="2">
        <f ca="1">IFERROR(__xludf.DUMMYFUNCTION("""COMPUTED_VALUE"""),29000)</f>
        <v>29000</v>
      </c>
      <c r="D1407" s="2">
        <f ca="1">IFERROR(__xludf.DUMMYFUNCTION("""COMPUTED_VALUE"""),28525)</f>
        <v>28525</v>
      </c>
      <c r="E1407" s="2">
        <f ca="1">IFERROR(__xludf.DUMMYFUNCTION("""COMPUTED_VALUE"""),29000)</f>
        <v>29000</v>
      </c>
      <c r="F1407" s="2">
        <f ca="1">IFERROR(__xludf.DUMMYFUNCTION("""COMPUTED_VALUE"""),19374500)</f>
        <v>19374500</v>
      </c>
    </row>
    <row r="1408" spans="1:6">
      <c r="A1408" s="5">
        <f ca="1">IFERROR(__xludf.DUMMYFUNCTION("""COMPUTED_VALUE"""),44127.625)</f>
        <v>44127.625</v>
      </c>
      <c r="B1408" s="2">
        <f ca="1">IFERROR(__xludf.DUMMYFUNCTION("""COMPUTED_VALUE"""),29200)</f>
        <v>29200</v>
      </c>
      <c r="C1408" s="2">
        <f ca="1">IFERROR(__xludf.DUMMYFUNCTION("""COMPUTED_VALUE"""),29200)</f>
        <v>29200</v>
      </c>
      <c r="D1408" s="2">
        <f ca="1">IFERROR(__xludf.DUMMYFUNCTION("""COMPUTED_VALUE"""),28750)</f>
        <v>28750</v>
      </c>
      <c r="E1408" s="2">
        <f ca="1">IFERROR(__xludf.DUMMYFUNCTION("""COMPUTED_VALUE"""),28850)</f>
        <v>28850</v>
      </c>
      <c r="F1408" s="2">
        <f ca="1">IFERROR(__xludf.DUMMYFUNCTION("""COMPUTED_VALUE"""),13265600)</f>
        <v>13265600</v>
      </c>
    </row>
    <row r="1409" spans="1:6">
      <c r="A1409" s="5">
        <f ca="1">IFERROR(__xludf.DUMMYFUNCTION("""COMPUTED_VALUE"""),44130.625)</f>
        <v>44130.625</v>
      </c>
      <c r="B1409" s="2">
        <f ca="1">IFERROR(__xludf.DUMMYFUNCTION("""COMPUTED_VALUE"""),28625)</f>
        <v>28625</v>
      </c>
      <c r="C1409" s="2">
        <f ca="1">IFERROR(__xludf.DUMMYFUNCTION("""COMPUTED_VALUE"""),29175)</f>
        <v>29175</v>
      </c>
      <c r="D1409" s="2">
        <f ca="1">IFERROR(__xludf.DUMMYFUNCTION("""COMPUTED_VALUE"""),28625)</f>
        <v>28625</v>
      </c>
      <c r="E1409" s="2">
        <f ca="1">IFERROR(__xludf.DUMMYFUNCTION("""COMPUTED_VALUE"""),29075)</f>
        <v>29075</v>
      </c>
      <c r="F1409" s="2">
        <f ca="1">IFERROR(__xludf.DUMMYFUNCTION("""COMPUTED_VALUE"""),14090500)</f>
        <v>14090500</v>
      </c>
    </row>
    <row r="1410" spans="1:6">
      <c r="A1410" s="5">
        <f ca="1">IFERROR(__xludf.DUMMYFUNCTION("""COMPUTED_VALUE"""),44131.625)</f>
        <v>44131.625</v>
      </c>
      <c r="B1410" s="2">
        <f ca="1">IFERROR(__xludf.DUMMYFUNCTION("""COMPUTED_VALUE"""),29075)</f>
        <v>29075</v>
      </c>
      <c r="C1410" s="2">
        <f ca="1">IFERROR(__xludf.DUMMYFUNCTION("""COMPUTED_VALUE"""),29150)</f>
        <v>29150</v>
      </c>
      <c r="D1410" s="2">
        <f ca="1">IFERROR(__xludf.DUMMYFUNCTION("""COMPUTED_VALUE"""),28775)</f>
        <v>28775</v>
      </c>
      <c r="E1410" s="2">
        <f ca="1">IFERROR(__xludf.DUMMYFUNCTION("""COMPUTED_VALUE"""),28950)</f>
        <v>28950</v>
      </c>
      <c r="F1410" s="2">
        <f ca="1">IFERROR(__xludf.DUMMYFUNCTION("""COMPUTED_VALUE"""),17896400)</f>
        <v>17896400</v>
      </c>
    </row>
    <row r="1411" spans="1:6">
      <c r="A1411" s="5">
        <f ca="1">IFERROR(__xludf.DUMMYFUNCTION("""COMPUTED_VALUE"""),44137.625)</f>
        <v>44137.625</v>
      </c>
      <c r="B1411" s="2">
        <f ca="1">IFERROR(__xludf.DUMMYFUNCTION("""COMPUTED_VALUE"""),28800)</f>
        <v>28800</v>
      </c>
      <c r="C1411" s="2">
        <f ca="1">IFERROR(__xludf.DUMMYFUNCTION("""COMPUTED_VALUE"""),29125)</f>
        <v>29125</v>
      </c>
      <c r="D1411" s="2">
        <f ca="1">IFERROR(__xludf.DUMMYFUNCTION("""COMPUTED_VALUE"""),28600)</f>
        <v>28600</v>
      </c>
      <c r="E1411" s="2">
        <f ca="1">IFERROR(__xludf.DUMMYFUNCTION("""COMPUTED_VALUE"""),29100)</f>
        <v>29100</v>
      </c>
      <c r="F1411" s="2">
        <f ca="1">IFERROR(__xludf.DUMMYFUNCTION("""COMPUTED_VALUE"""),30201300)</f>
        <v>30201300</v>
      </c>
    </row>
    <row r="1412" spans="1:6">
      <c r="A1412" s="5">
        <f ca="1">IFERROR(__xludf.DUMMYFUNCTION("""COMPUTED_VALUE"""),44138.625)</f>
        <v>44138.625</v>
      </c>
      <c r="B1412" s="2">
        <f ca="1">IFERROR(__xludf.DUMMYFUNCTION("""COMPUTED_VALUE"""),29200)</f>
        <v>29200</v>
      </c>
      <c r="C1412" s="2">
        <f ca="1">IFERROR(__xludf.DUMMYFUNCTION("""COMPUTED_VALUE"""),29475)</f>
        <v>29475</v>
      </c>
      <c r="D1412" s="2">
        <f ca="1">IFERROR(__xludf.DUMMYFUNCTION("""COMPUTED_VALUE"""),29175)</f>
        <v>29175</v>
      </c>
      <c r="E1412" s="2">
        <f ca="1">IFERROR(__xludf.DUMMYFUNCTION("""COMPUTED_VALUE"""),29450)</f>
        <v>29450</v>
      </c>
      <c r="F1412" s="2">
        <f ca="1">IFERROR(__xludf.DUMMYFUNCTION("""COMPUTED_VALUE"""),15630400)</f>
        <v>15630400</v>
      </c>
    </row>
    <row r="1413" spans="1:6">
      <c r="A1413" s="5">
        <f ca="1">IFERROR(__xludf.DUMMYFUNCTION("""COMPUTED_VALUE"""),44139.625)</f>
        <v>44139.625</v>
      </c>
      <c r="B1413" s="2">
        <f ca="1">IFERROR(__xludf.DUMMYFUNCTION("""COMPUTED_VALUE"""),29500)</f>
        <v>29500</v>
      </c>
      <c r="C1413" s="2">
        <f ca="1">IFERROR(__xludf.DUMMYFUNCTION("""COMPUTED_VALUE"""),29700)</f>
        <v>29700</v>
      </c>
      <c r="D1413" s="2">
        <f ca="1">IFERROR(__xludf.DUMMYFUNCTION("""COMPUTED_VALUE"""),28925)</f>
        <v>28925</v>
      </c>
      <c r="E1413" s="2">
        <f ca="1">IFERROR(__xludf.DUMMYFUNCTION("""COMPUTED_VALUE"""),29100)</f>
        <v>29100</v>
      </c>
      <c r="F1413" s="2">
        <f ca="1">IFERROR(__xludf.DUMMYFUNCTION("""COMPUTED_VALUE"""),15725200)</f>
        <v>15725200</v>
      </c>
    </row>
    <row r="1414" spans="1:6">
      <c r="A1414" s="5">
        <f ca="1">IFERROR(__xludf.DUMMYFUNCTION("""COMPUTED_VALUE"""),44140.625)</f>
        <v>44140.625</v>
      </c>
      <c r="B1414" s="2">
        <f ca="1">IFERROR(__xludf.DUMMYFUNCTION("""COMPUTED_VALUE"""),29500)</f>
        <v>29500</v>
      </c>
      <c r="C1414" s="2">
        <f ca="1">IFERROR(__xludf.DUMMYFUNCTION("""COMPUTED_VALUE"""),30900)</f>
        <v>30900</v>
      </c>
      <c r="D1414" s="2">
        <f ca="1">IFERROR(__xludf.DUMMYFUNCTION("""COMPUTED_VALUE"""),29500)</f>
        <v>29500</v>
      </c>
      <c r="E1414" s="2">
        <f ca="1">IFERROR(__xludf.DUMMYFUNCTION("""COMPUTED_VALUE"""),30750)</f>
        <v>30750</v>
      </c>
      <c r="F1414" s="2">
        <f ca="1">IFERROR(__xludf.DUMMYFUNCTION("""COMPUTED_VALUE"""),32218000)</f>
        <v>32218000</v>
      </c>
    </row>
    <row r="1415" spans="1:6">
      <c r="A1415" s="5">
        <f ca="1">IFERROR(__xludf.DUMMYFUNCTION("""COMPUTED_VALUE"""),44141.625)</f>
        <v>44141.625</v>
      </c>
      <c r="B1415" s="2">
        <f ca="1">IFERROR(__xludf.DUMMYFUNCTION("""COMPUTED_VALUE"""),30800)</f>
        <v>30800</v>
      </c>
      <c r="C1415" s="2">
        <f ca="1">IFERROR(__xludf.DUMMYFUNCTION("""COMPUTED_VALUE"""),31500)</f>
        <v>31500</v>
      </c>
      <c r="D1415" s="2">
        <f ca="1">IFERROR(__xludf.DUMMYFUNCTION("""COMPUTED_VALUE"""),30300)</f>
        <v>30300</v>
      </c>
      <c r="E1415" s="2">
        <f ca="1">IFERROR(__xludf.DUMMYFUNCTION("""COMPUTED_VALUE"""),31500)</f>
        <v>31500</v>
      </c>
      <c r="F1415" s="2">
        <f ca="1">IFERROR(__xludf.DUMMYFUNCTION("""COMPUTED_VALUE"""),27460700)</f>
        <v>27460700</v>
      </c>
    </row>
    <row r="1416" spans="1:6">
      <c r="A1416" s="5">
        <f ca="1">IFERROR(__xludf.DUMMYFUNCTION("""COMPUTED_VALUE"""),44144.625)</f>
        <v>44144.625</v>
      </c>
      <c r="B1416" s="2">
        <f ca="1">IFERROR(__xludf.DUMMYFUNCTION("""COMPUTED_VALUE"""),31500)</f>
        <v>31500</v>
      </c>
      <c r="C1416" s="2">
        <f ca="1">IFERROR(__xludf.DUMMYFUNCTION("""COMPUTED_VALUE"""),32000)</f>
        <v>32000</v>
      </c>
      <c r="D1416" s="2">
        <f ca="1">IFERROR(__xludf.DUMMYFUNCTION("""COMPUTED_VALUE"""),31075)</f>
        <v>31075</v>
      </c>
      <c r="E1416" s="2">
        <f ca="1">IFERROR(__xludf.DUMMYFUNCTION("""COMPUTED_VALUE"""),31425)</f>
        <v>31425</v>
      </c>
      <c r="F1416" s="2">
        <f ca="1">IFERROR(__xludf.DUMMYFUNCTION("""COMPUTED_VALUE"""),16547900)</f>
        <v>16547900</v>
      </c>
    </row>
    <row r="1417" spans="1:6">
      <c r="A1417" s="5">
        <f ca="1">IFERROR(__xludf.DUMMYFUNCTION("""COMPUTED_VALUE"""),44145.625)</f>
        <v>44145.625</v>
      </c>
      <c r="B1417" s="2">
        <f ca="1">IFERROR(__xludf.DUMMYFUNCTION("""COMPUTED_VALUE"""),31975)</f>
        <v>31975</v>
      </c>
      <c r="C1417" s="2">
        <f ca="1">IFERROR(__xludf.DUMMYFUNCTION("""COMPUTED_VALUE"""),33000)</f>
        <v>33000</v>
      </c>
      <c r="D1417" s="2">
        <f ca="1">IFERROR(__xludf.DUMMYFUNCTION("""COMPUTED_VALUE"""),31900)</f>
        <v>31900</v>
      </c>
      <c r="E1417" s="2">
        <f ca="1">IFERROR(__xludf.DUMMYFUNCTION("""COMPUTED_VALUE"""),32400)</f>
        <v>32400</v>
      </c>
      <c r="F1417" s="2">
        <f ca="1">IFERROR(__xludf.DUMMYFUNCTION("""COMPUTED_VALUE"""),38214700)</f>
        <v>38214700</v>
      </c>
    </row>
    <row r="1418" spans="1:6">
      <c r="A1418" s="5">
        <f ca="1">IFERROR(__xludf.DUMMYFUNCTION("""COMPUTED_VALUE"""),44146.625)</f>
        <v>44146.625</v>
      </c>
      <c r="B1418" s="2">
        <f ca="1">IFERROR(__xludf.DUMMYFUNCTION("""COMPUTED_VALUE"""),32700)</f>
        <v>32700</v>
      </c>
      <c r="C1418" s="2">
        <f ca="1">IFERROR(__xludf.DUMMYFUNCTION("""COMPUTED_VALUE"""),32825)</f>
        <v>32825</v>
      </c>
      <c r="D1418" s="2">
        <f ca="1">IFERROR(__xludf.DUMMYFUNCTION("""COMPUTED_VALUE"""),32400)</f>
        <v>32400</v>
      </c>
      <c r="E1418" s="2">
        <f ca="1">IFERROR(__xludf.DUMMYFUNCTION("""COMPUTED_VALUE"""),32700)</f>
        <v>32700</v>
      </c>
      <c r="F1418" s="2">
        <f ca="1">IFERROR(__xludf.DUMMYFUNCTION("""COMPUTED_VALUE"""),26276700)</f>
        <v>26276700</v>
      </c>
    </row>
    <row r="1419" spans="1:6">
      <c r="A1419" s="5">
        <f ca="1">IFERROR(__xludf.DUMMYFUNCTION("""COMPUTED_VALUE"""),44147.625)</f>
        <v>44147.625</v>
      </c>
      <c r="B1419" s="2">
        <f ca="1">IFERROR(__xludf.DUMMYFUNCTION("""COMPUTED_VALUE"""),32050)</f>
        <v>32050</v>
      </c>
      <c r="C1419" s="2">
        <f ca="1">IFERROR(__xludf.DUMMYFUNCTION("""COMPUTED_VALUE"""),32475)</f>
        <v>32475</v>
      </c>
      <c r="D1419" s="2">
        <f ca="1">IFERROR(__xludf.DUMMYFUNCTION("""COMPUTED_VALUE"""),32025)</f>
        <v>32025</v>
      </c>
      <c r="E1419" s="2">
        <f ca="1">IFERROR(__xludf.DUMMYFUNCTION("""COMPUTED_VALUE"""),32100)</f>
        <v>32100</v>
      </c>
      <c r="F1419" s="2">
        <f ca="1">IFERROR(__xludf.DUMMYFUNCTION("""COMPUTED_VALUE"""),16616500)</f>
        <v>16616500</v>
      </c>
    </row>
    <row r="1420" spans="1:6">
      <c r="A1420" s="5">
        <f ca="1">IFERROR(__xludf.DUMMYFUNCTION("""COMPUTED_VALUE"""),44148.625)</f>
        <v>44148.625</v>
      </c>
      <c r="B1420" s="2">
        <f ca="1">IFERROR(__xludf.DUMMYFUNCTION("""COMPUTED_VALUE"""),32100)</f>
        <v>32100</v>
      </c>
      <c r="C1420" s="2">
        <f ca="1">IFERROR(__xludf.DUMMYFUNCTION("""COMPUTED_VALUE"""),32250)</f>
        <v>32250</v>
      </c>
      <c r="D1420" s="2">
        <f ca="1">IFERROR(__xludf.DUMMYFUNCTION("""COMPUTED_VALUE"""),31600)</f>
        <v>31600</v>
      </c>
      <c r="E1420" s="2">
        <f ca="1">IFERROR(__xludf.DUMMYFUNCTION("""COMPUTED_VALUE"""),31950)</f>
        <v>31950</v>
      </c>
      <c r="F1420" s="2">
        <f ca="1">IFERROR(__xludf.DUMMYFUNCTION("""COMPUTED_VALUE"""),16474900)</f>
        <v>16474900</v>
      </c>
    </row>
    <row r="1421" spans="1:6">
      <c r="A1421" s="5">
        <f ca="1">IFERROR(__xludf.DUMMYFUNCTION("""COMPUTED_VALUE"""),44151.625)</f>
        <v>44151.625</v>
      </c>
      <c r="B1421" s="2">
        <f ca="1">IFERROR(__xludf.DUMMYFUNCTION("""COMPUTED_VALUE"""),32425)</f>
        <v>32425</v>
      </c>
      <c r="C1421" s="2">
        <f ca="1">IFERROR(__xludf.DUMMYFUNCTION("""COMPUTED_VALUE"""),32425)</f>
        <v>32425</v>
      </c>
      <c r="D1421" s="2">
        <f ca="1">IFERROR(__xludf.DUMMYFUNCTION("""COMPUTED_VALUE"""),31925)</f>
        <v>31925</v>
      </c>
      <c r="E1421" s="2">
        <f ca="1">IFERROR(__xludf.DUMMYFUNCTION("""COMPUTED_VALUE"""),32400)</f>
        <v>32400</v>
      </c>
      <c r="F1421" s="2">
        <f ca="1">IFERROR(__xludf.DUMMYFUNCTION("""COMPUTED_VALUE"""),10981000)</f>
        <v>10981000</v>
      </c>
    </row>
    <row r="1422" spans="1:6">
      <c r="A1422" s="5">
        <f ca="1">IFERROR(__xludf.DUMMYFUNCTION("""COMPUTED_VALUE"""),44152.625)</f>
        <v>44152.625</v>
      </c>
      <c r="B1422" s="2">
        <f ca="1">IFERROR(__xludf.DUMMYFUNCTION("""COMPUTED_VALUE"""),32500)</f>
        <v>32500</v>
      </c>
      <c r="C1422" s="2">
        <f ca="1">IFERROR(__xludf.DUMMYFUNCTION("""COMPUTED_VALUE"""),32825)</f>
        <v>32825</v>
      </c>
      <c r="D1422" s="2">
        <f ca="1">IFERROR(__xludf.DUMMYFUNCTION("""COMPUTED_VALUE"""),32450)</f>
        <v>32450</v>
      </c>
      <c r="E1422" s="2">
        <f ca="1">IFERROR(__xludf.DUMMYFUNCTION("""COMPUTED_VALUE"""),32750)</f>
        <v>32750</v>
      </c>
      <c r="F1422" s="2">
        <f ca="1">IFERROR(__xludf.DUMMYFUNCTION("""COMPUTED_VALUE"""),23956800)</f>
        <v>23956800</v>
      </c>
    </row>
    <row r="1423" spans="1:6">
      <c r="A1423" s="5">
        <f ca="1">IFERROR(__xludf.DUMMYFUNCTION("""COMPUTED_VALUE"""),44153.625)</f>
        <v>44153.625</v>
      </c>
      <c r="B1423" s="2">
        <f ca="1">IFERROR(__xludf.DUMMYFUNCTION("""COMPUTED_VALUE"""),32750)</f>
        <v>32750</v>
      </c>
      <c r="C1423" s="2">
        <f ca="1">IFERROR(__xludf.DUMMYFUNCTION("""COMPUTED_VALUE"""),32875)</f>
        <v>32875</v>
      </c>
      <c r="D1423" s="2">
        <f ca="1">IFERROR(__xludf.DUMMYFUNCTION("""COMPUTED_VALUE"""),32700)</f>
        <v>32700</v>
      </c>
      <c r="E1423" s="2">
        <f ca="1">IFERROR(__xludf.DUMMYFUNCTION("""COMPUTED_VALUE"""),32850)</f>
        <v>32850</v>
      </c>
      <c r="F1423" s="2">
        <f ca="1">IFERROR(__xludf.DUMMYFUNCTION("""COMPUTED_VALUE"""),19957800)</f>
        <v>19957800</v>
      </c>
    </row>
    <row r="1424" spans="1:6">
      <c r="A1424" s="5">
        <f ca="1">IFERROR(__xludf.DUMMYFUNCTION("""COMPUTED_VALUE"""),44154.625)</f>
        <v>44154.625</v>
      </c>
      <c r="B1424" s="2">
        <f ca="1">IFERROR(__xludf.DUMMYFUNCTION("""COMPUTED_VALUE"""),32600)</f>
        <v>32600</v>
      </c>
      <c r="C1424" s="2">
        <f ca="1">IFERROR(__xludf.DUMMYFUNCTION("""COMPUTED_VALUE"""),33200)</f>
        <v>33200</v>
      </c>
      <c r="D1424" s="2">
        <f ca="1">IFERROR(__xludf.DUMMYFUNCTION("""COMPUTED_VALUE"""),32575)</f>
        <v>32575</v>
      </c>
      <c r="E1424" s="2">
        <f ca="1">IFERROR(__xludf.DUMMYFUNCTION("""COMPUTED_VALUE"""),33075)</f>
        <v>33075</v>
      </c>
      <c r="F1424" s="2">
        <f ca="1">IFERROR(__xludf.DUMMYFUNCTION("""COMPUTED_VALUE"""),29469300)</f>
        <v>29469300</v>
      </c>
    </row>
    <row r="1425" spans="1:6">
      <c r="A1425" s="5">
        <f ca="1">IFERROR(__xludf.DUMMYFUNCTION("""COMPUTED_VALUE"""),44155.625)</f>
        <v>44155.625</v>
      </c>
      <c r="B1425" s="2">
        <f ca="1">IFERROR(__xludf.DUMMYFUNCTION("""COMPUTED_VALUE"""),33200)</f>
        <v>33200</v>
      </c>
      <c r="C1425" s="2">
        <f ca="1">IFERROR(__xludf.DUMMYFUNCTION("""COMPUTED_VALUE"""),33250)</f>
        <v>33250</v>
      </c>
      <c r="D1425" s="2">
        <f ca="1">IFERROR(__xludf.DUMMYFUNCTION("""COMPUTED_VALUE"""),32750)</f>
        <v>32750</v>
      </c>
      <c r="E1425" s="2">
        <f ca="1">IFERROR(__xludf.DUMMYFUNCTION("""COMPUTED_VALUE"""),33000)</f>
        <v>33000</v>
      </c>
      <c r="F1425" s="2">
        <f ca="1">IFERROR(__xludf.DUMMYFUNCTION("""COMPUTED_VALUE"""),13693700)</f>
        <v>13693700</v>
      </c>
    </row>
    <row r="1426" spans="1:6">
      <c r="A1426" s="5">
        <f ca="1">IFERROR(__xludf.DUMMYFUNCTION("""COMPUTED_VALUE"""),44158.625)</f>
        <v>44158.625</v>
      </c>
      <c r="B1426" s="2">
        <f ca="1">IFERROR(__xludf.DUMMYFUNCTION("""COMPUTED_VALUE"""),33000)</f>
        <v>33000</v>
      </c>
      <c r="C1426" s="2">
        <f ca="1">IFERROR(__xludf.DUMMYFUNCTION("""COMPUTED_VALUE"""),33050)</f>
        <v>33050</v>
      </c>
      <c r="D1426" s="2">
        <f ca="1">IFERROR(__xludf.DUMMYFUNCTION("""COMPUTED_VALUE"""),32750)</f>
        <v>32750</v>
      </c>
      <c r="E1426" s="2">
        <f ca="1">IFERROR(__xludf.DUMMYFUNCTION("""COMPUTED_VALUE"""),33000)</f>
        <v>33000</v>
      </c>
      <c r="F1426" s="2">
        <f ca="1">IFERROR(__xludf.DUMMYFUNCTION("""COMPUTED_VALUE"""),15053100)</f>
        <v>15053100</v>
      </c>
    </row>
    <row r="1427" spans="1:6">
      <c r="A1427" s="5">
        <f ca="1">IFERROR(__xludf.DUMMYFUNCTION("""COMPUTED_VALUE"""),44159.625)</f>
        <v>44159.625</v>
      </c>
      <c r="B1427" s="2">
        <f ca="1">IFERROR(__xludf.DUMMYFUNCTION("""COMPUTED_VALUE"""),33000)</f>
        <v>33000</v>
      </c>
      <c r="C1427" s="2">
        <f ca="1">IFERROR(__xludf.DUMMYFUNCTION("""COMPUTED_VALUE"""),33000)</f>
        <v>33000</v>
      </c>
      <c r="D1427" s="2">
        <f ca="1">IFERROR(__xludf.DUMMYFUNCTION("""COMPUTED_VALUE"""),32725)</f>
        <v>32725</v>
      </c>
      <c r="E1427" s="2">
        <f ca="1">IFERROR(__xludf.DUMMYFUNCTION("""COMPUTED_VALUE"""),32825)</f>
        <v>32825</v>
      </c>
      <c r="F1427" s="2">
        <f ca="1">IFERROR(__xludf.DUMMYFUNCTION("""COMPUTED_VALUE"""),14469900)</f>
        <v>14469900</v>
      </c>
    </row>
    <row r="1428" spans="1:6">
      <c r="A1428" s="5">
        <f ca="1">IFERROR(__xludf.DUMMYFUNCTION("""COMPUTED_VALUE"""),44160.625)</f>
        <v>44160.625</v>
      </c>
      <c r="B1428" s="2">
        <f ca="1">IFERROR(__xludf.DUMMYFUNCTION("""COMPUTED_VALUE"""),32900)</f>
        <v>32900</v>
      </c>
      <c r="C1428" s="2">
        <f ca="1">IFERROR(__xludf.DUMMYFUNCTION("""COMPUTED_VALUE"""),32925)</f>
        <v>32925</v>
      </c>
      <c r="D1428" s="2">
        <f ca="1">IFERROR(__xludf.DUMMYFUNCTION("""COMPUTED_VALUE"""),31900)</f>
        <v>31900</v>
      </c>
      <c r="E1428" s="2">
        <f ca="1">IFERROR(__xludf.DUMMYFUNCTION("""COMPUTED_VALUE"""),32050)</f>
        <v>32050</v>
      </c>
      <c r="F1428" s="2">
        <f ca="1">IFERROR(__xludf.DUMMYFUNCTION("""COMPUTED_VALUE"""),34028100)</f>
        <v>34028100</v>
      </c>
    </row>
    <row r="1429" spans="1:6">
      <c r="A1429" s="5">
        <f ca="1">IFERROR(__xludf.DUMMYFUNCTION("""COMPUTED_VALUE"""),44161.625)</f>
        <v>44161.625</v>
      </c>
      <c r="B1429" s="2">
        <f ca="1">IFERROR(__xludf.DUMMYFUNCTION("""COMPUTED_VALUE"""),31750)</f>
        <v>31750</v>
      </c>
      <c r="C1429" s="2">
        <f ca="1">IFERROR(__xludf.DUMMYFUNCTION("""COMPUTED_VALUE"""),32450)</f>
        <v>32450</v>
      </c>
      <c r="D1429" s="2">
        <f ca="1">IFERROR(__xludf.DUMMYFUNCTION("""COMPUTED_VALUE"""),31500)</f>
        <v>31500</v>
      </c>
      <c r="E1429" s="2">
        <f ca="1">IFERROR(__xludf.DUMMYFUNCTION("""COMPUTED_VALUE"""),32400)</f>
        <v>32400</v>
      </c>
      <c r="F1429" s="2">
        <f ca="1">IFERROR(__xludf.DUMMYFUNCTION("""COMPUTED_VALUE"""),12867800)</f>
        <v>12867800</v>
      </c>
    </row>
    <row r="1430" spans="1:6">
      <c r="A1430" s="5">
        <f ca="1">IFERROR(__xludf.DUMMYFUNCTION("""COMPUTED_VALUE"""),44162.625)</f>
        <v>44162.625</v>
      </c>
      <c r="B1430" s="2">
        <f ca="1">IFERROR(__xludf.DUMMYFUNCTION("""COMPUTED_VALUE"""),32400)</f>
        <v>32400</v>
      </c>
      <c r="C1430" s="2">
        <f ca="1">IFERROR(__xludf.DUMMYFUNCTION("""COMPUTED_VALUE"""),32450)</f>
        <v>32450</v>
      </c>
      <c r="D1430" s="2">
        <f ca="1">IFERROR(__xludf.DUMMYFUNCTION("""COMPUTED_VALUE"""),31900)</f>
        <v>31900</v>
      </c>
      <c r="E1430" s="2">
        <f ca="1">IFERROR(__xludf.DUMMYFUNCTION("""COMPUTED_VALUE"""),31925)</f>
        <v>31925</v>
      </c>
      <c r="F1430" s="2">
        <f ca="1">IFERROR(__xludf.DUMMYFUNCTION("""COMPUTED_VALUE"""),17472300)</f>
        <v>17472300</v>
      </c>
    </row>
    <row r="1431" spans="1:6">
      <c r="A1431" s="5">
        <f ca="1">IFERROR(__xludf.DUMMYFUNCTION("""COMPUTED_VALUE"""),44165.625)</f>
        <v>44165.625</v>
      </c>
      <c r="B1431" s="2">
        <f ca="1">IFERROR(__xludf.DUMMYFUNCTION("""COMPUTED_VALUE"""),31925)</f>
        <v>31925</v>
      </c>
      <c r="C1431" s="2">
        <f ca="1">IFERROR(__xludf.DUMMYFUNCTION("""COMPUTED_VALUE"""),32000)</f>
        <v>32000</v>
      </c>
      <c r="D1431" s="2">
        <f ca="1">IFERROR(__xludf.DUMMYFUNCTION("""COMPUTED_VALUE"""),30675)</f>
        <v>30675</v>
      </c>
      <c r="E1431" s="2">
        <f ca="1">IFERROR(__xludf.DUMMYFUNCTION("""COMPUTED_VALUE"""),31025)</f>
        <v>31025</v>
      </c>
      <c r="F1431" s="2">
        <f ca="1">IFERROR(__xludf.DUMMYFUNCTION("""COMPUTED_VALUE"""),78618300)</f>
        <v>78618300</v>
      </c>
    </row>
    <row r="1432" spans="1:6">
      <c r="A1432" s="5">
        <f ca="1">IFERROR(__xludf.DUMMYFUNCTION("""COMPUTED_VALUE"""),44166.625)</f>
        <v>44166.625</v>
      </c>
      <c r="B1432" s="2">
        <f ca="1">IFERROR(__xludf.DUMMYFUNCTION("""COMPUTED_VALUE"""),31100)</f>
        <v>31100</v>
      </c>
      <c r="C1432" s="2">
        <f ca="1">IFERROR(__xludf.DUMMYFUNCTION("""COMPUTED_VALUE"""),32175)</f>
        <v>32175</v>
      </c>
      <c r="D1432" s="2">
        <f ca="1">IFERROR(__xludf.DUMMYFUNCTION("""COMPUTED_VALUE"""),31100)</f>
        <v>31100</v>
      </c>
      <c r="E1432" s="2">
        <f ca="1">IFERROR(__xludf.DUMMYFUNCTION("""COMPUTED_VALUE"""),31975)</f>
        <v>31975</v>
      </c>
      <c r="F1432" s="2">
        <f ca="1">IFERROR(__xludf.DUMMYFUNCTION("""COMPUTED_VALUE"""),22912700)</f>
        <v>22912700</v>
      </c>
    </row>
    <row r="1433" spans="1:6">
      <c r="A1433" s="5">
        <f ca="1">IFERROR(__xludf.DUMMYFUNCTION("""COMPUTED_VALUE"""),44167.625)</f>
        <v>44167.625</v>
      </c>
      <c r="B1433" s="2">
        <f ca="1">IFERROR(__xludf.DUMMYFUNCTION("""COMPUTED_VALUE"""),32300)</f>
        <v>32300</v>
      </c>
      <c r="C1433" s="2">
        <f ca="1">IFERROR(__xludf.DUMMYFUNCTION("""COMPUTED_VALUE"""),32425)</f>
        <v>32425</v>
      </c>
      <c r="D1433" s="2">
        <f ca="1">IFERROR(__xludf.DUMMYFUNCTION("""COMPUTED_VALUE"""),31700)</f>
        <v>31700</v>
      </c>
      <c r="E1433" s="2">
        <f ca="1">IFERROR(__xludf.DUMMYFUNCTION("""COMPUTED_VALUE"""),32250)</f>
        <v>32250</v>
      </c>
      <c r="F1433" s="2">
        <f ca="1">IFERROR(__xludf.DUMMYFUNCTION("""COMPUTED_VALUE"""),18779500)</f>
        <v>18779500</v>
      </c>
    </row>
    <row r="1434" spans="1:6">
      <c r="A1434" s="5">
        <f ca="1">IFERROR(__xludf.DUMMYFUNCTION("""COMPUTED_VALUE"""),44168.625)</f>
        <v>44168.625</v>
      </c>
      <c r="B1434" s="2">
        <f ca="1">IFERROR(__xludf.DUMMYFUNCTION("""COMPUTED_VALUE"""),32500)</f>
        <v>32500</v>
      </c>
      <c r="C1434" s="2">
        <f ca="1">IFERROR(__xludf.DUMMYFUNCTION("""COMPUTED_VALUE"""),32625)</f>
        <v>32625</v>
      </c>
      <c r="D1434" s="2">
        <f ca="1">IFERROR(__xludf.DUMMYFUNCTION("""COMPUTED_VALUE"""),32125)</f>
        <v>32125</v>
      </c>
      <c r="E1434" s="2">
        <f ca="1">IFERROR(__xludf.DUMMYFUNCTION("""COMPUTED_VALUE"""),32300)</f>
        <v>32300</v>
      </c>
      <c r="F1434" s="2">
        <f ca="1">IFERROR(__xludf.DUMMYFUNCTION("""COMPUTED_VALUE"""),19642000)</f>
        <v>19642000</v>
      </c>
    </row>
    <row r="1435" spans="1:6">
      <c r="A1435" s="5">
        <f ca="1">IFERROR(__xludf.DUMMYFUNCTION("""COMPUTED_VALUE"""),44169.625)</f>
        <v>44169.625</v>
      </c>
      <c r="B1435" s="2">
        <f ca="1">IFERROR(__xludf.DUMMYFUNCTION("""COMPUTED_VALUE"""),32300)</f>
        <v>32300</v>
      </c>
      <c r="C1435" s="2">
        <f ca="1">IFERROR(__xludf.DUMMYFUNCTION("""COMPUTED_VALUE"""),32325)</f>
        <v>32325</v>
      </c>
      <c r="D1435" s="2">
        <f ca="1">IFERROR(__xludf.DUMMYFUNCTION("""COMPUTED_VALUE"""),31800)</f>
        <v>31800</v>
      </c>
      <c r="E1435" s="2">
        <f ca="1">IFERROR(__xludf.DUMMYFUNCTION("""COMPUTED_VALUE"""),31950)</f>
        <v>31950</v>
      </c>
      <c r="F1435" s="2">
        <f ca="1">IFERROR(__xludf.DUMMYFUNCTION("""COMPUTED_VALUE"""),12999100)</f>
        <v>12999100</v>
      </c>
    </row>
    <row r="1436" spans="1:6">
      <c r="A1436" s="5">
        <f ca="1">IFERROR(__xludf.DUMMYFUNCTION("""COMPUTED_VALUE"""),44172.625)</f>
        <v>44172.625</v>
      </c>
      <c r="B1436" s="2">
        <f ca="1">IFERROR(__xludf.DUMMYFUNCTION("""COMPUTED_VALUE"""),32500)</f>
        <v>32500</v>
      </c>
      <c r="C1436" s="2">
        <f ca="1">IFERROR(__xludf.DUMMYFUNCTION("""COMPUTED_VALUE"""),32900)</f>
        <v>32900</v>
      </c>
      <c r="D1436" s="2">
        <f ca="1">IFERROR(__xludf.DUMMYFUNCTION("""COMPUTED_VALUE"""),32400)</f>
        <v>32400</v>
      </c>
      <c r="E1436" s="2">
        <f ca="1">IFERROR(__xludf.DUMMYFUNCTION("""COMPUTED_VALUE"""),32600)</f>
        <v>32600</v>
      </c>
      <c r="F1436" s="2">
        <f ca="1">IFERROR(__xludf.DUMMYFUNCTION("""COMPUTED_VALUE"""),19327200)</f>
        <v>19327200</v>
      </c>
    </row>
    <row r="1437" spans="1:6">
      <c r="A1437" s="5">
        <f ca="1">IFERROR(__xludf.DUMMYFUNCTION("""COMPUTED_VALUE"""),44173.625)</f>
        <v>44173.625</v>
      </c>
      <c r="B1437" s="2">
        <f ca="1">IFERROR(__xludf.DUMMYFUNCTION("""COMPUTED_VALUE"""),32600)</f>
        <v>32600</v>
      </c>
      <c r="C1437" s="2">
        <f ca="1">IFERROR(__xludf.DUMMYFUNCTION("""COMPUTED_VALUE"""),32600)</f>
        <v>32600</v>
      </c>
      <c r="D1437" s="2">
        <f ca="1">IFERROR(__xludf.DUMMYFUNCTION("""COMPUTED_VALUE"""),32125)</f>
        <v>32125</v>
      </c>
      <c r="E1437" s="2">
        <f ca="1">IFERROR(__xludf.DUMMYFUNCTION("""COMPUTED_VALUE"""),32450)</f>
        <v>32450</v>
      </c>
      <c r="F1437" s="2">
        <f ca="1">IFERROR(__xludf.DUMMYFUNCTION("""COMPUTED_VALUE"""),14112300)</f>
        <v>14112300</v>
      </c>
    </row>
    <row r="1438" spans="1:6">
      <c r="A1438" s="5">
        <f ca="1">IFERROR(__xludf.DUMMYFUNCTION("""COMPUTED_VALUE"""),44175.625)</f>
        <v>44175.625</v>
      </c>
      <c r="B1438" s="2">
        <f ca="1">IFERROR(__xludf.DUMMYFUNCTION("""COMPUTED_VALUE"""),32950)</f>
        <v>32950</v>
      </c>
      <c r="C1438" s="2">
        <f ca="1">IFERROR(__xludf.DUMMYFUNCTION("""COMPUTED_VALUE"""),33000)</f>
        <v>33000</v>
      </c>
      <c r="D1438" s="2">
        <f ca="1">IFERROR(__xludf.DUMMYFUNCTION("""COMPUTED_VALUE"""),32700)</f>
        <v>32700</v>
      </c>
      <c r="E1438" s="2">
        <f ca="1">IFERROR(__xludf.DUMMYFUNCTION("""COMPUTED_VALUE"""),32875)</f>
        <v>32875</v>
      </c>
      <c r="F1438" s="2">
        <f ca="1">IFERROR(__xludf.DUMMYFUNCTION("""COMPUTED_VALUE"""),30284100)</f>
        <v>30284100</v>
      </c>
    </row>
    <row r="1439" spans="1:6">
      <c r="A1439" s="5">
        <f ca="1">IFERROR(__xludf.DUMMYFUNCTION("""COMPUTED_VALUE"""),44176.625)</f>
        <v>44176.625</v>
      </c>
      <c r="B1439" s="2">
        <f ca="1">IFERROR(__xludf.DUMMYFUNCTION("""COMPUTED_VALUE"""),33000)</f>
        <v>33000</v>
      </c>
      <c r="C1439" s="2">
        <f ca="1">IFERROR(__xludf.DUMMYFUNCTION("""COMPUTED_VALUE"""),33900)</f>
        <v>33900</v>
      </c>
      <c r="D1439" s="2">
        <f ca="1">IFERROR(__xludf.DUMMYFUNCTION("""COMPUTED_VALUE"""),32975)</f>
        <v>32975</v>
      </c>
      <c r="E1439" s="2">
        <f ca="1">IFERROR(__xludf.DUMMYFUNCTION("""COMPUTED_VALUE"""),33675)</f>
        <v>33675</v>
      </c>
      <c r="F1439" s="2">
        <f ca="1">IFERROR(__xludf.DUMMYFUNCTION("""COMPUTED_VALUE"""),42832000)</f>
        <v>42832000</v>
      </c>
    </row>
    <row r="1440" spans="1:6">
      <c r="A1440" s="5">
        <f ca="1">IFERROR(__xludf.DUMMYFUNCTION("""COMPUTED_VALUE"""),44179.625)</f>
        <v>44179.625</v>
      </c>
      <c r="B1440" s="2">
        <f ca="1">IFERROR(__xludf.DUMMYFUNCTION("""COMPUTED_VALUE"""),34000)</f>
        <v>34000</v>
      </c>
      <c r="C1440" s="2">
        <f ca="1">IFERROR(__xludf.DUMMYFUNCTION("""COMPUTED_VALUE"""),34150)</f>
        <v>34150</v>
      </c>
      <c r="D1440" s="2">
        <f ca="1">IFERROR(__xludf.DUMMYFUNCTION("""COMPUTED_VALUE"""),33975)</f>
        <v>33975</v>
      </c>
      <c r="E1440" s="2">
        <f ca="1">IFERROR(__xludf.DUMMYFUNCTION("""COMPUTED_VALUE"""),34100)</f>
        <v>34100</v>
      </c>
      <c r="F1440" s="2">
        <f ca="1">IFERROR(__xludf.DUMMYFUNCTION("""COMPUTED_VALUE"""),35957100)</f>
        <v>35957100</v>
      </c>
    </row>
    <row r="1441" spans="1:6">
      <c r="A1441" s="5">
        <f ca="1">IFERROR(__xludf.DUMMYFUNCTION("""COMPUTED_VALUE"""),44180.625)</f>
        <v>44180.625</v>
      </c>
      <c r="B1441" s="2">
        <f ca="1">IFERROR(__xludf.DUMMYFUNCTION("""COMPUTED_VALUE"""),34150)</f>
        <v>34150</v>
      </c>
      <c r="C1441" s="2">
        <f ca="1">IFERROR(__xludf.DUMMYFUNCTION("""COMPUTED_VALUE"""),34500)</f>
        <v>34500</v>
      </c>
      <c r="D1441" s="2">
        <f ca="1">IFERROR(__xludf.DUMMYFUNCTION("""COMPUTED_VALUE"""),33025)</f>
        <v>33025</v>
      </c>
      <c r="E1441" s="2">
        <f ca="1">IFERROR(__xludf.DUMMYFUNCTION("""COMPUTED_VALUE"""),33950)</f>
        <v>33950</v>
      </c>
      <c r="F1441" s="2">
        <f ca="1">IFERROR(__xludf.DUMMYFUNCTION("""COMPUTED_VALUE"""),32804900)</f>
        <v>32804900</v>
      </c>
    </row>
    <row r="1442" spans="1:6">
      <c r="A1442" s="5">
        <f ca="1">IFERROR(__xludf.DUMMYFUNCTION("""COMPUTED_VALUE"""),44181.625)</f>
        <v>44181.625</v>
      </c>
      <c r="B1442" s="2">
        <f ca="1">IFERROR(__xludf.DUMMYFUNCTION("""COMPUTED_VALUE"""),34300)</f>
        <v>34300</v>
      </c>
      <c r="C1442" s="2">
        <f ca="1">IFERROR(__xludf.DUMMYFUNCTION("""COMPUTED_VALUE"""),34750)</f>
        <v>34750</v>
      </c>
      <c r="D1442" s="2">
        <f ca="1">IFERROR(__xludf.DUMMYFUNCTION("""COMPUTED_VALUE"""),34200)</f>
        <v>34200</v>
      </c>
      <c r="E1442" s="2">
        <f ca="1">IFERROR(__xludf.DUMMYFUNCTION("""COMPUTED_VALUE"""),34750)</f>
        <v>34750</v>
      </c>
      <c r="F1442" s="2">
        <f ca="1">IFERROR(__xludf.DUMMYFUNCTION("""COMPUTED_VALUE"""),27734800)</f>
        <v>27734800</v>
      </c>
    </row>
    <row r="1443" spans="1:6">
      <c r="A1443" s="5">
        <f ca="1">IFERROR(__xludf.DUMMYFUNCTION("""COMPUTED_VALUE"""),44182.625)</f>
        <v>44182.625</v>
      </c>
      <c r="B1443" s="2">
        <f ca="1">IFERROR(__xludf.DUMMYFUNCTION("""COMPUTED_VALUE"""),34825)</f>
        <v>34825</v>
      </c>
      <c r="C1443" s="2">
        <f ca="1">IFERROR(__xludf.DUMMYFUNCTION("""COMPUTED_VALUE"""),35000)</f>
        <v>35000</v>
      </c>
      <c r="D1443" s="2">
        <f ca="1">IFERROR(__xludf.DUMMYFUNCTION("""COMPUTED_VALUE"""),34100)</f>
        <v>34100</v>
      </c>
      <c r="E1443" s="2">
        <f ca="1">IFERROR(__xludf.DUMMYFUNCTION("""COMPUTED_VALUE"""),34675)</f>
        <v>34675</v>
      </c>
      <c r="F1443" s="2">
        <f ca="1">IFERROR(__xludf.DUMMYFUNCTION("""COMPUTED_VALUE"""),18384000)</f>
        <v>18384000</v>
      </c>
    </row>
    <row r="1444" spans="1:6">
      <c r="A1444" s="5">
        <f ca="1">IFERROR(__xludf.DUMMYFUNCTION("""COMPUTED_VALUE"""),44183.625)</f>
        <v>44183.625</v>
      </c>
      <c r="B1444" s="2">
        <f ca="1">IFERROR(__xludf.DUMMYFUNCTION("""COMPUTED_VALUE"""),34675)</f>
        <v>34675</v>
      </c>
      <c r="C1444" s="2">
        <f ca="1">IFERROR(__xludf.DUMMYFUNCTION("""COMPUTED_VALUE"""),34675)</f>
        <v>34675</v>
      </c>
      <c r="D1444" s="2">
        <f ca="1">IFERROR(__xludf.DUMMYFUNCTION("""COMPUTED_VALUE"""),33775)</f>
        <v>33775</v>
      </c>
      <c r="E1444" s="2">
        <f ca="1">IFERROR(__xludf.DUMMYFUNCTION("""COMPUTED_VALUE"""),34000)</f>
        <v>34000</v>
      </c>
      <c r="F1444" s="2">
        <f ca="1">IFERROR(__xludf.DUMMYFUNCTION("""COMPUTED_VALUE"""),29447700)</f>
        <v>29447700</v>
      </c>
    </row>
    <row r="1445" spans="1:6">
      <c r="A1445" s="5">
        <f ca="1">IFERROR(__xludf.DUMMYFUNCTION("""COMPUTED_VALUE"""),44186.625)</f>
        <v>44186.625</v>
      </c>
      <c r="B1445" s="2">
        <f ca="1">IFERROR(__xludf.DUMMYFUNCTION("""COMPUTED_VALUE"""),34450)</f>
        <v>34450</v>
      </c>
      <c r="C1445" s="2">
        <f ca="1">IFERROR(__xludf.DUMMYFUNCTION("""COMPUTED_VALUE"""),34450)</f>
        <v>34450</v>
      </c>
      <c r="D1445" s="2">
        <f ca="1">IFERROR(__xludf.DUMMYFUNCTION("""COMPUTED_VALUE"""),34000)</f>
        <v>34000</v>
      </c>
      <c r="E1445" s="2">
        <f ca="1">IFERROR(__xludf.DUMMYFUNCTION("""COMPUTED_VALUE"""),34150)</f>
        <v>34150</v>
      </c>
      <c r="F1445" s="2">
        <f ca="1">IFERROR(__xludf.DUMMYFUNCTION("""COMPUTED_VALUE"""),18738500)</f>
        <v>18738500</v>
      </c>
    </row>
    <row r="1446" spans="1:6">
      <c r="A1446" s="5">
        <f ca="1">IFERROR(__xludf.DUMMYFUNCTION("""COMPUTED_VALUE"""),44187.625)</f>
        <v>44187.625</v>
      </c>
      <c r="B1446" s="2">
        <f ca="1">IFERROR(__xludf.DUMMYFUNCTION("""COMPUTED_VALUE"""),33700)</f>
        <v>33700</v>
      </c>
      <c r="C1446" s="2">
        <f ca="1">IFERROR(__xludf.DUMMYFUNCTION("""COMPUTED_VALUE"""),34100)</f>
        <v>34100</v>
      </c>
      <c r="D1446" s="2">
        <f ca="1">IFERROR(__xludf.DUMMYFUNCTION("""COMPUTED_VALUE"""),33550)</f>
        <v>33550</v>
      </c>
      <c r="E1446" s="2">
        <f ca="1">IFERROR(__xludf.DUMMYFUNCTION("""COMPUTED_VALUE"""),33575)</f>
        <v>33575</v>
      </c>
      <c r="F1446" s="2">
        <f ca="1">IFERROR(__xludf.DUMMYFUNCTION("""COMPUTED_VALUE"""),12358100)</f>
        <v>12358100</v>
      </c>
    </row>
    <row r="1447" spans="1:6">
      <c r="A1447" s="5">
        <f ca="1">IFERROR(__xludf.DUMMYFUNCTION("""COMPUTED_VALUE"""),44188.625)</f>
        <v>44188.625</v>
      </c>
      <c r="B1447" s="2">
        <f ca="1">IFERROR(__xludf.DUMMYFUNCTION("""COMPUTED_VALUE"""),34525)</f>
        <v>34525</v>
      </c>
      <c r="C1447" s="2">
        <f ca="1">IFERROR(__xludf.DUMMYFUNCTION("""COMPUTED_VALUE"""),34525)</f>
        <v>34525</v>
      </c>
      <c r="D1447" s="2">
        <f ca="1">IFERROR(__xludf.DUMMYFUNCTION("""COMPUTED_VALUE"""),33100)</f>
        <v>33100</v>
      </c>
      <c r="E1447" s="2">
        <f ca="1">IFERROR(__xludf.DUMMYFUNCTION("""COMPUTED_VALUE"""),33625)</f>
        <v>33625</v>
      </c>
      <c r="F1447" s="2">
        <f ca="1">IFERROR(__xludf.DUMMYFUNCTION("""COMPUTED_VALUE"""),15389600)</f>
        <v>15389600</v>
      </c>
    </row>
    <row r="1448" spans="1:6">
      <c r="A1448" s="5">
        <f ca="1">IFERROR(__xludf.DUMMYFUNCTION("""COMPUTED_VALUE"""),44193.625)</f>
        <v>44193.625</v>
      </c>
      <c r="B1448" s="2">
        <f ca="1">IFERROR(__xludf.DUMMYFUNCTION("""COMPUTED_VALUE"""),33950)</f>
        <v>33950</v>
      </c>
      <c r="C1448" s="2">
        <f ca="1">IFERROR(__xludf.DUMMYFUNCTION("""COMPUTED_VALUE"""),34100)</f>
        <v>34100</v>
      </c>
      <c r="D1448" s="2">
        <f ca="1">IFERROR(__xludf.DUMMYFUNCTION("""COMPUTED_VALUE"""),33300)</f>
        <v>33300</v>
      </c>
      <c r="E1448" s="2">
        <f ca="1">IFERROR(__xludf.DUMMYFUNCTION("""COMPUTED_VALUE"""),33900)</f>
        <v>33900</v>
      </c>
      <c r="F1448" s="2">
        <f ca="1">IFERROR(__xludf.DUMMYFUNCTION("""COMPUTED_VALUE"""),12046800)</f>
        <v>12046800</v>
      </c>
    </row>
    <row r="1449" spans="1:6">
      <c r="A1449" s="5">
        <f ca="1">IFERROR(__xludf.DUMMYFUNCTION("""COMPUTED_VALUE"""),44194.625)</f>
        <v>44194.625</v>
      </c>
      <c r="B1449" s="2">
        <f ca="1">IFERROR(__xludf.DUMMYFUNCTION("""COMPUTED_VALUE"""),33875)</f>
        <v>33875</v>
      </c>
      <c r="C1449" s="2">
        <f ca="1">IFERROR(__xludf.DUMMYFUNCTION("""COMPUTED_VALUE"""),34050)</f>
        <v>34050</v>
      </c>
      <c r="D1449" s="2">
        <f ca="1">IFERROR(__xludf.DUMMYFUNCTION("""COMPUTED_VALUE"""),33700)</f>
        <v>33700</v>
      </c>
      <c r="E1449" s="2">
        <f ca="1">IFERROR(__xludf.DUMMYFUNCTION("""COMPUTED_VALUE"""),33825)</f>
        <v>33825</v>
      </c>
      <c r="F1449" s="2">
        <f ca="1">IFERROR(__xludf.DUMMYFUNCTION("""COMPUTED_VALUE"""),6842500)</f>
        <v>6842500</v>
      </c>
    </row>
    <row r="1450" spans="1:6">
      <c r="A1450" s="5">
        <f ca="1">IFERROR(__xludf.DUMMYFUNCTION("""COMPUTED_VALUE"""),44195.625)</f>
        <v>44195.625</v>
      </c>
      <c r="B1450" s="2">
        <f ca="1">IFERROR(__xludf.DUMMYFUNCTION("""COMPUTED_VALUE"""),34000)</f>
        <v>34000</v>
      </c>
      <c r="C1450" s="2">
        <f ca="1">IFERROR(__xludf.DUMMYFUNCTION("""COMPUTED_VALUE"""),34000)</f>
        <v>34000</v>
      </c>
      <c r="D1450" s="2">
        <f ca="1">IFERROR(__xludf.DUMMYFUNCTION("""COMPUTED_VALUE"""),33500)</f>
        <v>33500</v>
      </c>
      <c r="E1450" s="2">
        <f ca="1">IFERROR(__xludf.DUMMYFUNCTION("""COMPUTED_VALUE"""),33850)</f>
        <v>33850</v>
      </c>
      <c r="F1450" s="2">
        <f ca="1">IFERROR(__xludf.DUMMYFUNCTION("""COMPUTED_VALUE"""),10535100)</f>
        <v>10535100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450"/>
  <sheetViews>
    <sheetView tabSelected="1" workbookViewId="0"/>
  </sheetViews>
  <sheetFormatPr defaultColWidth="14.44140625" defaultRowHeight="15.75" customHeight="1"/>
  <sheetData>
    <row r="1" spans="1:6">
      <c r="A1" s="3" t="str">
        <f ca="1">IFERROR(__xludf.DUMMYFUNCTION("GOOGLEFINANCE(""IDX:BMRI"",""ALL"",""1/1/2015"",""1/1/2021"",""DAILY"")"),"Date")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>
      <c r="A2" s="1">
        <f ca="1">IFERROR(__xludf.DUMMYFUNCTION("""COMPUTED_VALUE"""),42006.625)</f>
        <v>42006.625</v>
      </c>
      <c r="B2" s="2">
        <f ca="1">IFERROR(__xludf.DUMMYFUNCTION("""COMPUTED_VALUE"""),5387.5)</f>
        <v>5387.5</v>
      </c>
      <c r="C2" s="2">
        <f ca="1">IFERROR(__xludf.DUMMYFUNCTION("""COMPUTED_VALUE"""),5425)</f>
        <v>5425</v>
      </c>
      <c r="D2" s="2">
        <f ca="1">IFERROR(__xludf.DUMMYFUNCTION("""COMPUTED_VALUE"""),5375)</f>
        <v>5375</v>
      </c>
      <c r="E2" s="2">
        <f ca="1">IFERROR(__xludf.DUMMYFUNCTION("""COMPUTED_VALUE"""),5412.5)</f>
        <v>5412.5</v>
      </c>
      <c r="F2" s="2">
        <f ca="1">IFERROR(__xludf.DUMMYFUNCTION("""COMPUTED_VALUE"""),21136700)</f>
        <v>21136700</v>
      </c>
    </row>
    <row r="3" spans="1:6">
      <c r="A3" s="1">
        <f ca="1">IFERROR(__xludf.DUMMYFUNCTION("""COMPUTED_VALUE"""),42009.625)</f>
        <v>42009.625</v>
      </c>
      <c r="B3" s="2">
        <f ca="1">IFERROR(__xludf.DUMMYFUNCTION("""COMPUTED_VALUE"""),5425)</f>
        <v>5425</v>
      </c>
      <c r="C3" s="2">
        <f ca="1">IFERROR(__xludf.DUMMYFUNCTION("""COMPUTED_VALUE"""),5425)</f>
        <v>5425</v>
      </c>
      <c r="D3" s="2">
        <f ca="1">IFERROR(__xludf.DUMMYFUNCTION("""COMPUTED_VALUE"""),5375)</f>
        <v>5375</v>
      </c>
      <c r="E3" s="2">
        <f ca="1">IFERROR(__xludf.DUMMYFUNCTION("""COMPUTED_VALUE"""),5400)</f>
        <v>5400</v>
      </c>
      <c r="F3" s="2">
        <f ca="1">IFERROR(__xludf.DUMMYFUNCTION("""COMPUTED_VALUE"""),8340800)</f>
        <v>8340800</v>
      </c>
    </row>
    <row r="4" spans="1:6">
      <c r="A4" s="1">
        <f ca="1">IFERROR(__xludf.DUMMYFUNCTION("""COMPUTED_VALUE"""),42010.625)</f>
        <v>42010.625</v>
      </c>
      <c r="B4" s="2">
        <f ca="1">IFERROR(__xludf.DUMMYFUNCTION("""COMPUTED_VALUE"""),5375)</f>
        <v>5375</v>
      </c>
      <c r="C4" s="2">
        <f ca="1">IFERROR(__xludf.DUMMYFUNCTION("""COMPUTED_VALUE"""),5412.5)</f>
        <v>5412.5</v>
      </c>
      <c r="D4" s="2">
        <f ca="1">IFERROR(__xludf.DUMMYFUNCTION("""COMPUTED_VALUE"""),5337.5)</f>
        <v>5337.5</v>
      </c>
      <c r="E4" s="2">
        <f ca="1">IFERROR(__xludf.DUMMYFUNCTION("""COMPUTED_VALUE"""),5362.5)</f>
        <v>5362.5</v>
      </c>
      <c r="F4" s="2">
        <f ca="1">IFERROR(__xludf.DUMMYFUNCTION("""COMPUTED_VALUE"""),14650000)</f>
        <v>14650000</v>
      </c>
    </row>
    <row r="5" spans="1:6">
      <c r="A5" s="1">
        <f ca="1">IFERROR(__xludf.DUMMYFUNCTION("""COMPUTED_VALUE"""),42011.625)</f>
        <v>42011.625</v>
      </c>
      <c r="B5" s="2">
        <f ca="1">IFERROR(__xludf.DUMMYFUNCTION("""COMPUTED_VALUE"""),5375)</f>
        <v>5375</v>
      </c>
      <c r="C5" s="2">
        <f ca="1">IFERROR(__xludf.DUMMYFUNCTION("""COMPUTED_VALUE"""),5425)</f>
        <v>5425</v>
      </c>
      <c r="D5" s="2">
        <f ca="1">IFERROR(__xludf.DUMMYFUNCTION("""COMPUTED_VALUE"""),5362.5)</f>
        <v>5362.5</v>
      </c>
      <c r="E5" s="2">
        <f ca="1">IFERROR(__xludf.DUMMYFUNCTION("""COMPUTED_VALUE"""),5425)</f>
        <v>5425</v>
      </c>
      <c r="F5" s="2">
        <f ca="1">IFERROR(__xludf.DUMMYFUNCTION("""COMPUTED_VALUE"""),12561100)</f>
        <v>12561100</v>
      </c>
    </row>
    <row r="6" spans="1:6">
      <c r="A6" s="1">
        <f ca="1">IFERROR(__xludf.DUMMYFUNCTION("""COMPUTED_VALUE"""),42012.625)</f>
        <v>42012.625</v>
      </c>
      <c r="B6" s="2">
        <f ca="1">IFERROR(__xludf.DUMMYFUNCTION("""COMPUTED_VALUE"""),5450)</f>
        <v>5450</v>
      </c>
      <c r="C6" s="2">
        <f ca="1">IFERROR(__xludf.DUMMYFUNCTION("""COMPUTED_VALUE"""),5487.5)</f>
        <v>5487.5</v>
      </c>
      <c r="D6" s="2">
        <f ca="1">IFERROR(__xludf.DUMMYFUNCTION("""COMPUTED_VALUE"""),5437.5)</f>
        <v>5437.5</v>
      </c>
      <c r="E6" s="2">
        <f ca="1">IFERROR(__xludf.DUMMYFUNCTION("""COMPUTED_VALUE"""),5475)</f>
        <v>5475</v>
      </c>
      <c r="F6" s="2">
        <f ca="1">IFERROR(__xludf.DUMMYFUNCTION("""COMPUTED_VALUE"""),15912400)</f>
        <v>15912400</v>
      </c>
    </row>
    <row r="7" spans="1:6">
      <c r="A7" s="1">
        <f ca="1">IFERROR(__xludf.DUMMYFUNCTION("""COMPUTED_VALUE"""),42013.625)</f>
        <v>42013.625</v>
      </c>
      <c r="B7" s="2">
        <f ca="1">IFERROR(__xludf.DUMMYFUNCTION("""COMPUTED_VALUE"""),5500)</f>
        <v>5500</v>
      </c>
      <c r="C7" s="2">
        <f ca="1">IFERROR(__xludf.DUMMYFUNCTION("""COMPUTED_VALUE"""),5612.5)</f>
        <v>5612.5</v>
      </c>
      <c r="D7" s="2">
        <f ca="1">IFERROR(__xludf.DUMMYFUNCTION("""COMPUTED_VALUE"""),5475)</f>
        <v>5475</v>
      </c>
      <c r="E7" s="2">
        <f ca="1">IFERROR(__xludf.DUMMYFUNCTION("""COMPUTED_VALUE"""),5562.5)</f>
        <v>5562.5</v>
      </c>
      <c r="F7" s="2">
        <f ca="1">IFERROR(__xludf.DUMMYFUNCTION("""COMPUTED_VALUE"""),42706200)</f>
        <v>42706200</v>
      </c>
    </row>
    <row r="8" spans="1:6">
      <c r="A8" s="1">
        <f ca="1">IFERROR(__xludf.DUMMYFUNCTION("""COMPUTED_VALUE"""),42016.625)</f>
        <v>42016.625</v>
      </c>
      <c r="B8" s="2">
        <f ca="1">IFERROR(__xludf.DUMMYFUNCTION("""COMPUTED_VALUE"""),5512.5)</f>
        <v>5512.5</v>
      </c>
      <c r="C8" s="2">
        <f ca="1">IFERROR(__xludf.DUMMYFUNCTION("""COMPUTED_VALUE"""),5562.5)</f>
        <v>5562.5</v>
      </c>
      <c r="D8" s="2">
        <f ca="1">IFERROR(__xludf.DUMMYFUNCTION("""COMPUTED_VALUE"""),5412.5)</f>
        <v>5412.5</v>
      </c>
      <c r="E8" s="2">
        <f ca="1">IFERROR(__xludf.DUMMYFUNCTION("""COMPUTED_VALUE"""),5412.5)</f>
        <v>5412.5</v>
      </c>
      <c r="F8" s="2">
        <f ca="1">IFERROR(__xludf.DUMMYFUNCTION("""COMPUTED_VALUE"""),13281700)</f>
        <v>13281700</v>
      </c>
    </row>
    <row r="9" spans="1:6">
      <c r="A9" s="1">
        <f ca="1">IFERROR(__xludf.DUMMYFUNCTION("""COMPUTED_VALUE"""),42017.625)</f>
        <v>42017.625</v>
      </c>
      <c r="B9" s="2">
        <f ca="1">IFERROR(__xludf.DUMMYFUNCTION("""COMPUTED_VALUE"""),5437.5)</f>
        <v>5437.5</v>
      </c>
      <c r="C9" s="2">
        <f ca="1">IFERROR(__xludf.DUMMYFUNCTION("""COMPUTED_VALUE"""),5437.5)</f>
        <v>5437.5</v>
      </c>
      <c r="D9" s="2">
        <f ca="1">IFERROR(__xludf.DUMMYFUNCTION("""COMPUTED_VALUE"""),5312.5)</f>
        <v>5312.5</v>
      </c>
      <c r="E9" s="2">
        <f ca="1">IFERROR(__xludf.DUMMYFUNCTION("""COMPUTED_VALUE"""),5375)</f>
        <v>5375</v>
      </c>
      <c r="F9" s="2">
        <f ca="1">IFERROR(__xludf.DUMMYFUNCTION("""COMPUTED_VALUE"""),20090200)</f>
        <v>20090200</v>
      </c>
    </row>
    <row r="10" spans="1:6">
      <c r="A10" s="1">
        <f ca="1">IFERROR(__xludf.DUMMYFUNCTION("""COMPUTED_VALUE"""),42018.625)</f>
        <v>42018.625</v>
      </c>
      <c r="B10" s="2">
        <f ca="1">IFERROR(__xludf.DUMMYFUNCTION("""COMPUTED_VALUE"""),5412.5)</f>
        <v>5412.5</v>
      </c>
      <c r="C10" s="2">
        <f ca="1">IFERROR(__xludf.DUMMYFUNCTION("""COMPUTED_VALUE"""),5500)</f>
        <v>5500</v>
      </c>
      <c r="D10" s="2">
        <f ca="1">IFERROR(__xludf.DUMMYFUNCTION("""COMPUTED_VALUE"""),5362.5)</f>
        <v>5362.5</v>
      </c>
      <c r="E10" s="2">
        <f ca="1">IFERROR(__xludf.DUMMYFUNCTION("""COMPUTED_VALUE"""),5362.5)</f>
        <v>5362.5</v>
      </c>
      <c r="F10" s="2">
        <f ca="1">IFERROR(__xludf.DUMMYFUNCTION("""COMPUTED_VALUE"""),14888200)</f>
        <v>14888200</v>
      </c>
    </row>
    <row r="11" spans="1:6">
      <c r="A11" s="1">
        <f ca="1">IFERROR(__xludf.DUMMYFUNCTION("""COMPUTED_VALUE"""),42019.625)</f>
        <v>42019.625</v>
      </c>
      <c r="B11" s="2">
        <f ca="1">IFERROR(__xludf.DUMMYFUNCTION("""COMPUTED_VALUE"""),5450)</f>
        <v>5450</v>
      </c>
      <c r="C11" s="2">
        <f ca="1">IFERROR(__xludf.DUMMYFUNCTION("""COMPUTED_VALUE"""),5475)</f>
        <v>5475</v>
      </c>
      <c r="D11" s="2">
        <f ca="1">IFERROR(__xludf.DUMMYFUNCTION("""COMPUTED_VALUE"""),5375)</f>
        <v>5375</v>
      </c>
      <c r="E11" s="2">
        <f ca="1">IFERROR(__xludf.DUMMYFUNCTION("""COMPUTED_VALUE"""),5450)</f>
        <v>5450</v>
      </c>
      <c r="F11" s="2">
        <f ca="1">IFERROR(__xludf.DUMMYFUNCTION("""COMPUTED_VALUE"""),25672400)</f>
        <v>25672400</v>
      </c>
    </row>
    <row r="12" spans="1:6">
      <c r="A12" s="1">
        <f ca="1">IFERROR(__xludf.DUMMYFUNCTION("""COMPUTED_VALUE"""),42020.625)</f>
        <v>42020.625</v>
      </c>
      <c r="B12" s="2">
        <f ca="1">IFERROR(__xludf.DUMMYFUNCTION("""COMPUTED_VALUE"""),5375)</f>
        <v>5375</v>
      </c>
      <c r="C12" s="2">
        <f ca="1">IFERROR(__xludf.DUMMYFUNCTION("""COMPUTED_VALUE"""),5437.5)</f>
        <v>5437.5</v>
      </c>
      <c r="D12" s="2">
        <f ca="1">IFERROR(__xludf.DUMMYFUNCTION("""COMPUTED_VALUE"""),5350)</f>
        <v>5350</v>
      </c>
      <c r="E12" s="2">
        <f ca="1">IFERROR(__xludf.DUMMYFUNCTION("""COMPUTED_VALUE"""),5350)</f>
        <v>5350</v>
      </c>
      <c r="F12" s="2">
        <f ca="1">IFERROR(__xludf.DUMMYFUNCTION("""COMPUTED_VALUE"""),23867300)</f>
        <v>23867300</v>
      </c>
    </row>
    <row r="13" spans="1:6">
      <c r="A13" s="1">
        <f ca="1">IFERROR(__xludf.DUMMYFUNCTION("""COMPUTED_VALUE"""),42023.625)</f>
        <v>42023.625</v>
      </c>
      <c r="B13" s="2">
        <f ca="1">IFERROR(__xludf.DUMMYFUNCTION("""COMPUTED_VALUE"""),5325)</f>
        <v>5325</v>
      </c>
      <c r="C13" s="2">
        <f ca="1">IFERROR(__xludf.DUMMYFUNCTION("""COMPUTED_VALUE"""),5450)</f>
        <v>5450</v>
      </c>
      <c r="D13" s="2">
        <f ca="1">IFERROR(__xludf.DUMMYFUNCTION("""COMPUTED_VALUE"""),5325)</f>
        <v>5325</v>
      </c>
      <c r="E13" s="2">
        <f ca="1">IFERROR(__xludf.DUMMYFUNCTION("""COMPUTED_VALUE"""),5362.5)</f>
        <v>5362.5</v>
      </c>
      <c r="F13" s="2">
        <f ca="1">IFERROR(__xludf.DUMMYFUNCTION("""COMPUTED_VALUE"""),25001500)</f>
        <v>25001500</v>
      </c>
    </row>
    <row r="14" spans="1:6">
      <c r="A14" s="1">
        <f ca="1">IFERROR(__xludf.DUMMYFUNCTION("""COMPUTED_VALUE"""),42024.625)</f>
        <v>42024.625</v>
      </c>
      <c r="B14" s="2">
        <f ca="1">IFERROR(__xludf.DUMMYFUNCTION("""COMPUTED_VALUE"""),5337.5)</f>
        <v>5337.5</v>
      </c>
      <c r="C14" s="2">
        <f ca="1">IFERROR(__xludf.DUMMYFUNCTION("""COMPUTED_VALUE"""),5375)</f>
        <v>5375</v>
      </c>
      <c r="D14" s="2">
        <f ca="1">IFERROR(__xludf.DUMMYFUNCTION("""COMPUTED_VALUE"""),5300)</f>
        <v>5300</v>
      </c>
      <c r="E14" s="2">
        <f ca="1">IFERROR(__xludf.DUMMYFUNCTION("""COMPUTED_VALUE"""),5375)</f>
        <v>5375</v>
      </c>
      <c r="F14" s="2">
        <f ca="1">IFERROR(__xludf.DUMMYFUNCTION("""COMPUTED_VALUE"""),36747600)</f>
        <v>36747600</v>
      </c>
    </row>
    <row r="15" spans="1:6">
      <c r="A15" s="1">
        <f ca="1">IFERROR(__xludf.DUMMYFUNCTION("""COMPUTED_VALUE"""),42025.625)</f>
        <v>42025.625</v>
      </c>
      <c r="B15" s="2">
        <f ca="1">IFERROR(__xludf.DUMMYFUNCTION("""COMPUTED_VALUE"""),5375)</f>
        <v>5375</v>
      </c>
      <c r="C15" s="2">
        <f ca="1">IFERROR(__xludf.DUMMYFUNCTION("""COMPUTED_VALUE"""),5487.5)</f>
        <v>5487.5</v>
      </c>
      <c r="D15" s="2">
        <f ca="1">IFERROR(__xludf.DUMMYFUNCTION("""COMPUTED_VALUE"""),5325)</f>
        <v>5325</v>
      </c>
      <c r="E15" s="2">
        <f ca="1">IFERROR(__xludf.DUMMYFUNCTION("""COMPUTED_VALUE"""),5487.5)</f>
        <v>5487.5</v>
      </c>
      <c r="F15" s="2">
        <f ca="1">IFERROR(__xludf.DUMMYFUNCTION("""COMPUTED_VALUE"""),18737000)</f>
        <v>18737000</v>
      </c>
    </row>
    <row r="16" spans="1:6">
      <c r="A16" s="1">
        <f ca="1">IFERROR(__xludf.DUMMYFUNCTION("""COMPUTED_VALUE"""),42026.625)</f>
        <v>42026.625</v>
      </c>
      <c r="B16" s="2">
        <f ca="1">IFERROR(__xludf.DUMMYFUNCTION("""COMPUTED_VALUE"""),5487.5)</f>
        <v>5487.5</v>
      </c>
      <c r="C16" s="2">
        <f ca="1">IFERROR(__xludf.DUMMYFUNCTION("""COMPUTED_VALUE"""),5512.5)</f>
        <v>5512.5</v>
      </c>
      <c r="D16" s="2">
        <f ca="1">IFERROR(__xludf.DUMMYFUNCTION("""COMPUTED_VALUE"""),5437.5)</f>
        <v>5437.5</v>
      </c>
      <c r="E16" s="2">
        <f ca="1">IFERROR(__xludf.DUMMYFUNCTION("""COMPUTED_VALUE"""),5500)</f>
        <v>5500</v>
      </c>
      <c r="F16" s="2">
        <f ca="1">IFERROR(__xludf.DUMMYFUNCTION("""COMPUTED_VALUE"""),17816400)</f>
        <v>17816400</v>
      </c>
    </row>
    <row r="17" spans="1:6">
      <c r="A17" s="1">
        <f ca="1">IFERROR(__xludf.DUMMYFUNCTION("""COMPUTED_VALUE"""),42027.625)</f>
        <v>42027.625</v>
      </c>
      <c r="B17" s="2">
        <f ca="1">IFERROR(__xludf.DUMMYFUNCTION("""COMPUTED_VALUE"""),5537.5)</f>
        <v>5537.5</v>
      </c>
      <c r="C17" s="2">
        <f ca="1">IFERROR(__xludf.DUMMYFUNCTION("""COMPUTED_VALUE"""),5687.5)</f>
        <v>5687.5</v>
      </c>
      <c r="D17" s="2">
        <f ca="1">IFERROR(__xludf.DUMMYFUNCTION("""COMPUTED_VALUE"""),5537.5)</f>
        <v>5537.5</v>
      </c>
      <c r="E17" s="2">
        <f ca="1">IFERROR(__xludf.DUMMYFUNCTION("""COMPUTED_VALUE"""),5687.5)</f>
        <v>5687.5</v>
      </c>
      <c r="F17" s="2">
        <f ca="1">IFERROR(__xludf.DUMMYFUNCTION("""COMPUTED_VALUE"""),33696400)</f>
        <v>33696400</v>
      </c>
    </row>
    <row r="18" spans="1:6">
      <c r="A18" s="1">
        <f ca="1">IFERROR(__xludf.DUMMYFUNCTION("""COMPUTED_VALUE"""),42030.625)</f>
        <v>42030.625</v>
      </c>
      <c r="B18" s="2">
        <f ca="1">IFERROR(__xludf.DUMMYFUNCTION("""COMPUTED_VALUE"""),5575)</f>
        <v>5575</v>
      </c>
      <c r="C18" s="2">
        <f ca="1">IFERROR(__xludf.DUMMYFUNCTION("""COMPUTED_VALUE"""),5600)</f>
        <v>5600</v>
      </c>
      <c r="D18" s="2">
        <f ca="1">IFERROR(__xludf.DUMMYFUNCTION("""COMPUTED_VALUE"""),5450)</f>
        <v>5450</v>
      </c>
      <c r="E18" s="2">
        <f ca="1">IFERROR(__xludf.DUMMYFUNCTION("""COMPUTED_VALUE"""),5550)</f>
        <v>5550</v>
      </c>
      <c r="F18" s="2">
        <f ca="1">IFERROR(__xludf.DUMMYFUNCTION("""COMPUTED_VALUE"""),37708200)</f>
        <v>37708200</v>
      </c>
    </row>
    <row r="19" spans="1:6">
      <c r="A19" s="1">
        <f ca="1">IFERROR(__xludf.DUMMYFUNCTION("""COMPUTED_VALUE"""),42031.625)</f>
        <v>42031.625</v>
      </c>
      <c r="B19" s="2">
        <f ca="1">IFERROR(__xludf.DUMMYFUNCTION("""COMPUTED_VALUE"""),5500)</f>
        <v>5500</v>
      </c>
      <c r="C19" s="2">
        <f ca="1">IFERROR(__xludf.DUMMYFUNCTION("""COMPUTED_VALUE"""),5562.5)</f>
        <v>5562.5</v>
      </c>
      <c r="D19" s="2">
        <f ca="1">IFERROR(__xludf.DUMMYFUNCTION("""COMPUTED_VALUE"""),5500)</f>
        <v>5500</v>
      </c>
      <c r="E19" s="2">
        <f ca="1">IFERROR(__xludf.DUMMYFUNCTION("""COMPUTED_VALUE"""),5537.5)</f>
        <v>5537.5</v>
      </c>
      <c r="F19" s="2">
        <f ca="1">IFERROR(__xludf.DUMMYFUNCTION("""COMPUTED_VALUE"""),17335000)</f>
        <v>17335000</v>
      </c>
    </row>
    <row r="20" spans="1:6">
      <c r="A20" s="1">
        <f ca="1">IFERROR(__xludf.DUMMYFUNCTION("""COMPUTED_VALUE"""),42032.625)</f>
        <v>42032.625</v>
      </c>
      <c r="B20" s="2">
        <f ca="1">IFERROR(__xludf.DUMMYFUNCTION("""COMPUTED_VALUE"""),5575)</f>
        <v>5575</v>
      </c>
      <c r="C20" s="2">
        <f ca="1">IFERROR(__xludf.DUMMYFUNCTION("""COMPUTED_VALUE"""),5587.5)</f>
        <v>5587.5</v>
      </c>
      <c r="D20" s="2">
        <f ca="1">IFERROR(__xludf.DUMMYFUNCTION("""COMPUTED_VALUE"""),5487.5)</f>
        <v>5487.5</v>
      </c>
      <c r="E20" s="2">
        <f ca="1">IFERROR(__xludf.DUMMYFUNCTION("""COMPUTED_VALUE"""),5487.5)</f>
        <v>5487.5</v>
      </c>
      <c r="F20" s="2">
        <f ca="1">IFERROR(__xludf.DUMMYFUNCTION("""COMPUTED_VALUE"""),16172900)</f>
        <v>16172900</v>
      </c>
    </row>
    <row r="21" spans="1:6">
      <c r="A21" s="1">
        <f ca="1">IFERROR(__xludf.DUMMYFUNCTION("""COMPUTED_VALUE"""),42033.625)</f>
        <v>42033.625</v>
      </c>
      <c r="B21" s="2">
        <f ca="1">IFERROR(__xludf.DUMMYFUNCTION("""COMPUTED_VALUE"""),5475)</f>
        <v>5475</v>
      </c>
      <c r="C21" s="2">
        <f ca="1">IFERROR(__xludf.DUMMYFUNCTION("""COMPUTED_VALUE"""),5512.5)</f>
        <v>5512.5</v>
      </c>
      <c r="D21" s="2">
        <f ca="1">IFERROR(__xludf.DUMMYFUNCTION("""COMPUTED_VALUE"""),5462.5)</f>
        <v>5462.5</v>
      </c>
      <c r="E21" s="2">
        <f ca="1">IFERROR(__xludf.DUMMYFUNCTION("""COMPUTED_VALUE"""),5487.5)</f>
        <v>5487.5</v>
      </c>
      <c r="F21" s="2">
        <f ca="1">IFERROR(__xludf.DUMMYFUNCTION("""COMPUTED_VALUE"""),12131600)</f>
        <v>12131600</v>
      </c>
    </row>
    <row r="22" spans="1:6">
      <c r="A22" s="1">
        <f ca="1">IFERROR(__xludf.DUMMYFUNCTION("""COMPUTED_VALUE"""),42034.625)</f>
        <v>42034.625</v>
      </c>
      <c r="B22" s="2">
        <f ca="1">IFERROR(__xludf.DUMMYFUNCTION("""COMPUTED_VALUE"""),5562.5)</f>
        <v>5562.5</v>
      </c>
      <c r="C22" s="2">
        <f ca="1">IFERROR(__xludf.DUMMYFUNCTION("""COMPUTED_VALUE"""),5625)</f>
        <v>5625</v>
      </c>
      <c r="D22" s="2">
        <f ca="1">IFERROR(__xludf.DUMMYFUNCTION("""COMPUTED_VALUE"""),5500)</f>
        <v>5500</v>
      </c>
      <c r="E22" s="2">
        <f ca="1">IFERROR(__xludf.DUMMYFUNCTION("""COMPUTED_VALUE"""),5500)</f>
        <v>5500</v>
      </c>
      <c r="F22" s="2">
        <f ca="1">IFERROR(__xludf.DUMMYFUNCTION("""COMPUTED_VALUE"""),24548800)</f>
        <v>24548800</v>
      </c>
    </row>
    <row r="23" spans="1:6">
      <c r="A23" s="1">
        <f ca="1">IFERROR(__xludf.DUMMYFUNCTION("""COMPUTED_VALUE"""),42037.625)</f>
        <v>42037.625</v>
      </c>
      <c r="B23" s="2">
        <f ca="1">IFERROR(__xludf.DUMMYFUNCTION("""COMPUTED_VALUE"""),5500)</f>
        <v>5500</v>
      </c>
      <c r="C23" s="2">
        <f ca="1">IFERROR(__xludf.DUMMYFUNCTION("""COMPUTED_VALUE"""),5650)</f>
        <v>5650</v>
      </c>
      <c r="D23" s="2">
        <f ca="1">IFERROR(__xludf.DUMMYFUNCTION("""COMPUTED_VALUE"""),5475)</f>
        <v>5475</v>
      </c>
      <c r="E23" s="2">
        <f ca="1">IFERROR(__xludf.DUMMYFUNCTION("""COMPUTED_VALUE"""),5625)</f>
        <v>5625</v>
      </c>
      <c r="F23" s="2">
        <f ca="1">IFERROR(__xludf.DUMMYFUNCTION("""COMPUTED_VALUE"""),26918100)</f>
        <v>26918100</v>
      </c>
    </row>
    <row r="24" spans="1:6">
      <c r="A24" s="1">
        <f ca="1">IFERROR(__xludf.DUMMYFUNCTION("""COMPUTED_VALUE"""),42038.625)</f>
        <v>42038.625</v>
      </c>
      <c r="B24" s="2">
        <f ca="1">IFERROR(__xludf.DUMMYFUNCTION("""COMPUTED_VALUE"""),5675)</f>
        <v>5675</v>
      </c>
      <c r="C24" s="2">
        <f ca="1">IFERROR(__xludf.DUMMYFUNCTION("""COMPUTED_VALUE"""),5687.5)</f>
        <v>5687.5</v>
      </c>
      <c r="D24" s="2">
        <f ca="1">IFERROR(__xludf.DUMMYFUNCTION("""COMPUTED_VALUE"""),5637.5)</f>
        <v>5637.5</v>
      </c>
      <c r="E24" s="2">
        <f ca="1">IFERROR(__xludf.DUMMYFUNCTION("""COMPUTED_VALUE"""),5675)</f>
        <v>5675</v>
      </c>
      <c r="F24" s="2">
        <f ca="1">IFERROR(__xludf.DUMMYFUNCTION("""COMPUTED_VALUE"""),19899400)</f>
        <v>19899400</v>
      </c>
    </row>
    <row r="25" spans="1:6">
      <c r="A25" s="1">
        <f ca="1">IFERROR(__xludf.DUMMYFUNCTION("""COMPUTED_VALUE"""),42039.625)</f>
        <v>42039.625</v>
      </c>
      <c r="B25" s="2">
        <f ca="1">IFERROR(__xludf.DUMMYFUNCTION("""COMPUTED_VALUE"""),5700)</f>
        <v>5700</v>
      </c>
      <c r="C25" s="2">
        <f ca="1">IFERROR(__xludf.DUMMYFUNCTION("""COMPUTED_VALUE"""),5725)</f>
        <v>5725</v>
      </c>
      <c r="D25" s="2">
        <f ca="1">IFERROR(__xludf.DUMMYFUNCTION("""COMPUTED_VALUE"""),5600)</f>
        <v>5600</v>
      </c>
      <c r="E25" s="2">
        <f ca="1">IFERROR(__xludf.DUMMYFUNCTION("""COMPUTED_VALUE"""),5687.5)</f>
        <v>5687.5</v>
      </c>
      <c r="F25" s="2">
        <f ca="1">IFERROR(__xludf.DUMMYFUNCTION("""COMPUTED_VALUE"""),33951000)</f>
        <v>33951000</v>
      </c>
    </row>
    <row r="26" spans="1:6">
      <c r="A26" s="1">
        <f ca="1">IFERROR(__xludf.DUMMYFUNCTION("""COMPUTED_VALUE"""),42040.625)</f>
        <v>42040.625</v>
      </c>
      <c r="B26" s="2">
        <f ca="1">IFERROR(__xludf.DUMMYFUNCTION("""COMPUTED_VALUE"""),5662.5)</f>
        <v>5662.5</v>
      </c>
      <c r="C26" s="2">
        <f ca="1">IFERROR(__xludf.DUMMYFUNCTION("""COMPUTED_VALUE"""),5675)</f>
        <v>5675</v>
      </c>
      <c r="D26" s="2">
        <f ca="1">IFERROR(__xludf.DUMMYFUNCTION("""COMPUTED_VALUE"""),5612.5)</f>
        <v>5612.5</v>
      </c>
      <c r="E26" s="2">
        <f ca="1">IFERROR(__xludf.DUMMYFUNCTION("""COMPUTED_VALUE"""),5625)</f>
        <v>5625</v>
      </c>
      <c r="F26" s="2">
        <f ca="1">IFERROR(__xludf.DUMMYFUNCTION("""COMPUTED_VALUE"""),27817800)</f>
        <v>27817800</v>
      </c>
    </row>
    <row r="27" spans="1:6">
      <c r="A27" s="1">
        <f ca="1">IFERROR(__xludf.DUMMYFUNCTION("""COMPUTED_VALUE"""),42041.625)</f>
        <v>42041.625</v>
      </c>
      <c r="B27" s="2">
        <f ca="1">IFERROR(__xludf.DUMMYFUNCTION("""COMPUTED_VALUE"""),5675)</f>
        <v>5675</v>
      </c>
      <c r="C27" s="2">
        <f ca="1">IFERROR(__xludf.DUMMYFUNCTION("""COMPUTED_VALUE"""),5737.5)</f>
        <v>5737.5</v>
      </c>
      <c r="D27" s="2">
        <f ca="1">IFERROR(__xludf.DUMMYFUNCTION("""COMPUTED_VALUE"""),5650)</f>
        <v>5650</v>
      </c>
      <c r="E27" s="2">
        <f ca="1">IFERROR(__xludf.DUMMYFUNCTION("""COMPUTED_VALUE"""),5675)</f>
        <v>5675</v>
      </c>
      <c r="F27" s="2">
        <f ca="1">IFERROR(__xludf.DUMMYFUNCTION("""COMPUTED_VALUE"""),26813400)</f>
        <v>26813400</v>
      </c>
    </row>
    <row r="28" spans="1:6">
      <c r="A28" s="1">
        <f ca="1">IFERROR(__xludf.DUMMYFUNCTION("""COMPUTED_VALUE"""),42044.625)</f>
        <v>42044.625</v>
      </c>
      <c r="B28" s="2">
        <f ca="1">IFERROR(__xludf.DUMMYFUNCTION("""COMPUTED_VALUE"""),5700)</f>
        <v>5700</v>
      </c>
      <c r="C28" s="2">
        <f ca="1">IFERROR(__xludf.DUMMYFUNCTION("""COMPUTED_VALUE"""),5912.5)</f>
        <v>5912.5</v>
      </c>
      <c r="D28" s="2">
        <f ca="1">IFERROR(__xludf.DUMMYFUNCTION("""COMPUTED_VALUE"""),5700)</f>
        <v>5700</v>
      </c>
      <c r="E28" s="2">
        <f ca="1">IFERROR(__xludf.DUMMYFUNCTION("""COMPUTED_VALUE"""),5850)</f>
        <v>5850</v>
      </c>
      <c r="F28" s="2">
        <f ca="1">IFERROR(__xludf.DUMMYFUNCTION("""COMPUTED_VALUE"""),32209000)</f>
        <v>32209000</v>
      </c>
    </row>
    <row r="29" spans="1:6">
      <c r="A29" s="1">
        <f ca="1">IFERROR(__xludf.DUMMYFUNCTION("""COMPUTED_VALUE"""),42045.625)</f>
        <v>42045.625</v>
      </c>
      <c r="B29" s="2">
        <f ca="1">IFERROR(__xludf.DUMMYFUNCTION("""COMPUTED_VALUE"""),5800)</f>
        <v>5800</v>
      </c>
      <c r="C29" s="2">
        <f ca="1">IFERROR(__xludf.DUMMYFUNCTION("""COMPUTED_VALUE"""),5850)</f>
        <v>5850</v>
      </c>
      <c r="D29" s="2">
        <f ca="1">IFERROR(__xludf.DUMMYFUNCTION("""COMPUTED_VALUE"""),5775)</f>
        <v>5775</v>
      </c>
      <c r="E29" s="2">
        <f ca="1">IFERROR(__xludf.DUMMYFUNCTION("""COMPUTED_VALUE"""),5812.5)</f>
        <v>5812.5</v>
      </c>
      <c r="F29" s="2">
        <f ca="1">IFERROR(__xludf.DUMMYFUNCTION("""COMPUTED_VALUE"""),19948500)</f>
        <v>19948500</v>
      </c>
    </row>
    <row r="30" spans="1:6">
      <c r="A30" s="1">
        <f ca="1">IFERROR(__xludf.DUMMYFUNCTION("""COMPUTED_VALUE"""),42046.625)</f>
        <v>42046.625</v>
      </c>
      <c r="B30" s="2">
        <f ca="1">IFERROR(__xludf.DUMMYFUNCTION("""COMPUTED_VALUE"""),5912.5)</f>
        <v>5912.5</v>
      </c>
      <c r="C30" s="2">
        <f ca="1">IFERROR(__xludf.DUMMYFUNCTION("""COMPUTED_VALUE"""),5962.5)</f>
        <v>5962.5</v>
      </c>
      <c r="D30" s="2">
        <f ca="1">IFERROR(__xludf.DUMMYFUNCTION("""COMPUTED_VALUE"""),5850)</f>
        <v>5850</v>
      </c>
      <c r="E30" s="2">
        <f ca="1">IFERROR(__xludf.DUMMYFUNCTION("""COMPUTED_VALUE"""),5875)</f>
        <v>5875</v>
      </c>
      <c r="F30" s="2">
        <f ca="1">IFERROR(__xludf.DUMMYFUNCTION("""COMPUTED_VALUE"""),30871900)</f>
        <v>30871900</v>
      </c>
    </row>
    <row r="31" spans="1:6">
      <c r="A31" s="1">
        <f ca="1">IFERROR(__xludf.DUMMYFUNCTION("""COMPUTED_VALUE"""),42047.625)</f>
        <v>42047.625</v>
      </c>
      <c r="B31" s="2">
        <f ca="1">IFERROR(__xludf.DUMMYFUNCTION("""COMPUTED_VALUE"""),5962.5)</f>
        <v>5962.5</v>
      </c>
      <c r="C31" s="2">
        <f ca="1">IFERROR(__xludf.DUMMYFUNCTION("""COMPUTED_VALUE"""),5987.5)</f>
        <v>5987.5</v>
      </c>
      <c r="D31" s="2">
        <f ca="1">IFERROR(__xludf.DUMMYFUNCTION("""COMPUTED_VALUE"""),5875)</f>
        <v>5875</v>
      </c>
      <c r="E31" s="2">
        <f ca="1">IFERROR(__xludf.DUMMYFUNCTION("""COMPUTED_VALUE"""),5887.5)</f>
        <v>5887.5</v>
      </c>
      <c r="F31" s="2">
        <f ca="1">IFERROR(__xludf.DUMMYFUNCTION("""COMPUTED_VALUE"""),24710400)</f>
        <v>24710400</v>
      </c>
    </row>
    <row r="32" spans="1:6">
      <c r="A32" s="1">
        <f ca="1">IFERROR(__xludf.DUMMYFUNCTION("""COMPUTED_VALUE"""),42048.625)</f>
        <v>42048.625</v>
      </c>
      <c r="B32" s="2">
        <f ca="1">IFERROR(__xludf.DUMMYFUNCTION("""COMPUTED_VALUE"""),5937.5)</f>
        <v>5937.5</v>
      </c>
      <c r="C32" s="2">
        <f ca="1">IFERROR(__xludf.DUMMYFUNCTION("""COMPUTED_VALUE"""),5975)</f>
        <v>5975</v>
      </c>
      <c r="D32" s="2">
        <f ca="1">IFERROR(__xludf.DUMMYFUNCTION("""COMPUTED_VALUE"""),5925)</f>
        <v>5925</v>
      </c>
      <c r="E32" s="2">
        <f ca="1">IFERROR(__xludf.DUMMYFUNCTION("""COMPUTED_VALUE"""),5950)</f>
        <v>5950</v>
      </c>
      <c r="F32" s="2">
        <f ca="1">IFERROR(__xludf.DUMMYFUNCTION("""COMPUTED_VALUE"""),21165200)</f>
        <v>21165200</v>
      </c>
    </row>
    <row r="33" spans="1:6">
      <c r="A33" s="1">
        <f ca="1">IFERROR(__xludf.DUMMYFUNCTION("""COMPUTED_VALUE"""),42051.625)</f>
        <v>42051.625</v>
      </c>
      <c r="B33" s="2">
        <f ca="1">IFERROR(__xludf.DUMMYFUNCTION("""COMPUTED_VALUE"""),5950)</f>
        <v>5950</v>
      </c>
      <c r="C33" s="2">
        <f ca="1">IFERROR(__xludf.DUMMYFUNCTION("""COMPUTED_VALUE"""),5975)</f>
        <v>5975</v>
      </c>
      <c r="D33" s="2">
        <f ca="1">IFERROR(__xludf.DUMMYFUNCTION("""COMPUTED_VALUE"""),5875)</f>
        <v>5875</v>
      </c>
      <c r="E33" s="2">
        <f ca="1">IFERROR(__xludf.DUMMYFUNCTION("""COMPUTED_VALUE"""),5887.5)</f>
        <v>5887.5</v>
      </c>
      <c r="F33" s="2">
        <f ca="1">IFERROR(__xludf.DUMMYFUNCTION("""COMPUTED_VALUE"""),21429200)</f>
        <v>21429200</v>
      </c>
    </row>
    <row r="34" spans="1:6">
      <c r="A34" s="1">
        <f ca="1">IFERROR(__xludf.DUMMYFUNCTION("""COMPUTED_VALUE"""),42052.625)</f>
        <v>42052.625</v>
      </c>
      <c r="B34" s="2">
        <f ca="1">IFERROR(__xludf.DUMMYFUNCTION("""COMPUTED_VALUE"""),5887.5)</f>
        <v>5887.5</v>
      </c>
      <c r="C34" s="2">
        <f ca="1">IFERROR(__xludf.DUMMYFUNCTION("""COMPUTED_VALUE"""),5925)</f>
        <v>5925</v>
      </c>
      <c r="D34" s="2">
        <f ca="1">IFERROR(__xludf.DUMMYFUNCTION("""COMPUTED_VALUE"""),5825)</f>
        <v>5825</v>
      </c>
      <c r="E34" s="2">
        <f ca="1">IFERROR(__xludf.DUMMYFUNCTION("""COMPUTED_VALUE"""),5850)</f>
        <v>5850</v>
      </c>
      <c r="F34" s="2">
        <f ca="1">IFERROR(__xludf.DUMMYFUNCTION("""COMPUTED_VALUE"""),7133200)</f>
        <v>7133200</v>
      </c>
    </row>
    <row r="35" spans="1:6">
      <c r="A35" s="1">
        <f ca="1">IFERROR(__xludf.DUMMYFUNCTION("""COMPUTED_VALUE"""),42053.625)</f>
        <v>42053.625</v>
      </c>
      <c r="B35" s="2">
        <f ca="1">IFERROR(__xludf.DUMMYFUNCTION("""COMPUTED_VALUE"""),6000)</f>
        <v>6000</v>
      </c>
      <c r="C35" s="2">
        <f ca="1">IFERROR(__xludf.DUMMYFUNCTION("""COMPUTED_VALUE"""),6150)</f>
        <v>6150</v>
      </c>
      <c r="D35" s="2">
        <f ca="1">IFERROR(__xludf.DUMMYFUNCTION("""COMPUTED_VALUE"""),5937.5)</f>
        <v>5937.5</v>
      </c>
      <c r="E35" s="2">
        <f ca="1">IFERROR(__xludf.DUMMYFUNCTION("""COMPUTED_VALUE"""),5962.5)</f>
        <v>5962.5</v>
      </c>
      <c r="F35" s="2">
        <f ca="1">IFERROR(__xludf.DUMMYFUNCTION("""COMPUTED_VALUE"""),41809500)</f>
        <v>41809500</v>
      </c>
    </row>
    <row r="36" spans="1:6">
      <c r="A36" s="1">
        <f ca="1">IFERROR(__xludf.DUMMYFUNCTION("""COMPUTED_VALUE"""),42055.625)</f>
        <v>42055.625</v>
      </c>
      <c r="B36" s="2">
        <f ca="1">IFERROR(__xludf.DUMMYFUNCTION("""COMPUTED_VALUE"""),5987.5)</f>
        <v>5987.5</v>
      </c>
      <c r="C36" s="2">
        <f ca="1">IFERROR(__xludf.DUMMYFUNCTION("""COMPUTED_VALUE"""),6100)</f>
        <v>6100</v>
      </c>
      <c r="D36" s="2">
        <f ca="1">IFERROR(__xludf.DUMMYFUNCTION("""COMPUTED_VALUE"""),5987.5)</f>
        <v>5987.5</v>
      </c>
      <c r="E36" s="2">
        <f ca="1">IFERROR(__xludf.DUMMYFUNCTION("""COMPUTED_VALUE"""),6037.5)</f>
        <v>6037.5</v>
      </c>
      <c r="F36" s="2">
        <f ca="1">IFERROR(__xludf.DUMMYFUNCTION("""COMPUTED_VALUE"""),18747400)</f>
        <v>18747400</v>
      </c>
    </row>
    <row r="37" spans="1:6">
      <c r="A37" s="1">
        <f ca="1">IFERROR(__xludf.DUMMYFUNCTION("""COMPUTED_VALUE"""),42058.625)</f>
        <v>42058.625</v>
      </c>
      <c r="B37" s="2">
        <f ca="1">IFERROR(__xludf.DUMMYFUNCTION("""COMPUTED_VALUE"""),5950)</f>
        <v>5950</v>
      </c>
      <c r="C37" s="2">
        <f ca="1">IFERROR(__xludf.DUMMYFUNCTION("""COMPUTED_VALUE"""),6025)</f>
        <v>6025</v>
      </c>
      <c r="D37" s="2">
        <f ca="1">IFERROR(__xludf.DUMMYFUNCTION("""COMPUTED_VALUE"""),5912.5)</f>
        <v>5912.5</v>
      </c>
      <c r="E37" s="2">
        <f ca="1">IFERROR(__xludf.DUMMYFUNCTION("""COMPUTED_VALUE"""),5937.5)</f>
        <v>5937.5</v>
      </c>
      <c r="F37" s="2">
        <f ca="1">IFERROR(__xludf.DUMMYFUNCTION("""COMPUTED_VALUE"""),29608500)</f>
        <v>29608500</v>
      </c>
    </row>
    <row r="38" spans="1:6">
      <c r="A38" s="1">
        <f ca="1">IFERROR(__xludf.DUMMYFUNCTION("""COMPUTED_VALUE"""),42059.625)</f>
        <v>42059.625</v>
      </c>
      <c r="B38" s="2">
        <f ca="1">IFERROR(__xludf.DUMMYFUNCTION("""COMPUTED_VALUE"""),5900)</f>
        <v>5900</v>
      </c>
      <c r="C38" s="2">
        <f ca="1">IFERROR(__xludf.DUMMYFUNCTION("""COMPUTED_VALUE"""),5975)</f>
        <v>5975</v>
      </c>
      <c r="D38" s="2">
        <f ca="1">IFERROR(__xludf.DUMMYFUNCTION("""COMPUTED_VALUE"""),5887.5)</f>
        <v>5887.5</v>
      </c>
      <c r="E38" s="2">
        <f ca="1">IFERROR(__xludf.DUMMYFUNCTION("""COMPUTED_VALUE"""),5937.5)</f>
        <v>5937.5</v>
      </c>
      <c r="F38" s="2">
        <f ca="1">IFERROR(__xludf.DUMMYFUNCTION("""COMPUTED_VALUE"""),20405700)</f>
        <v>20405700</v>
      </c>
    </row>
    <row r="39" spans="1:6">
      <c r="A39" s="1">
        <f ca="1">IFERROR(__xludf.DUMMYFUNCTION("""COMPUTED_VALUE"""),42060.625)</f>
        <v>42060.625</v>
      </c>
      <c r="B39" s="2">
        <f ca="1">IFERROR(__xludf.DUMMYFUNCTION("""COMPUTED_VALUE"""),5950)</f>
        <v>5950</v>
      </c>
      <c r="C39" s="2">
        <f ca="1">IFERROR(__xludf.DUMMYFUNCTION("""COMPUTED_VALUE"""),5962.5)</f>
        <v>5962.5</v>
      </c>
      <c r="D39" s="2">
        <f ca="1">IFERROR(__xludf.DUMMYFUNCTION("""COMPUTED_VALUE"""),5925)</f>
        <v>5925</v>
      </c>
      <c r="E39" s="2">
        <f ca="1">IFERROR(__xludf.DUMMYFUNCTION("""COMPUTED_VALUE"""),5950)</f>
        <v>5950</v>
      </c>
      <c r="F39" s="2">
        <f ca="1">IFERROR(__xludf.DUMMYFUNCTION("""COMPUTED_VALUE"""),15739700)</f>
        <v>15739700</v>
      </c>
    </row>
    <row r="40" spans="1:6">
      <c r="A40" s="1">
        <f ca="1">IFERROR(__xludf.DUMMYFUNCTION("""COMPUTED_VALUE"""),42061.625)</f>
        <v>42061.625</v>
      </c>
      <c r="B40" s="2">
        <f ca="1">IFERROR(__xludf.DUMMYFUNCTION("""COMPUTED_VALUE"""),5900)</f>
        <v>5900</v>
      </c>
      <c r="C40" s="2">
        <f ca="1">IFERROR(__xludf.DUMMYFUNCTION("""COMPUTED_VALUE"""),5950)</f>
        <v>5950</v>
      </c>
      <c r="D40" s="2">
        <f ca="1">IFERROR(__xludf.DUMMYFUNCTION("""COMPUTED_VALUE"""),5900)</f>
        <v>5900</v>
      </c>
      <c r="E40" s="2">
        <f ca="1">IFERROR(__xludf.DUMMYFUNCTION("""COMPUTED_VALUE"""),5937.5)</f>
        <v>5937.5</v>
      </c>
      <c r="F40" s="2">
        <f ca="1">IFERROR(__xludf.DUMMYFUNCTION("""COMPUTED_VALUE"""),19082200)</f>
        <v>19082200</v>
      </c>
    </row>
    <row r="41" spans="1:6">
      <c r="A41" s="1">
        <f ca="1">IFERROR(__xludf.DUMMYFUNCTION("""COMPUTED_VALUE"""),42062.625)</f>
        <v>42062.625</v>
      </c>
      <c r="B41" s="2">
        <f ca="1">IFERROR(__xludf.DUMMYFUNCTION("""COMPUTED_VALUE"""),5950)</f>
        <v>5950</v>
      </c>
      <c r="C41" s="2">
        <f ca="1">IFERROR(__xludf.DUMMYFUNCTION("""COMPUTED_VALUE"""),6037.5)</f>
        <v>6037.5</v>
      </c>
      <c r="D41" s="2">
        <f ca="1">IFERROR(__xludf.DUMMYFUNCTION("""COMPUTED_VALUE"""),5900)</f>
        <v>5900</v>
      </c>
      <c r="E41" s="2">
        <f ca="1">IFERROR(__xludf.DUMMYFUNCTION("""COMPUTED_VALUE"""),6000)</f>
        <v>6000</v>
      </c>
      <c r="F41" s="2">
        <f ca="1">IFERROR(__xludf.DUMMYFUNCTION("""COMPUTED_VALUE"""),21367000)</f>
        <v>21367000</v>
      </c>
    </row>
    <row r="42" spans="1:6">
      <c r="A42" s="1">
        <f ca="1">IFERROR(__xludf.DUMMYFUNCTION("""COMPUTED_VALUE"""),42065.625)</f>
        <v>42065.625</v>
      </c>
      <c r="B42" s="2">
        <f ca="1">IFERROR(__xludf.DUMMYFUNCTION("""COMPUTED_VALUE"""),5950)</f>
        <v>5950</v>
      </c>
      <c r="C42" s="2">
        <f ca="1">IFERROR(__xludf.DUMMYFUNCTION("""COMPUTED_VALUE"""),6012.5)</f>
        <v>6012.5</v>
      </c>
      <c r="D42" s="2">
        <f ca="1">IFERROR(__xludf.DUMMYFUNCTION("""COMPUTED_VALUE"""),5950)</f>
        <v>5950</v>
      </c>
      <c r="E42" s="2">
        <f ca="1">IFERROR(__xludf.DUMMYFUNCTION("""COMPUTED_VALUE"""),6000)</f>
        <v>6000</v>
      </c>
      <c r="F42" s="2">
        <f ca="1">IFERROR(__xludf.DUMMYFUNCTION("""COMPUTED_VALUE"""),24212900)</f>
        <v>24212900</v>
      </c>
    </row>
    <row r="43" spans="1:6">
      <c r="A43" s="1">
        <f ca="1">IFERROR(__xludf.DUMMYFUNCTION("""COMPUTED_VALUE"""),42066.625)</f>
        <v>42066.625</v>
      </c>
      <c r="B43" s="2">
        <f ca="1">IFERROR(__xludf.DUMMYFUNCTION("""COMPUTED_VALUE"""),6050)</f>
        <v>6050</v>
      </c>
      <c r="C43" s="2">
        <f ca="1">IFERROR(__xludf.DUMMYFUNCTION("""COMPUTED_VALUE"""),6050)</f>
        <v>6050</v>
      </c>
      <c r="D43" s="2">
        <f ca="1">IFERROR(__xludf.DUMMYFUNCTION("""COMPUTED_VALUE"""),5950)</f>
        <v>5950</v>
      </c>
      <c r="E43" s="2">
        <f ca="1">IFERROR(__xludf.DUMMYFUNCTION("""COMPUTED_VALUE"""),5950)</f>
        <v>5950</v>
      </c>
      <c r="F43" s="2">
        <f ca="1">IFERROR(__xludf.DUMMYFUNCTION("""COMPUTED_VALUE"""),14420600)</f>
        <v>14420600</v>
      </c>
    </row>
    <row r="44" spans="1:6">
      <c r="A44" s="1">
        <f ca="1">IFERROR(__xludf.DUMMYFUNCTION("""COMPUTED_VALUE"""),42067.625)</f>
        <v>42067.625</v>
      </c>
      <c r="B44" s="2">
        <f ca="1">IFERROR(__xludf.DUMMYFUNCTION("""COMPUTED_VALUE"""),5937.5)</f>
        <v>5937.5</v>
      </c>
      <c r="C44" s="2">
        <f ca="1">IFERROR(__xludf.DUMMYFUNCTION("""COMPUTED_VALUE"""),5975)</f>
        <v>5975</v>
      </c>
      <c r="D44" s="2">
        <f ca="1">IFERROR(__xludf.DUMMYFUNCTION("""COMPUTED_VALUE"""),5912.5)</f>
        <v>5912.5</v>
      </c>
      <c r="E44" s="2">
        <f ca="1">IFERROR(__xludf.DUMMYFUNCTION("""COMPUTED_VALUE"""),5925)</f>
        <v>5925</v>
      </c>
      <c r="F44" s="2">
        <f ca="1">IFERROR(__xludf.DUMMYFUNCTION("""COMPUTED_VALUE"""),11806500)</f>
        <v>11806500</v>
      </c>
    </row>
    <row r="45" spans="1:6">
      <c r="A45" s="1">
        <f ca="1">IFERROR(__xludf.DUMMYFUNCTION("""COMPUTED_VALUE"""),42068.625)</f>
        <v>42068.625</v>
      </c>
      <c r="B45" s="2">
        <f ca="1">IFERROR(__xludf.DUMMYFUNCTION("""COMPUTED_VALUE"""),5912.5)</f>
        <v>5912.5</v>
      </c>
      <c r="C45" s="2">
        <f ca="1">IFERROR(__xludf.DUMMYFUNCTION("""COMPUTED_VALUE"""),5987.5)</f>
        <v>5987.5</v>
      </c>
      <c r="D45" s="2">
        <f ca="1">IFERROR(__xludf.DUMMYFUNCTION("""COMPUTED_VALUE"""),5900)</f>
        <v>5900</v>
      </c>
      <c r="E45" s="2">
        <f ca="1">IFERROR(__xludf.DUMMYFUNCTION("""COMPUTED_VALUE"""),5912.5)</f>
        <v>5912.5</v>
      </c>
      <c r="F45" s="2">
        <f ca="1">IFERROR(__xludf.DUMMYFUNCTION("""COMPUTED_VALUE"""),16903200)</f>
        <v>16903200</v>
      </c>
    </row>
    <row r="46" spans="1:6">
      <c r="A46" s="1">
        <f ca="1">IFERROR(__xludf.DUMMYFUNCTION("""COMPUTED_VALUE"""),42069.625)</f>
        <v>42069.625</v>
      </c>
      <c r="B46" s="2">
        <f ca="1">IFERROR(__xludf.DUMMYFUNCTION("""COMPUTED_VALUE"""),5950)</f>
        <v>5950</v>
      </c>
      <c r="C46" s="2">
        <f ca="1">IFERROR(__xludf.DUMMYFUNCTION("""COMPUTED_VALUE"""),6050)</f>
        <v>6050</v>
      </c>
      <c r="D46" s="2">
        <f ca="1">IFERROR(__xludf.DUMMYFUNCTION("""COMPUTED_VALUE"""),5925)</f>
        <v>5925</v>
      </c>
      <c r="E46" s="2">
        <f ca="1">IFERROR(__xludf.DUMMYFUNCTION("""COMPUTED_VALUE"""),6050)</f>
        <v>6050</v>
      </c>
      <c r="F46" s="2">
        <f ca="1">IFERROR(__xludf.DUMMYFUNCTION("""COMPUTED_VALUE"""),19472100)</f>
        <v>19472100</v>
      </c>
    </row>
    <row r="47" spans="1:6">
      <c r="A47" s="1">
        <f ca="1">IFERROR(__xludf.DUMMYFUNCTION("""COMPUTED_VALUE"""),42072.625)</f>
        <v>42072.625</v>
      </c>
      <c r="B47" s="2">
        <f ca="1">IFERROR(__xludf.DUMMYFUNCTION("""COMPUTED_VALUE"""),6000)</f>
        <v>6000</v>
      </c>
      <c r="C47" s="2">
        <f ca="1">IFERROR(__xludf.DUMMYFUNCTION("""COMPUTED_VALUE"""),6012.5)</f>
        <v>6012.5</v>
      </c>
      <c r="D47" s="2">
        <f ca="1">IFERROR(__xludf.DUMMYFUNCTION("""COMPUTED_VALUE"""),5875)</f>
        <v>5875</v>
      </c>
      <c r="E47" s="2">
        <f ca="1">IFERROR(__xludf.DUMMYFUNCTION("""COMPUTED_VALUE"""),5900)</f>
        <v>5900</v>
      </c>
      <c r="F47" s="2">
        <f ca="1">IFERROR(__xludf.DUMMYFUNCTION("""COMPUTED_VALUE"""),26261500)</f>
        <v>26261500</v>
      </c>
    </row>
    <row r="48" spans="1:6">
      <c r="A48" s="1">
        <f ca="1">IFERROR(__xludf.DUMMYFUNCTION("""COMPUTED_VALUE"""),42073.625)</f>
        <v>42073.625</v>
      </c>
      <c r="B48" s="2">
        <f ca="1">IFERROR(__xludf.DUMMYFUNCTION("""COMPUTED_VALUE"""),5912.5)</f>
        <v>5912.5</v>
      </c>
      <c r="C48" s="2">
        <f ca="1">IFERROR(__xludf.DUMMYFUNCTION("""COMPUTED_VALUE"""),6037.5)</f>
        <v>6037.5</v>
      </c>
      <c r="D48" s="2">
        <f ca="1">IFERROR(__xludf.DUMMYFUNCTION("""COMPUTED_VALUE"""),5875)</f>
        <v>5875</v>
      </c>
      <c r="E48" s="2">
        <f ca="1">IFERROR(__xludf.DUMMYFUNCTION("""COMPUTED_VALUE"""),6012.5)</f>
        <v>6012.5</v>
      </c>
      <c r="F48" s="2">
        <f ca="1">IFERROR(__xludf.DUMMYFUNCTION("""COMPUTED_VALUE"""),17418200)</f>
        <v>17418200</v>
      </c>
    </row>
    <row r="49" spans="1:6">
      <c r="A49" s="1">
        <f ca="1">IFERROR(__xludf.DUMMYFUNCTION("""COMPUTED_VALUE"""),42074.625)</f>
        <v>42074.625</v>
      </c>
      <c r="B49" s="2">
        <f ca="1">IFERROR(__xludf.DUMMYFUNCTION("""COMPUTED_VALUE"""),5950)</f>
        <v>5950</v>
      </c>
      <c r="C49" s="2">
        <f ca="1">IFERROR(__xludf.DUMMYFUNCTION("""COMPUTED_VALUE"""),6012.5)</f>
        <v>6012.5</v>
      </c>
      <c r="D49" s="2">
        <f ca="1">IFERROR(__xludf.DUMMYFUNCTION("""COMPUTED_VALUE"""),5925)</f>
        <v>5925</v>
      </c>
      <c r="E49" s="2">
        <f ca="1">IFERROR(__xludf.DUMMYFUNCTION("""COMPUTED_VALUE"""),5937.5)</f>
        <v>5937.5</v>
      </c>
      <c r="F49" s="2">
        <f ca="1">IFERROR(__xludf.DUMMYFUNCTION("""COMPUTED_VALUE"""),24596100)</f>
        <v>24596100</v>
      </c>
    </row>
    <row r="50" spans="1:6">
      <c r="A50" s="1">
        <f ca="1">IFERROR(__xludf.DUMMYFUNCTION("""COMPUTED_VALUE"""),42075.625)</f>
        <v>42075.625</v>
      </c>
      <c r="B50" s="2">
        <f ca="1">IFERROR(__xludf.DUMMYFUNCTION("""COMPUTED_VALUE"""),5925)</f>
        <v>5925</v>
      </c>
      <c r="C50" s="2">
        <f ca="1">IFERROR(__xludf.DUMMYFUNCTION("""COMPUTED_VALUE"""),6012.5)</f>
        <v>6012.5</v>
      </c>
      <c r="D50" s="2">
        <f ca="1">IFERROR(__xludf.DUMMYFUNCTION("""COMPUTED_VALUE"""),5925)</f>
        <v>5925</v>
      </c>
      <c r="E50" s="2">
        <f ca="1">IFERROR(__xludf.DUMMYFUNCTION("""COMPUTED_VALUE"""),5950)</f>
        <v>5950</v>
      </c>
      <c r="F50" s="2">
        <f ca="1">IFERROR(__xludf.DUMMYFUNCTION("""COMPUTED_VALUE"""),11274100)</f>
        <v>11274100</v>
      </c>
    </row>
    <row r="51" spans="1:6">
      <c r="A51" s="1">
        <f ca="1">IFERROR(__xludf.DUMMYFUNCTION("""COMPUTED_VALUE"""),42076.625)</f>
        <v>42076.625</v>
      </c>
      <c r="B51" s="2">
        <f ca="1">IFERROR(__xludf.DUMMYFUNCTION("""COMPUTED_VALUE"""),5987.5)</f>
        <v>5987.5</v>
      </c>
      <c r="C51" s="2">
        <f ca="1">IFERROR(__xludf.DUMMYFUNCTION("""COMPUTED_VALUE"""),6025)</f>
        <v>6025</v>
      </c>
      <c r="D51" s="2">
        <f ca="1">IFERROR(__xludf.DUMMYFUNCTION("""COMPUTED_VALUE"""),5900)</f>
        <v>5900</v>
      </c>
      <c r="E51" s="2">
        <f ca="1">IFERROR(__xludf.DUMMYFUNCTION("""COMPUTED_VALUE"""),5950)</f>
        <v>5950</v>
      </c>
      <c r="F51" s="2">
        <f ca="1">IFERROR(__xludf.DUMMYFUNCTION("""COMPUTED_VALUE"""),17022500)</f>
        <v>17022500</v>
      </c>
    </row>
    <row r="52" spans="1:6">
      <c r="A52" s="1">
        <f ca="1">IFERROR(__xludf.DUMMYFUNCTION("""COMPUTED_VALUE"""),42079.625)</f>
        <v>42079.625</v>
      </c>
      <c r="B52" s="2">
        <f ca="1">IFERROR(__xludf.DUMMYFUNCTION("""COMPUTED_VALUE"""),5950)</f>
        <v>5950</v>
      </c>
      <c r="C52" s="2">
        <f ca="1">IFERROR(__xludf.DUMMYFUNCTION("""COMPUTED_VALUE"""),6037.5)</f>
        <v>6037.5</v>
      </c>
      <c r="D52" s="2">
        <f ca="1">IFERROR(__xludf.DUMMYFUNCTION("""COMPUTED_VALUE"""),5925)</f>
        <v>5925</v>
      </c>
      <c r="E52" s="2">
        <f ca="1">IFERROR(__xludf.DUMMYFUNCTION("""COMPUTED_VALUE"""),6000)</f>
        <v>6000</v>
      </c>
      <c r="F52" s="2">
        <f ca="1">IFERROR(__xludf.DUMMYFUNCTION("""COMPUTED_VALUE"""),13572000)</f>
        <v>13572000</v>
      </c>
    </row>
    <row r="53" spans="1:6">
      <c r="A53" s="1">
        <f ca="1">IFERROR(__xludf.DUMMYFUNCTION("""COMPUTED_VALUE"""),42080.625)</f>
        <v>42080.625</v>
      </c>
      <c r="B53" s="2">
        <f ca="1">IFERROR(__xludf.DUMMYFUNCTION("""COMPUTED_VALUE"""),6025)</f>
        <v>6025</v>
      </c>
      <c r="C53" s="2">
        <f ca="1">IFERROR(__xludf.DUMMYFUNCTION("""COMPUTED_VALUE"""),6037.5)</f>
        <v>6037.5</v>
      </c>
      <c r="D53" s="2">
        <f ca="1">IFERROR(__xludf.DUMMYFUNCTION("""COMPUTED_VALUE"""),5962.5)</f>
        <v>5962.5</v>
      </c>
      <c r="E53" s="2">
        <f ca="1">IFERROR(__xludf.DUMMYFUNCTION("""COMPUTED_VALUE"""),5987.5)</f>
        <v>5987.5</v>
      </c>
      <c r="F53" s="2">
        <f ca="1">IFERROR(__xludf.DUMMYFUNCTION("""COMPUTED_VALUE"""),12921200)</f>
        <v>12921200</v>
      </c>
    </row>
    <row r="54" spans="1:6">
      <c r="A54" s="1">
        <f ca="1">IFERROR(__xludf.DUMMYFUNCTION("""COMPUTED_VALUE"""),42081.625)</f>
        <v>42081.625</v>
      </c>
      <c r="B54" s="2">
        <f ca="1">IFERROR(__xludf.DUMMYFUNCTION("""COMPUTED_VALUE"""),5925)</f>
        <v>5925</v>
      </c>
      <c r="C54" s="2">
        <f ca="1">IFERROR(__xludf.DUMMYFUNCTION("""COMPUTED_VALUE"""),6000)</f>
        <v>6000</v>
      </c>
      <c r="D54" s="2">
        <f ca="1">IFERROR(__xludf.DUMMYFUNCTION("""COMPUTED_VALUE"""),5925)</f>
        <v>5925</v>
      </c>
      <c r="E54" s="2">
        <f ca="1">IFERROR(__xludf.DUMMYFUNCTION("""COMPUTED_VALUE"""),5975)</f>
        <v>5975</v>
      </c>
      <c r="F54" s="2">
        <f ca="1">IFERROR(__xludf.DUMMYFUNCTION("""COMPUTED_VALUE"""),13593100)</f>
        <v>13593100</v>
      </c>
    </row>
    <row r="55" spans="1:6">
      <c r="A55" s="1">
        <f ca="1">IFERROR(__xludf.DUMMYFUNCTION("""COMPUTED_VALUE"""),42082.625)</f>
        <v>42082.625</v>
      </c>
      <c r="B55" s="2">
        <f ca="1">IFERROR(__xludf.DUMMYFUNCTION("""COMPUTED_VALUE"""),6050)</f>
        <v>6050</v>
      </c>
      <c r="C55" s="2">
        <f ca="1">IFERROR(__xludf.DUMMYFUNCTION("""COMPUTED_VALUE"""),6100)</f>
        <v>6100</v>
      </c>
      <c r="D55" s="2">
        <f ca="1">IFERROR(__xludf.DUMMYFUNCTION("""COMPUTED_VALUE"""),6000)</f>
        <v>6000</v>
      </c>
      <c r="E55" s="2">
        <f ca="1">IFERROR(__xludf.DUMMYFUNCTION("""COMPUTED_VALUE"""),6100)</f>
        <v>6100</v>
      </c>
      <c r="F55" s="2">
        <f ca="1">IFERROR(__xludf.DUMMYFUNCTION("""COMPUTED_VALUE"""),18607100)</f>
        <v>18607100</v>
      </c>
    </row>
    <row r="56" spans="1:6">
      <c r="A56" s="1">
        <f ca="1">IFERROR(__xludf.DUMMYFUNCTION("""COMPUTED_VALUE"""),42083.625)</f>
        <v>42083.625</v>
      </c>
      <c r="B56" s="2">
        <f ca="1">IFERROR(__xludf.DUMMYFUNCTION("""COMPUTED_VALUE"""),6050)</f>
        <v>6050</v>
      </c>
      <c r="C56" s="2">
        <f ca="1">IFERROR(__xludf.DUMMYFUNCTION("""COMPUTED_VALUE"""),6150)</f>
        <v>6150</v>
      </c>
      <c r="D56" s="2">
        <f ca="1">IFERROR(__xludf.DUMMYFUNCTION("""COMPUTED_VALUE"""),6037.5)</f>
        <v>6037.5</v>
      </c>
      <c r="E56" s="2">
        <f ca="1">IFERROR(__xludf.DUMMYFUNCTION("""COMPUTED_VALUE"""),6100)</f>
        <v>6100</v>
      </c>
      <c r="F56" s="2">
        <f ca="1">IFERROR(__xludf.DUMMYFUNCTION("""COMPUTED_VALUE"""),20761500)</f>
        <v>20761500</v>
      </c>
    </row>
    <row r="57" spans="1:6">
      <c r="A57" s="1">
        <f ca="1">IFERROR(__xludf.DUMMYFUNCTION("""COMPUTED_VALUE"""),42086.625)</f>
        <v>42086.625</v>
      </c>
      <c r="B57" s="2">
        <f ca="1">IFERROR(__xludf.DUMMYFUNCTION("""COMPUTED_VALUE"""),6137.5)</f>
        <v>6137.5</v>
      </c>
      <c r="C57" s="2">
        <f ca="1">IFERROR(__xludf.DUMMYFUNCTION("""COMPUTED_VALUE"""),6137.5)</f>
        <v>6137.5</v>
      </c>
      <c r="D57" s="2">
        <f ca="1">IFERROR(__xludf.DUMMYFUNCTION("""COMPUTED_VALUE"""),6087.5)</f>
        <v>6087.5</v>
      </c>
      <c r="E57" s="2">
        <f ca="1">IFERROR(__xludf.DUMMYFUNCTION("""COMPUTED_VALUE"""),6087.5)</f>
        <v>6087.5</v>
      </c>
      <c r="F57" s="2">
        <f ca="1">IFERROR(__xludf.DUMMYFUNCTION("""COMPUTED_VALUE"""),9206400)</f>
        <v>9206400</v>
      </c>
    </row>
    <row r="58" spans="1:6">
      <c r="A58" s="1">
        <f ca="1">IFERROR(__xludf.DUMMYFUNCTION("""COMPUTED_VALUE"""),42087.625)</f>
        <v>42087.625</v>
      </c>
      <c r="B58" s="2">
        <f ca="1">IFERROR(__xludf.DUMMYFUNCTION("""COMPUTED_VALUE"""),6075)</f>
        <v>6075</v>
      </c>
      <c r="C58" s="2">
        <f ca="1">IFERROR(__xludf.DUMMYFUNCTION("""COMPUTED_VALUE"""),6112.5)</f>
        <v>6112.5</v>
      </c>
      <c r="D58" s="2">
        <f ca="1">IFERROR(__xludf.DUMMYFUNCTION("""COMPUTED_VALUE"""),6025)</f>
        <v>6025</v>
      </c>
      <c r="E58" s="2">
        <f ca="1">IFERROR(__xludf.DUMMYFUNCTION("""COMPUTED_VALUE"""),6037.5)</f>
        <v>6037.5</v>
      </c>
      <c r="F58" s="2">
        <f ca="1">IFERROR(__xludf.DUMMYFUNCTION("""COMPUTED_VALUE"""),14808600)</f>
        <v>14808600</v>
      </c>
    </row>
    <row r="59" spans="1:6">
      <c r="A59" s="1">
        <f ca="1">IFERROR(__xludf.DUMMYFUNCTION("""COMPUTED_VALUE"""),42088.625)</f>
        <v>42088.625</v>
      </c>
      <c r="B59" s="2">
        <f ca="1">IFERROR(__xludf.DUMMYFUNCTION("""COMPUTED_VALUE"""),6025)</f>
        <v>6025</v>
      </c>
      <c r="C59" s="2">
        <f ca="1">IFERROR(__xludf.DUMMYFUNCTION("""COMPUTED_VALUE"""),6087.5)</f>
        <v>6087.5</v>
      </c>
      <c r="D59" s="2">
        <f ca="1">IFERROR(__xludf.DUMMYFUNCTION("""COMPUTED_VALUE"""),6000)</f>
        <v>6000</v>
      </c>
      <c r="E59" s="2">
        <f ca="1">IFERROR(__xludf.DUMMYFUNCTION("""COMPUTED_VALUE"""),6012.5)</f>
        <v>6012.5</v>
      </c>
      <c r="F59" s="2">
        <f ca="1">IFERROR(__xludf.DUMMYFUNCTION("""COMPUTED_VALUE"""),14852400)</f>
        <v>14852400</v>
      </c>
    </row>
    <row r="60" spans="1:6">
      <c r="A60" s="1">
        <f ca="1">IFERROR(__xludf.DUMMYFUNCTION("""COMPUTED_VALUE"""),42089.625)</f>
        <v>42089.625</v>
      </c>
      <c r="B60" s="2">
        <f ca="1">IFERROR(__xludf.DUMMYFUNCTION("""COMPUTED_VALUE"""),6012.5)</f>
        <v>6012.5</v>
      </c>
      <c r="C60" s="2">
        <f ca="1">IFERROR(__xludf.DUMMYFUNCTION("""COMPUTED_VALUE"""),6075)</f>
        <v>6075</v>
      </c>
      <c r="D60" s="2">
        <f ca="1">IFERROR(__xludf.DUMMYFUNCTION("""COMPUTED_VALUE"""),5975)</f>
        <v>5975</v>
      </c>
      <c r="E60" s="2">
        <f ca="1">IFERROR(__xludf.DUMMYFUNCTION("""COMPUTED_VALUE"""),6025)</f>
        <v>6025</v>
      </c>
      <c r="F60" s="2">
        <f ca="1">IFERROR(__xludf.DUMMYFUNCTION("""COMPUTED_VALUE"""),12372900)</f>
        <v>12372900</v>
      </c>
    </row>
    <row r="61" spans="1:6">
      <c r="A61" s="1">
        <f ca="1">IFERROR(__xludf.DUMMYFUNCTION("""COMPUTED_VALUE"""),42090.625)</f>
        <v>42090.625</v>
      </c>
      <c r="B61" s="2">
        <f ca="1">IFERROR(__xludf.DUMMYFUNCTION("""COMPUTED_VALUE"""),5950)</f>
        <v>5950</v>
      </c>
      <c r="C61" s="2">
        <f ca="1">IFERROR(__xludf.DUMMYFUNCTION("""COMPUTED_VALUE"""),6012.5)</f>
        <v>6012.5</v>
      </c>
      <c r="D61" s="2">
        <f ca="1">IFERROR(__xludf.DUMMYFUNCTION("""COMPUTED_VALUE"""),5925)</f>
        <v>5925</v>
      </c>
      <c r="E61" s="2">
        <f ca="1">IFERROR(__xludf.DUMMYFUNCTION("""COMPUTED_VALUE"""),5975)</f>
        <v>5975</v>
      </c>
      <c r="F61" s="2">
        <f ca="1">IFERROR(__xludf.DUMMYFUNCTION("""COMPUTED_VALUE"""),15113900)</f>
        <v>15113900</v>
      </c>
    </row>
    <row r="62" spans="1:6">
      <c r="A62" s="1">
        <f ca="1">IFERROR(__xludf.DUMMYFUNCTION("""COMPUTED_VALUE"""),42093.625)</f>
        <v>42093.625</v>
      </c>
      <c r="B62" s="2">
        <f ca="1">IFERROR(__xludf.DUMMYFUNCTION("""COMPUTED_VALUE"""),6025)</f>
        <v>6025</v>
      </c>
      <c r="C62" s="2">
        <f ca="1">IFERROR(__xludf.DUMMYFUNCTION("""COMPUTED_VALUE"""),6150)</f>
        <v>6150</v>
      </c>
      <c r="D62" s="2">
        <f ca="1">IFERROR(__xludf.DUMMYFUNCTION("""COMPUTED_VALUE"""),6000)</f>
        <v>6000</v>
      </c>
      <c r="E62" s="2">
        <f ca="1">IFERROR(__xludf.DUMMYFUNCTION("""COMPUTED_VALUE"""),6050)</f>
        <v>6050</v>
      </c>
      <c r="F62" s="2">
        <f ca="1">IFERROR(__xludf.DUMMYFUNCTION("""COMPUTED_VALUE"""),18955700)</f>
        <v>18955700</v>
      </c>
    </row>
    <row r="63" spans="1:6">
      <c r="A63" s="1">
        <f ca="1">IFERROR(__xludf.DUMMYFUNCTION("""COMPUTED_VALUE"""),42094.625)</f>
        <v>42094.625</v>
      </c>
      <c r="B63" s="2">
        <f ca="1">IFERROR(__xludf.DUMMYFUNCTION("""COMPUTED_VALUE"""),6162.5)</f>
        <v>6162.5</v>
      </c>
      <c r="C63" s="2">
        <f ca="1">IFERROR(__xludf.DUMMYFUNCTION("""COMPUTED_VALUE"""),6237.5)</f>
        <v>6237.5</v>
      </c>
      <c r="D63" s="2">
        <f ca="1">IFERROR(__xludf.DUMMYFUNCTION("""COMPUTED_VALUE"""),6125)</f>
        <v>6125</v>
      </c>
      <c r="E63" s="2">
        <f ca="1">IFERROR(__xludf.DUMMYFUNCTION("""COMPUTED_VALUE"""),6237.5)</f>
        <v>6237.5</v>
      </c>
      <c r="F63" s="2">
        <f ca="1">IFERROR(__xludf.DUMMYFUNCTION("""COMPUTED_VALUE"""),20864000)</f>
        <v>20864000</v>
      </c>
    </row>
    <row r="64" spans="1:6">
      <c r="A64" s="1">
        <f ca="1">IFERROR(__xludf.DUMMYFUNCTION("""COMPUTED_VALUE"""),42095.625)</f>
        <v>42095.625</v>
      </c>
      <c r="B64" s="2">
        <f ca="1">IFERROR(__xludf.DUMMYFUNCTION("""COMPUTED_VALUE"""),6237.5)</f>
        <v>6237.5</v>
      </c>
      <c r="C64" s="2">
        <f ca="1">IFERROR(__xludf.DUMMYFUNCTION("""COMPUTED_VALUE"""),6275)</f>
        <v>6275</v>
      </c>
      <c r="D64" s="2">
        <f ca="1">IFERROR(__xludf.DUMMYFUNCTION("""COMPUTED_VALUE"""),6050)</f>
        <v>6050</v>
      </c>
      <c r="E64" s="2">
        <f ca="1">IFERROR(__xludf.DUMMYFUNCTION("""COMPUTED_VALUE"""),6137.5)</f>
        <v>6137.5</v>
      </c>
      <c r="F64" s="2">
        <f ca="1">IFERROR(__xludf.DUMMYFUNCTION("""COMPUTED_VALUE"""),27672500)</f>
        <v>27672500</v>
      </c>
    </row>
    <row r="65" spans="1:6">
      <c r="A65" s="1">
        <f ca="1">IFERROR(__xludf.DUMMYFUNCTION("""COMPUTED_VALUE"""),42096.625)</f>
        <v>42096.625</v>
      </c>
      <c r="B65" s="2">
        <f ca="1">IFERROR(__xludf.DUMMYFUNCTION("""COMPUTED_VALUE"""),6175)</f>
        <v>6175</v>
      </c>
      <c r="C65" s="2">
        <f ca="1">IFERROR(__xludf.DUMMYFUNCTION("""COMPUTED_VALUE"""),6187.5)</f>
        <v>6187.5</v>
      </c>
      <c r="D65" s="2">
        <f ca="1">IFERROR(__xludf.DUMMYFUNCTION("""COMPUTED_VALUE"""),6012.5)</f>
        <v>6012.5</v>
      </c>
      <c r="E65" s="2">
        <f ca="1">IFERROR(__xludf.DUMMYFUNCTION("""COMPUTED_VALUE"""),6137.5)</f>
        <v>6137.5</v>
      </c>
      <c r="F65" s="2">
        <f ca="1">IFERROR(__xludf.DUMMYFUNCTION("""COMPUTED_VALUE"""),14184400)</f>
        <v>14184400</v>
      </c>
    </row>
    <row r="66" spans="1:6">
      <c r="A66" s="1">
        <f ca="1">IFERROR(__xludf.DUMMYFUNCTION("""COMPUTED_VALUE"""),42100.625)</f>
        <v>42100.625</v>
      </c>
      <c r="B66" s="2">
        <f ca="1">IFERROR(__xludf.DUMMYFUNCTION("""COMPUTED_VALUE"""),6150)</f>
        <v>6150</v>
      </c>
      <c r="C66" s="2">
        <f ca="1">IFERROR(__xludf.DUMMYFUNCTION("""COMPUTED_VALUE"""),6162.5)</f>
        <v>6162.5</v>
      </c>
      <c r="D66" s="2">
        <f ca="1">IFERROR(__xludf.DUMMYFUNCTION("""COMPUTED_VALUE"""),6050)</f>
        <v>6050</v>
      </c>
      <c r="E66" s="2">
        <f ca="1">IFERROR(__xludf.DUMMYFUNCTION("""COMPUTED_VALUE"""),6087.5)</f>
        <v>6087.5</v>
      </c>
      <c r="F66" s="2">
        <f ca="1">IFERROR(__xludf.DUMMYFUNCTION("""COMPUTED_VALUE"""),16076100)</f>
        <v>16076100</v>
      </c>
    </row>
    <row r="67" spans="1:6">
      <c r="A67" s="1">
        <f ca="1">IFERROR(__xludf.DUMMYFUNCTION("""COMPUTED_VALUE"""),42101.625)</f>
        <v>42101.625</v>
      </c>
      <c r="B67" s="2">
        <f ca="1">IFERROR(__xludf.DUMMYFUNCTION("""COMPUTED_VALUE"""),6100)</f>
        <v>6100</v>
      </c>
      <c r="C67" s="2">
        <f ca="1">IFERROR(__xludf.DUMMYFUNCTION("""COMPUTED_VALUE"""),6100)</f>
        <v>6100</v>
      </c>
      <c r="D67" s="2">
        <f ca="1">IFERROR(__xludf.DUMMYFUNCTION("""COMPUTED_VALUE"""),6037.5)</f>
        <v>6037.5</v>
      </c>
      <c r="E67" s="2">
        <f ca="1">IFERROR(__xludf.DUMMYFUNCTION("""COMPUTED_VALUE"""),6087.5)</f>
        <v>6087.5</v>
      </c>
      <c r="F67" s="2">
        <f ca="1">IFERROR(__xludf.DUMMYFUNCTION("""COMPUTED_VALUE"""),23914400)</f>
        <v>23914400</v>
      </c>
    </row>
    <row r="68" spans="1:6">
      <c r="A68" s="1">
        <f ca="1">IFERROR(__xludf.DUMMYFUNCTION("""COMPUTED_VALUE"""),42102.625)</f>
        <v>42102.625</v>
      </c>
      <c r="B68" s="2">
        <f ca="1">IFERROR(__xludf.DUMMYFUNCTION("""COMPUTED_VALUE"""),6100)</f>
        <v>6100</v>
      </c>
      <c r="C68" s="2">
        <f ca="1">IFERROR(__xludf.DUMMYFUNCTION("""COMPUTED_VALUE"""),6100)</f>
        <v>6100</v>
      </c>
      <c r="D68" s="2">
        <f ca="1">IFERROR(__xludf.DUMMYFUNCTION("""COMPUTED_VALUE"""),5987.5)</f>
        <v>5987.5</v>
      </c>
      <c r="E68" s="2">
        <f ca="1">IFERROR(__xludf.DUMMYFUNCTION("""COMPUTED_VALUE"""),6037.5)</f>
        <v>6037.5</v>
      </c>
      <c r="F68" s="2">
        <f ca="1">IFERROR(__xludf.DUMMYFUNCTION("""COMPUTED_VALUE"""),28357700)</f>
        <v>28357700</v>
      </c>
    </row>
    <row r="69" spans="1:6">
      <c r="A69" s="1">
        <f ca="1">IFERROR(__xludf.DUMMYFUNCTION("""COMPUTED_VALUE"""),42103.625)</f>
        <v>42103.625</v>
      </c>
      <c r="B69" s="2">
        <f ca="1">IFERROR(__xludf.DUMMYFUNCTION("""COMPUTED_VALUE"""),6037.5)</f>
        <v>6037.5</v>
      </c>
      <c r="C69" s="2">
        <f ca="1">IFERROR(__xludf.DUMMYFUNCTION("""COMPUTED_VALUE"""),6037.5)</f>
        <v>6037.5</v>
      </c>
      <c r="D69" s="2">
        <f ca="1">IFERROR(__xludf.DUMMYFUNCTION("""COMPUTED_VALUE"""),5975)</f>
        <v>5975</v>
      </c>
      <c r="E69" s="2">
        <f ca="1">IFERROR(__xludf.DUMMYFUNCTION("""COMPUTED_VALUE"""),6000)</f>
        <v>6000</v>
      </c>
      <c r="F69" s="2">
        <f ca="1">IFERROR(__xludf.DUMMYFUNCTION("""COMPUTED_VALUE"""),15665200)</f>
        <v>15665200</v>
      </c>
    </row>
    <row r="70" spans="1:6">
      <c r="A70" s="1">
        <f ca="1">IFERROR(__xludf.DUMMYFUNCTION("""COMPUTED_VALUE"""),42104.625)</f>
        <v>42104.625</v>
      </c>
      <c r="B70" s="2">
        <f ca="1">IFERROR(__xludf.DUMMYFUNCTION("""COMPUTED_VALUE"""),6012.5)</f>
        <v>6012.5</v>
      </c>
      <c r="C70" s="2">
        <f ca="1">IFERROR(__xludf.DUMMYFUNCTION("""COMPUTED_VALUE"""),6025)</f>
        <v>6025</v>
      </c>
      <c r="D70" s="2">
        <f ca="1">IFERROR(__xludf.DUMMYFUNCTION("""COMPUTED_VALUE"""),5987.5)</f>
        <v>5987.5</v>
      </c>
      <c r="E70" s="2">
        <f ca="1">IFERROR(__xludf.DUMMYFUNCTION("""COMPUTED_VALUE"""),6000)</f>
        <v>6000</v>
      </c>
      <c r="F70" s="2">
        <f ca="1">IFERROR(__xludf.DUMMYFUNCTION("""COMPUTED_VALUE"""),13197700)</f>
        <v>13197700</v>
      </c>
    </row>
    <row r="71" spans="1:6">
      <c r="A71" s="1">
        <f ca="1">IFERROR(__xludf.DUMMYFUNCTION("""COMPUTED_VALUE"""),42107.625)</f>
        <v>42107.625</v>
      </c>
      <c r="B71" s="2">
        <f ca="1">IFERROR(__xludf.DUMMYFUNCTION("""COMPUTED_VALUE"""),6025)</f>
        <v>6025</v>
      </c>
      <c r="C71" s="2">
        <f ca="1">IFERROR(__xludf.DUMMYFUNCTION("""COMPUTED_VALUE"""),6025)</f>
        <v>6025</v>
      </c>
      <c r="D71" s="2">
        <f ca="1">IFERROR(__xludf.DUMMYFUNCTION("""COMPUTED_VALUE"""),5975)</f>
        <v>5975</v>
      </c>
      <c r="E71" s="2">
        <f ca="1">IFERROR(__xludf.DUMMYFUNCTION("""COMPUTED_VALUE"""),6025)</f>
        <v>6025</v>
      </c>
      <c r="F71" s="2">
        <f ca="1">IFERROR(__xludf.DUMMYFUNCTION("""COMPUTED_VALUE"""),20071600)</f>
        <v>20071600</v>
      </c>
    </row>
    <row r="72" spans="1:6">
      <c r="A72" s="1">
        <f ca="1">IFERROR(__xludf.DUMMYFUNCTION("""COMPUTED_VALUE"""),42108.625)</f>
        <v>42108.625</v>
      </c>
      <c r="B72" s="2">
        <f ca="1">IFERROR(__xludf.DUMMYFUNCTION("""COMPUTED_VALUE"""),5950)</f>
        <v>5950</v>
      </c>
      <c r="C72" s="2">
        <f ca="1">IFERROR(__xludf.DUMMYFUNCTION("""COMPUTED_VALUE"""),6000)</f>
        <v>6000</v>
      </c>
      <c r="D72" s="2">
        <f ca="1">IFERROR(__xludf.DUMMYFUNCTION("""COMPUTED_VALUE"""),5887.5)</f>
        <v>5887.5</v>
      </c>
      <c r="E72" s="2">
        <f ca="1">IFERROR(__xludf.DUMMYFUNCTION("""COMPUTED_VALUE"""),5925)</f>
        <v>5925</v>
      </c>
      <c r="F72" s="2">
        <f ca="1">IFERROR(__xludf.DUMMYFUNCTION("""COMPUTED_VALUE"""),26037200)</f>
        <v>26037200</v>
      </c>
    </row>
    <row r="73" spans="1:6">
      <c r="A73" s="1">
        <f ca="1">IFERROR(__xludf.DUMMYFUNCTION("""COMPUTED_VALUE"""),42109.625)</f>
        <v>42109.625</v>
      </c>
      <c r="B73" s="2">
        <f ca="1">IFERROR(__xludf.DUMMYFUNCTION("""COMPUTED_VALUE"""),5950)</f>
        <v>5950</v>
      </c>
      <c r="C73" s="2">
        <f ca="1">IFERROR(__xludf.DUMMYFUNCTION("""COMPUTED_VALUE"""),6025)</f>
        <v>6025</v>
      </c>
      <c r="D73" s="2">
        <f ca="1">IFERROR(__xludf.DUMMYFUNCTION("""COMPUTED_VALUE"""),5912.5)</f>
        <v>5912.5</v>
      </c>
      <c r="E73" s="2">
        <f ca="1">IFERROR(__xludf.DUMMYFUNCTION("""COMPUTED_VALUE"""),6025)</f>
        <v>6025</v>
      </c>
      <c r="F73" s="2">
        <f ca="1">IFERROR(__xludf.DUMMYFUNCTION("""COMPUTED_VALUE"""),11985100)</f>
        <v>11985100</v>
      </c>
    </row>
    <row r="74" spans="1:6">
      <c r="A74" s="1">
        <f ca="1">IFERROR(__xludf.DUMMYFUNCTION("""COMPUTED_VALUE"""),42110.625)</f>
        <v>42110.625</v>
      </c>
      <c r="B74" s="2">
        <f ca="1">IFERROR(__xludf.DUMMYFUNCTION("""COMPUTED_VALUE"""),6050)</f>
        <v>6050</v>
      </c>
      <c r="C74" s="2">
        <f ca="1">IFERROR(__xludf.DUMMYFUNCTION("""COMPUTED_VALUE"""),6050)</f>
        <v>6050</v>
      </c>
      <c r="D74" s="2">
        <f ca="1">IFERROR(__xludf.DUMMYFUNCTION("""COMPUTED_VALUE"""),5987.5)</f>
        <v>5987.5</v>
      </c>
      <c r="E74" s="2">
        <f ca="1">IFERROR(__xludf.DUMMYFUNCTION("""COMPUTED_VALUE"""),6000)</f>
        <v>6000</v>
      </c>
      <c r="F74" s="2">
        <f ca="1">IFERROR(__xludf.DUMMYFUNCTION("""COMPUTED_VALUE"""),13891700)</f>
        <v>13891700</v>
      </c>
    </row>
    <row r="75" spans="1:6">
      <c r="A75" s="1">
        <f ca="1">IFERROR(__xludf.DUMMYFUNCTION("""COMPUTED_VALUE"""),42111.625)</f>
        <v>42111.625</v>
      </c>
      <c r="B75" s="2">
        <f ca="1">IFERROR(__xludf.DUMMYFUNCTION("""COMPUTED_VALUE"""),6037.5)</f>
        <v>6037.5</v>
      </c>
      <c r="C75" s="2">
        <f ca="1">IFERROR(__xludf.DUMMYFUNCTION("""COMPUTED_VALUE"""),6037.5)</f>
        <v>6037.5</v>
      </c>
      <c r="D75" s="2">
        <f ca="1">IFERROR(__xludf.DUMMYFUNCTION("""COMPUTED_VALUE"""),5962.5)</f>
        <v>5962.5</v>
      </c>
      <c r="E75" s="2">
        <f ca="1">IFERROR(__xludf.DUMMYFUNCTION("""COMPUTED_VALUE"""),6000)</f>
        <v>6000</v>
      </c>
      <c r="F75" s="2">
        <f ca="1">IFERROR(__xludf.DUMMYFUNCTION("""COMPUTED_VALUE"""),10187800)</f>
        <v>10187800</v>
      </c>
    </row>
    <row r="76" spans="1:6">
      <c r="A76" s="1">
        <f ca="1">IFERROR(__xludf.DUMMYFUNCTION("""COMPUTED_VALUE"""),42114.625)</f>
        <v>42114.625</v>
      </c>
      <c r="B76" s="2">
        <f ca="1">IFERROR(__xludf.DUMMYFUNCTION("""COMPUTED_VALUE"""),6000)</f>
        <v>6000</v>
      </c>
      <c r="C76" s="2">
        <f ca="1">IFERROR(__xludf.DUMMYFUNCTION("""COMPUTED_VALUE"""),6037.5)</f>
        <v>6037.5</v>
      </c>
      <c r="D76" s="2">
        <f ca="1">IFERROR(__xludf.DUMMYFUNCTION("""COMPUTED_VALUE"""),5950)</f>
        <v>5950</v>
      </c>
      <c r="E76" s="2">
        <f ca="1">IFERROR(__xludf.DUMMYFUNCTION("""COMPUTED_VALUE"""),6037.5)</f>
        <v>6037.5</v>
      </c>
      <c r="F76" s="2">
        <f ca="1">IFERROR(__xludf.DUMMYFUNCTION("""COMPUTED_VALUE"""),11122200)</f>
        <v>11122200</v>
      </c>
    </row>
    <row r="77" spans="1:6">
      <c r="A77" s="1">
        <f ca="1">IFERROR(__xludf.DUMMYFUNCTION("""COMPUTED_VALUE"""),42115.625)</f>
        <v>42115.625</v>
      </c>
      <c r="B77" s="2">
        <f ca="1">IFERROR(__xludf.DUMMYFUNCTION("""COMPUTED_VALUE"""),6050)</f>
        <v>6050</v>
      </c>
      <c r="C77" s="2">
        <f ca="1">IFERROR(__xludf.DUMMYFUNCTION("""COMPUTED_VALUE"""),6075)</f>
        <v>6075</v>
      </c>
      <c r="D77" s="2">
        <f ca="1">IFERROR(__xludf.DUMMYFUNCTION("""COMPUTED_VALUE"""),6025)</f>
        <v>6025</v>
      </c>
      <c r="E77" s="2">
        <f ca="1">IFERROR(__xludf.DUMMYFUNCTION("""COMPUTED_VALUE"""),6075)</f>
        <v>6075</v>
      </c>
      <c r="F77" s="2">
        <f ca="1">IFERROR(__xludf.DUMMYFUNCTION("""COMPUTED_VALUE"""),17327300)</f>
        <v>17327300</v>
      </c>
    </row>
    <row r="78" spans="1:6">
      <c r="A78" s="1">
        <f ca="1">IFERROR(__xludf.DUMMYFUNCTION("""COMPUTED_VALUE"""),42116.625)</f>
        <v>42116.625</v>
      </c>
      <c r="B78" s="2">
        <f ca="1">IFERROR(__xludf.DUMMYFUNCTION("""COMPUTED_VALUE"""),6075)</f>
        <v>6075</v>
      </c>
      <c r="C78" s="2">
        <f ca="1">IFERROR(__xludf.DUMMYFUNCTION("""COMPUTED_VALUE"""),6075)</f>
        <v>6075</v>
      </c>
      <c r="D78" s="2">
        <f ca="1">IFERROR(__xludf.DUMMYFUNCTION("""COMPUTED_VALUE"""),6012.5)</f>
        <v>6012.5</v>
      </c>
      <c r="E78" s="2">
        <f ca="1">IFERROR(__xludf.DUMMYFUNCTION("""COMPUTED_VALUE"""),6012.5)</f>
        <v>6012.5</v>
      </c>
      <c r="F78" s="2">
        <f ca="1">IFERROR(__xludf.DUMMYFUNCTION("""COMPUTED_VALUE"""),11187600)</f>
        <v>11187600</v>
      </c>
    </row>
    <row r="79" spans="1:6">
      <c r="A79" s="1">
        <f ca="1">IFERROR(__xludf.DUMMYFUNCTION("""COMPUTED_VALUE"""),42117.625)</f>
        <v>42117.625</v>
      </c>
      <c r="B79" s="2">
        <f ca="1">IFERROR(__xludf.DUMMYFUNCTION("""COMPUTED_VALUE"""),5987.5)</f>
        <v>5987.5</v>
      </c>
      <c r="C79" s="2">
        <f ca="1">IFERROR(__xludf.DUMMYFUNCTION("""COMPUTED_VALUE"""),6025)</f>
        <v>6025</v>
      </c>
      <c r="D79" s="2">
        <f ca="1">IFERROR(__xludf.DUMMYFUNCTION("""COMPUTED_VALUE"""),5975)</f>
        <v>5975</v>
      </c>
      <c r="E79" s="2">
        <f ca="1">IFERROR(__xludf.DUMMYFUNCTION("""COMPUTED_VALUE"""),6000)</f>
        <v>6000</v>
      </c>
      <c r="F79" s="2">
        <f ca="1">IFERROR(__xludf.DUMMYFUNCTION("""COMPUTED_VALUE"""),16039300)</f>
        <v>16039300</v>
      </c>
    </row>
    <row r="80" spans="1:6">
      <c r="A80" s="1">
        <f ca="1">IFERROR(__xludf.DUMMYFUNCTION("""COMPUTED_VALUE"""),42118.625)</f>
        <v>42118.625</v>
      </c>
      <c r="B80" s="2">
        <f ca="1">IFERROR(__xludf.DUMMYFUNCTION("""COMPUTED_VALUE"""),6012.5)</f>
        <v>6012.5</v>
      </c>
      <c r="C80" s="2">
        <f ca="1">IFERROR(__xludf.DUMMYFUNCTION("""COMPUTED_VALUE"""),6037.5)</f>
        <v>6037.5</v>
      </c>
      <c r="D80" s="2">
        <f ca="1">IFERROR(__xludf.DUMMYFUNCTION("""COMPUTED_VALUE"""),5950)</f>
        <v>5950</v>
      </c>
      <c r="E80" s="2">
        <f ca="1">IFERROR(__xludf.DUMMYFUNCTION("""COMPUTED_VALUE"""),5950)</f>
        <v>5950</v>
      </c>
      <c r="F80" s="2">
        <f ca="1">IFERROR(__xludf.DUMMYFUNCTION("""COMPUTED_VALUE"""),13384100)</f>
        <v>13384100</v>
      </c>
    </row>
    <row r="81" spans="1:6">
      <c r="A81" s="1">
        <f ca="1">IFERROR(__xludf.DUMMYFUNCTION("""COMPUTED_VALUE"""),42121.625)</f>
        <v>42121.625</v>
      </c>
      <c r="B81" s="2">
        <f ca="1">IFERROR(__xludf.DUMMYFUNCTION("""COMPUTED_VALUE"""),5900)</f>
        <v>5900</v>
      </c>
      <c r="C81" s="2">
        <f ca="1">IFERROR(__xludf.DUMMYFUNCTION("""COMPUTED_VALUE"""),5900)</f>
        <v>5900</v>
      </c>
      <c r="D81" s="2">
        <f ca="1">IFERROR(__xludf.DUMMYFUNCTION("""COMPUTED_VALUE"""),5550)</f>
        <v>5550</v>
      </c>
      <c r="E81" s="2">
        <f ca="1">IFERROR(__xludf.DUMMYFUNCTION("""COMPUTED_VALUE"""),5625)</f>
        <v>5625</v>
      </c>
      <c r="F81" s="2">
        <f ca="1">IFERROR(__xludf.DUMMYFUNCTION("""COMPUTED_VALUE"""),77207700)</f>
        <v>77207700</v>
      </c>
    </row>
    <row r="82" spans="1:6">
      <c r="A82" s="1">
        <f ca="1">IFERROR(__xludf.DUMMYFUNCTION("""COMPUTED_VALUE"""),42122.625)</f>
        <v>42122.625</v>
      </c>
      <c r="B82" s="2">
        <f ca="1">IFERROR(__xludf.DUMMYFUNCTION("""COMPUTED_VALUE"""),5450)</f>
        <v>5450</v>
      </c>
      <c r="C82" s="2">
        <f ca="1">IFERROR(__xludf.DUMMYFUNCTION("""COMPUTED_VALUE"""),5487.5)</f>
        <v>5487.5</v>
      </c>
      <c r="D82" s="2">
        <f ca="1">IFERROR(__xludf.DUMMYFUNCTION("""COMPUTED_VALUE"""),5325)</f>
        <v>5325</v>
      </c>
      <c r="E82" s="2">
        <f ca="1">IFERROR(__xludf.DUMMYFUNCTION("""COMPUTED_VALUE"""),5450)</f>
        <v>5450</v>
      </c>
      <c r="F82" s="2">
        <f ca="1">IFERROR(__xludf.DUMMYFUNCTION("""COMPUTED_VALUE"""),69967000)</f>
        <v>69967000</v>
      </c>
    </row>
    <row r="83" spans="1:6">
      <c r="A83" s="1">
        <f ca="1">IFERROR(__xludf.DUMMYFUNCTION("""COMPUTED_VALUE"""),42123.625)</f>
        <v>42123.625</v>
      </c>
      <c r="B83" s="2">
        <f ca="1">IFERROR(__xludf.DUMMYFUNCTION("""COMPUTED_VALUE"""),5450)</f>
        <v>5450</v>
      </c>
      <c r="C83" s="2">
        <f ca="1">IFERROR(__xludf.DUMMYFUNCTION("""COMPUTED_VALUE"""),5475)</f>
        <v>5475</v>
      </c>
      <c r="D83" s="2">
        <f ca="1">IFERROR(__xludf.DUMMYFUNCTION("""COMPUTED_VALUE"""),5175)</f>
        <v>5175</v>
      </c>
      <c r="E83" s="2">
        <f ca="1">IFERROR(__xludf.DUMMYFUNCTION("""COMPUTED_VALUE"""),5275)</f>
        <v>5275</v>
      </c>
      <c r="F83" s="2">
        <f ca="1">IFERROR(__xludf.DUMMYFUNCTION("""COMPUTED_VALUE"""),79130800)</f>
        <v>79130800</v>
      </c>
    </row>
    <row r="84" spans="1:6">
      <c r="A84" s="1">
        <f ca="1">IFERROR(__xludf.DUMMYFUNCTION("""COMPUTED_VALUE"""),42124.625)</f>
        <v>42124.625</v>
      </c>
      <c r="B84" s="2">
        <f ca="1">IFERROR(__xludf.DUMMYFUNCTION("""COMPUTED_VALUE"""),5287.5)</f>
        <v>5287.5</v>
      </c>
      <c r="C84" s="2">
        <f ca="1">IFERROR(__xludf.DUMMYFUNCTION("""COMPUTED_VALUE"""),5400)</f>
        <v>5400</v>
      </c>
      <c r="D84" s="2">
        <f ca="1">IFERROR(__xludf.DUMMYFUNCTION("""COMPUTED_VALUE"""),5237.5)</f>
        <v>5237.5</v>
      </c>
      <c r="E84" s="2">
        <f ca="1">IFERROR(__xludf.DUMMYFUNCTION("""COMPUTED_VALUE"""),5375)</f>
        <v>5375</v>
      </c>
      <c r="F84" s="2">
        <f ca="1">IFERROR(__xludf.DUMMYFUNCTION("""COMPUTED_VALUE"""),48897400)</f>
        <v>48897400</v>
      </c>
    </row>
    <row r="85" spans="1:6">
      <c r="A85" s="1">
        <f ca="1">IFERROR(__xludf.DUMMYFUNCTION("""COMPUTED_VALUE"""),42128.625)</f>
        <v>42128.625</v>
      </c>
      <c r="B85" s="2">
        <f ca="1">IFERROR(__xludf.DUMMYFUNCTION("""COMPUTED_VALUE"""),5387.5)</f>
        <v>5387.5</v>
      </c>
      <c r="C85" s="2">
        <f ca="1">IFERROR(__xludf.DUMMYFUNCTION("""COMPUTED_VALUE"""),5650)</f>
        <v>5650</v>
      </c>
      <c r="D85" s="2">
        <f ca="1">IFERROR(__xludf.DUMMYFUNCTION("""COMPUTED_VALUE"""),5350)</f>
        <v>5350</v>
      </c>
      <c r="E85" s="2">
        <f ca="1">IFERROR(__xludf.DUMMYFUNCTION("""COMPUTED_VALUE"""),5587.5)</f>
        <v>5587.5</v>
      </c>
      <c r="F85" s="2">
        <f ca="1">IFERROR(__xludf.DUMMYFUNCTION("""COMPUTED_VALUE"""),47414400)</f>
        <v>47414400</v>
      </c>
    </row>
    <row r="86" spans="1:6">
      <c r="A86" s="1">
        <f ca="1">IFERROR(__xludf.DUMMYFUNCTION("""COMPUTED_VALUE"""),42129.625)</f>
        <v>42129.625</v>
      </c>
      <c r="B86" s="2">
        <f ca="1">IFERROR(__xludf.DUMMYFUNCTION("""COMPUTED_VALUE"""),5600)</f>
        <v>5600</v>
      </c>
      <c r="C86" s="2">
        <f ca="1">IFERROR(__xludf.DUMMYFUNCTION("""COMPUTED_VALUE"""),5687.5)</f>
        <v>5687.5</v>
      </c>
      <c r="D86" s="2">
        <f ca="1">IFERROR(__xludf.DUMMYFUNCTION("""COMPUTED_VALUE"""),5562.5)</f>
        <v>5562.5</v>
      </c>
      <c r="E86" s="2">
        <f ca="1">IFERROR(__xludf.DUMMYFUNCTION("""COMPUTED_VALUE"""),5612.5)</f>
        <v>5612.5</v>
      </c>
      <c r="F86" s="2">
        <f ca="1">IFERROR(__xludf.DUMMYFUNCTION("""COMPUTED_VALUE"""),38379100)</f>
        <v>38379100</v>
      </c>
    </row>
    <row r="87" spans="1:6">
      <c r="A87" s="1">
        <f ca="1">IFERROR(__xludf.DUMMYFUNCTION("""COMPUTED_VALUE"""),42130.625)</f>
        <v>42130.625</v>
      </c>
      <c r="B87" s="2">
        <f ca="1">IFERROR(__xludf.DUMMYFUNCTION("""COMPUTED_VALUE"""),5512.5)</f>
        <v>5512.5</v>
      </c>
      <c r="C87" s="2">
        <f ca="1">IFERROR(__xludf.DUMMYFUNCTION("""COMPUTED_VALUE"""),5700)</f>
        <v>5700</v>
      </c>
      <c r="D87" s="2">
        <f ca="1">IFERROR(__xludf.DUMMYFUNCTION("""COMPUTED_VALUE"""),5512.5)</f>
        <v>5512.5</v>
      </c>
      <c r="E87" s="2">
        <f ca="1">IFERROR(__xludf.DUMMYFUNCTION("""COMPUTED_VALUE"""),5700)</f>
        <v>5700</v>
      </c>
      <c r="F87" s="2">
        <f ca="1">IFERROR(__xludf.DUMMYFUNCTION("""COMPUTED_VALUE"""),32007300)</f>
        <v>32007300</v>
      </c>
    </row>
    <row r="88" spans="1:6">
      <c r="A88" s="1">
        <f ca="1">IFERROR(__xludf.DUMMYFUNCTION("""COMPUTED_VALUE"""),42131.625)</f>
        <v>42131.625</v>
      </c>
      <c r="B88" s="2">
        <f ca="1">IFERROR(__xludf.DUMMYFUNCTION("""COMPUTED_VALUE"""),5562.5)</f>
        <v>5562.5</v>
      </c>
      <c r="C88" s="2">
        <f ca="1">IFERROR(__xludf.DUMMYFUNCTION("""COMPUTED_VALUE"""),5675)</f>
        <v>5675</v>
      </c>
      <c r="D88" s="2">
        <f ca="1">IFERROR(__xludf.DUMMYFUNCTION("""COMPUTED_VALUE"""),5525)</f>
        <v>5525</v>
      </c>
      <c r="E88" s="2">
        <f ca="1">IFERROR(__xludf.DUMMYFUNCTION("""COMPUTED_VALUE"""),5587.5)</f>
        <v>5587.5</v>
      </c>
      <c r="F88" s="2">
        <f ca="1">IFERROR(__xludf.DUMMYFUNCTION("""COMPUTED_VALUE"""),27781000)</f>
        <v>27781000</v>
      </c>
    </row>
    <row r="89" spans="1:6">
      <c r="A89" s="1">
        <f ca="1">IFERROR(__xludf.DUMMYFUNCTION("""COMPUTED_VALUE"""),42132.625)</f>
        <v>42132.625</v>
      </c>
      <c r="B89" s="2">
        <f ca="1">IFERROR(__xludf.DUMMYFUNCTION("""COMPUTED_VALUE"""),5662.5)</f>
        <v>5662.5</v>
      </c>
      <c r="C89" s="2">
        <f ca="1">IFERROR(__xludf.DUMMYFUNCTION("""COMPUTED_VALUE"""),5675)</f>
        <v>5675</v>
      </c>
      <c r="D89" s="2">
        <f ca="1">IFERROR(__xludf.DUMMYFUNCTION("""COMPUTED_VALUE"""),5562.5)</f>
        <v>5562.5</v>
      </c>
      <c r="E89" s="2">
        <f ca="1">IFERROR(__xludf.DUMMYFUNCTION("""COMPUTED_VALUE"""),5587.5)</f>
        <v>5587.5</v>
      </c>
      <c r="F89" s="2">
        <f ca="1">IFERROR(__xludf.DUMMYFUNCTION("""COMPUTED_VALUE"""),12813700)</f>
        <v>12813700</v>
      </c>
    </row>
    <row r="90" spans="1:6">
      <c r="A90" s="1">
        <f ca="1">IFERROR(__xludf.DUMMYFUNCTION("""COMPUTED_VALUE"""),42135.625)</f>
        <v>42135.625</v>
      </c>
      <c r="B90" s="2">
        <f ca="1">IFERROR(__xludf.DUMMYFUNCTION("""COMPUTED_VALUE"""),5587.5)</f>
        <v>5587.5</v>
      </c>
      <c r="C90" s="2">
        <f ca="1">IFERROR(__xludf.DUMMYFUNCTION("""COMPUTED_VALUE"""),5650)</f>
        <v>5650</v>
      </c>
      <c r="D90" s="2">
        <f ca="1">IFERROR(__xludf.DUMMYFUNCTION("""COMPUTED_VALUE"""),5562.5)</f>
        <v>5562.5</v>
      </c>
      <c r="E90" s="2">
        <f ca="1">IFERROR(__xludf.DUMMYFUNCTION("""COMPUTED_VALUE"""),5562.5)</f>
        <v>5562.5</v>
      </c>
      <c r="F90" s="2">
        <f ca="1">IFERROR(__xludf.DUMMYFUNCTION("""COMPUTED_VALUE"""),8588700)</f>
        <v>8588700</v>
      </c>
    </row>
    <row r="91" spans="1:6">
      <c r="A91" s="1">
        <f ca="1">IFERROR(__xludf.DUMMYFUNCTION("""COMPUTED_VALUE"""),42136.625)</f>
        <v>42136.625</v>
      </c>
      <c r="B91" s="2">
        <f ca="1">IFERROR(__xludf.DUMMYFUNCTION("""COMPUTED_VALUE"""),5587.5)</f>
        <v>5587.5</v>
      </c>
      <c r="C91" s="2">
        <f ca="1">IFERROR(__xludf.DUMMYFUNCTION("""COMPUTED_VALUE"""),5675)</f>
        <v>5675</v>
      </c>
      <c r="D91" s="2">
        <f ca="1">IFERROR(__xludf.DUMMYFUNCTION("""COMPUTED_VALUE"""),5562.5)</f>
        <v>5562.5</v>
      </c>
      <c r="E91" s="2">
        <f ca="1">IFERROR(__xludf.DUMMYFUNCTION("""COMPUTED_VALUE"""),5637.5)</f>
        <v>5637.5</v>
      </c>
      <c r="F91" s="2">
        <f ca="1">IFERROR(__xludf.DUMMYFUNCTION("""COMPUTED_VALUE"""),24047800)</f>
        <v>24047800</v>
      </c>
    </row>
    <row r="92" spans="1:6">
      <c r="A92" s="1">
        <f ca="1">IFERROR(__xludf.DUMMYFUNCTION("""COMPUTED_VALUE"""),42137.625)</f>
        <v>42137.625</v>
      </c>
      <c r="B92" s="2">
        <f ca="1">IFERROR(__xludf.DUMMYFUNCTION("""COMPUTED_VALUE"""),5575)</f>
        <v>5575</v>
      </c>
      <c r="C92" s="2">
        <f ca="1">IFERROR(__xludf.DUMMYFUNCTION("""COMPUTED_VALUE"""),5650)</f>
        <v>5650</v>
      </c>
      <c r="D92" s="2">
        <f ca="1">IFERROR(__xludf.DUMMYFUNCTION("""COMPUTED_VALUE"""),5575)</f>
        <v>5575</v>
      </c>
      <c r="E92" s="2">
        <f ca="1">IFERROR(__xludf.DUMMYFUNCTION("""COMPUTED_VALUE"""),5625)</f>
        <v>5625</v>
      </c>
      <c r="F92" s="2">
        <f ca="1">IFERROR(__xludf.DUMMYFUNCTION("""COMPUTED_VALUE"""),34537100)</f>
        <v>34537100</v>
      </c>
    </row>
    <row r="93" spans="1:6">
      <c r="A93" s="1">
        <f ca="1">IFERROR(__xludf.DUMMYFUNCTION("""COMPUTED_VALUE"""),42139.625)</f>
        <v>42139.625</v>
      </c>
      <c r="B93" s="2">
        <f ca="1">IFERROR(__xludf.DUMMYFUNCTION("""COMPUTED_VALUE"""),5600)</f>
        <v>5600</v>
      </c>
      <c r="C93" s="2">
        <f ca="1">IFERROR(__xludf.DUMMYFUNCTION("""COMPUTED_VALUE"""),5612.5)</f>
        <v>5612.5</v>
      </c>
      <c r="D93" s="2">
        <f ca="1">IFERROR(__xludf.DUMMYFUNCTION("""COMPUTED_VALUE"""),5462.5)</f>
        <v>5462.5</v>
      </c>
      <c r="E93" s="2">
        <f ca="1">IFERROR(__xludf.DUMMYFUNCTION("""COMPUTED_VALUE"""),5475)</f>
        <v>5475</v>
      </c>
      <c r="F93" s="2">
        <f ca="1">IFERROR(__xludf.DUMMYFUNCTION("""COMPUTED_VALUE"""),25626900)</f>
        <v>25626900</v>
      </c>
    </row>
    <row r="94" spans="1:6">
      <c r="A94" s="1">
        <f ca="1">IFERROR(__xludf.DUMMYFUNCTION("""COMPUTED_VALUE"""),42142.625)</f>
        <v>42142.625</v>
      </c>
      <c r="B94" s="2">
        <f ca="1">IFERROR(__xludf.DUMMYFUNCTION("""COMPUTED_VALUE"""),5475)</f>
        <v>5475</v>
      </c>
      <c r="C94" s="2">
        <f ca="1">IFERROR(__xludf.DUMMYFUNCTION("""COMPUTED_VALUE"""),5575)</f>
        <v>5575</v>
      </c>
      <c r="D94" s="2">
        <f ca="1">IFERROR(__xludf.DUMMYFUNCTION("""COMPUTED_VALUE"""),5475)</f>
        <v>5475</v>
      </c>
      <c r="E94" s="2">
        <f ca="1">IFERROR(__xludf.DUMMYFUNCTION("""COMPUTED_VALUE"""),5550)</f>
        <v>5550</v>
      </c>
      <c r="F94" s="2">
        <f ca="1">IFERROR(__xludf.DUMMYFUNCTION("""COMPUTED_VALUE"""),26730500)</f>
        <v>26730500</v>
      </c>
    </row>
    <row r="95" spans="1:6">
      <c r="A95" s="1">
        <f ca="1">IFERROR(__xludf.DUMMYFUNCTION("""COMPUTED_VALUE"""),42143.625)</f>
        <v>42143.625</v>
      </c>
      <c r="B95" s="2">
        <f ca="1">IFERROR(__xludf.DUMMYFUNCTION("""COMPUTED_VALUE"""),5550)</f>
        <v>5550</v>
      </c>
      <c r="C95" s="2">
        <f ca="1">IFERROR(__xludf.DUMMYFUNCTION("""COMPUTED_VALUE"""),5612.5)</f>
        <v>5612.5</v>
      </c>
      <c r="D95" s="2">
        <f ca="1">IFERROR(__xludf.DUMMYFUNCTION("""COMPUTED_VALUE"""),5525)</f>
        <v>5525</v>
      </c>
      <c r="E95" s="2">
        <f ca="1">IFERROR(__xludf.DUMMYFUNCTION("""COMPUTED_VALUE"""),5600)</f>
        <v>5600</v>
      </c>
      <c r="F95" s="2">
        <f ca="1">IFERROR(__xludf.DUMMYFUNCTION("""COMPUTED_VALUE"""),16548000)</f>
        <v>16548000</v>
      </c>
    </row>
    <row r="96" spans="1:6">
      <c r="A96" s="1">
        <f ca="1">IFERROR(__xludf.DUMMYFUNCTION("""COMPUTED_VALUE"""),42144.625)</f>
        <v>42144.625</v>
      </c>
      <c r="B96" s="2">
        <f ca="1">IFERROR(__xludf.DUMMYFUNCTION("""COMPUTED_VALUE"""),5650)</f>
        <v>5650</v>
      </c>
      <c r="C96" s="2">
        <f ca="1">IFERROR(__xludf.DUMMYFUNCTION("""COMPUTED_VALUE"""),5675)</f>
        <v>5675</v>
      </c>
      <c r="D96" s="2">
        <f ca="1">IFERROR(__xludf.DUMMYFUNCTION("""COMPUTED_VALUE"""),5587.5)</f>
        <v>5587.5</v>
      </c>
      <c r="E96" s="2">
        <f ca="1">IFERROR(__xludf.DUMMYFUNCTION("""COMPUTED_VALUE"""),5637.5)</f>
        <v>5637.5</v>
      </c>
      <c r="F96" s="2">
        <f ca="1">IFERROR(__xludf.DUMMYFUNCTION("""COMPUTED_VALUE"""),18685800)</f>
        <v>18685800</v>
      </c>
    </row>
    <row r="97" spans="1:6">
      <c r="A97" s="1">
        <f ca="1">IFERROR(__xludf.DUMMYFUNCTION("""COMPUTED_VALUE"""),42145.625)</f>
        <v>42145.625</v>
      </c>
      <c r="B97" s="2">
        <f ca="1">IFERROR(__xludf.DUMMYFUNCTION("""COMPUTED_VALUE"""),5675)</f>
        <v>5675</v>
      </c>
      <c r="C97" s="2">
        <f ca="1">IFERROR(__xludf.DUMMYFUNCTION("""COMPUTED_VALUE"""),5825)</f>
        <v>5825</v>
      </c>
      <c r="D97" s="2">
        <f ca="1">IFERROR(__xludf.DUMMYFUNCTION("""COMPUTED_VALUE"""),5625)</f>
        <v>5625</v>
      </c>
      <c r="E97" s="2">
        <f ca="1">IFERROR(__xludf.DUMMYFUNCTION("""COMPUTED_VALUE"""),5812.5)</f>
        <v>5812.5</v>
      </c>
      <c r="F97" s="2">
        <f ca="1">IFERROR(__xludf.DUMMYFUNCTION("""COMPUTED_VALUE"""),30225400)</f>
        <v>30225400</v>
      </c>
    </row>
    <row r="98" spans="1:6">
      <c r="A98" s="1">
        <f ca="1">IFERROR(__xludf.DUMMYFUNCTION("""COMPUTED_VALUE"""),42146.625)</f>
        <v>42146.625</v>
      </c>
      <c r="B98" s="2">
        <f ca="1">IFERROR(__xludf.DUMMYFUNCTION("""COMPUTED_VALUE"""),5850)</f>
        <v>5850</v>
      </c>
      <c r="C98" s="2">
        <f ca="1">IFERROR(__xludf.DUMMYFUNCTION("""COMPUTED_VALUE"""),5862.5)</f>
        <v>5862.5</v>
      </c>
      <c r="D98" s="2">
        <f ca="1">IFERROR(__xludf.DUMMYFUNCTION("""COMPUTED_VALUE"""),5675)</f>
        <v>5675</v>
      </c>
      <c r="E98" s="2">
        <f ca="1">IFERROR(__xludf.DUMMYFUNCTION("""COMPUTED_VALUE"""),5712.5)</f>
        <v>5712.5</v>
      </c>
      <c r="F98" s="2">
        <f ca="1">IFERROR(__xludf.DUMMYFUNCTION("""COMPUTED_VALUE"""),20788000)</f>
        <v>20788000</v>
      </c>
    </row>
    <row r="99" spans="1:6">
      <c r="A99" s="1">
        <f ca="1">IFERROR(__xludf.DUMMYFUNCTION("""COMPUTED_VALUE"""),42149.625)</f>
        <v>42149.625</v>
      </c>
      <c r="B99" s="2">
        <f ca="1">IFERROR(__xludf.DUMMYFUNCTION("""COMPUTED_VALUE"""),5625)</f>
        <v>5625</v>
      </c>
      <c r="C99" s="2">
        <f ca="1">IFERROR(__xludf.DUMMYFUNCTION("""COMPUTED_VALUE"""),5650)</f>
        <v>5650</v>
      </c>
      <c r="D99" s="2">
        <f ca="1">IFERROR(__xludf.DUMMYFUNCTION("""COMPUTED_VALUE"""),5562.5)</f>
        <v>5562.5</v>
      </c>
      <c r="E99" s="2">
        <f ca="1">IFERROR(__xludf.DUMMYFUNCTION("""COMPUTED_VALUE"""),5575)</f>
        <v>5575</v>
      </c>
      <c r="F99" s="2">
        <f ca="1">IFERROR(__xludf.DUMMYFUNCTION("""COMPUTED_VALUE"""),25005900)</f>
        <v>25005900</v>
      </c>
    </row>
    <row r="100" spans="1:6">
      <c r="A100" s="1">
        <f ca="1">IFERROR(__xludf.DUMMYFUNCTION("""COMPUTED_VALUE"""),42150.625)</f>
        <v>42150.625</v>
      </c>
      <c r="B100" s="2">
        <f ca="1">IFERROR(__xludf.DUMMYFUNCTION("""COMPUTED_VALUE"""),5575)</f>
        <v>5575</v>
      </c>
      <c r="C100" s="2">
        <f ca="1">IFERROR(__xludf.DUMMYFUNCTION("""COMPUTED_VALUE"""),5650)</f>
        <v>5650</v>
      </c>
      <c r="D100" s="2">
        <f ca="1">IFERROR(__xludf.DUMMYFUNCTION("""COMPUTED_VALUE"""),5562.5)</f>
        <v>5562.5</v>
      </c>
      <c r="E100" s="2">
        <f ca="1">IFERROR(__xludf.DUMMYFUNCTION("""COMPUTED_VALUE"""),5562.5)</f>
        <v>5562.5</v>
      </c>
      <c r="F100" s="2">
        <f ca="1">IFERROR(__xludf.DUMMYFUNCTION("""COMPUTED_VALUE"""),22111500)</f>
        <v>22111500</v>
      </c>
    </row>
    <row r="101" spans="1:6">
      <c r="A101" s="1">
        <f ca="1">IFERROR(__xludf.DUMMYFUNCTION("""COMPUTED_VALUE"""),42151.625)</f>
        <v>42151.625</v>
      </c>
      <c r="B101" s="2">
        <f ca="1">IFERROR(__xludf.DUMMYFUNCTION("""COMPUTED_VALUE"""),5500)</f>
        <v>5500</v>
      </c>
      <c r="C101" s="2">
        <f ca="1">IFERROR(__xludf.DUMMYFUNCTION("""COMPUTED_VALUE"""),5600)</f>
        <v>5600</v>
      </c>
      <c r="D101" s="2">
        <f ca="1">IFERROR(__xludf.DUMMYFUNCTION("""COMPUTED_VALUE"""),5500)</f>
        <v>5500</v>
      </c>
      <c r="E101" s="2">
        <f ca="1">IFERROR(__xludf.DUMMYFUNCTION("""COMPUTED_VALUE"""),5500)</f>
        <v>5500</v>
      </c>
      <c r="F101" s="2">
        <f ca="1">IFERROR(__xludf.DUMMYFUNCTION("""COMPUTED_VALUE"""),24655500)</f>
        <v>24655500</v>
      </c>
    </row>
    <row r="102" spans="1:6">
      <c r="A102" s="1">
        <f ca="1">IFERROR(__xludf.DUMMYFUNCTION("""COMPUTED_VALUE"""),42152.625)</f>
        <v>42152.625</v>
      </c>
      <c r="B102" s="2">
        <f ca="1">IFERROR(__xludf.DUMMYFUNCTION("""COMPUTED_VALUE"""),5512.5)</f>
        <v>5512.5</v>
      </c>
      <c r="C102" s="2">
        <f ca="1">IFERROR(__xludf.DUMMYFUNCTION("""COMPUTED_VALUE"""),5550)</f>
        <v>5550</v>
      </c>
      <c r="D102" s="2">
        <f ca="1">IFERROR(__xludf.DUMMYFUNCTION("""COMPUTED_VALUE"""),5375)</f>
        <v>5375</v>
      </c>
      <c r="E102" s="2">
        <f ca="1">IFERROR(__xludf.DUMMYFUNCTION("""COMPUTED_VALUE"""),5400)</f>
        <v>5400</v>
      </c>
      <c r="F102" s="2">
        <f ca="1">IFERROR(__xludf.DUMMYFUNCTION("""COMPUTED_VALUE"""),40137900)</f>
        <v>40137900</v>
      </c>
    </row>
    <row r="103" spans="1:6">
      <c r="A103" s="1">
        <f ca="1">IFERROR(__xludf.DUMMYFUNCTION("""COMPUTED_VALUE"""),42153.625)</f>
        <v>42153.625</v>
      </c>
      <c r="B103" s="2">
        <f ca="1">IFERROR(__xludf.DUMMYFUNCTION("""COMPUTED_VALUE"""),5375)</f>
        <v>5375</v>
      </c>
      <c r="C103" s="2">
        <f ca="1">IFERROR(__xludf.DUMMYFUNCTION("""COMPUTED_VALUE"""),5412.5)</f>
        <v>5412.5</v>
      </c>
      <c r="D103" s="2">
        <f ca="1">IFERROR(__xludf.DUMMYFUNCTION("""COMPUTED_VALUE"""),5362.5)</f>
        <v>5362.5</v>
      </c>
      <c r="E103" s="2">
        <f ca="1">IFERROR(__xludf.DUMMYFUNCTION("""COMPUTED_VALUE"""),5387.5)</f>
        <v>5387.5</v>
      </c>
      <c r="F103" s="2">
        <f ca="1">IFERROR(__xludf.DUMMYFUNCTION("""COMPUTED_VALUE"""),39602900)</f>
        <v>39602900</v>
      </c>
    </row>
    <row r="104" spans="1:6">
      <c r="A104" s="1">
        <f ca="1">IFERROR(__xludf.DUMMYFUNCTION("""COMPUTED_VALUE"""),42156.625)</f>
        <v>42156.625</v>
      </c>
      <c r="B104" s="2">
        <f ca="1">IFERROR(__xludf.DUMMYFUNCTION("""COMPUTED_VALUE"""),5400)</f>
        <v>5400</v>
      </c>
      <c r="C104" s="2">
        <f ca="1">IFERROR(__xludf.DUMMYFUNCTION("""COMPUTED_VALUE"""),5412.5)</f>
        <v>5412.5</v>
      </c>
      <c r="D104" s="2">
        <f ca="1">IFERROR(__xludf.DUMMYFUNCTION("""COMPUTED_VALUE"""),5300)</f>
        <v>5300</v>
      </c>
      <c r="E104" s="2">
        <f ca="1">IFERROR(__xludf.DUMMYFUNCTION("""COMPUTED_VALUE"""),5350)</f>
        <v>5350</v>
      </c>
      <c r="F104" s="2">
        <f ca="1">IFERROR(__xludf.DUMMYFUNCTION("""COMPUTED_VALUE"""),29061300)</f>
        <v>29061300</v>
      </c>
    </row>
    <row r="105" spans="1:6">
      <c r="A105" s="1">
        <f ca="1">IFERROR(__xludf.DUMMYFUNCTION("""COMPUTED_VALUE"""),42158.625)</f>
        <v>42158.625</v>
      </c>
      <c r="B105" s="2">
        <f ca="1">IFERROR(__xludf.DUMMYFUNCTION("""COMPUTED_VALUE"""),5312.5)</f>
        <v>5312.5</v>
      </c>
      <c r="C105" s="2">
        <f ca="1">IFERROR(__xludf.DUMMYFUNCTION("""COMPUTED_VALUE"""),5350)</f>
        <v>5350</v>
      </c>
      <c r="D105" s="2">
        <f ca="1">IFERROR(__xludf.DUMMYFUNCTION("""COMPUTED_VALUE"""),5225)</f>
        <v>5225</v>
      </c>
      <c r="E105" s="2">
        <f ca="1">IFERROR(__xludf.DUMMYFUNCTION("""COMPUTED_VALUE"""),5275)</f>
        <v>5275</v>
      </c>
      <c r="F105" s="2">
        <f ca="1">IFERROR(__xludf.DUMMYFUNCTION("""COMPUTED_VALUE"""),36482100)</f>
        <v>36482100</v>
      </c>
    </row>
    <row r="106" spans="1:6">
      <c r="A106" s="1">
        <f ca="1">IFERROR(__xludf.DUMMYFUNCTION("""COMPUTED_VALUE"""),42159.625)</f>
        <v>42159.625</v>
      </c>
      <c r="B106" s="2">
        <f ca="1">IFERROR(__xludf.DUMMYFUNCTION("""COMPUTED_VALUE"""),5262.5)</f>
        <v>5262.5</v>
      </c>
      <c r="C106" s="2">
        <f ca="1">IFERROR(__xludf.DUMMYFUNCTION("""COMPUTED_VALUE"""),5300)</f>
        <v>5300</v>
      </c>
      <c r="D106" s="2">
        <f ca="1">IFERROR(__xludf.DUMMYFUNCTION("""COMPUTED_VALUE"""),5200)</f>
        <v>5200</v>
      </c>
      <c r="E106" s="2">
        <f ca="1">IFERROR(__xludf.DUMMYFUNCTION("""COMPUTED_VALUE"""),5262.5)</f>
        <v>5262.5</v>
      </c>
      <c r="F106" s="2">
        <f ca="1">IFERROR(__xludf.DUMMYFUNCTION("""COMPUTED_VALUE"""),25047600)</f>
        <v>25047600</v>
      </c>
    </row>
    <row r="107" spans="1:6">
      <c r="A107" s="1">
        <f ca="1">IFERROR(__xludf.DUMMYFUNCTION("""COMPUTED_VALUE"""),42160.625)</f>
        <v>42160.625</v>
      </c>
      <c r="B107" s="2">
        <f ca="1">IFERROR(__xludf.DUMMYFUNCTION("""COMPUTED_VALUE"""),5262.5)</f>
        <v>5262.5</v>
      </c>
      <c r="C107" s="2">
        <f ca="1">IFERROR(__xludf.DUMMYFUNCTION("""COMPUTED_VALUE"""),5337.5)</f>
        <v>5337.5</v>
      </c>
      <c r="D107" s="2">
        <f ca="1">IFERROR(__xludf.DUMMYFUNCTION("""COMPUTED_VALUE"""),5225)</f>
        <v>5225</v>
      </c>
      <c r="E107" s="2">
        <f ca="1">IFERROR(__xludf.DUMMYFUNCTION("""COMPUTED_VALUE"""),5337.5)</f>
        <v>5337.5</v>
      </c>
      <c r="F107" s="2">
        <f ca="1">IFERROR(__xludf.DUMMYFUNCTION("""COMPUTED_VALUE"""),16982700)</f>
        <v>16982700</v>
      </c>
    </row>
    <row r="108" spans="1:6">
      <c r="A108" s="1">
        <f ca="1">IFERROR(__xludf.DUMMYFUNCTION("""COMPUTED_VALUE"""),42163.625)</f>
        <v>42163.625</v>
      </c>
      <c r="B108" s="2">
        <f ca="1">IFERROR(__xludf.DUMMYFUNCTION("""COMPUTED_VALUE"""),5287.5)</f>
        <v>5287.5</v>
      </c>
      <c r="C108" s="2">
        <f ca="1">IFERROR(__xludf.DUMMYFUNCTION("""COMPUTED_VALUE"""),5312.5)</f>
        <v>5312.5</v>
      </c>
      <c r="D108" s="2">
        <f ca="1">IFERROR(__xludf.DUMMYFUNCTION("""COMPUTED_VALUE"""),5125)</f>
        <v>5125</v>
      </c>
      <c r="E108" s="2">
        <f ca="1">IFERROR(__xludf.DUMMYFUNCTION("""COMPUTED_VALUE"""),5150)</f>
        <v>5150</v>
      </c>
      <c r="F108" s="2">
        <f ca="1">IFERROR(__xludf.DUMMYFUNCTION("""COMPUTED_VALUE"""),24479500)</f>
        <v>24479500</v>
      </c>
    </row>
    <row r="109" spans="1:6">
      <c r="A109" s="1">
        <f ca="1">IFERROR(__xludf.DUMMYFUNCTION("""COMPUTED_VALUE"""),42164.625)</f>
        <v>42164.625</v>
      </c>
      <c r="B109" s="2">
        <f ca="1">IFERROR(__xludf.DUMMYFUNCTION("""COMPUTED_VALUE"""),5050)</f>
        <v>5050</v>
      </c>
      <c r="C109" s="2">
        <f ca="1">IFERROR(__xludf.DUMMYFUNCTION("""COMPUTED_VALUE"""),5050)</f>
        <v>5050</v>
      </c>
      <c r="D109" s="2">
        <f ca="1">IFERROR(__xludf.DUMMYFUNCTION("""COMPUTED_VALUE"""),4850)</f>
        <v>4850</v>
      </c>
      <c r="E109" s="2">
        <f ca="1">IFERROR(__xludf.DUMMYFUNCTION("""COMPUTED_VALUE"""),4975)</f>
        <v>4975</v>
      </c>
      <c r="F109" s="2">
        <f ca="1">IFERROR(__xludf.DUMMYFUNCTION("""COMPUTED_VALUE"""),49101300)</f>
        <v>49101300</v>
      </c>
    </row>
    <row r="110" spans="1:6">
      <c r="A110" s="1">
        <f ca="1">IFERROR(__xludf.DUMMYFUNCTION("""COMPUTED_VALUE"""),42165.625)</f>
        <v>42165.625</v>
      </c>
      <c r="B110" s="2">
        <f ca="1">IFERROR(__xludf.DUMMYFUNCTION("""COMPUTED_VALUE"""),4975)</f>
        <v>4975</v>
      </c>
      <c r="C110" s="2">
        <f ca="1">IFERROR(__xludf.DUMMYFUNCTION("""COMPUTED_VALUE"""),5037.5)</f>
        <v>5037.5</v>
      </c>
      <c r="D110" s="2">
        <f ca="1">IFERROR(__xludf.DUMMYFUNCTION("""COMPUTED_VALUE"""),4862.5)</f>
        <v>4862.5</v>
      </c>
      <c r="E110" s="2">
        <f ca="1">IFERROR(__xludf.DUMMYFUNCTION("""COMPUTED_VALUE"""),4937.5)</f>
        <v>4937.5</v>
      </c>
      <c r="F110" s="2">
        <f ca="1">IFERROR(__xludf.DUMMYFUNCTION("""COMPUTED_VALUE"""),27653900)</f>
        <v>27653900</v>
      </c>
    </row>
    <row r="111" spans="1:6">
      <c r="A111" s="1">
        <f ca="1">IFERROR(__xludf.DUMMYFUNCTION("""COMPUTED_VALUE"""),42166.625)</f>
        <v>42166.625</v>
      </c>
      <c r="B111" s="2">
        <f ca="1">IFERROR(__xludf.DUMMYFUNCTION("""COMPUTED_VALUE"""),4975)</f>
        <v>4975</v>
      </c>
      <c r="C111" s="2">
        <f ca="1">IFERROR(__xludf.DUMMYFUNCTION("""COMPUTED_VALUE"""),5000)</f>
        <v>5000</v>
      </c>
      <c r="D111" s="2">
        <f ca="1">IFERROR(__xludf.DUMMYFUNCTION("""COMPUTED_VALUE"""),4812.5)</f>
        <v>4812.5</v>
      </c>
      <c r="E111" s="2">
        <f ca="1">IFERROR(__xludf.DUMMYFUNCTION("""COMPUTED_VALUE"""),4837.5)</f>
        <v>4837.5</v>
      </c>
      <c r="F111" s="2">
        <f ca="1">IFERROR(__xludf.DUMMYFUNCTION("""COMPUTED_VALUE"""),26514300)</f>
        <v>26514300</v>
      </c>
    </row>
    <row r="112" spans="1:6">
      <c r="A112" s="1">
        <f ca="1">IFERROR(__xludf.DUMMYFUNCTION("""COMPUTED_VALUE"""),42167.625)</f>
        <v>42167.625</v>
      </c>
      <c r="B112" s="2">
        <f ca="1">IFERROR(__xludf.DUMMYFUNCTION("""COMPUTED_VALUE"""),4850)</f>
        <v>4850</v>
      </c>
      <c r="C112" s="2">
        <f ca="1">IFERROR(__xludf.DUMMYFUNCTION("""COMPUTED_VALUE"""),4987.5)</f>
        <v>4987.5</v>
      </c>
      <c r="D112" s="2">
        <f ca="1">IFERROR(__xludf.DUMMYFUNCTION("""COMPUTED_VALUE"""),4837.5)</f>
        <v>4837.5</v>
      </c>
      <c r="E112" s="2">
        <f ca="1">IFERROR(__xludf.DUMMYFUNCTION("""COMPUTED_VALUE"""),4950)</f>
        <v>4950</v>
      </c>
      <c r="F112" s="2">
        <f ca="1">IFERROR(__xludf.DUMMYFUNCTION("""COMPUTED_VALUE"""),27046000)</f>
        <v>27046000</v>
      </c>
    </row>
    <row r="113" spans="1:6">
      <c r="A113" s="1">
        <f ca="1">IFERROR(__xludf.DUMMYFUNCTION("""COMPUTED_VALUE"""),42170.625)</f>
        <v>42170.625</v>
      </c>
      <c r="B113" s="2">
        <f ca="1">IFERROR(__xludf.DUMMYFUNCTION("""COMPUTED_VALUE"""),4900)</f>
        <v>4900</v>
      </c>
      <c r="C113" s="2">
        <f ca="1">IFERROR(__xludf.DUMMYFUNCTION("""COMPUTED_VALUE"""),4925)</f>
        <v>4925</v>
      </c>
      <c r="D113" s="2">
        <f ca="1">IFERROR(__xludf.DUMMYFUNCTION("""COMPUTED_VALUE"""),4712.5)</f>
        <v>4712.5</v>
      </c>
      <c r="E113" s="2">
        <f ca="1">IFERROR(__xludf.DUMMYFUNCTION("""COMPUTED_VALUE"""),4712.5)</f>
        <v>4712.5</v>
      </c>
      <c r="F113" s="2">
        <f ca="1">IFERROR(__xludf.DUMMYFUNCTION("""COMPUTED_VALUE"""),23005000)</f>
        <v>23005000</v>
      </c>
    </row>
    <row r="114" spans="1:6">
      <c r="A114" s="1">
        <f ca="1">IFERROR(__xludf.DUMMYFUNCTION("""COMPUTED_VALUE"""),42171.625)</f>
        <v>42171.625</v>
      </c>
      <c r="B114" s="2">
        <f ca="1">IFERROR(__xludf.DUMMYFUNCTION("""COMPUTED_VALUE"""),4750)</f>
        <v>4750</v>
      </c>
      <c r="C114" s="2">
        <f ca="1">IFERROR(__xludf.DUMMYFUNCTION("""COMPUTED_VALUE"""),4837.5)</f>
        <v>4837.5</v>
      </c>
      <c r="D114" s="2">
        <f ca="1">IFERROR(__xludf.DUMMYFUNCTION("""COMPUTED_VALUE"""),4675)</f>
        <v>4675</v>
      </c>
      <c r="E114" s="2">
        <f ca="1">IFERROR(__xludf.DUMMYFUNCTION("""COMPUTED_VALUE"""),4775)</f>
        <v>4775</v>
      </c>
      <c r="F114" s="2">
        <f ca="1">IFERROR(__xludf.DUMMYFUNCTION("""COMPUTED_VALUE"""),23350700)</f>
        <v>23350700</v>
      </c>
    </row>
    <row r="115" spans="1:6">
      <c r="A115" s="1">
        <f ca="1">IFERROR(__xludf.DUMMYFUNCTION("""COMPUTED_VALUE"""),42172.625)</f>
        <v>42172.625</v>
      </c>
      <c r="B115" s="2">
        <f ca="1">IFERROR(__xludf.DUMMYFUNCTION("""COMPUTED_VALUE"""),4825)</f>
        <v>4825</v>
      </c>
      <c r="C115" s="2">
        <f ca="1">IFERROR(__xludf.DUMMYFUNCTION("""COMPUTED_VALUE"""),4975)</f>
        <v>4975</v>
      </c>
      <c r="D115" s="2">
        <f ca="1">IFERROR(__xludf.DUMMYFUNCTION("""COMPUTED_VALUE"""),4825)</f>
        <v>4825</v>
      </c>
      <c r="E115" s="2">
        <f ca="1">IFERROR(__xludf.DUMMYFUNCTION("""COMPUTED_VALUE"""),4912.5)</f>
        <v>4912.5</v>
      </c>
      <c r="F115" s="2">
        <f ca="1">IFERROR(__xludf.DUMMYFUNCTION("""COMPUTED_VALUE"""),42677200)</f>
        <v>42677200</v>
      </c>
    </row>
    <row r="116" spans="1:6">
      <c r="A116" s="1">
        <f ca="1">IFERROR(__xludf.DUMMYFUNCTION("""COMPUTED_VALUE"""),42173.625)</f>
        <v>42173.625</v>
      </c>
      <c r="B116" s="2">
        <f ca="1">IFERROR(__xludf.DUMMYFUNCTION("""COMPUTED_VALUE"""),4950)</f>
        <v>4950</v>
      </c>
      <c r="C116" s="2">
        <f ca="1">IFERROR(__xludf.DUMMYFUNCTION("""COMPUTED_VALUE"""),4987.5)</f>
        <v>4987.5</v>
      </c>
      <c r="D116" s="2">
        <f ca="1">IFERROR(__xludf.DUMMYFUNCTION("""COMPUTED_VALUE"""),4825)</f>
        <v>4825</v>
      </c>
      <c r="E116" s="2">
        <f ca="1">IFERROR(__xludf.DUMMYFUNCTION("""COMPUTED_VALUE"""),4837.5)</f>
        <v>4837.5</v>
      </c>
      <c r="F116" s="2">
        <f ca="1">IFERROR(__xludf.DUMMYFUNCTION("""COMPUTED_VALUE"""),29047300)</f>
        <v>29047300</v>
      </c>
    </row>
    <row r="117" spans="1:6">
      <c r="A117" s="1">
        <f ca="1">IFERROR(__xludf.DUMMYFUNCTION("""COMPUTED_VALUE"""),42174.625)</f>
        <v>42174.625</v>
      </c>
      <c r="B117" s="2">
        <f ca="1">IFERROR(__xludf.DUMMYFUNCTION("""COMPUTED_VALUE"""),4950)</f>
        <v>4950</v>
      </c>
      <c r="C117" s="2">
        <f ca="1">IFERROR(__xludf.DUMMYFUNCTION("""COMPUTED_VALUE"""),5025)</f>
        <v>5025</v>
      </c>
      <c r="D117" s="2">
        <f ca="1">IFERROR(__xludf.DUMMYFUNCTION("""COMPUTED_VALUE"""),4925)</f>
        <v>4925</v>
      </c>
      <c r="E117" s="2">
        <f ca="1">IFERROR(__xludf.DUMMYFUNCTION("""COMPUTED_VALUE"""),5000)</f>
        <v>5000</v>
      </c>
      <c r="F117" s="2">
        <f ca="1">IFERROR(__xludf.DUMMYFUNCTION("""COMPUTED_VALUE"""),34865100)</f>
        <v>34865100</v>
      </c>
    </row>
    <row r="118" spans="1:6">
      <c r="A118" s="1">
        <f ca="1">IFERROR(__xludf.DUMMYFUNCTION("""COMPUTED_VALUE"""),42177.625)</f>
        <v>42177.625</v>
      </c>
      <c r="B118" s="2">
        <f ca="1">IFERROR(__xludf.DUMMYFUNCTION("""COMPUTED_VALUE"""),5037.5)</f>
        <v>5037.5</v>
      </c>
      <c r="C118" s="2">
        <f ca="1">IFERROR(__xludf.DUMMYFUNCTION("""COMPUTED_VALUE"""),5050)</f>
        <v>5050</v>
      </c>
      <c r="D118" s="2">
        <f ca="1">IFERROR(__xludf.DUMMYFUNCTION("""COMPUTED_VALUE"""),4962.5)</f>
        <v>4962.5</v>
      </c>
      <c r="E118" s="2">
        <f ca="1">IFERROR(__xludf.DUMMYFUNCTION("""COMPUTED_VALUE"""),4987.5)</f>
        <v>4987.5</v>
      </c>
      <c r="F118" s="2">
        <f ca="1">IFERROR(__xludf.DUMMYFUNCTION("""COMPUTED_VALUE"""),12853000)</f>
        <v>12853000</v>
      </c>
    </row>
    <row r="119" spans="1:6">
      <c r="A119" s="1">
        <f ca="1">IFERROR(__xludf.DUMMYFUNCTION("""COMPUTED_VALUE"""),42178.625)</f>
        <v>42178.625</v>
      </c>
      <c r="B119" s="2">
        <f ca="1">IFERROR(__xludf.DUMMYFUNCTION("""COMPUTED_VALUE"""),5000)</f>
        <v>5000</v>
      </c>
      <c r="C119" s="2">
        <f ca="1">IFERROR(__xludf.DUMMYFUNCTION("""COMPUTED_VALUE"""),5037.5)</f>
        <v>5037.5</v>
      </c>
      <c r="D119" s="2">
        <f ca="1">IFERROR(__xludf.DUMMYFUNCTION("""COMPUTED_VALUE"""),4937.5)</f>
        <v>4937.5</v>
      </c>
      <c r="E119" s="2">
        <f ca="1">IFERROR(__xludf.DUMMYFUNCTION("""COMPUTED_VALUE"""),5025)</f>
        <v>5025</v>
      </c>
      <c r="F119" s="2">
        <f ca="1">IFERROR(__xludf.DUMMYFUNCTION("""COMPUTED_VALUE"""),28834500)</f>
        <v>28834500</v>
      </c>
    </row>
    <row r="120" spans="1:6">
      <c r="A120" s="1">
        <f ca="1">IFERROR(__xludf.DUMMYFUNCTION("""COMPUTED_VALUE"""),42179.625)</f>
        <v>42179.625</v>
      </c>
      <c r="B120" s="2">
        <f ca="1">IFERROR(__xludf.DUMMYFUNCTION("""COMPUTED_VALUE"""),5050)</f>
        <v>5050</v>
      </c>
      <c r="C120" s="2">
        <f ca="1">IFERROR(__xludf.DUMMYFUNCTION("""COMPUTED_VALUE"""),5125)</f>
        <v>5125</v>
      </c>
      <c r="D120" s="2">
        <f ca="1">IFERROR(__xludf.DUMMYFUNCTION("""COMPUTED_VALUE"""),4912.5)</f>
        <v>4912.5</v>
      </c>
      <c r="E120" s="2">
        <f ca="1">IFERROR(__xludf.DUMMYFUNCTION("""COMPUTED_VALUE"""),4950)</f>
        <v>4950</v>
      </c>
      <c r="F120" s="2">
        <f ca="1">IFERROR(__xludf.DUMMYFUNCTION("""COMPUTED_VALUE"""),34200000)</f>
        <v>34200000</v>
      </c>
    </row>
    <row r="121" spans="1:6">
      <c r="A121" s="1">
        <f ca="1">IFERROR(__xludf.DUMMYFUNCTION("""COMPUTED_VALUE"""),42180.625)</f>
        <v>42180.625</v>
      </c>
      <c r="B121" s="2">
        <f ca="1">IFERROR(__xludf.DUMMYFUNCTION("""COMPUTED_VALUE"""),4975)</f>
        <v>4975</v>
      </c>
      <c r="C121" s="2">
        <f ca="1">IFERROR(__xludf.DUMMYFUNCTION("""COMPUTED_VALUE"""),5087.5)</f>
        <v>5087.5</v>
      </c>
      <c r="D121" s="2">
        <f ca="1">IFERROR(__xludf.DUMMYFUNCTION("""COMPUTED_VALUE"""),4937.5)</f>
        <v>4937.5</v>
      </c>
      <c r="E121" s="2">
        <f ca="1">IFERROR(__xludf.DUMMYFUNCTION("""COMPUTED_VALUE"""),5000)</f>
        <v>5000</v>
      </c>
      <c r="F121" s="2">
        <f ca="1">IFERROR(__xludf.DUMMYFUNCTION("""COMPUTED_VALUE"""),31826600)</f>
        <v>31826600</v>
      </c>
    </row>
    <row r="122" spans="1:6">
      <c r="A122" s="1">
        <f ca="1">IFERROR(__xludf.DUMMYFUNCTION("""COMPUTED_VALUE"""),42181.625)</f>
        <v>42181.625</v>
      </c>
      <c r="B122" s="2">
        <f ca="1">IFERROR(__xludf.DUMMYFUNCTION("""COMPUTED_VALUE"""),5037.5)</f>
        <v>5037.5</v>
      </c>
      <c r="C122" s="2">
        <f ca="1">IFERROR(__xludf.DUMMYFUNCTION("""COMPUTED_VALUE"""),5075)</f>
        <v>5075</v>
      </c>
      <c r="D122" s="2">
        <f ca="1">IFERROR(__xludf.DUMMYFUNCTION("""COMPUTED_VALUE"""),4962.5)</f>
        <v>4962.5</v>
      </c>
      <c r="E122" s="2">
        <f ca="1">IFERROR(__xludf.DUMMYFUNCTION("""COMPUTED_VALUE"""),5050)</f>
        <v>5050</v>
      </c>
      <c r="F122" s="2">
        <f ca="1">IFERROR(__xludf.DUMMYFUNCTION("""COMPUTED_VALUE"""),10747000)</f>
        <v>10747000</v>
      </c>
    </row>
    <row r="123" spans="1:6">
      <c r="A123" s="1">
        <f ca="1">IFERROR(__xludf.DUMMYFUNCTION("""COMPUTED_VALUE"""),42184.625)</f>
        <v>42184.625</v>
      </c>
      <c r="B123" s="2">
        <f ca="1">IFERROR(__xludf.DUMMYFUNCTION("""COMPUTED_VALUE"""),4975)</f>
        <v>4975</v>
      </c>
      <c r="C123" s="2">
        <f ca="1">IFERROR(__xludf.DUMMYFUNCTION("""COMPUTED_VALUE"""),5025)</f>
        <v>5025</v>
      </c>
      <c r="D123" s="2">
        <f ca="1">IFERROR(__xludf.DUMMYFUNCTION("""COMPUTED_VALUE"""),4950)</f>
        <v>4950</v>
      </c>
      <c r="E123" s="2">
        <f ca="1">IFERROR(__xludf.DUMMYFUNCTION("""COMPUTED_VALUE"""),5012.5)</f>
        <v>5012.5</v>
      </c>
      <c r="F123" s="2">
        <f ca="1">IFERROR(__xludf.DUMMYFUNCTION("""COMPUTED_VALUE"""),12918400)</f>
        <v>12918400</v>
      </c>
    </row>
    <row r="124" spans="1:6">
      <c r="A124" s="1">
        <f ca="1">IFERROR(__xludf.DUMMYFUNCTION("""COMPUTED_VALUE"""),42185.625)</f>
        <v>42185.625</v>
      </c>
      <c r="B124" s="2">
        <f ca="1">IFERROR(__xludf.DUMMYFUNCTION("""COMPUTED_VALUE"""),5062.5)</f>
        <v>5062.5</v>
      </c>
      <c r="C124" s="2">
        <f ca="1">IFERROR(__xludf.DUMMYFUNCTION("""COMPUTED_VALUE"""),5087.5)</f>
        <v>5087.5</v>
      </c>
      <c r="D124" s="2">
        <f ca="1">IFERROR(__xludf.DUMMYFUNCTION("""COMPUTED_VALUE"""),4975)</f>
        <v>4975</v>
      </c>
      <c r="E124" s="2">
        <f ca="1">IFERROR(__xludf.DUMMYFUNCTION("""COMPUTED_VALUE"""),5025)</f>
        <v>5025</v>
      </c>
      <c r="F124" s="2">
        <f ca="1">IFERROR(__xludf.DUMMYFUNCTION("""COMPUTED_VALUE"""),16594400)</f>
        <v>16594400</v>
      </c>
    </row>
    <row r="125" spans="1:6">
      <c r="A125" s="1">
        <f ca="1">IFERROR(__xludf.DUMMYFUNCTION("""COMPUTED_VALUE"""),42186.625)</f>
        <v>42186.625</v>
      </c>
      <c r="B125" s="2">
        <f ca="1">IFERROR(__xludf.DUMMYFUNCTION("""COMPUTED_VALUE"""),5062.5)</f>
        <v>5062.5</v>
      </c>
      <c r="C125" s="2">
        <f ca="1">IFERROR(__xludf.DUMMYFUNCTION("""COMPUTED_VALUE"""),5062.5)</f>
        <v>5062.5</v>
      </c>
      <c r="D125" s="2">
        <f ca="1">IFERROR(__xludf.DUMMYFUNCTION("""COMPUTED_VALUE"""),4987.5)</f>
        <v>4987.5</v>
      </c>
      <c r="E125" s="2">
        <f ca="1">IFERROR(__xludf.DUMMYFUNCTION("""COMPUTED_VALUE"""),5000)</f>
        <v>5000</v>
      </c>
      <c r="F125" s="2">
        <f ca="1">IFERROR(__xludf.DUMMYFUNCTION("""COMPUTED_VALUE"""),17084700)</f>
        <v>17084700</v>
      </c>
    </row>
    <row r="126" spans="1:6">
      <c r="A126" s="1">
        <f ca="1">IFERROR(__xludf.DUMMYFUNCTION("""COMPUTED_VALUE"""),42187.625)</f>
        <v>42187.625</v>
      </c>
      <c r="B126" s="2">
        <f ca="1">IFERROR(__xludf.DUMMYFUNCTION("""COMPUTED_VALUE"""),4950)</f>
        <v>4950</v>
      </c>
      <c r="C126" s="2">
        <f ca="1">IFERROR(__xludf.DUMMYFUNCTION("""COMPUTED_VALUE"""),5075)</f>
        <v>5075</v>
      </c>
      <c r="D126" s="2">
        <f ca="1">IFERROR(__xludf.DUMMYFUNCTION("""COMPUTED_VALUE"""),4950)</f>
        <v>4950</v>
      </c>
      <c r="E126" s="2">
        <f ca="1">IFERROR(__xludf.DUMMYFUNCTION("""COMPUTED_VALUE"""),5037.5)</f>
        <v>5037.5</v>
      </c>
      <c r="F126" s="2">
        <f ca="1">IFERROR(__xludf.DUMMYFUNCTION("""COMPUTED_VALUE"""),22047400)</f>
        <v>22047400</v>
      </c>
    </row>
    <row r="127" spans="1:6">
      <c r="A127" s="1">
        <f ca="1">IFERROR(__xludf.DUMMYFUNCTION("""COMPUTED_VALUE"""),42188.625)</f>
        <v>42188.625</v>
      </c>
      <c r="B127" s="2">
        <f ca="1">IFERROR(__xludf.DUMMYFUNCTION("""COMPUTED_VALUE"""),5062.5)</f>
        <v>5062.5</v>
      </c>
      <c r="C127" s="2">
        <f ca="1">IFERROR(__xludf.DUMMYFUNCTION("""COMPUTED_VALUE"""),5100)</f>
        <v>5100</v>
      </c>
      <c r="D127" s="2">
        <f ca="1">IFERROR(__xludf.DUMMYFUNCTION("""COMPUTED_VALUE"""),5000)</f>
        <v>5000</v>
      </c>
      <c r="E127" s="2">
        <f ca="1">IFERROR(__xludf.DUMMYFUNCTION("""COMPUTED_VALUE"""),5087.5)</f>
        <v>5087.5</v>
      </c>
      <c r="F127" s="2">
        <f ca="1">IFERROR(__xludf.DUMMYFUNCTION("""COMPUTED_VALUE"""),11078000)</f>
        <v>11078000</v>
      </c>
    </row>
    <row r="128" spans="1:6">
      <c r="A128" s="1">
        <f ca="1">IFERROR(__xludf.DUMMYFUNCTION("""COMPUTED_VALUE"""),42191.625)</f>
        <v>42191.625</v>
      </c>
      <c r="B128" s="2">
        <f ca="1">IFERROR(__xludf.DUMMYFUNCTION("""COMPUTED_VALUE"""),5012.5)</f>
        <v>5012.5</v>
      </c>
      <c r="C128" s="2">
        <f ca="1">IFERROR(__xludf.DUMMYFUNCTION("""COMPUTED_VALUE"""),5050)</f>
        <v>5050</v>
      </c>
      <c r="D128" s="2">
        <f ca="1">IFERROR(__xludf.DUMMYFUNCTION("""COMPUTED_VALUE"""),4950)</f>
        <v>4950</v>
      </c>
      <c r="E128" s="2">
        <f ca="1">IFERROR(__xludf.DUMMYFUNCTION("""COMPUTED_VALUE"""),4962.5)</f>
        <v>4962.5</v>
      </c>
      <c r="F128" s="2">
        <f ca="1">IFERROR(__xludf.DUMMYFUNCTION("""COMPUTED_VALUE"""),10240600)</f>
        <v>10240600</v>
      </c>
    </row>
    <row r="129" spans="1:6">
      <c r="A129" s="1">
        <f ca="1">IFERROR(__xludf.DUMMYFUNCTION("""COMPUTED_VALUE"""),42192.625)</f>
        <v>42192.625</v>
      </c>
      <c r="B129" s="2">
        <f ca="1">IFERROR(__xludf.DUMMYFUNCTION("""COMPUTED_VALUE"""),5025)</f>
        <v>5025</v>
      </c>
      <c r="C129" s="2">
        <f ca="1">IFERROR(__xludf.DUMMYFUNCTION("""COMPUTED_VALUE"""),5075)</f>
        <v>5075</v>
      </c>
      <c r="D129" s="2">
        <f ca="1">IFERROR(__xludf.DUMMYFUNCTION("""COMPUTED_VALUE"""),5000)</f>
        <v>5000</v>
      </c>
      <c r="E129" s="2">
        <f ca="1">IFERROR(__xludf.DUMMYFUNCTION("""COMPUTED_VALUE"""),5075)</f>
        <v>5075</v>
      </c>
      <c r="F129" s="2">
        <f ca="1">IFERROR(__xludf.DUMMYFUNCTION("""COMPUTED_VALUE"""),19211200)</f>
        <v>19211200</v>
      </c>
    </row>
    <row r="130" spans="1:6">
      <c r="A130" s="1">
        <f ca="1">IFERROR(__xludf.DUMMYFUNCTION("""COMPUTED_VALUE"""),42193.625)</f>
        <v>42193.625</v>
      </c>
      <c r="B130" s="2">
        <f ca="1">IFERROR(__xludf.DUMMYFUNCTION("""COMPUTED_VALUE"""),5000)</f>
        <v>5000</v>
      </c>
      <c r="C130" s="2">
        <f ca="1">IFERROR(__xludf.DUMMYFUNCTION("""COMPUTED_VALUE"""),5025)</f>
        <v>5025</v>
      </c>
      <c r="D130" s="2">
        <f ca="1">IFERROR(__xludf.DUMMYFUNCTION("""COMPUTED_VALUE"""),4950)</f>
        <v>4950</v>
      </c>
      <c r="E130" s="2">
        <f ca="1">IFERROR(__xludf.DUMMYFUNCTION("""COMPUTED_VALUE"""),4975)</f>
        <v>4975</v>
      </c>
      <c r="F130" s="2">
        <f ca="1">IFERROR(__xludf.DUMMYFUNCTION("""COMPUTED_VALUE"""),17023000)</f>
        <v>17023000</v>
      </c>
    </row>
    <row r="131" spans="1:6">
      <c r="A131" s="1">
        <f ca="1">IFERROR(__xludf.DUMMYFUNCTION("""COMPUTED_VALUE"""),42194.625)</f>
        <v>42194.625</v>
      </c>
      <c r="B131" s="2">
        <f ca="1">IFERROR(__xludf.DUMMYFUNCTION("""COMPUTED_VALUE"""),4950)</f>
        <v>4950</v>
      </c>
      <c r="C131" s="2">
        <f ca="1">IFERROR(__xludf.DUMMYFUNCTION("""COMPUTED_VALUE"""),5000)</f>
        <v>5000</v>
      </c>
      <c r="D131" s="2">
        <f ca="1">IFERROR(__xludf.DUMMYFUNCTION("""COMPUTED_VALUE"""),4912.5)</f>
        <v>4912.5</v>
      </c>
      <c r="E131" s="2">
        <f ca="1">IFERROR(__xludf.DUMMYFUNCTION("""COMPUTED_VALUE"""),4950)</f>
        <v>4950</v>
      </c>
      <c r="F131" s="2">
        <f ca="1">IFERROR(__xludf.DUMMYFUNCTION("""COMPUTED_VALUE"""),16956200)</f>
        <v>16956200</v>
      </c>
    </row>
    <row r="132" spans="1:6">
      <c r="A132" s="1">
        <f ca="1">IFERROR(__xludf.DUMMYFUNCTION("""COMPUTED_VALUE"""),42195.625)</f>
        <v>42195.625</v>
      </c>
      <c r="B132" s="2">
        <f ca="1">IFERROR(__xludf.DUMMYFUNCTION("""COMPUTED_VALUE"""),4987.5)</f>
        <v>4987.5</v>
      </c>
      <c r="C132" s="2">
        <f ca="1">IFERROR(__xludf.DUMMYFUNCTION("""COMPUTED_VALUE"""),5025)</f>
        <v>5025</v>
      </c>
      <c r="D132" s="2">
        <f ca="1">IFERROR(__xludf.DUMMYFUNCTION("""COMPUTED_VALUE"""),4975)</f>
        <v>4975</v>
      </c>
      <c r="E132" s="2">
        <f ca="1">IFERROR(__xludf.DUMMYFUNCTION("""COMPUTED_VALUE"""),5000)</f>
        <v>5000</v>
      </c>
      <c r="F132" s="2">
        <f ca="1">IFERROR(__xludf.DUMMYFUNCTION("""COMPUTED_VALUE"""),23265300)</f>
        <v>23265300</v>
      </c>
    </row>
    <row r="133" spans="1:6">
      <c r="A133" s="1">
        <f ca="1">IFERROR(__xludf.DUMMYFUNCTION("""COMPUTED_VALUE"""),42198.625)</f>
        <v>42198.625</v>
      </c>
      <c r="B133" s="2">
        <f ca="1">IFERROR(__xludf.DUMMYFUNCTION("""COMPUTED_VALUE"""),5000)</f>
        <v>5000</v>
      </c>
      <c r="C133" s="2">
        <f ca="1">IFERROR(__xludf.DUMMYFUNCTION("""COMPUTED_VALUE"""),5037.5)</f>
        <v>5037.5</v>
      </c>
      <c r="D133" s="2">
        <f ca="1">IFERROR(__xludf.DUMMYFUNCTION("""COMPUTED_VALUE"""),4987.5)</f>
        <v>4987.5</v>
      </c>
      <c r="E133" s="2">
        <f ca="1">IFERROR(__xludf.DUMMYFUNCTION("""COMPUTED_VALUE"""),5025)</f>
        <v>5025</v>
      </c>
      <c r="F133" s="2">
        <f ca="1">IFERROR(__xludf.DUMMYFUNCTION("""COMPUTED_VALUE"""),30405200)</f>
        <v>30405200</v>
      </c>
    </row>
    <row r="134" spans="1:6">
      <c r="A134" s="1">
        <f ca="1">IFERROR(__xludf.DUMMYFUNCTION("""COMPUTED_VALUE"""),42199.625)</f>
        <v>42199.625</v>
      </c>
      <c r="B134" s="2">
        <f ca="1">IFERROR(__xludf.DUMMYFUNCTION("""COMPUTED_VALUE"""),5050)</f>
        <v>5050</v>
      </c>
      <c r="C134" s="2">
        <f ca="1">IFERROR(__xludf.DUMMYFUNCTION("""COMPUTED_VALUE"""),5100)</f>
        <v>5100</v>
      </c>
      <c r="D134" s="2">
        <f ca="1">IFERROR(__xludf.DUMMYFUNCTION("""COMPUTED_VALUE"""),5037.5)</f>
        <v>5037.5</v>
      </c>
      <c r="E134" s="2">
        <f ca="1">IFERROR(__xludf.DUMMYFUNCTION("""COMPUTED_VALUE"""),5062.5)</f>
        <v>5062.5</v>
      </c>
      <c r="F134" s="2">
        <f ca="1">IFERROR(__xludf.DUMMYFUNCTION("""COMPUTED_VALUE"""),23345500)</f>
        <v>23345500</v>
      </c>
    </row>
    <row r="135" spans="1:6">
      <c r="A135" s="1">
        <f ca="1">IFERROR(__xludf.DUMMYFUNCTION("""COMPUTED_VALUE"""),42200.625)</f>
        <v>42200.625</v>
      </c>
      <c r="B135" s="2">
        <f ca="1">IFERROR(__xludf.DUMMYFUNCTION("""COMPUTED_VALUE"""),5087.5)</f>
        <v>5087.5</v>
      </c>
      <c r="C135" s="2">
        <f ca="1">IFERROR(__xludf.DUMMYFUNCTION("""COMPUTED_VALUE"""),5087.5)</f>
        <v>5087.5</v>
      </c>
      <c r="D135" s="2">
        <f ca="1">IFERROR(__xludf.DUMMYFUNCTION("""COMPUTED_VALUE"""),4975)</f>
        <v>4975</v>
      </c>
      <c r="E135" s="2">
        <f ca="1">IFERROR(__xludf.DUMMYFUNCTION("""COMPUTED_VALUE"""),5000)</f>
        <v>5000</v>
      </c>
      <c r="F135" s="2">
        <f ca="1">IFERROR(__xludf.DUMMYFUNCTION("""COMPUTED_VALUE"""),14616500)</f>
        <v>14616500</v>
      </c>
    </row>
    <row r="136" spans="1:6">
      <c r="A136" s="1">
        <f ca="1">IFERROR(__xludf.DUMMYFUNCTION("""COMPUTED_VALUE"""),42207.625)</f>
        <v>42207.625</v>
      </c>
      <c r="B136" s="2">
        <f ca="1">IFERROR(__xludf.DUMMYFUNCTION("""COMPUTED_VALUE"""),5100)</f>
        <v>5100</v>
      </c>
      <c r="C136" s="2">
        <f ca="1">IFERROR(__xludf.DUMMYFUNCTION("""COMPUTED_VALUE"""),5200)</f>
        <v>5200</v>
      </c>
      <c r="D136" s="2">
        <f ca="1">IFERROR(__xludf.DUMMYFUNCTION("""COMPUTED_VALUE"""),5062.5)</f>
        <v>5062.5</v>
      </c>
      <c r="E136" s="2">
        <f ca="1">IFERROR(__xludf.DUMMYFUNCTION("""COMPUTED_VALUE"""),5200)</f>
        <v>5200</v>
      </c>
      <c r="F136" s="2">
        <f ca="1">IFERROR(__xludf.DUMMYFUNCTION("""COMPUTED_VALUE"""),36669600)</f>
        <v>36669600</v>
      </c>
    </row>
    <row r="137" spans="1:6">
      <c r="A137" s="1">
        <f ca="1">IFERROR(__xludf.DUMMYFUNCTION("""COMPUTED_VALUE"""),42208.625)</f>
        <v>42208.625</v>
      </c>
      <c r="B137" s="2">
        <f ca="1">IFERROR(__xludf.DUMMYFUNCTION("""COMPUTED_VALUE"""),5150)</f>
        <v>5150</v>
      </c>
      <c r="C137" s="2">
        <f ca="1">IFERROR(__xludf.DUMMYFUNCTION("""COMPUTED_VALUE"""),5187.5)</f>
        <v>5187.5</v>
      </c>
      <c r="D137" s="2">
        <f ca="1">IFERROR(__xludf.DUMMYFUNCTION("""COMPUTED_VALUE"""),5050)</f>
        <v>5050</v>
      </c>
      <c r="E137" s="2">
        <f ca="1">IFERROR(__xludf.DUMMYFUNCTION("""COMPUTED_VALUE"""),5050)</f>
        <v>5050</v>
      </c>
      <c r="F137" s="2">
        <f ca="1">IFERROR(__xludf.DUMMYFUNCTION("""COMPUTED_VALUE"""),20086100)</f>
        <v>20086100</v>
      </c>
    </row>
    <row r="138" spans="1:6">
      <c r="A138" s="1">
        <f ca="1">IFERROR(__xludf.DUMMYFUNCTION("""COMPUTED_VALUE"""),42209.625)</f>
        <v>42209.625</v>
      </c>
      <c r="B138" s="2">
        <f ca="1">IFERROR(__xludf.DUMMYFUNCTION("""COMPUTED_VALUE"""),5025)</f>
        <v>5025</v>
      </c>
      <c r="C138" s="2">
        <f ca="1">IFERROR(__xludf.DUMMYFUNCTION("""COMPUTED_VALUE"""),5050)</f>
        <v>5050</v>
      </c>
      <c r="D138" s="2">
        <f ca="1">IFERROR(__xludf.DUMMYFUNCTION("""COMPUTED_VALUE"""),4975)</f>
        <v>4975</v>
      </c>
      <c r="E138" s="2">
        <f ca="1">IFERROR(__xludf.DUMMYFUNCTION("""COMPUTED_VALUE"""),5000)</f>
        <v>5000</v>
      </c>
      <c r="F138" s="2">
        <f ca="1">IFERROR(__xludf.DUMMYFUNCTION("""COMPUTED_VALUE"""),25295300)</f>
        <v>25295300</v>
      </c>
    </row>
    <row r="139" spans="1:6">
      <c r="A139" s="1">
        <f ca="1">IFERROR(__xludf.DUMMYFUNCTION("""COMPUTED_VALUE"""),42212.625)</f>
        <v>42212.625</v>
      </c>
      <c r="B139" s="2">
        <f ca="1">IFERROR(__xludf.DUMMYFUNCTION("""COMPUTED_VALUE"""),4987.5)</f>
        <v>4987.5</v>
      </c>
      <c r="C139" s="2">
        <f ca="1">IFERROR(__xludf.DUMMYFUNCTION("""COMPUTED_VALUE"""),5025)</f>
        <v>5025</v>
      </c>
      <c r="D139" s="2">
        <f ca="1">IFERROR(__xludf.DUMMYFUNCTION("""COMPUTED_VALUE"""),4762.5)</f>
        <v>4762.5</v>
      </c>
      <c r="E139" s="2">
        <f ca="1">IFERROR(__xludf.DUMMYFUNCTION("""COMPUTED_VALUE"""),4775)</f>
        <v>4775</v>
      </c>
      <c r="F139" s="2">
        <f ca="1">IFERROR(__xludf.DUMMYFUNCTION("""COMPUTED_VALUE"""),34782000)</f>
        <v>34782000</v>
      </c>
    </row>
    <row r="140" spans="1:6">
      <c r="A140" s="1">
        <f ca="1">IFERROR(__xludf.DUMMYFUNCTION("""COMPUTED_VALUE"""),42213.625)</f>
        <v>42213.625</v>
      </c>
      <c r="B140" s="2">
        <f ca="1">IFERROR(__xludf.DUMMYFUNCTION("""COMPUTED_VALUE"""),4687.5)</f>
        <v>4687.5</v>
      </c>
      <c r="C140" s="2">
        <f ca="1">IFERROR(__xludf.DUMMYFUNCTION("""COMPUTED_VALUE"""),4712.5)</f>
        <v>4712.5</v>
      </c>
      <c r="D140" s="2">
        <f ca="1">IFERROR(__xludf.DUMMYFUNCTION("""COMPUTED_VALUE"""),4637.5)</f>
        <v>4637.5</v>
      </c>
      <c r="E140" s="2">
        <f ca="1">IFERROR(__xludf.DUMMYFUNCTION("""COMPUTED_VALUE"""),4687.5)</f>
        <v>4687.5</v>
      </c>
      <c r="F140" s="2">
        <f ca="1">IFERROR(__xludf.DUMMYFUNCTION("""COMPUTED_VALUE"""),26941100)</f>
        <v>26941100</v>
      </c>
    </row>
    <row r="141" spans="1:6">
      <c r="A141" s="1">
        <f ca="1">IFERROR(__xludf.DUMMYFUNCTION("""COMPUTED_VALUE"""),42214.625)</f>
        <v>42214.625</v>
      </c>
      <c r="B141" s="2">
        <f ca="1">IFERROR(__xludf.DUMMYFUNCTION("""COMPUTED_VALUE"""),4725)</f>
        <v>4725</v>
      </c>
      <c r="C141" s="2">
        <f ca="1">IFERROR(__xludf.DUMMYFUNCTION("""COMPUTED_VALUE"""),4775)</f>
        <v>4775</v>
      </c>
      <c r="D141" s="2">
        <f ca="1">IFERROR(__xludf.DUMMYFUNCTION("""COMPUTED_VALUE"""),4687.5)</f>
        <v>4687.5</v>
      </c>
      <c r="E141" s="2">
        <f ca="1">IFERROR(__xludf.DUMMYFUNCTION("""COMPUTED_VALUE"""),4750)</f>
        <v>4750</v>
      </c>
      <c r="F141" s="2">
        <f ca="1">IFERROR(__xludf.DUMMYFUNCTION("""COMPUTED_VALUE"""),27814900)</f>
        <v>27814900</v>
      </c>
    </row>
    <row r="142" spans="1:6">
      <c r="A142" s="1">
        <f ca="1">IFERROR(__xludf.DUMMYFUNCTION("""COMPUTED_VALUE"""),42215.625)</f>
        <v>42215.625</v>
      </c>
      <c r="B142" s="2">
        <f ca="1">IFERROR(__xludf.DUMMYFUNCTION("""COMPUTED_VALUE"""),4800)</f>
        <v>4800</v>
      </c>
      <c r="C142" s="2">
        <f ca="1">IFERROR(__xludf.DUMMYFUNCTION("""COMPUTED_VALUE"""),4825)</f>
        <v>4825</v>
      </c>
      <c r="D142" s="2">
        <f ca="1">IFERROR(__xludf.DUMMYFUNCTION("""COMPUTED_VALUE"""),4725)</f>
        <v>4725</v>
      </c>
      <c r="E142" s="2">
        <f ca="1">IFERROR(__xludf.DUMMYFUNCTION("""COMPUTED_VALUE"""),4762.5)</f>
        <v>4762.5</v>
      </c>
      <c r="F142" s="2">
        <f ca="1">IFERROR(__xludf.DUMMYFUNCTION("""COMPUTED_VALUE"""),28858200)</f>
        <v>28858200</v>
      </c>
    </row>
    <row r="143" spans="1:6">
      <c r="A143" s="1">
        <f ca="1">IFERROR(__xludf.DUMMYFUNCTION("""COMPUTED_VALUE"""),42216.625)</f>
        <v>42216.625</v>
      </c>
      <c r="B143" s="2">
        <f ca="1">IFERROR(__xludf.DUMMYFUNCTION("""COMPUTED_VALUE"""),4750)</f>
        <v>4750</v>
      </c>
      <c r="C143" s="2">
        <f ca="1">IFERROR(__xludf.DUMMYFUNCTION("""COMPUTED_VALUE"""),4787.5)</f>
        <v>4787.5</v>
      </c>
      <c r="D143" s="2">
        <f ca="1">IFERROR(__xludf.DUMMYFUNCTION("""COMPUTED_VALUE"""),4662.5)</f>
        <v>4662.5</v>
      </c>
      <c r="E143" s="2">
        <f ca="1">IFERROR(__xludf.DUMMYFUNCTION("""COMPUTED_VALUE"""),4762.5)</f>
        <v>4762.5</v>
      </c>
      <c r="F143" s="2">
        <f ca="1">IFERROR(__xludf.DUMMYFUNCTION("""COMPUTED_VALUE"""),56546200)</f>
        <v>56546200</v>
      </c>
    </row>
    <row r="144" spans="1:6">
      <c r="A144" s="1">
        <f ca="1">IFERROR(__xludf.DUMMYFUNCTION("""COMPUTED_VALUE"""),42219.625)</f>
        <v>42219.625</v>
      </c>
      <c r="B144" s="2">
        <f ca="1">IFERROR(__xludf.DUMMYFUNCTION("""COMPUTED_VALUE"""),4700)</f>
        <v>4700</v>
      </c>
      <c r="C144" s="2">
        <f ca="1">IFERROR(__xludf.DUMMYFUNCTION("""COMPUTED_VALUE"""),4862.5)</f>
        <v>4862.5</v>
      </c>
      <c r="D144" s="2">
        <f ca="1">IFERROR(__xludf.DUMMYFUNCTION("""COMPUTED_VALUE"""),4700)</f>
        <v>4700</v>
      </c>
      <c r="E144" s="2">
        <f ca="1">IFERROR(__xludf.DUMMYFUNCTION("""COMPUTED_VALUE"""),4850)</f>
        <v>4850</v>
      </c>
      <c r="F144" s="2">
        <f ca="1">IFERROR(__xludf.DUMMYFUNCTION("""COMPUTED_VALUE"""),47425700)</f>
        <v>47425700</v>
      </c>
    </row>
    <row r="145" spans="1:6">
      <c r="A145" s="1">
        <f ca="1">IFERROR(__xludf.DUMMYFUNCTION("""COMPUTED_VALUE"""),42220.625)</f>
        <v>42220.625</v>
      </c>
      <c r="B145" s="2">
        <f ca="1">IFERROR(__xludf.DUMMYFUNCTION("""COMPUTED_VALUE"""),4850)</f>
        <v>4850</v>
      </c>
      <c r="C145" s="2">
        <f ca="1">IFERROR(__xludf.DUMMYFUNCTION("""COMPUTED_VALUE"""),4887.5)</f>
        <v>4887.5</v>
      </c>
      <c r="D145" s="2">
        <f ca="1">IFERROR(__xludf.DUMMYFUNCTION("""COMPUTED_VALUE"""),4737.5)</f>
        <v>4737.5</v>
      </c>
      <c r="E145" s="2">
        <f ca="1">IFERROR(__xludf.DUMMYFUNCTION("""COMPUTED_VALUE"""),4762.5)</f>
        <v>4762.5</v>
      </c>
      <c r="F145" s="2">
        <f ca="1">IFERROR(__xludf.DUMMYFUNCTION("""COMPUTED_VALUE"""),43014500)</f>
        <v>43014500</v>
      </c>
    </row>
    <row r="146" spans="1:6">
      <c r="A146" s="1">
        <f ca="1">IFERROR(__xludf.DUMMYFUNCTION("""COMPUTED_VALUE"""),42221.625)</f>
        <v>42221.625</v>
      </c>
      <c r="B146" s="2">
        <f ca="1">IFERROR(__xludf.DUMMYFUNCTION("""COMPUTED_VALUE"""),4800)</f>
        <v>4800</v>
      </c>
      <c r="C146" s="2">
        <f ca="1">IFERROR(__xludf.DUMMYFUNCTION("""COMPUTED_VALUE"""),4900)</f>
        <v>4900</v>
      </c>
      <c r="D146" s="2">
        <f ca="1">IFERROR(__xludf.DUMMYFUNCTION("""COMPUTED_VALUE"""),4762.5)</f>
        <v>4762.5</v>
      </c>
      <c r="E146" s="2">
        <f ca="1">IFERROR(__xludf.DUMMYFUNCTION("""COMPUTED_VALUE"""),4900)</f>
        <v>4900</v>
      </c>
      <c r="F146" s="2">
        <f ca="1">IFERROR(__xludf.DUMMYFUNCTION("""COMPUTED_VALUE"""),45720100)</f>
        <v>45720100</v>
      </c>
    </row>
    <row r="147" spans="1:6">
      <c r="A147" s="1">
        <f ca="1">IFERROR(__xludf.DUMMYFUNCTION("""COMPUTED_VALUE"""),42222.625)</f>
        <v>42222.625</v>
      </c>
      <c r="B147" s="2">
        <f ca="1">IFERROR(__xludf.DUMMYFUNCTION("""COMPUTED_VALUE"""),4950)</f>
        <v>4950</v>
      </c>
      <c r="C147" s="2">
        <f ca="1">IFERROR(__xludf.DUMMYFUNCTION("""COMPUTED_VALUE"""),5037.5)</f>
        <v>5037.5</v>
      </c>
      <c r="D147" s="2">
        <f ca="1">IFERROR(__xludf.DUMMYFUNCTION("""COMPUTED_VALUE"""),4875)</f>
        <v>4875</v>
      </c>
      <c r="E147" s="2">
        <f ca="1">IFERROR(__xludf.DUMMYFUNCTION("""COMPUTED_VALUE"""),4900)</f>
        <v>4900</v>
      </c>
      <c r="F147" s="2">
        <f ca="1">IFERROR(__xludf.DUMMYFUNCTION("""COMPUTED_VALUE"""),34625500)</f>
        <v>34625500</v>
      </c>
    </row>
    <row r="148" spans="1:6">
      <c r="A148" s="1">
        <f ca="1">IFERROR(__xludf.DUMMYFUNCTION("""COMPUTED_VALUE"""),42223.625)</f>
        <v>42223.625</v>
      </c>
      <c r="B148" s="2">
        <f ca="1">IFERROR(__xludf.DUMMYFUNCTION("""COMPUTED_VALUE"""),4887.5)</f>
        <v>4887.5</v>
      </c>
      <c r="C148" s="2">
        <f ca="1">IFERROR(__xludf.DUMMYFUNCTION("""COMPUTED_VALUE"""),4887.5)</f>
        <v>4887.5</v>
      </c>
      <c r="D148" s="2">
        <f ca="1">IFERROR(__xludf.DUMMYFUNCTION("""COMPUTED_VALUE"""),4812.5)</f>
        <v>4812.5</v>
      </c>
      <c r="E148" s="2">
        <f ca="1">IFERROR(__xludf.DUMMYFUNCTION("""COMPUTED_VALUE"""),4825)</f>
        <v>4825</v>
      </c>
      <c r="F148" s="2">
        <f ca="1">IFERROR(__xludf.DUMMYFUNCTION("""COMPUTED_VALUE"""),15208600)</f>
        <v>15208600</v>
      </c>
    </row>
    <row r="149" spans="1:6">
      <c r="A149" s="1">
        <f ca="1">IFERROR(__xludf.DUMMYFUNCTION("""COMPUTED_VALUE"""),42226.625)</f>
        <v>42226.625</v>
      </c>
      <c r="B149" s="2">
        <f ca="1">IFERROR(__xludf.DUMMYFUNCTION("""COMPUTED_VALUE"""),4875)</f>
        <v>4875</v>
      </c>
      <c r="C149" s="2">
        <f ca="1">IFERROR(__xludf.DUMMYFUNCTION("""COMPUTED_VALUE"""),4875)</f>
        <v>4875</v>
      </c>
      <c r="D149" s="2">
        <f ca="1">IFERROR(__xludf.DUMMYFUNCTION("""COMPUTED_VALUE"""),4725)</f>
        <v>4725</v>
      </c>
      <c r="E149" s="2">
        <f ca="1">IFERROR(__xludf.DUMMYFUNCTION("""COMPUTED_VALUE"""),4762.5)</f>
        <v>4762.5</v>
      </c>
      <c r="F149" s="2">
        <f ca="1">IFERROR(__xludf.DUMMYFUNCTION("""COMPUTED_VALUE"""),16196800)</f>
        <v>16196800</v>
      </c>
    </row>
    <row r="150" spans="1:6">
      <c r="A150" s="1">
        <f ca="1">IFERROR(__xludf.DUMMYFUNCTION("""COMPUTED_VALUE"""),42227.625)</f>
        <v>42227.625</v>
      </c>
      <c r="B150" s="2">
        <f ca="1">IFERROR(__xludf.DUMMYFUNCTION("""COMPUTED_VALUE"""),4812.5)</f>
        <v>4812.5</v>
      </c>
      <c r="C150" s="2">
        <f ca="1">IFERROR(__xludf.DUMMYFUNCTION("""COMPUTED_VALUE"""),4825)</f>
        <v>4825</v>
      </c>
      <c r="D150" s="2">
        <f ca="1">IFERROR(__xludf.DUMMYFUNCTION("""COMPUTED_VALUE"""),4562.5)</f>
        <v>4562.5</v>
      </c>
      <c r="E150" s="2">
        <f ca="1">IFERROR(__xludf.DUMMYFUNCTION("""COMPUTED_VALUE"""),4575)</f>
        <v>4575</v>
      </c>
      <c r="F150" s="2">
        <f ca="1">IFERROR(__xludf.DUMMYFUNCTION("""COMPUTED_VALUE"""),41577100)</f>
        <v>41577100</v>
      </c>
    </row>
    <row r="151" spans="1:6">
      <c r="A151" s="1">
        <f ca="1">IFERROR(__xludf.DUMMYFUNCTION("""COMPUTED_VALUE"""),42228.625)</f>
        <v>42228.625</v>
      </c>
      <c r="B151" s="2">
        <f ca="1">IFERROR(__xludf.DUMMYFUNCTION("""COMPUTED_VALUE"""),4500)</f>
        <v>4500</v>
      </c>
      <c r="C151" s="2">
        <f ca="1">IFERROR(__xludf.DUMMYFUNCTION("""COMPUTED_VALUE"""),4500)</f>
        <v>4500</v>
      </c>
      <c r="D151" s="2">
        <f ca="1">IFERROR(__xludf.DUMMYFUNCTION("""COMPUTED_VALUE"""),4262.5)</f>
        <v>4262.5</v>
      </c>
      <c r="E151" s="2">
        <f ca="1">IFERROR(__xludf.DUMMYFUNCTION("""COMPUTED_VALUE"""),4400)</f>
        <v>4400</v>
      </c>
      <c r="F151" s="2">
        <f ca="1">IFERROR(__xludf.DUMMYFUNCTION("""COMPUTED_VALUE"""),49971300)</f>
        <v>49971300</v>
      </c>
    </row>
    <row r="152" spans="1:6">
      <c r="A152" s="1">
        <f ca="1">IFERROR(__xludf.DUMMYFUNCTION("""COMPUTED_VALUE"""),42229.625)</f>
        <v>42229.625</v>
      </c>
      <c r="B152" s="2">
        <f ca="1">IFERROR(__xludf.DUMMYFUNCTION("""COMPUTED_VALUE"""),4437.5)</f>
        <v>4437.5</v>
      </c>
      <c r="C152" s="2">
        <f ca="1">IFERROR(__xludf.DUMMYFUNCTION("""COMPUTED_VALUE"""),4587.5)</f>
        <v>4587.5</v>
      </c>
      <c r="D152" s="2">
        <f ca="1">IFERROR(__xludf.DUMMYFUNCTION("""COMPUTED_VALUE"""),4425)</f>
        <v>4425</v>
      </c>
      <c r="E152" s="2">
        <f ca="1">IFERROR(__xludf.DUMMYFUNCTION("""COMPUTED_VALUE"""),4550)</f>
        <v>4550</v>
      </c>
      <c r="F152" s="2">
        <f ca="1">IFERROR(__xludf.DUMMYFUNCTION("""COMPUTED_VALUE"""),37083400)</f>
        <v>37083400</v>
      </c>
    </row>
    <row r="153" spans="1:6">
      <c r="A153" s="1">
        <f ca="1">IFERROR(__xludf.DUMMYFUNCTION("""COMPUTED_VALUE"""),42230.625)</f>
        <v>42230.625</v>
      </c>
      <c r="B153" s="2">
        <f ca="1">IFERROR(__xludf.DUMMYFUNCTION("""COMPUTED_VALUE"""),4550)</f>
        <v>4550</v>
      </c>
      <c r="C153" s="2">
        <f ca="1">IFERROR(__xludf.DUMMYFUNCTION("""COMPUTED_VALUE"""),4550)</f>
        <v>4550</v>
      </c>
      <c r="D153" s="2">
        <f ca="1">IFERROR(__xludf.DUMMYFUNCTION("""COMPUTED_VALUE"""),4475)</f>
        <v>4475</v>
      </c>
      <c r="E153" s="2">
        <f ca="1">IFERROR(__xludf.DUMMYFUNCTION("""COMPUTED_VALUE"""),4500)</f>
        <v>4500</v>
      </c>
      <c r="F153" s="2">
        <f ca="1">IFERROR(__xludf.DUMMYFUNCTION("""COMPUTED_VALUE"""),30632400)</f>
        <v>30632400</v>
      </c>
    </row>
    <row r="154" spans="1:6">
      <c r="A154" s="1">
        <f ca="1">IFERROR(__xludf.DUMMYFUNCTION("""COMPUTED_VALUE"""),42234.625)</f>
        <v>42234.625</v>
      </c>
      <c r="B154" s="2">
        <f ca="1">IFERROR(__xludf.DUMMYFUNCTION("""COMPUTED_VALUE"""),4475)</f>
        <v>4475</v>
      </c>
      <c r="C154" s="2">
        <f ca="1">IFERROR(__xludf.DUMMYFUNCTION("""COMPUTED_VALUE"""),4500)</f>
        <v>4500</v>
      </c>
      <c r="D154" s="2">
        <f ca="1">IFERROR(__xludf.DUMMYFUNCTION("""COMPUTED_VALUE"""),4375)</f>
        <v>4375</v>
      </c>
      <c r="E154" s="2">
        <f ca="1">IFERROR(__xludf.DUMMYFUNCTION("""COMPUTED_VALUE"""),4400)</f>
        <v>4400</v>
      </c>
      <c r="F154" s="2">
        <f ca="1">IFERROR(__xludf.DUMMYFUNCTION("""COMPUTED_VALUE"""),20811000)</f>
        <v>20811000</v>
      </c>
    </row>
    <row r="155" spans="1:6">
      <c r="A155" s="1">
        <f ca="1">IFERROR(__xludf.DUMMYFUNCTION("""COMPUTED_VALUE"""),42235.625)</f>
        <v>42235.625</v>
      </c>
      <c r="B155" s="2">
        <f ca="1">IFERROR(__xludf.DUMMYFUNCTION("""COMPUTED_VALUE"""),4400)</f>
        <v>4400</v>
      </c>
      <c r="C155" s="2">
        <f ca="1">IFERROR(__xludf.DUMMYFUNCTION("""COMPUTED_VALUE"""),4437.5)</f>
        <v>4437.5</v>
      </c>
      <c r="D155" s="2">
        <f ca="1">IFERROR(__xludf.DUMMYFUNCTION("""COMPUTED_VALUE"""),4312.5)</f>
        <v>4312.5</v>
      </c>
      <c r="E155" s="2">
        <f ca="1">IFERROR(__xludf.DUMMYFUNCTION("""COMPUTED_VALUE"""),4350)</f>
        <v>4350</v>
      </c>
      <c r="F155" s="2">
        <f ca="1">IFERROR(__xludf.DUMMYFUNCTION("""COMPUTED_VALUE"""),23010000)</f>
        <v>23010000</v>
      </c>
    </row>
    <row r="156" spans="1:6">
      <c r="A156" s="1">
        <f ca="1">IFERROR(__xludf.DUMMYFUNCTION("""COMPUTED_VALUE"""),42236.625)</f>
        <v>42236.625</v>
      </c>
      <c r="B156" s="2">
        <f ca="1">IFERROR(__xludf.DUMMYFUNCTION("""COMPUTED_VALUE"""),4300)</f>
        <v>4300</v>
      </c>
      <c r="C156" s="2">
        <f ca="1">IFERROR(__xludf.DUMMYFUNCTION("""COMPUTED_VALUE"""),4350)</f>
        <v>4350</v>
      </c>
      <c r="D156" s="2">
        <f ca="1">IFERROR(__xludf.DUMMYFUNCTION("""COMPUTED_VALUE"""),4262.5)</f>
        <v>4262.5</v>
      </c>
      <c r="E156" s="2">
        <f ca="1">IFERROR(__xludf.DUMMYFUNCTION("""COMPUTED_VALUE"""),4350)</f>
        <v>4350</v>
      </c>
      <c r="F156" s="2">
        <f ca="1">IFERROR(__xludf.DUMMYFUNCTION("""COMPUTED_VALUE"""),21891500)</f>
        <v>21891500</v>
      </c>
    </row>
    <row r="157" spans="1:6">
      <c r="A157" s="1">
        <f ca="1">IFERROR(__xludf.DUMMYFUNCTION("""COMPUTED_VALUE"""),42237.625)</f>
        <v>42237.625</v>
      </c>
      <c r="B157" s="2">
        <f ca="1">IFERROR(__xludf.DUMMYFUNCTION("""COMPUTED_VALUE"""),4250)</f>
        <v>4250</v>
      </c>
      <c r="C157" s="2">
        <f ca="1">IFERROR(__xludf.DUMMYFUNCTION("""COMPUTED_VALUE"""),4275)</f>
        <v>4275</v>
      </c>
      <c r="D157" s="2">
        <f ca="1">IFERROR(__xludf.DUMMYFUNCTION("""COMPUTED_VALUE"""),4200)</f>
        <v>4200</v>
      </c>
      <c r="E157" s="2">
        <f ca="1">IFERROR(__xludf.DUMMYFUNCTION("""COMPUTED_VALUE"""),4250)</f>
        <v>4250</v>
      </c>
      <c r="F157" s="2">
        <f ca="1">IFERROR(__xludf.DUMMYFUNCTION("""COMPUTED_VALUE"""),34028900)</f>
        <v>34028900</v>
      </c>
    </row>
    <row r="158" spans="1:6">
      <c r="A158" s="1">
        <f ca="1">IFERROR(__xludf.DUMMYFUNCTION("""COMPUTED_VALUE"""),42240.625)</f>
        <v>42240.625</v>
      </c>
      <c r="B158" s="2">
        <f ca="1">IFERROR(__xludf.DUMMYFUNCTION("""COMPUTED_VALUE"""),4137.5)</f>
        <v>4137.5</v>
      </c>
      <c r="C158" s="2">
        <f ca="1">IFERROR(__xludf.DUMMYFUNCTION("""COMPUTED_VALUE"""),4175)</f>
        <v>4175</v>
      </c>
      <c r="D158" s="2">
        <f ca="1">IFERROR(__xludf.DUMMYFUNCTION("""COMPUTED_VALUE"""),4062.5)</f>
        <v>4062.5</v>
      </c>
      <c r="E158" s="2">
        <f ca="1">IFERROR(__xludf.DUMMYFUNCTION("""COMPUTED_VALUE"""),4087.5)</f>
        <v>4087.5</v>
      </c>
      <c r="F158" s="2">
        <f ca="1">IFERROR(__xludf.DUMMYFUNCTION("""COMPUTED_VALUE"""),32272400)</f>
        <v>32272400</v>
      </c>
    </row>
    <row r="159" spans="1:6">
      <c r="A159" s="1">
        <f ca="1">IFERROR(__xludf.DUMMYFUNCTION("""COMPUTED_VALUE"""),42241.625)</f>
        <v>42241.625</v>
      </c>
      <c r="B159" s="2">
        <f ca="1">IFERROR(__xludf.DUMMYFUNCTION("""COMPUTED_VALUE"""),4100)</f>
        <v>4100</v>
      </c>
      <c r="C159" s="2">
        <f ca="1">IFERROR(__xludf.DUMMYFUNCTION("""COMPUTED_VALUE"""),4325)</f>
        <v>4325</v>
      </c>
      <c r="D159" s="2">
        <f ca="1">IFERROR(__xludf.DUMMYFUNCTION("""COMPUTED_VALUE"""),4100)</f>
        <v>4100</v>
      </c>
      <c r="E159" s="2">
        <f ca="1">IFERROR(__xludf.DUMMYFUNCTION("""COMPUTED_VALUE"""),4250)</f>
        <v>4250</v>
      </c>
      <c r="F159" s="2">
        <f ca="1">IFERROR(__xludf.DUMMYFUNCTION("""COMPUTED_VALUE"""),74196200)</f>
        <v>74196200</v>
      </c>
    </row>
    <row r="160" spans="1:6">
      <c r="A160" s="1">
        <f ca="1">IFERROR(__xludf.DUMMYFUNCTION("""COMPUTED_VALUE"""),42242.625)</f>
        <v>42242.625</v>
      </c>
      <c r="B160" s="2">
        <f ca="1">IFERROR(__xludf.DUMMYFUNCTION("""COMPUTED_VALUE"""),4275)</f>
        <v>4275</v>
      </c>
      <c r="C160" s="2">
        <f ca="1">IFERROR(__xludf.DUMMYFUNCTION("""COMPUTED_VALUE"""),4337.5)</f>
        <v>4337.5</v>
      </c>
      <c r="D160" s="2">
        <f ca="1">IFERROR(__xludf.DUMMYFUNCTION("""COMPUTED_VALUE"""),4175)</f>
        <v>4175</v>
      </c>
      <c r="E160" s="2">
        <f ca="1">IFERROR(__xludf.DUMMYFUNCTION("""COMPUTED_VALUE"""),4275)</f>
        <v>4275</v>
      </c>
      <c r="F160" s="2">
        <f ca="1">IFERROR(__xludf.DUMMYFUNCTION("""COMPUTED_VALUE"""),50592000)</f>
        <v>50592000</v>
      </c>
    </row>
    <row r="161" spans="1:6">
      <c r="A161" s="1">
        <f ca="1">IFERROR(__xludf.DUMMYFUNCTION("""COMPUTED_VALUE"""),42243.625)</f>
        <v>42243.625</v>
      </c>
      <c r="B161" s="2">
        <f ca="1">IFERROR(__xludf.DUMMYFUNCTION("""COMPUTED_VALUE"""),4375)</f>
        <v>4375</v>
      </c>
      <c r="C161" s="2">
        <f ca="1">IFERROR(__xludf.DUMMYFUNCTION("""COMPUTED_VALUE"""),4512.5)</f>
        <v>4512.5</v>
      </c>
      <c r="D161" s="2">
        <f ca="1">IFERROR(__xludf.DUMMYFUNCTION("""COMPUTED_VALUE"""),4350)</f>
        <v>4350</v>
      </c>
      <c r="E161" s="2">
        <f ca="1">IFERROR(__xludf.DUMMYFUNCTION("""COMPUTED_VALUE"""),4500)</f>
        <v>4500</v>
      </c>
      <c r="F161" s="2">
        <f ca="1">IFERROR(__xludf.DUMMYFUNCTION("""COMPUTED_VALUE"""),54824200)</f>
        <v>54824200</v>
      </c>
    </row>
    <row r="162" spans="1:6">
      <c r="A162" s="1">
        <f ca="1">IFERROR(__xludf.DUMMYFUNCTION("""COMPUTED_VALUE"""),42244.625)</f>
        <v>42244.625</v>
      </c>
      <c r="B162" s="2">
        <f ca="1">IFERROR(__xludf.DUMMYFUNCTION("""COMPUTED_VALUE"""),4600)</f>
        <v>4600</v>
      </c>
      <c r="C162" s="2">
        <f ca="1">IFERROR(__xludf.DUMMYFUNCTION("""COMPUTED_VALUE"""),4637.5)</f>
        <v>4637.5</v>
      </c>
      <c r="D162" s="2">
        <f ca="1">IFERROR(__xludf.DUMMYFUNCTION("""COMPUTED_VALUE"""),4487.5)</f>
        <v>4487.5</v>
      </c>
      <c r="E162" s="2">
        <f ca="1">IFERROR(__xludf.DUMMYFUNCTION("""COMPUTED_VALUE"""),4537.5)</f>
        <v>4537.5</v>
      </c>
      <c r="F162" s="2">
        <f ca="1">IFERROR(__xludf.DUMMYFUNCTION("""COMPUTED_VALUE"""),43598500)</f>
        <v>43598500</v>
      </c>
    </row>
    <row r="163" spans="1:6">
      <c r="A163" s="1">
        <f ca="1">IFERROR(__xludf.DUMMYFUNCTION("""COMPUTED_VALUE"""),42247.625)</f>
        <v>42247.625</v>
      </c>
      <c r="B163" s="2">
        <f ca="1">IFERROR(__xludf.DUMMYFUNCTION("""COMPUTED_VALUE"""),4487.5)</f>
        <v>4487.5</v>
      </c>
      <c r="C163" s="2">
        <f ca="1">IFERROR(__xludf.DUMMYFUNCTION("""COMPUTED_VALUE"""),4562.5)</f>
        <v>4562.5</v>
      </c>
      <c r="D163" s="2">
        <f ca="1">IFERROR(__xludf.DUMMYFUNCTION("""COMPUTED_VALUE"""),4475)</f>
        <v>4475</v>
      </c>
      <c r="E163" s="2">
        <f ca="1">IFERROR(__xludf.DUMMYFUNCTION("""COMPUTED_VALUE"""),4550)</f>
        <v>4550</v>
      </c>
      <c r="F163" s="2">
        <f ca="1">IFERROR(__xludf.DUMMYFUNCTION("""COMPUTED_VALUE"""),26904600)</f>
        <v>26904600</v>
      </c>
    </row>
    <row r="164" spans="1:6">
      <c r="A164" s="1">
        <f ca="1">IFERROR(__xludf.DUMMYFUNCTION("""COMPUTED_VALUE"""),42248.625)</f>
        <v>42248.625</v>
      </c>
      <c r="B164" s="2">
        <f ca="1">IFERROR(__xludf.DUMMYFUNCTION("""COMPUTED_VALUE"""),4500)</f>
        <v>4500</v>
      </c>
      <c r="C164" s="2">
        <f ca="1">IFERROR(__xludf.DUMMYFUNCTION("""COMPUTED_VALUE"""),4500)</f>
        <v>4500</v>
      </c>
      <c r="D164" s="2">
        <f ca="1">IFERROR(__xludf.DUMMYFUNCTION("""COMPUTED_VALUE"""),4337.5)</f>
        <v>4337.5</v>
      </c>
      <c r="E164" s="2">
        <f ca="1">IFERROR(__xludf.DUMMYFUNCTION("""COMPUTED_VALUE"""),4362.5)</f>
        <v>4362.5</v>
      </c>
      <c r="F164" s="2">
        <f ca="1">IFERROR(__xludf.DUMMYFUNCTION("""COMPUTED_VALUE"""),18549200)</f>
        <v>18549200</v>
      </c>
    </row>
    <row r="165" spans="1:6">
      <c r="A165" s="1">
        <f ca="1">IFERROR(__xludf.DUMMYFUNCTION("""COMPUTED_VALUE"""),42249.625)</f>
        <v>42249.625</v>
      </c>
      <c r="B165" s="2">
        <f ca="1">IFERROR(__xludf.DUMMYFUNCTION("""COMPUTED_VALUE"""),4350)</f>
        <v>4350</v>
      </c>
      <c r="C165" s="2">
        <f ca="1">IFERROR(__xludf.DUMMYFUNCTION("""COMPUTED_VALUE"""),4437.5)</f>
        <v>4437.5</v>
      </c>
      <c r="D165" s="2">
        <f ca="1">IFERROR(__xludf.DUMMYFUNCTION("""COMPUTED_VALUE"""),4300)</f>
        <v>4300</v>
      </c>
      <c r="E165" s="2">
        <f ca="1">IFERROR(__xludf.DUMMYFUNCTION("""COMPUTED_VALUE"""),4400)</f>
        <v>4400</v>
      </c>
      <c r="F165" s="2">
        <f ca="1">IFERROR(__xludf.DUMMYFUNCTION("""COMPUTED_VALUE"""),16587400)</f>
        <v>16587400</v>
      </c>
    </row>
    <row r="166" spans="1:6">
      <c r="A166" s="1">
        <f ca="1">IFERROR(__xludf.DUMMYFUNCTION("""COMPUTED_VALUE"""),42250.625)</f>
        <v>42250.625</v>
      </c>
      <c r="B166" s="2">
        <f ca="1">IFERROR(__xludf.DUMMYFUNCTION("""COMPUTED_VALUE"""),4425)</f>
        <v>4425</v>
      </c>
      <c r="C166" s="2">
        <f ca="1">IFERROR(__xludf.DUMMYFUNCTION("""COMPUTED_VALUE"""),4475)</f>
        <v>4475</v>
      </c>
      <c r="D166" s="2">
        <f ca="1">IFERROR(__xludf.DUMMYFUNCTION("""COMPUTED_VALUE"""),4387.5)</f>
        <v>4387.5</v>
      </c>
      <c r="E166" s="2">
        <f ca="1">IFERROR(__xludf.DUMMYFUNCTION("""COMPUTED_VALUE"""),4412.5)</f>
        <v>4412.5</v>
      </c>
      <c r="F166" s="2">
        <f ca="1">IFERROR(__xludf.DUMMYFUNCTION("""COMPUTED_VALUE"""),23786200)</f>
        <v>23786200</v>
      </c>
    </row>
    <row r="167" spans="1:6">
      <c r="A167" s="1">
        <f ca="1">IFERROR(__xludf.DUMMYFUNCTION("""COMPUTED_VALUE"""),42251.625)</f>
        <v>42251.625</v>
      </c>
      <c r="B167" s="2">
        <f ca="1">IFERROR(__xludf.DUMMYFUNCTION("""COMPUTED_VALUE"""),4400)</f>
        <v>4400</v>
      </c>
      <c r="C167" s="2">
        <f ca="1">IFERROR(__xludf.DUMMYFUNCTION("""COMPUTED_VALUE"""),4437.5)</f>
        <v>4437.5</v>
      </c>
      <c r="D167" s="2">
        <f ca="1">IFERROR(__xludf.DUMMYFUNCTION("""COMPUTED_VALUE"""),4362.5)</f>
        <v>4362.5</v>
      </c>
      <c r="E167" s="2">
        <f ca="1">IFERROR(__xludf.DUMMYFUNCTION("""COMPUTED_VALUE"""),4412.5)</f>
        <v>4412.5</v>
      </c>
      <c r="F167" s="2">
        <f ca="1">IFERROR(__xludf.DUMMYFUNCTION("""COMPUTED_VALUE"""),10274100)</f>
        <v>10274100</v>
      </c>
    </row>
    <row r="168" spans="1:6">
      <c r="A168" s="1">
        <f ca="1">IFERROR(__xludf.DUMMYFUNCTION("""COMPUTED_VALUE"""),42254.625)</f>
        <v>42254.625</v>
      </c>
      <c r="B168" s="2">
        <f ca="1">IFERROR(__xludf.DUMMYFUNCTION("""COMPUTED_VALUE"""),4400)</f>
        <v>4400</v>
      </c>
      <c r="C168" s="2">
        <f ca="1">IFERROR(__xludf.DUMMYFUNCTION("""COMPUTED_VALUE"""),4412.5)</f>
        <v>4412.5</v>
      </c>
      <c r="D168" s="2">
        <f ca="1">IFERROR(__xludf.DUMMYFUNCTION("""COMPUTED_VALUE"""),4350)</f>
        <v>4350</v>
      </c>
      <c r="E168" s="2">
        <f ca="1">IFERROR(__xludf.DUMMYFUNCTION("""COMPUTED_VALUE"""),4375)</f>
        <v>4375</v>
      </c>
      <c r="F168" s="2">
        <f ca="1">IFERROR(__xludf.DUMMYFUNCTION("""COMPUTED_VALUE"""),13588200)</f>
        <v>13588200</v>
      </c>
    </row>
    <row r="169" spans="1:6">
      <c r="A169" s="1">
        <f ca="1">IFERROR(__xludf.DUMMYFUNCTION("""COMPUTED_VALUE"""),42255.625)</f>
        <v>42255.625</v>
      </c>
      <c r="B169" s="2">
        <f ca="1">IFERROR(__xludf.DUMMYFUNCTION("""COMPUTED_VALUE"""),4375)</f>
        <v>4375</v>
      </c>
      <c r="C169" s="2">
        <f ca="1">IFERROR(__xludf.DUMMYFUNCTION("""COMPUTED_VALUE"""),4412.5)</f>
        <v>4412.5</v>
      </c>
      <c r="D169" s="2">
        <f ca="1">IFERROR(__xludf.DUMMYFUNCTION("""COMPUTED_VALUE"""),4350)</f>
        <v>4350</v>
      </c>
      <c r="E169" s="2">
        <f ca="1">IFERROR(__xludf.DUMMYFUNCTION("""COMPUTED_VALUE"""),4400)</f>
        <v>4400</v>
      </c>
      <c r="F169" s="2">
        <f ca="1">IFERROR(__xludf.DUMMYFUNCTION("""COMPUTED_VALUE"""),14353200)</f>
        <v>14353200</v>
      </c>
    </row>
    <row r="170" spans="1:6">
      <c r="A170" s="1">
        <f ca="1">IFERROR(__xludf.DUMMYFUNCTION("""COMPUTED_VALUE"""),42256.625)</f>
        <v>42256.625</v>
      </c>
      <c r="B170" s="2">
        <f ca="1">IFERROR(__xludf.DUMMYFUNCTION("""COMPUTED_VALUE"""),4437.5)</f>
        <v>4437.5</v>
      </c>
      <c r="C170" s="2">
        <f ca="1">IFERROR(__xludf.DUMMYFUNCTION("""COMPUTED_VALUE"""),4462.5)</f>
        <v>4462.5</v>
      </c>
      <c r="D170" s="2">
        <f ca="1">IFERROR(__xludf.DUMMYFUNCTION("""COMPUTED_VALUE"""),4300)</f>
        <v>4300</v>
      </c>
      <c r="E170" s="2">
        <f ca="1">IFERROR(__xludf.DUMMYFUNCTION("""COMPUTED_VALUE"""),4350)</f>
        <v>4350</v>
      </c>
      <c r="F170" s="2">
        <f ca="1">IFERROR(__xludf.DUMMYFUNCTION("""COMPUTED_VALUE"""),33850300)</f>
        <v>33850300</v>
      </c>
    </row>
    <row r="171" spans="1:6">
      <c r="A171" s="1">
        <f ca="1">IFERROR(__xludf.DUMMYFUNCTION("""COMPUTED_VALUE"""),42257.625)</f>
        <v>42257.625</v>
      </c>
      <c r="B171" s="2">
        <f ca="1">IFERROR(__xludf.DUMMYFUNCTION("""COMPUTED_VALUE"""),4325)</f>
        <v>4325</v>
      </c>
      <c r="C171" s="2">
        <f ca="1">IFERROR(__xludf.DUMMYFUNCTION("""COMPUTED_VALUE"""),4325)</f>
        <v>4325</v>
      </c>
      <c r="D171" s="2">
        <f ca="1">IFERROR(__xludf.DUMMYFUNCTION("""COMPUTED_VALUE"""),4275)</f>
        <v>4275</v>
      </c>
      <c r="E171" s="2">
        <f ca="1">IFERROR(__xludf.DUMMYFUNCTION("""COMPUTED_VALUE"""),4300)</f>
        <v>4300</v>
      </c>
      <c r="F171" s="2">
        <f ca="1">IFERROR(__xludf.DUMMYFUNCTION("""COMPUTED_VALUE"""),17739800)</f>
        <v>17739800</v>
      </c>
    </row>
    <row r="172" spans="1:6">
      <c r="A172" s="1">
        <f ca="1">IFERROR(__xludf.DUMMYFUNCTION("""COMPUTED_VALUE"""),42258.625)</f>
        <v>42258.625</v>
      </c>
      <c r="B172" s="2">
        <f ca="1">IFERROR(__xludf.DUMMYFUNCTION("""COMPUTED_VALUE"""),4350)</f>
        <v>4350</v>
      </c>
      <c r="C172" s="2">
        <f ca="1">IFERROR(__xludf.DUMMYFUNCTION("""COMPUTED_VALUE"""),4350)</f>
        <v>4350</v>
      </c>
      <c r="D172" s="2">
        <f ca="1">IFERROR(__xludf.DUMMYFUNCTION("""COMPUTED_VALUE"""),4325)</f>
        <v>4325</v>
      </c>
      <c r="E172" s="2">
        <f ca="1">IFERROR(__xludf.DUMMYFUNCTION("""COMPUTED_VALUE"""),4325)</f>
        <v>4325</v>
      </c>
      <c r="F172" s="2">
        <f ca="1">IFERROR(__xludf.DUMMYFUNCTION("""COMPUTED_VALUE"""),11722400)</f>
        <v>11722400</v>
      </c>
    </row>
    <row r="173" spans="1:6">
      <c r="A173" s="1">
        <f ca="1">IFERROR(__xludf.DUMMYFUNCTION("""COMPUTED_VALUE"""),42261.625)</f>
        <v>42261.625</v>
      </c>
      <c r="B173" s="2">
        <f ca="1">IFERROR(__xludf.DUMMYFUNCTION("""COMPUTED_VALUE"""),4350)</f>
        <v>4350</v>
      </c>
      <c r="C173" s="2">
        <f ca="1">IFERROR(__xludf.DUMMYFUNCTION("""COMPUTED_VALUE"""),4350)</f>
        <v>4350</v>
      </c>
      <c r="D173" s="2">
        <f ca="1">IFERROR(__xludf.DUMMYFUNCTION("""COMPUTED_VALUE"""),4300)</f>
        <v>4300</v>
      </c>
      <c r="E173" s="2">
        <f ca="1">IFERROR(__xludf.DUMMYFUNCTION("""COMPUTED_VALUE"""),4325)</f>
        <v>4325</v>
      </c>
      <c r="F173" s="2">
        <f ca="1">IFERROR(__xludf.DUMMYFUNCTION("""COMPUTED_VALUE"""),10268400)</f>
        <v>10268400</v>
      </c>
    </row>
    <row r="174" spans="1:6">
      <c r="A174" s="1">
        <f ca="1">IFERROR(__xludf.DUMMYFUNCTION("""COMPUTED_VALUE"""),42262.625)</f>
        <v>42262.625</v>
      </c>
      <c r="B174" s="2">
        <f ca="1">IFERROR(__xludf.DUMMYFUNCTION("""COMPUTED_VALUE"""),4312.5)</f>
        <v>4312.5</v>
      </c>
      <c r="C174" s="2">
        <f ca="1">IFERROR(__xludf.DUMMYFUNCTION("""COMPUTED_VALUE"""),4350)</f>
        <v>4350</v>
      </c>
      <c r="D174" s="2">
        <f ca="1">IFERROR(__xludf.DUMMYFUNCTION("""COMPUTED_VALUE"""),4300)</f>
        <v>4300</v>
      </c>
      <c r="E174" s="2">
        <f ca="1">IFERROR(__xludf.DUMMYFUNCTION("""COMPUTED_VALUE"""),4350)</f>
        <v>4350</v>
      </c>
      <c r="F174" s="2">
        <f ca="1">IFERROR(__xludf.DUMMYFUNCTION("""COMPUTED_VALUE"""),8156300)</f>
        <v>8156300</v>
      </c>
    </row>
    <row r="175" spans="1:6">
      <c r="A175" s="1">
        <f ca="1">IFERROR(__xludf.DUMMYFUNCTION("""COMPUTED_VALUE"""),42263.625)</f>
        <v>42263.625</v>
      </c>
      <c r="B175" s="2">
        <f ca="1">IFERROR(__xludf.DUMMYFUNCTION("""COMPUTED_VALUE"""),4350)</f>
        <v>4350</v>
      </c>
      <c r="C175" s="2">
        <f ca="1">IFERROR(__xludf.DUMMYFUNCTION("""COMPUTED_VALUE"""),4362.5)</f>
        <v>4362.5</v>
      </c>
      <c r="D175" s="2">
        <f ca="1">IFERROR(__xludf.DUMMYFUNCTION("""COMPUTED_VALUE"""),4300)</f>
        <v>4300</v>
      </c>
      <c r="E175" s="2">
        <f ca="1">IFERROR(__xludf.DUMMYFUNCTION("""COMPUTED_VALUE"""),4325)</f>
        <v>4325</v>
      </c>
      <c r="F175" s="2">
        <f ca="1">IFERROR(__xludf.DUMMYFUNCTION("""COMPUTED_VALUE"""),8063700)</f>
        <v>8063700</v>
      </c>
    </row>
    <row r="176" spans="1:6">
      <c r="A176" s="1">
        <f ca="1">IFERROR(__xludf.DUMMYFUNCTION("""COMPUTED_VALUE"""),42264.625)</f>
        <v>42264.625</v>
      </c>
      <c r="B176" s="2">
        <f ca="1">IFERROR(__xludf.DUMMYFUNCTION("""COMPUTED_VALUE"""),4312.5)</f>
        <v>4312.5</v>
      </c>
      <c r="C176" s="2">
        <f ca="1">IFERROR(__xludf.DUMMYFUNCTION("""COMPUTED_VALUE"""),4362.5)</f>
        <v>4362.5</v>
      </c>
      <c r="D176" s="2">
        <f ca="1">IFERROR(__xludf.DUMMYFUNCTION("""COMPUTED_VALUE"""),4300)</f>
        <v>4300</v>
      </c>
      <c r="E176" s="2">
        <f ca="1">IFERROR(__xludf.DUMMYFUNCTION("""COMPUTED_VALUE"""),4325)</f>
        <v>4325</v>
      </c>
      <c r="F176" s="2">
        <f ca="1">IFERROR(__xludf.DUMMYFUNCTION("""COMPUTED_VALUE"""),28098000)</f>
        <v>28098000</v>
      </c>
    </row>
    <row r="177" spans="1:6">
      <c r="A177" s="1">
        <f ca="1">IFERROR(__xludf.DUMMYFUNCTION("""COMPUTED_VALUE"""),42265.625)</f>
        <v>42265.625</v>
      </c>
      <c r="B177" s="2">
        <f ca="1">IFERROR(__xludf.DUMMYFUNCTION("""COMPUTED_VALUE"""),4350)</f>
        <v>4350</v>
      </c>
      <c r="C177" s="2">
        <f ca="1">IFERROR(__xludf.DUMMYFUNCTION("""COMPUTED_VALUE"""),4375)</f>
        <v>4375</v>
      </c>
      <c r="D177" s="2">
        <f ca="1">IFERROR(__xludf.DUMMYFUNCTION("""COMPUTED_VALUE"""),4312.5)</f>
        <v>4312.5</v>
      </c>
      <c r="E177" s="2">
        <f ca="1">IFERROR(__xludf.DUMMYFUNCTION("""COMPUTED_VALUE"""),4325)</f>
        <v>4325</v>
      </c>
      <c r="F177" s="2">
        <f ca="1">IFERROR(__xludf.DUMMYFUNCTION("""COMPUTED_VALUE"""),23653800)</f>
        <v>23653800</v>
      </c>
    </row>
    <row r="178" spans="1:6">
      <c r="A178" s="1">
        <f ca="1">IFERROR(__xludf.DUMMYFUNCTION("""COMPUTED_VALUE"""),42268.625)</f>
        <v>42268.625</v>
      </c>
      <c r="B178" s="2">
        <f ca="1">IFERROR(__xludf.DUMMYFUNCTION("""COMPUTED_VALUE"""),4325)</f>
        <v>4325</v>
      </c>
      <c r="C178" s="2">
        <f ca="1">IFERROR(__xludf.DUMMYFUNCTION("""COMPUTED_VALUE"""),4350)</f>
        <v>4350</v>
      </c>
      <c r="D178" s="2">
        <f ca="1">IFERROR(__xludf.DUMMYFUNCTION("""COMPUTED_VALUE"""),4300)</f>
        <v>4300</v>
      </c>
      <c r="E178" s="2">
        <f ca="1">IFERROR(__xludf.DUMMYFUNCTION("""COMPUTED_VALUE"""),4300)</f>
        <v>4300</v>
      </c>
      <c r="F178" s="2">
        <f ca="1">IFERROR(__xludf.DUMMYFUNCTION("""COMPUTED_VALUE"""),16693500)</f>
        <v>16693500</v>
      </c>
    </row>
    <row r="179" spans="1:6">
      <c r="A179" s="1">
        <f ca="1">IFERROR(__xludf.DUMMYFUNCTION("""COMPUTED_VALUE"""),42269.625)</f>
        <v>42269.625</v>
      </c>
      <c r="B179" s="2">
        <f ca="1">IFERROR(__xludf.DUMMYFUNCTION("""COMPUTED_VALUE"""),4300)</f>
        <v>4300</v>
      </c>
      <c r="C179" s="2">
        <f ca="1">IFERROR(__xludf.DUMMYFUNCTION("""COMPUTED_VALUE"""),4325)</f>
        <v>4325</v>
      </c>
      <c r="D179" s="2">
        <f ca="1">IFERROR(__xludf.DUMMYFUNCTION("""COMPUTED_VALUE"""),4287.5)</f>
        <v>4287.5</v>
      </c>
      <c r="E179" s="2">
        <f ca="1">IFERROR(__xludf.DUMMYFUNCTION("""COMPUTED_VALUE"""),4300)</f>
        <v>4300</v>
      </c>
      <c r="F179" s="2">
        <f ca="1">IFERROR(__xludf.DUMMYFUNCTION("""COMPUTED_VALUE"""),8569100)</f>
        <v>8569100</v>
      </c>
    </row>
    <row r="180" spans="1:6">
      <c r="A180" s="1">
        <f ca="1">IFERROR(__xludf.DUMMYFUNCTION("""COMPUTED_VALUE"""),42270.625)</f>
        <v>42270.625</v>
      </c>
      <c r="B180" s="2">
        <f ca="1">IFERROR(__xludf.DUMMYFUNCTION("""COMPUTED_VALUE"""),4250)</f>
        <v>4250</v>
      </c>
      <c r="C180" s="2">
        <f ca="1">IFERROR(__xludf.DUMMYFUNCTION("""COMPUTED_VALUE"""),4250)</f>
        <v>4250</v>
      </c>
      <c r="D180" s="2">
        <f ca="1">IFERROR(__xludf.DUMMYFUNCTION("""COMPUTED_VALUE"""),4012.5)</f>
        <v>4012.5</v>
      </c>
      <c r="E180" s="2">
        <f ca="1">IFERROR(__xludf.DUMMYFUNCTION("""COMPUTED_VALUE"""),4025)</f>
        <v>4025</v>
      </c>
      <c r="F180" s="2">
        <f ca="1">IFERROR(__xludf.DUMMYFUNCTION("""COMPUTED_VALUE"""),18936600)</f>
        <v>18936600</v>
      </c>
    </row>
    <row r="181" spans="1:6">
      <c r="A181" s="1">
        <f ca="1">IFERROR(__xludf.DUMMYFUNCTION("""COMPUTED_VALUE"""),42272.625)</f>
        <v>42272.625</v>
      </c>
      <c r="B181" s="2">
        <f ca="1">IFERROR(__xludf.DUMMYFUNCTION("""COMPUTED_VALUE"""),4000)</f>
        <v>4000</v>
      </c>
      <c r="C181" s="2">
        <f ca="1">IFERROR(__xludf.DUMMYFUNCTION("""COMPUTED_VALUE"""),4000)</f>
        <v>4000</v>
      </c>
      <c r="D181" s="2">
        <f ca="1">IFERROR(__xludf.DUMMYFUNCTION("""COMPUTED_VALUE"""),3862.5)</f>
        <v>3862.5</v>
      </c>
      <c r="E181" s="2">
        <f ca="1">IFERROR(__xludf.DUMMYFUNCTION("""COMPUTED_VALUE"""),3862.5)</f>
        <v>3862.5</v>
      </c>
      <c r="F181" s="2">
        <f ca="1">IFERROR(__xludf.DUMMYFUNCTION("""COMPUTED_VALUE"""),34702000)</f>
        <v>34702000</v>
      </c>
    </row>
    <row r="182" spans="1:6">
      <c r="A182" s="1">
        <f ca="1">IFERROR(__xludf.DUMMYFUNCTION("""COMPUTED_VALUE"""),42275.625)</f>
        <v>42275.625</v>
      </c>
      <c r="B182" s="2">
        <f ca="1">IFERROR(__xludf.DUMMYFUNCTION("""COMPUTED_VALUE"""),3862.5)</f>
        <v>3862.5</v>
      </c>
      <c r="C182" s="2">
        <f ca="1">IFERROR(__xludf.DUMMYFUNCTION("""COMPUTED_VALUE"""),3887.5)</f>
        <v>3887.5</v>
      </c>
      <c r="D182" s="2">
        <f ca="1">IFERROR(__xludf.DUMMYFUNCTION("""COMPUTED_VALUE"""),3762.5)</f>
        <v>3762.5</v>
      </c>
      <c r="E182" s="2">
        <f ca="1">IFERROR(__xludf.DUMMYFUNCTION("""COMPUTED_VALUE"""),3762.5)</f>
        <v>3762.5</v>
      </c>
      <c r="F182" s="2">
        <f ca="1">IFERROR(__xludf.DUMMYFUNCTION("""COMPUTED_VALUE"""),15844700)</f>
        <v>15844700</v>
      </c>
    </row>
    <row r="183" spans="1:6">
      <c r="A183" s="1">
        <f ca="1">IFERROR(__xludf.DUMMYFUNCTION("""COMPUTED_VALUE"""),42276.625)</f>
        <v>42276.625</v>
      </c>
      <c r="B183" s="2">
        <f ca="1">IFERROR(__xludf.DUMMYFUNCTION("""COMPUTED_VALUE"""),3650)</f>
        <v>3650</v>
      </c>
      <c r="C183" s="2">
        <f ca="1">IFERROR(__xludf.DUMMYFUNCTION("""COMPUTED_VALUE"""),3887.5)</f>
        <v>3887.5</v>
      </c>
      <c r="D183" s="2">
        <f ca="1">IFERROR(__xludf.DUMMYFUNCTION("""COMPUTED_VALUE"""),3575)</f>
        <v>3575</v>
      </c>
      <c r="E183" s="2">
        <f ca="1">IFERROR(__xludf.DUMMYFUNCTION("""COMPUTED_VALUE"""),3887.5)</f>
        <v>3887.5</v>
      </c>
      <c r="F183" s="2">
        <f ca="1">IFERROR(__xludf.DUMMYFUNCTION("""COMPUTED_VALUE"""),15989800)</f>
        <v>15989800</v>
      </c>
    </row>
    <row r="184" spans="1:6">
      <c r="A184" s="1">
        <f ca="1">IFERROR(__xludf.DUMMYFUNCTION("""COMPUTED_VALUE"""),42277.625)</f>
        <v>42277.625</v>
      </c>
      <c r="B184" s="2">
        <f ca="1">IFERROR(__xludf.DUMMYFUNCTION("""COMPUTED_VALUE"""),3925)</f>
        <v>3925</v>
      </c>
      <c r="C184" s="2">
        <f ca="1">IFERROR(__xludf.DUMMYFUNCTION("""COMPUTED_VALUE"""),4000)</f>
        <v>4000</v>
      </c>
      <c r="D184" s="2">
        <f ca="1">IFERROR(__xludf.DUMMYFUNCTION("""COMPUTED_VALUE"""),3912.5)</f>
        <v>3912.5</v>
      </c>
      <c r="E184" s="2">
        <f ca="1">IFERROR(__xludf.DUMMYFUNCTION("""COMPUTED_VALUE"""),3962.5)</f>
        <v>3962.5</v>
      </c>
      <c r="F184" s="2">
        <f ca="1">IFERROR(__xludf.DUMMYFUNCTION("""COMPUTED_VALUE"""),29594600)</f>
        <v>29594600</v>
      </c>
    </row>
    <row r="185" spans="1:6">
      <c r="A185" s="1">
        <f ca="1">IFERROR(__xludf.DUMMYFUNCTION("""COMPUTED_VALUE"""),42278.625)</f>
        <v>42278.625</v>
      </c>
      <c r="B185" s="2">
        <f ca="1">IFERROR(__xludf.DUMMYFUNCTION("""COMPUTED_VALUE"""),4000)</f>
        <v>4000</v>
      </c>
      <c r="C185" s="2">
        <f ca="1">IFERROR(__xludf.DUMMYFUNCTION("""COMPUTED_VALUE"""),4062.5)</f>
        <v>4062.5</v>
      </c>
      <c r="D185" s="2">
        <f ca="1">IFERROR(__xludf.DUMMYFUNCTION("""COMPUTED_VALUE"""),3962.5)</f>
        <v>3962.5</v>
      </c>
      <c r="E185" s="2">
        <f ca="1">IFERROR(__xludf.DUMMYFUNCTION("""COMPUTED_VALUE"""),3987.5)</f>
        <v>3987.5</v>
      </c>
      <c r="F185" s="2">
        <f ca="1">IFERROR(__xludf.DUMMYFUNCTION("""COMPUTED_VALUE"""),15908400)</f>
        <v>15908400</v>
      </c>
    </row>
    <row r="186" spans="1:6">
      <c r="A186" s="1">
        <f ca="1">IFERROR(__xludf.DUMMYFUNCTION("""COMPUTED_VALUE"""),42279.625)</f>
        <v>42279.625</v>
      </c>
      <c r="B186" s="2">
        <f ca="1">IFERROR(__xludf.DUMMYFUNCTION("""COMPUTED_VALUE"""),3987.5)</f>
        <v>3987.5</v>
      </c>
      <c r="C186" s="2">
        <f ca="1">IFERROR(__xludf.DUMMYFUNCTION("""COMPUTED_VALUE"""),4000)</f>
        <v>4000</v>
      </c>
      <c r="D186" s="2">
        <f ca="1">IFERROR(__xludf.DUMMYFUNCTION("""COMPUTED_VALUE"""),3837.5)</f>
        <v>3837.5</v>
      </c>
      <c r="E186" s="2">
        <f ca="1">IFERROR(__xludf.DUMMYFUNCTION("""COMPUTED_VALUE"""),3837.5)</f>
        <v>3837.5</v>
      </c>
      <c r="F186" s="2">
        <f ca="1">IFERROR(__xludf.DUMMYFUNCTION("""COMPUTED_VALUE"""),22317300)</f>
        <v>22317300</v>
      </c>
    </row>
    <row r="187" spans="1:6">
      <c r="A187" s="1">
        <f ca="1">IFERROR(__xludf.DUMMYFUNCTION("""COMPUTED_VALUE"""),42282.625)</f>
        <v>42282.625</v>
      </c>
      <c r="B187" s="2">
        <f ca="1">IFERROR(__xludf.DUMMYFUNCTION("""COMPUTED_VALUE"""),3925)</f>
        <v>3925</v>
      </c>
      <c r="C187" s="2">
        <f ca="1">IFERROR(__xludf.DUMMYFUNCTION("""COMPUTED_VALUE"""),4100)</f>
        <v>4100</v>
      </c>
      <c r="D187" s="2">
        <f ca="1">IFERROR(__xludf.DUMMYFUNCTION("""COMPUTED_VALUE"""),3900)</f>
        <v>3900</v>
      </c>
      <c r="E187" s="2">
        <f ca="1">IFERROR(__xludf.DUMMYFUNCTION("""COMPUTED_VALUE"""),4100)</f>
        <v>4100</v>
      </c>
      <c r="F187" s="2">
        <f ca="1">IFERROR(__xludf.DUMMYFUNCTION("""COMPUTED_VALUE"""),14080600)</f>
        <v>14080600</v>
      </c>
    </row>
    <row r="188" spans="1:6">
      <c r="A188" s="1">
        <f ca="1">IFERROR(__xludf.DUMMYFUNCTION("""COMPUTED_VALUE"""),42283.625)</f>
        <v>42283.625</v>
      </c>
      <c r="B188" s="2">
        <f ca="1">IFERROR(__xludf.DUMMYFUNCTION("""COMPUTED_VALUE"""),4150)</f>
        <v>4150</v>
      </c>
      <c r="C188" s="2">
        <f ca="1">IFERROR(__xludf.DUMMYFUNCTION("""COMPUTED_VALUE"""),4462.5)</f>
        <v>4462.5</v>
      </c>
      <c r="D188" s="2">
        <f ca="1">IFERROR(__xludf.DUMMYFUNCTION("""COMPUTED_VALUE"""),4150)</f>
        <v>4150</v>
      </c>
      <c r="E188" s="2">
        <f ca="1">IFERROR(__xludf.DUMMYFUNCTION("""COMPUTED_VALUE"""),4450)</f>
        <v>4450</v>
      </c>
      <c r="F188" s="2">
        <f ca="1">IFERROR(__xludf.DUMMYFUNCTION("""COMPUTED_VALUE"""),44976500)</f>
        <v>44976500</v>
      </c>
    </row>
    <row r="189" spans="1:6">
      <c r="A189" s="1">
        <f ca="1">IFERROR(__xludf.DUMMYFUNCTION("""COMPUTED_VALUE"""),42284.625)</f>
        <v>42284.625</v>
      </c>
      <c r="B189" s="2">
        <f ca="1">IFERROR(__xludf.DUMMYFUNCTION("""COMPUTED_VALUE"""),4500)</f>
        <v>4500</v>
      </c>
      <c r="C189" s="2">
        <f ca="1">IFERROR(__xludf.DUMMYFUNCTION("""COMPUTED_VALUE"""),4537.5)</f>
        <v>4537.5</v>
      </c>
      <c r="D189" s="2">
        <f ca="1">IFERROR(__xludf.DUMMYFUNCTION("""COMPUTED_VALUE"""),4350)</f>
        <v>4350</v>
      </c>
      <c r="E189" s="2">
        <f ca="1">IFERROR(__xludf.DUMMYFUNCTION("""COMPUTED_VALUE"""),4462.5)</f>
        <v>4462.5</v>
      </c>
      <c r="F189" s="2">
        <f ca="1">IFERROR(__xludf.DUMMYFUNCTION("""COMPUTED_VALUE"""),29527300)</f>
        <v>29527300</v>
      </c>
    </row>
    <row r="190" spans="1:6">
      <c r="A190" s="1">
        <f ca="1">IFERROR(__xludf.DUMMYFUNCTION("""COMPUTED_VALUE"""),42285.625)</f>
        <v>42285.625</v>
      </c>
      <c r="B190" s="2">
        <f ca="1">IFERROR(__xludf.DUMMYFUNCTION("""COMPUTED_VALUE"""),4462.5)</f>
        <v>4462.5</v>
      </c>
      <c r="C190" s="2">
        <f ca="1">IFERROR(__xludf.DUMMYFUNCTION("""COMPUTED_VALUE"""),4487.5)</f>
        <v>4487.5</v>
      </c>
      <c r="D190" s="2">
        <f ca="1">IFERROR(__xludf.DUMMYFUNCTION("""COMPUTED_VALUE"""),4400)</f>
        <v>4400</v>
      </c>
      <c r="E190" s="2">
        <f ca="1">IFERROR(__xludf.DUMMYFUNCTION("""COMPUTED_VALUE"""),4450)</f>
        <v>4450</v>
      </c>
      <c r="F190" s="2">
        <f ca="1">IFERROR(__xludf.DUMMYFUNCTION("""COMPUTED_VALUE"""),27231600)</f>
        <v>27231600</v>
      </c>
    </row>
    <row r="191" spans="1:6">
      <c r="A191" s="1">
        <f ca="1">IFERROR(__xludf.DUMMYFUNCTION("""COMPUTED_VALUE"""),42286.625)</f>
        <v>42286.625</v>
      </c>
      <c r="B191" s="2">
        <f ca="1">IFERROR(__xludf.DUMMYFUNCTION("""COMPUTED_VALUE"""),4525)</f>
        <v>4525</v>
      </c>
      <c r="C191" s="2">
        <f ca="1">IFERROR(__xludf.DUMMYFUNCTION("""COMPUTED_VALUE"""),4637.5)</f>
        <v>4637.5</v>
      </c>
      <c r="D191" s="2">
        <f ca="1">IFERROR(__xludf.DUMMYFUNCTION("""COMPUTED_VALUE"""),4512.5)</f>
        <v>4512.5</v>
      </c>
      <c r="E191" s="2">
        <f ca="1">IFERROR(__xludf.DUMMYFUNCTION("""COMPUTED_VALUE"""),4550)</f>
        <v>4550</v>
      </c>
      <c r="F191" s="2">
        <f ca="1">IFERROR(__xludf.DUMMYFUNCTION("""COMPUTED_VALUE"""),44372100)</f>
        <v>44372100</v>
      </c>
    </row>
    <row r="192" spans="1:6">
      <c r="A192" s="1">
        <f ca="1">IFERROR(__xludf.DUMMYFUNCTION("""COMPUTED_VALUE"""),42289.625)</f>
        <v>42289.625</v>
      </c>
      <c r="B192" s="2">
        <f ca="1">IFERROR(__xludf.DUMMYFUNCTION("""COMPUTED_VALUE"""),4500)</f>
        <v>4500</v>
      </c>
      <c r="C192" s="2">
        <f ca="1">IFERROR(__xludf.DUMMYFUNCTION("""COMPUTED_VALUE"""),4612.5)</f>
        <v>4612.5</v>
      </c>
      <c r="D192" s="2">
        <f ca="1">IFERROR(__xludf.DUMMYFUNCTION("""COMPUTED_VALUE"""),4500)</f>
        <v>4500</v>
      </c>
      <c r="E192" s="2">
        <f ca="1">IFERROR(__xludf.DUMMYFUNCTION("""COMPUTED_VALUE"""),4587.5)</f>
        <v>4587.5</v>
      </c>
      <c r="F192" s="2">
        <f ca="1">IFERROR(__xludf.DUMMYFUNCTION("""COMPUTED_VALUE"""),16623200)</f>
        <v>16623200</v>
      </c>
    </row>
    <row r="193" spans="1:6">
      <c r="A193" s="1">
        <f ca="1">IFERROR(__xludf.DUMMYFUNCTION("""COMPUTED_VALUE"""),42290.625)</f>
        <v>42290.625</v>
      </c>
      <c r="B193" s="2">
        <f ca="1">IFERROR(__xludf.DUMMYFUNCTION("""COMPUTED_VALUE"""),4562.5)</f>
        <v>4562.5</v>
      </c>
      <c r="C193" s="2">
        <f ca="1">IFERROR(__xludf.DUMMYFUNCTION("""COMPUTED_VALUE"""),4587.5)</f>
        <v>4587.5</v>
      </c>
      <c r="D193" s="2">
        <f ca="1">IFERROR(__xludf.DUMMYFUNCTION("""COMPUTED_VALUE"""),4475)</f>
        <v>4475</v>
      </c>
      <c r="E193" s="2">
        <f ca="1">IFERROR(__xludf.DUMMYFUNCTION("""COMPUTED_VALUE"""),4475)</f>
        <v>4475</v>
      </c>
      <c r="F193" s="2">
        <f ca="1">IFERROR(__xludf.DUMMYFUNCTION("""COMPUTED_VALUE"""),30934100)</f>
        <v>30934100</v>
      </c>
    </row>
    <row r="194" spans="1:6">
      <c r="A194" s="1">
        <f ca="1">IFERROR(__xludf.DUMMYFUNCTION("""COMPUTED_VALUE"""),42292.625)</f>
        <v>42292.625</v>
      </c>
      <c r="B194" s="2">
        <f ca="1">IFERROR(__xludf.DUMMYFUNCTION("""COMPUTED_VALUE"""),4475)</f>
        <v>4475</v>
      </c>
      <c r="C194" s="2">
        <f ca="1">IFERROR(__xludf.DUMMYFUNCTION("""COMPUTED_VALUE"""),4550)</f>
        <v>4550</v>
      </c>
      <c r="D194" s="2">
        <f ca="1">IFERROR(__xludf.DUMMYFUNCTION("""COMPUTED_VALUE"""),4425)</f>
        <v>4425</v>
      </c>
      <c r="E194" s="2">
        <f ca="1">IFERROR(__xludf.DUMMYFUNCTION("""COMPUTED_VALUE"""),4450)</f>
        <v>4450</v>
      </c>
      <c r="F194" s="2">
        <f ca="1">IFERROR(__xludf.DUMMYFUNCTION("""COMPUTED_VALUE"""),20148200)</f>
        <v>20148200</v>
      </c>
    </row>
    <row r="195" spans="1:6">
      <c r="A195" s="1">
        <f ca="1">IFERROR(__xludf.DUMMYFUNCTION("""COMPUTED_VALUE"""),42293.625)</f>
        <v>42293.625</v>
      </c>
      <c r="B195" s="2">
        <f ca="1">IFERROR(__xludf.DUMMYFUNCTION("""COMPUTED_VALUE"""),4450)</f>
        <v>4450</v>
      </c>
      <c r="C195" s="2">
        <f ca="1">IFERROR(__xludf.DUMMYFUNCTION("""COMPUTED_VALUE"""),4537.5)</f>
        <v>4537.5</v>
      </c>
      <c r="D195" s="2">
        <f ca="1">IFERROR(__xludf.DUMMYFUNCTION("""COMPUTED_VALUE"""),4450)</f>
        <v>4450</v>
      </c>
      <c r="E195" s="2">
        <f ca="1">IFERROR(__xludf.DUMMYFUNCTION("""COMPUTED_VALUE"""),4462.5)</f>
        <v>4462.5</v>
      </c>
      <c r="F195" s="2">
        <f ca="1">IFERROR(__xludf.DUMMYFUNCTION("""COMPUTED_VALUE"""),16444300)</f>
        <v>16444300</v>
      </c>
    </row>
    <row r="196" spans="1:6">
      <c r="A196" s="1">
        <f ca="1">IFERROR(__xludf.DUMMYFUNCTION("""COMPUTED_VALUE"""),42296.625)</f>
        <v>42296.625</v>
      </c>
      <c r="B196" s="2">
        <f ca="1">IFERROR(__xludf.DUMMYFUNCTION("""COMPUTED_VALUE"""),4475)</f>
        <v>4475</v>
      </c>
      <c r="C196" s="2">
        <f ca="1">IFERROR(__xludf.DUMMYFUNCTION("""COMPUTED_VALUE"""),4575)</f>
        <v>4575</v>
      </c>
      <c r="D196" s="2">
        <f ca="1">IFERROR(__xludf.DUMMYFUNCTION("""COMPUTED_VALUE"""),4475)</f>
        <v>4475</v>
      </c>
      <c r="E196" s="2">
        <f ca="1">IFERROR(__xludf.DUMMYFUNCTION("""COMPUTED_VALUE"""),4575)</f>
        <v>4575</v>
      </c>
      <c r="F196" s="2">
        <f ca="1">IFERROR(__xludf.DUMMYFUNCTION("""COMPUTED_VALUE"""),13713300)</f>
        <v>13713300</v>
      </c>
    </row>
    <row r="197" spans="1:6">
      <c r="A197" s="1">
        <f ca="1">IFERROR(__xludf.DUMMYFUNCTION("""COMPUTED_VALUE"""),42297.625)</f>
        <v>42297.625</v>
      </c>
      <c r="B197" s="2">
        <f ca="1">IFERROR(__xludf.DUMMYFUNCTION("""COMPUTED_VALUE"""),4575)</f>
        <v>4575</v>
      </c>
      <c r="C197" s="2">
        <f ca="1">IFERROR(__xludf.DUMMYFUNCTION("""COMPUTED_VALUE"""),4625)</f>
        <v>4625</v>
      </c>
      <c r="D197" s="2">
        <f ca="1">IFERROR(__xludf.DUMMYFUNCTION("""COMPUTED_VALUE"""),4512.5)</f>
        <v>4512.5</v>
      </c>
      <c r="E197" s="2">
        <f ca="1">IFERROR(__xludf.DUMMYFUNCTION("""COMPUTED_VALUE"""),4625)</f>
        <v>4625</v>
      </c>
      <c r="F197" s="2">
        <f ca="1">IFERROR(__xludf.DUMMYFUNCTION("""COMPUTED_VALUE"""),16265900)</f>
        <v>16265900</v>
      </c>
    </row>
    <row r="198" spans="1:6">
      <c r="A198" s="1">
        <f ca="1">IFERROR(__xludf.DUMMYFUNCTION("""COMPUTED_VALUE"""),42298.625)</f>
        <v>42298.625</v>
      </c>
      <c r="B198" s="2">
        <f ca="1">IFERROR(__xludf.DUMMYFUNCTION("""COMPUTED_VALUE"""),4562.5)</f>
        <v>4562.5</v>
      </c>
      <c r="C198" s="2">
        <f ca="1">IFERROR(__xludf.DUMMYFUNCTION("""COMPUTED_VALUE"""),4700)</f>
        <v>4700</v>
      </c>
      <c r="D198" s="2">
        <f ca="1">IFERROR(__xludf.DUMMYFUNCTION("""COMPUTED_VALUE"""),4562.5)</f>
        <v>4562.5</v>
      </c>
      <c r="E198" s="2">
        <f ca="1">IFERROR(__xludf.DUMMYFUNCTION("""COMPUTED_VALUE"""),4612.5)</f>
        <v>4612.5</v>
      </c>
      <c r="F198" s="2">
        <f ca="1">IFERROR(__xludf.DUMMYFUNCTION("""COMPUTED_VALUE"""),16385800)</f>
        <v>16385800</v>
      </c>
    </row>
    <row r="199" spans="1:6">
      <c r="A199" s="1">
        <f ca="1">IFERROR(__xludf.DUMMYFUNCTION("""COMPUTED_VALUE"""),42299.625)</f>
        <v>42299.625</v>
      </c>
      <c r="B199" s="2">
        <f ca="1">IFERROR(__xludf.DUMMYFUNCTION("""COMPUTED_VALUE"""),4637.5)</f>
        <v>4637.5</v>
      </c>
      <c r="C199" s="2">
        <f ca="1">IFERROR(__xludf.DUMMYFUNCTION("""COMPUTED_VALUE"""),4662.5)</f>
        <v>4662.5</v>
      </c>
      <c r="D199" s="2">
        <f ca="1">IFERROR(__xludf.DUMMYFUNCTION("""COMPUTED_VALUE"""),4587.5)</f>
        <v>4587.5</v>
      </c>
      <c r="E199" s="2">
        <f ca="1">IFERROR(__xludf.DUMMYFUNCTION("""COMPUTED_VALUE"""),4587.5)</f>
        <v>4587.5</v>
      </c>
      <c r="F199" s="2">
        <f ca="1">IFERROR(__xludf.DUMMYFUNCTION("""COMPUTED_VALUE"""),16599000)</f>
        <v>16599000</v>
      </c>
    </row>
    <row r="200" spans="1:6">
      <c r="A200" s="1">
        <f ca="1">IFERROR(__xludf.DUMMYFUNCTION("""COMPUTED_VALUE"""),42300.625)</f>
        <v>42300.625</v>
      </c>
      <c r="B200" s="2">
        <f ca="1">IFERROR(__xludf.DUMMYFUNCTION("""COMPUTED_VALUE"""),4675)</f>
        <v>4675</v>
      </c>
      <c r="C200" s="2">
        <f ca="1">IFERROR(__xludf.DUMMYFUNCTION("""COMPUTED_VALUE"""),4725)</f>
        <v>4725</v>
      </c>
      <c r="D200" s="2">
        <f ca="1">IFERROR(__xludf.DUMMYFUNCTION("""COMPUTED_VALUE"""),4600)</f>
        <v>4600</v>
      </c>
      <c r="E200" s="2">
        <f ca="1">IFERROR(__xludf.DUMMYFUNCTION("""COMPUTED_VALUE"""),4700)</f>
        <v>4700</v>
      </c>
      <c r="F200" s="2">
        <f ca="1">IFERROR(__xludf.DUMMYFUNCTION("""COMPUTED_VALUE"""),35602000)</f>
        <v>35602000</v>
      </c>
    </row>
    <row r="201" spans="1:6">
      <c r="A201" s="1">
        <f ca="1">IFERROR(__xludf.DUMMYFUNCTION("""COMPUTED_VALUE"""),42303.625)</f>
        <v>42303.625</v>
      </c>
      <c r="B201" s="2">
        <f ca="1">IFERROR(__xludf.DUMMYFUNCTION("""COMPUTED_VALUE"""),4750)</f>
        <v>4750</v>
      </c>
      <c r="C201" s="2">
        <f ca="1">IFERROR(__xludf.DUMMYFUNCTION("""COMPUTED_VALUE"""),4812.5)</f>
        <v>4812.5</v>
      </c>
      <c r="D201" s="2">
        <f ca="1">IFERROR(__xludf.DUMMYFUNCTION("""COMPUTED_VALUE"""),4737.5)</f>
        <v>4737.5</v>
      </c>
      <c r="E201" s="2">
        <f ca="1">IFERROR(__xludf.DUMMYFUNCTION("""COMPUTED_VALUE"""),4787.5)</f>
        <v>4787.5</v>
      </c>
      <c r="F201" s="2">
        <f ca="1">IFERROR(__xludf.DUMMYFUNCTION("""COMPUTED_VALUE"""),36321600)</f>
        <v>36321600</v>
      </c>
    </row>
    <row r="202" spans="1:6">
      <c r="A202" s="1">
        <f ca="1">IFERROR(__xludf.DUMMYFUNCTION("""COMPUTED_VALUE"""),42304.625)</f>
        <v>42304.625</v>
      </c>
      <c r="B202" s="2">
        <f ca="1">IFERROR(__xludf.DUMMYFUNCTION("""COMPUTED_VALUE"""),4750)</f>
        <v>4750</v>
      </c>
      <c r="C202" s="2">
        <f ca="1">IFERROR(__xludf.DUMMYFUNCTION("""COMPUTED_VALUE"""),4825)</f>
        <v>4825</v>
      </c>
      <c r="D202" s="2">
        <f ca="1">IFERROR(__xludf.DUMMYFUNCTION("""COMPUTED_VALUE"""),4712.5)</f>
        <v>4712.5</v>
      </c>
      <c r="E202" s="2">
        <f ca="1">IFERROR(__xludf.DUMMYFUNCTION("""COMPUTED_VALUE"""),4825)</f>
        <v>4825</v>
      </c>
      <c r="F202" s="2">
        <f ca="1">IFERROR(__xludf.DUMMYFUNCTION("""COMPUTED_VALUE"""),20121100)</f>
        <v>20121100</v>
      </c>
    </row>
    <row r="203" spans="1:6">
      <c r="A203" s="1">
        <f ca="1">IFERROR(__xludf.DUMMYFUNCTION("""COMPUTED_VALUE"""),42305.625)</f>
        <v>42305.625</v>
      </c>
      <c r="B203" s="2">
        <f ca="1">IFERROR(__xludf.DUMMYFUNCTION("""COMPUTED_VALUE"""),4762.5)</f>
        <v>4762.5</v>
      </c>
      <c r="C203" s="2">
        <f ca="1">IFERROR(__xludf.DUMMYFUNCTION("""COMPUTED_VALUE"""),4812.5)</f>
        <v>4812.5</v>
      </c>
      <c r="D203" s="2">
        <f ca="1">IFERROR(__xludf.DUMMYFUNCTION("""COMPUTED_VALUE"""),4725)</f>
        <v>4725</v>
      </c>
      <c r="E203" s="2">
        <f ca="1">IFERROR(__xludf.DUMMYFUNCTION("""COMPUTED_VALUE"""),4725)</f>
        <v>4725</v>
      </c>
      <c r="F203" s="2">
        <f ca="1">IFERROR(__xludf.DUMMYFUNCTION("""COMPUTED_VALUE"""),18131500)</f>
        <v>18131500</v>
      </c>
    </row>
    <row r="204" spans="1:6">
      <c r="A204" s="1">
        <f ca="1">IFERROR(__xludf.DUMMYFUNCTION("""COMPUTED_VALUE"""),42306.625)</f>
        <v>42306.625</v>
      </c>
      <c r="B204" s="2">
        <f ca="1">IFERROR(__xludf.DUMMYFUNCTION("""COMPUTED_VALUE"""),4700)</f>
        <v>4700</v>
      </c>
      <c r="C204" s="2">
        <f ca="1">IFERROR(__xludf.DUMMYFUNCTION("""COMPUTED_VALUE"""),4712.5)</f>
        <v>4712.5</v>
      </c>
      <c r="D204" s="2">
        <f ca="1">IFERROR(__xludf.DUMMYFUNCTION("""COMPUTED_VALUE"""),4475)</f>
        <v>4475</v>
      </c>
      <c r="E204" s="2">
        <f ca="1">IFERROR(__xludf.DUMMYFUNCTION("""COMPUTED_VALUE"""),4500)</f>
        <v>4500</v>
      </c>
      <c r="F204" s="2">
        <f ca="1">IFERROR(__xludf.DUMMYFUNCTION("""COMPUTED_VALUE"""),28386400)</f>
        <v>28386400</v>
      </c>
    </row>
    <row r="205" spans="1:6">
      <c r="A205" s="1">
        <f ca="1">IFERROR(__xludf.DUMMYFUNCTION("""COMPUTED_VALUE"""),42307.625)</f>
        <v>42307.625</v>
      </c>
      <c r="B205" s="2">
        <f ca="1">IFERROR(__xludf.DUMMYFUNCTION("""COMPUTED_VALUE"""),4412.5)</f>
        <v>4412.5</v>
      </c>
      <c r="C205" s="2">
        <f ca="1">IFERROR(__xludf.DUMMYFUNCTION("""COMPUTED_VALUE"""),4462.5)</f>
        <v>4462.5</v>
      </c>
      <c r="D205" s="2">
        <f ca="1">IFERROR(__xludf.DUMMYFUNCTION("""COMPUTED_VALUE"""),4350)</f>
        <v>4350</v>
      </c>
      <c r="E205" s="2">
        <f ca="1">IFERROR(__xludf.DUMMYFUNCTION("""COMPUTED_VALUE"""),4350)</f>
        <v>4350</v>
      </c>
      <c r="F205" s="2">
        <f ca="1">IFERROR(__xludf.DUMMYFUNCTION("""COMPUTED_VALUE"""),45767300)</f>
        <v>45767300</v>
      </c>
    </row>
    <row r="206" spans="1:6">
      <c r="A206" s="1">
        <f ca="1">IFERROR(__xludf.DUMMYFUNCTION("""COMPUTED_VALUE"""),42310.625)</f>
        <v>42310.625</v>
      </c>
      <c r="B206" s="2">
        <f ca="1">IFERROR(__xludf.DUMMYFUNCTION("""COMPUTED_VALUE"""),4337.5)</f>
        <v>4337.5</v>
      </c>
      <c r="C206" s="2">
        <f ca="1">IFERROR(__xludf.DUMMYFUNCTION("""COMPUTED_VALUE"""),4350)</f>
        <v>4350</v>
      </c>
      <c r="D206" s="2">
        <f ca="1">IFERROR(__xludf.DUMMYFUNCTION("""COMPUTED_VALUE"""),4200)</f>
        <v>4200</v>
      </c>
      <c r="E206" s="2">
        <f ca="1">IFERROR(__xludf.DUMMYFUNCTION("""COMPUTED_VALUE"""),4275)</f>
        <v>4275</v>
      </c>
      <c r="F206" s="2">
        <f ca="1">IFERROR(__xludf.DUMMYFUNCTION("""COMPUTED_VALUE"""),21101700)</f>
        <v>21101700</v>
      </c>
    </row>
    <row r="207" spans="1:6">
      <c r="A207" s="1">
        <f ca="1">IFERROR(__xludf.DUMMYFUNCTION("""COMPUTED_VALUE"""),42311.625)</f>
        <v>42311.625</v>
      </c>
      <c r="B207" s="2">
        <f ca="1">IFERROR(__xludf.DUMMYFUNCTION("""COMPUTED_VALUE"""),4350)</f>
        <v>4350</v>
      </c>
      <c r="C207" s="2">
        <f ca="1">IFERROR(__xludf.DUMMYFUNCTION("""COMPUTED_VALUE"""),4537.5)</f>
        <v>4537.5</v>
      </c>
      <c r="D207" s="2">
        <f ca="1">IFERROR(__xludf.DUMMYFUNCTION("""COMPUTED_VALUE"""),4350)</f>
        <v>4350</v>
      </c>
      <c r="E207" s="2">
        <f ca="1">IFERROR(__xludf.DUMMYFUNCTION("""COMPUTED_VALUE"""),4425)</f>
        <v>4425</v>
      </c>
      <c r="F207" s="2">
        <f ca="1">IFERROR(__xludf.DUMMYFUNCTION("""COMPUTED_VALUE"""),33468500)</f>
        <v>33468500</v>
      </c>
    </row>
    <row r="208" spans="1:6">
      <c r="A208" s="1">
        <f ca="1">IFERROR(__xludf.DUMMYFUNCTION("""COMPUTED_VALUE"""),42312.625)</f>
        <v>42312.625</v>
      </c>
      <c r="B208" s="2">
        <f ca="1">IFERROR(__xludf.DUMMYFUNCTION("""COMPUTED_VALUE"""),4437.5)</f>
        <v>4437.5</v>
      </c>
      <c r="C208" s="2">
        <f ca="1">IFERROR(__xludf.DUMMYFUNCTION("""COMPUTED_VALUE"""),4575)</f>
        <v>4575</v>
      </c>
      <c r="D208" s="2">
        <f ca="1">IFERROR(__xludf.DUMMYFUNCTION("""COMPUTED_VALUE"""),4437.5)</f>
        <v>4437.5</v>
      </c>
      <c r="E208" s="2">
        <f ca="1">IFERROR(__xludf.DUMMYFUNCTION("""COMPUTED_VALUE"""),4550)</f>
        <v>4550</v>
      </c>
      <c r="F208" s="2">
        <f ca="1">IFERROR(__xludf.DUMMYFUNCTION("""COMPUTED_VALUE"""),26089500)</f>
        <v>26089500</v>
      </c>
    </row>
    <row r="209" spans="1:6">
      <c r="A209" s="1">
        <f ca="1">IFERROR(__xludf.DUMMYFUNCTION("""COMPUTED_VALUE"""),42313.625)</f>
        <v>42313.625</v>
      </c>
      <c r="B209" s="2">
        <f ca="1">IFERROR(__xludf.DUMMYFUNCTION("""COMPUTED_VALUE"""),4562.5)</f>
        <v>4562.5</v>
      </c>
      <c r="C209" s="2">
        <f ca="1">IFERROR(__xludf.DUMMYFUNCTION("""COMPUTED_VALUE"""),4575)</f>
        <v>4575</v>
      </c>
      <c r="D209" s="2">
        <f ca="1">IFERROR(__xludf.DUMMYFUNCTION("""COMPUTED_VALUE"""),4450)</f>
        <v>4450</v>
      </c>
      <c r="E209" s="2">
        <f ca="1">IFERROR(__xludf.DUMMYFUNCTION("""COMPUTED_VALUE"""),4487.5)</f>
        <v>4487.5</v>
      </c>
      <c r="F209" s="2">
        <f ca="1">IFERROR(__xludf.DUMMYFUNCTION("""COMPUTED_VALUE"""),19172300)</f>
        <v>19172300</v>
      </c>
    </row>
    <row r="210" spans="1:6">
      <c r="A210" s="1">
        <f ca="1">IFERROR(__xludf.DUMMYFUNCTION("""COMPUTED_VALUE"""),42314.625)</f>
        <v>42314.625</v>
      </c>
      <c r="B210" s="2">
        <f ca="1">IFERROR(__xludf.DUMMYFUNCTION("""COMPUTED_VALUE"""),4450)</f>
        <v>4450</v>
      </c>
      <c r="C210" s="2">
        <f ca="1">IFERROR(__xludf.DUMMYFUNCTION("""COMPUTED_VALUE"""),4537.5)</f>
        <v>4537.5</v>
      </c>
      <c r="D210" s="2">
        <f ca="1">IFERROR(__xludf.DUMMYFUNCTION("""COMPUTED_VALUE"""),4450)</f>
        <v>4450</v>
      </c>
      <c r="E210" s="2">
        <f ca="1">IFERROR(__xludf.DUMMYFUNCTION("""COMPUTED_VALUE"""),4487.5)</f>
        <v>4487.5</v>
      </c>
      <c r="F210" s="2">
        <f ca="1">IFERROR(__xludf.DUMMYFUNCTION("""COMPUTED_VALUE"""),9958900)</f>
        <v>9958900</v>
      </c>
    </row>
    <row r="211" spans="1:6">
      <c r="A211" s="1">
        <f ca="1">IFERROR(__xludf.DUMMYFUNCTION("""COMPUTED_VALUE"""),42317.625)</f>
        <v>42317.625</v>
      </c>
      <c r="B211" s="2">
        <f ca="1">IFERROR(__xludf.DUMMYFUNCTION("""COMPUTED_VALUE"""),4400)</f>
        <v>4400</v>
      </c>
      <c r="C211" s="2">
        <f ca="1">IFERROR(__xludf.DUMMYFUNCTION("""COMPUTED_VALUE"""),4450)</f>
        <v>4450</v>
      </c>
      <c r="D211" s="2">
        <f ca="1">IFERROR(__xludf.DUMMYFUNCTION("""COMPUTED_VALUE"""),4350)</f>
        <v>4350</v>
      </c>
      <c r="E211" s="2">
        <f ca="1">IFERROR(__xludf.DUMMYFUNCTION("""COMPUTED_VALUE"""),4350)</f>
        <v>4350</v>
      </c>
      <c r="F211" s="2">
        <f ca="1">IFERROR(__xludf.DUMMYFUNCTION("""COMPUTED_VALUE"""),16501300)</f>
        <v>16501300</v>
      </c>
    </row>
    <row r="212" spans="1:6">
      <c r="A212" s="1">
        <f ca="1">IFERROR(__xludf.DUMMYFUNCTION("""COMPUTED_VALUE"""),42318.625)</f>
        <v>42318.625</v>
      </c>
      <c r="B212" s="2">
        <f ca="1">IFERROR(__xludf.DUMMYFUNCTION("""COMPUTED_VALUE"""),4262.5)</f>
        <v>4262.5</v>
      </c>
      <c r="C212" s="2">
        <f ca="1">IFERROR(__xludf.DUMMYFUNCTION("""COMPUTED_VALUE"""),4350)</f>
        <v>4350</v>
      </c>
      <c r="D212" s="2">
        <f ca="1">IFERROR(__xludf.DUMMYFUNCTION("""COMPUTED_VALUE"""),4200)</f>
        <v>4200</v>
      </c>
      <c r="E212" s="2">
        <f ca="1">IFERROR(__xludf.DUMMYFUNCTION("""COMPUTED_VALUE"""),4200)</f>
        <v>4200</v>
      </c>
      <c r="F212" s="2">
        <f ca="1">IFERROR(__xludf.DUMMYFUNCTION("""COMPUTED_VALUE"""),30533000)</f>
        <v>30533000</v>
      </c>
    </row>
    <row r="213" spans="1:6">
      <c r="A213" s="1">
        <f ca="1">IFERROR(__xludf.DUMMYFUNCTION("""COMPUTED_VALUE"""),42319.625)</f>
        <v>42319.625</v>
      </c>
      <c r="B213" s="2">
        <f ca="1">IFERROR(__xludf.DUMMYFUNCTION("""COMPUTED_VALUE"""),4162.5)</f>
        <v>4162.5</v>
      </c>
      <c r="C213" s="2">
        <f ca="1">IFERROR(__xludf.DUMMYFUNCTION("""COMPUTED_VALUE"""),4175)</f>
        <v>4175</v>
      </c>
      <c r="D213" s="2">
        <f ca="1">IFERROR(__xludf.DUMMYFUNCTION("""COMPUTED_VALUE"""),4075)</f>
        <v>4075</v>
      </c>
      <c r="E213" s="2">
        <f ca="1">IFERROR(__xludf.DUMMYFUNCTION("""COMPUTED_VALUE"""),4087.5)</f>
        <v>4087.5</v>
      </c>
      <c r="F213" s="2">
        <f ca="1">IFERROR(__xludf.DUMMYFUNCTION("""COMPUTED_VALUE"""),30728000)</f>
        <v>30728000</v>
      </c>
    </row>
    <row r="214" spans="1:6">
      <c r="A214" s="1">
        <f ca="1">IFERROR(__xludf.DUMMYFUNCTION("""COMPUTED_VALUE"""),42320.625)</f>
        <v>42320.625</v>
      </c>
      <c r="B214" s="2">
        <f ca="1">IFERROR(__xludf.DUMMYFUNCTION("""COMPUTED_VALUE"""),4087.5)</f>
        <v>4087.5</v>
      </c>
      <c r="C214" s="2">
        <f ca="1">IFERROR(__xludf.DUMMYFUNCTION("""COMPUTED_VALUE"""),4225)</f>
        <v>4225</v>
      </c>
      <c r="D214" s="2">
        <f ca="1">IFERROR(__xludf.DUMMYFUNCTION("""COMPUTED_VALUE"""),4087.5)</f>
        <v>4087.5</v>
      </c>
      <c r="E214" s="2">
        <f ca="1">IFERROR(__xludf.DUMMYFUNCTION("""COMPUTED_VALUE"""),4187.5)</f>
        <v>4187.5</v>
      </c>
      <c r="F214" s="2">
        <f ca="1">IFERROR(__xludf.DUMMYFUNCTION("""COMPUTED_VALUE"""),25370300)</f>
        <v>25370300</v>
      </c>
    </row>
    <row r="215" spans="1:6">
      <c r="A215" s="1">
        <f ca="1">IFERROR(__xludf.DUMMYFUNCTION("""COMPUTED_VALUE"""),42321.625)</f>
        <v>42321.625</v>
      </c>
      <c r="B215" s="2">
        <f ca="1">IFERROR(__xludf.DUMMYFUNCTION("""COMPUTED_VALUE"""),4150)</f>
        <v>4150</v>
      </c>
      <c r="C215" s="2">
        <f ca="1">IFERROR(__xludf.DUMMYFUNCTION("""COMPUTED_VALUE"""),4337.5)</f>
        <v>4337.5</v>
      </c>
      <c r="D215" s="2">
        <f ca="1">IFERROR(__xludf.DUMMYFUNCTION("""COMPUTED_VALUE"""),4137.5)</f>
        <v>4137.5</v>
      </c>
      <c r="E215" s="2">
        <f ca="1">IFERROR(__xludf.DUMMYFUNCTION("""COMPUTED_VALUE"""),4337.5)</f>
        <v>4337.5</v>
      </c>
      <c r="F215" s="2">
        <f ca="1">IFERROR(__xludf.DUMMYFUNCTION("""COMPUTED_VALUE"""),21516600)</f>
        <v>21516600</v>
      </c>
    </row>
    <row r="216" spans="1:6">
      <c r="A216" s="1">
        <f ca="1">IFERROR(__xludf.DUMMYFUNCTION("""COMPUTED_VALUE"""),42324.625)</f>
        <v>42324.625</v>
      </c>
      <c r="B216" s="2">
        <f ca="1">IFERROR(__xludf.DUMMYFUNCTION("""COMPUTED_VALUE"""),4225)</f>
        <v>4225</v>
      </c>
      <c r="C216" s="2">
        <f ca="1">IFERROR(__xludf.DUMMYFUNCTION("""COMPUTED_VALUE"""),4262.5)</f>
        <v>4262.5</v>
      </c>
      <c r="D216" s="2">
        <f ca="1">IFERROR(__xludf.DUMMYFUNCTION("""COMPUTED_VALUE"""),4175)</f>
        <v>4175</v>
      </c>
      <c r="E216" s="2">
        <f ca="1">IFERROR(__xludf.DUMMYFUNCTION("""COMPUTED_VALUE"""),4250)</f>
        <v>4250</v>
      </c>
      <c r="F216" s="2">
        <f ca="1">IFERROR(__xludf.DUMMYFUNCTION("""COMPUTED_VALUE"""),13745800)</f>
        <v>13745800</v>
      </c>
    </row>
    <row r="217" spans="1:6">
      <c r="A217" s="1">
        <f ca="1">IFERROR(__xludf.DUMMYFUNCTION("""COMPUTED_VALUE"""),42325.625)</f>
        <v>42325.625</v>
      </c>
      <c r="B217" s="2">
        <f ca="1">IFERROR(__xludf.DUMMYFUNCTION("""COMPUTED_VALUE"""),4262.5)</f>
        <v>4262.5</v>
      </c>
      <c r="C217" s="2">
        <f ca="1">IFERROR(__xludf.DUMMYFUNCTION("""COMPUTED_VALUE"""),4337.5)</f>
        <v>4337.5</v>
      </c>
      <c r="D217" s="2">
        <f ca="1">IFERROR(__xludf.DUMMYFUNCTION("""COMPUTED_VALUE"""),4262.5)</f>
        <v>4262.5</v>
      </c>
      <c r="E217" s="2">
        <f ca="1">IFERROR(__xludf.DUMMYFUNCTION("""COMPUTED_VALUE"""),4312.5)</f>
        <v>4312.5</v>
      </c>
      <c r="F217" s="2">
        <f ca="1">IFERROR(__xludf.DUMMYFUNCTION("""COMPUTED_VALUE"""),18778600)</f>
        <v>18778600</v>
      </c>
    </row>
    <row r="218" spans="1:6">
      <c r="A218" s="1">
        <f ca="1">IFERROR(__xludf.DUMMYFUNCTION("""COMPUTED_VALUE"""),42326.625)</f>
        <v>42326.625</v>
      </c>
      <c r="B218" s="2">
        <f ca="1">IFERROR(__xludf.DUMMYFUNCTION("""COMPUTED_VALUE"""),4350)</f>
        <v>4350</v>
      </c>
      <c r="C218" s="2">
        <f ca="1">IFERROR(__xludf.DUMMYFUNCTION("""COMPUTED_VALUE"""),4350)</f>
        <v>4350</v>
      </c>
      <c r="D218" s="2">
        <f ca="1">IFERROR(__xludf.DUMMYFUNCTION("""COMPUTED_VALUE"""),4275)</f>
        <v>4275</v>
      </c>
      <c r="E218" s="2">
        <f ca="1">IFERROR(__xludf.DUMMYFUNCTION("""COMPUTED_VALUE"""),4312.5)</f>
        <v>4312.5</v>
      </c>
      <c r="F218" s="2">
        <f ca="1">IFERROR(__xludf.DUMMYFUNCTION("""COMPUTED_VALUE"""),12417800)</f>
        <v>12417800</v>
      </c>
    </row>
    <row r="219" spans="1:6">
      <c r="A219" s="1">
        <f ca="1">IFERROR(__xludf.DUMMYFUNCTION("""COMPUTED_VALUE"""),42327.625)</f>
        <v>42327.625</v>
      </c>
      <c r="B219" s="2">
        <f ca="1">IFERROR(__xludf.DUMMYFUNCTION("""COMPUTED_VALUE"""),4350)</f>
        <v>4350</v>
      </c>
      <c r="C219" s="2">
        <f ca="1">IFERROR(__xludf.DUMMYFUNCTION("""COMPUTED_VALUE"""),4387.5)</f>
        <v>4387.5</v>
      </c>
      <c r="D219" s="2">
        <f ca="1">IFERROR(__xludf.DUMMYFUNCTION("""COMPUTED_VALUE"""),4337.5)</f>
        <v>4337.5</v>
      </c>
      <c r="E219" s="2">
        <f ca="1">IFERROR(__xludf.DUMMYFUNCTION("""COMPUTED_VALUE"""),4387.5)</f>
        <v>4387.5</v>
      </c>
      <c r="F219" s="2">
        <f ca="1">IFERROR(__xludf.DUMMYFUNCTION("""COMPUTED_VALUE"""),15445500)</f>
        <v>15445500</v>
      </c>
    </row>
    <row r="220" spans="1:6">
      <c r="A220" s="1">
        <f ca="1">IFERROR(__xludf.DUMMYFUNCTION("""COMPUTED_VALUE"""),42328.625)</f>
        <v>42328.625</v>
      </c>
      <c r="B220" s="2">
        <f ca="1">IFERROR(__xludf.DUMMYFUNCTION("""COMPUTED_VALUE"""),4325)</f>
        <v>4325</v>
      </c>
      <c r="C220" s="2">
        <f ca="1">IFERROR(__xludf.DUMMYFUNCTION("""COMPUTED_VALUE"""),4375)</f>
        <v>4375</v>
      </c>
      <c r="D220" s="2">
        <f ca="1">IFERROR(__xludf.DUMMYFUNCTION("""COMPUTED_VALUE"""),4287.5)</f>
        <v>4287.5</v>
      </c>
      <c r="E220" s="2">
        <f ca="1">IFERROR(__xludf.DUMMYFUNCTION("""COMPUTED_VALUE"""),4337.5)</f>
        <v>4337.5</v>
      </c>
      <c r="F220" s="2">
        <f ca="1">IFERROR(__xludf.DUMMYFUNCTION("""COMPUTED_VALUE"""),13699600)</f>
        <v>13699600</v>
      </c>
    </row>
    <row r="221" spans="1:6">
      <c r="A221" s="1">
        <f ca="1">IFERROR(__xludf.DUMMYFUNCTION("""COMPUTED_VALUE"""),42331.625)</f>
        <v>42331.625</v>
      </c>
      <c r="B221" s="2">
        <f ca="1">IFERROR(__xludf.DUMMYFUNCTION("""COMPUTED_VALUE"""),4362.5)</f>
        <v>4362.5</v>
      </c>
      <c r="C221" s="2">
        <f ca="1">IFERROR(__xludf.DUMMYFUNCTION("""COMPUTED_VALUE"""),4425)</f>
        <v>4425</v>
      </c>
      <c r="D221" s="2">
        <f ca="1">IFERROR(__xludf.DUMMYFUNCTION("""COMPUTED_VALUE"""),4362.5)</f>
        <v>4362.5</v>
      </c>
      <c r="E221" s="2">
        <f ca="1">IFERROR(__xludf.DUMMYFUNCTION("""COMPUTED_VALUE"""),4362.5)</f>
        <v>4362.5</v>
      </c>
      <c r="F221" s="2">
        <f ca="1">IFERROR(__xludf.DUMMYFUNCTION("""COMPUTED_VALUE"""),11488500)</f>
        <v>11488500</v>
      </c>
    </row>
    <row r="222" spans="1:6">
      <c r="A222" s="1">
        <f ca="1">IFERROR(__xludf.DUMMYFUNCTION("""COMPUTED_VALUE"""),42332.625)</f>
        <v>42332.625</v>
      </c>
      <c r="B222" s="2">
        <f ca="1">IFERROR(__xludf.DUMMYFUNCTION("""COMPUTED_VALUE"""),4300)</f>
        <v>4300</v>
      </c>
      <c r="C222" s="2">
        <f ca="1">IFERROR(__xludf.DUMMYFUNCTION("""COMPUTED_VALUE"""),4375)</f>
        <v>4375</v>
      </c>
      <c r="D222" s="2">
        <f ca="1">IFERROR(__xludf.DUMMYFUNCTION("""COMPUTED_VALUE"""),4300)</f>
        <v>4300</v>
      </c>
      <c r="E222" s="2">
        <f ca="1">IFERROR(__xludf.DUMMYFUNCTION("""COMPUTED_VALUE"""),4350)</f>
        <v>4350</v>
      </c>
      <c r="F222" s="2">
        <f ca="1">IFERROR(__xludf.DUMMYFUNCTION("""COMPUTED_VALUE"""),6609100)</f>
        <v>6609100</v>
      </c>
    </row>
    <row r="223" spans="1:6">
      <c r="A223" s="1">
        <f ca="1">IFERROR(__xludf.DUMMYFUNCTION("""COMPUTED_VALUE"""),42333.625)</f>
        <v>42333.625</v>
      </c>
      <c r="B223" s="2">
        <f ca="1">IFERROR(__xludf.DUMMYFUNCTION("""COMPUTED_VALUE"""),4362.5)</f>
        <v>4362.5</v>
      </c>
      <c r="C223" s="2">
        <f ca="1">IFERROR(__xludf.DUMMYFUNCTION("""COMPUTED_VALUE"""),4475)</f>
        <v>4475</v>
      </c>
      <c r="D223" s="2">
        <f ca="1">IFERROR(__xludf.DUMMYFUNCTION("""COMPUTED_VALUE"""),4350)</f>
        <v>4350</v>
      </c>
      <c r="E223" s="2">
        <f ca="1">IFERROR(__xludf.DUMMYFUNCTION("""COMPUTED_VALUE"""),4462.5)</f>
        <v>4462.5</v>
      </c>
      <c r="F223" s="2">
        <f ca="1">IFERROR(__xludf.DUMMYFUNCTION("""COMPUTED_VALUE"""),16412100)</f>
        <v>16412100</v>
      </c>
    </row>
    <row r="224" spans="1:6">
      <c r="A224" s="1">
        <f ca="1">IFERROR(__xludf.DUMMYFUNCTION("""COMPUTED_VALUE"""),42334.625)</f>
        <v>42334.625</v>
      </c>
      <c r="B224" s="2">
        <f ca="1">IFERROR(__xludf.DUMMYFUNCTION("""COMPUTED_VALUE"""),4487.5)</f>
        <v>4487.5</v>
      </c>
      <c r="C224" s="2">
        <f ca="1">IFERROR(__xludf.DUMMYFUNCTION("""COMPUTED_VALUE"""),4637.5)</f>
        <v>4637.5</v>
      </c>
      <c r="D224" s="2">
        <f ca="1">IFERROR(__xludf.DUMMYFUNCTION("""COMPUTED_VALUE"""),4450)</f>
        <v>4450</v>
      </c>
      <c r="E224" s="2">
        <f ca="1">IFERROR(__xludf.DUMMYFUNCTION("""COMPUTED_VALUE"""),4637.5)</f>
        <v>4637.5</v>
      </c>
      <c r="F224" s="2">
        <f ca="1">IFERROR(__xludf.DUMMYFUNCTION("""COMPUTED_VALUE"""),28714300)</f>
        <v>28714300</v>
      </c>
    </row>
    <row r="225" spans="1:6">
      <c r="A225" s="1">
        <f ca="1">IFERROR(__xludf.DUMMYFUNCTION("""COMPUTED_VALUE"""),42335.625)</f>
        <v>42335.625</v>
      </c>
      <c r="B225" s="2">
        <f ca="1">IFERROR(__xludf.DUMMYFUNCTION("""COMPUTED_VALUE"""),4612.5)</f>
        <v>4612.5</v>
      </c>
      <c r="C225" s="2">
        <f ca="1">IFERROR(__xludf.DUMMYFUNCTION("""COMPUTED_VALUE"""),4637.5)</f>
        <v>4637.5</v>
      </c>
      <c r="D225" s="2">
        <f ca="1">IFERROR(__xludf.DUMMYFUNCTION("""COMPUTED_VALUE"""),4487.5)</f>
        <v>4487.5</v>
      </c>
      <c r="E225" s="2">
        <f ca="1">IFERROR(__xludf.DUMMYFUNCTION("""COMPUTED_VALUE"""),4487.5)</f>
        <v>4487.5</v>
      </c>
      <c r="F225" s="2">
        <f ca="1">IFERROR(__xludf.DUMMYFUNCTION("""COMPUTED_VALUE"""),12637700)</f>
        <v>12637700</v>
      </c>
    </row>
    <row r="226" spans="1:6">
      <c r="A226" s="1">
        <f ca="1">IFERROR(__xludf.DUMMYFUNCTION("""COMPUTED_VALUE"""),42338.625)</f>
        <v>42338.625</v>
      </c>
      <c r="B226" s="2">
        <f ca="1">IFERROR(__xludf.DUMMYFUNCTION("""COMPUTED_VALUE"""),4450)</f>
        <v>4450</v>
      </c>
      <c r="C226" s="2">
        <f ca="1">IFERROR(__xludf.DUMMYFUNCTION("""COMPUTED_VALUE"""),4500)</f>
        <v>4500</v>
      </c>
      <c r="D226" s="2">
        <f ca="1">IFERROR(__xludf.DUMMYFUNCTION("""COMPUTED_VALUE"""),4250)</f>
        <v>4250</v>
      </c>
      <c r="E226" s="2">
        <f ca="1">IFERROR(__xludf.DUMMYFUNCTION("""COMPUTED_VALUE"""),4250)</f>
        <v>4250</v>
      </c>
      <c r="F226" s="2">
        <f ca="1">IFERROR(__xludf.DUMMYFUNCTION("""COMPUTED_VALUE"""),72781500)</f>
        <v>72781500</v>
      </c>
    </row>
    <row r="227" spans="1:6">
      <c r="A227" s="1">
        <f ca="1">IFERROR(__xludf.DUMMYFUNCTION("""COMPUTED_VALUE"""),42339.625)</f>
        <v>42339.625</v>
      </c>
      <c r="B227" s="2">
        <f ca="1">IFERROR(__xludf.DUMMYFUNCTION("""COMPUTED_VALUE"""),4375)</f>
        <v>4375</v>
      </c>
      <c r="C227" s="2">
        <f ca="1">IFERROR(__xludf.DUMMYFUNCTION("""COMPUTED_VALUE"""),4487.5)</f>
        <v>4487.5</v>
      </c>
      <c r="D227" s="2">
        <f ca="1">IFERROR(__xludf.DUMMYFUNCTION("""COMPUTED_VALUE"""),4375)</f>
        <v>4375</v>
      </c>
      <c r="E227" s="2">
        <f ca="1">IFERROR(__xludf.DUMMYFUNCTION("""COMPUTED_VALUE"""),4450)</f>
        <v>4450</v>
      </c>
      <c r="F227" s="2">
        <f ca="1">IFERROR(__xludf.DUMMYFUNCTION("""COMPUTED_VALUE"""),20307700)</f>
        <v>20307700</v>
      </c>
    </row>
    <row r="228" spans="1:6">
      <c r="A228" s="1">
        <f ca="1">IFERROR(__xludf.DUMMYFUNCTION("""COMPUTED_VALUE"""),42340.625)</f>
        <v>42340.625</v>
      </c>
      <c r="B228" s="2">
        <f ca="1">IFERROR(__xludf.DUMMYFUNCTION("""COMPUTED_VALUE"""),4462.5)</f>
        <v>4462.5</v>
      </c>
      <c r="C228" s="2">
        <f ca="1">IFERROR(__xludf.DUMMYFUNCTION("""COMPUTED_VALUE"""),4487.5)</f>
        <v>4487.5</v>
      </c>
      <c r="D228" s="2">
        <f ca="1">IFERROR(__xludf.DUMMYFUNCTION("""COMPUTED_VALUE"""),4425)</f>
        <v>4425</v>
      </c>
      <c r="E228" s="2">
        <f ca="1">IFERROR(__xludf.DUMMYFUNCTION("""COMPUTED_VALUE"""),4450)</f>
        <v>4450</v>
      </c>
      <c r="F228" s="2">
        <f ca="1">IFERROR(__xludf.DUMMYFUNCTION("""COMPUTED_VALUE"""),11266800)</f>
        <v>11266800</v>
      </c>
    </row>
    <row r="229" spans="1:6">
      <c r="A229" s="1">
        <f ca="1">IFERROR(__xludf.DUMMYFUNCTION("""COMPUTED_VALUE"""),42341.625)</f>
        <v>42341.625</v>
      </c>
      <c r="B229" s="2">
        <f ca="1">IFERROR(__xludf.DUMMYFUNCTION("""COMPUTED_VALUE"""),4425)</f>
        <v>4425</v>
      </c>
      <c r="C229" s="2">
        <f ca="1">IFERROR(__xludf.DUMMYFUNCTION("""COMPUTED_VALUE"""),4462.5)</f>
        <v>4462.5</v>
      </c>
      <c r="D229" s="2">
        <f ca="1">IFERROR(__xludf.DUMMYFUNCTION("""COMPUTED_VALUE"""),4400)</f>
        <v>4400</v>
      </c>
      <c r="E229" s="2">
        <f ca="1">IFERROR(__xludf.DUMMYFUNCTION("""COMPUTED_VALUE"""),4400)</f>
        <v>4400</v>
      </c>
      <c r="F229" s="2">
        <f ca="1">IFERROR(__xludf.DUMMYFUNCTION("""COMPUTED_VALUE"""),11542500)</f>
        <v>11542500</v>
      </c>
    </row>
    <row r="230" spans="1:6">
      <c r="A230" s="1">
        <f ca="1">IFERROR(__xludf.DUMMYFUNCTION("""COMPUTED_VALUE"""),42342.625)</f>
        <v>42342.625</v>
      </c>
      <c r="B230" s="2">
        <f ca="1">IFERROR(__xludf.DUMMYFUNCTION("""COMPUTED_VALUE"""),4400)</f>
        <v>4400</v>
      </c>
      <c r="C230" s="2">
        <f ca="1">IFERROR(__xludf.DUMMYFUNCTION("""COMPUTED_VALUE"""),4412.5)</f>
        <v>4412.5</v>
      </c>
      <c r="D230" s="2">
        <f ca="1">IFERROR(__xludf.DUMMYFUNCTION("""COMPUTED_VALUE"""),4350)</f>
        <v>4350</v>
      </c>
      <c r="E230" s="2">
        <f ca="1">IFERROR(__xludf.DUMMYFUNCTION("""COMPUTED_VALUE"""),4375)</f>
        <v>4375</v>
      </c>
      <c r="F230" s="2">
        <f ca="1">IFERROR(__xludf.DUMMYFUNCTION("""COMPUTED_VALUE"""),16640800)</f>
        <v>16640800</v>
      </c>
    </row>
    <row r="231" spans="1:6">
      <c r="A231" s="1">
        <f ca="1">IFERROR(__xludf.DUMMYFUNCTION("""COMPUTED_VALUE"""),42345.625)</f>
        <v>42345.625</v>
      </c>
      <c r="B231" s="2">
        <f ca="1">IFERROR(__xludf.DUMMYFUNCTION("""COMPUTED_VALUE"""),4425)</f>
        <v>4425</v>
      </c>
      <c r="C231" s="2">
        <f ca="1">IFERROR(__xludf.DUMMYFUNCTION("""COMPUTED_VALUE"""),4575)</f>
        <v>4575</v>
      </c>
      <c r="D231" s="2">
        <f ca="1">IFERROR(__xludf.DUMMYFUNCTION("""COMPUTED_VALUE"""),4412.5)</f>
        <v>4412.5</v>
      </c>
      <c r="E231" s="2">
        <f ca="1">IFERROR(__xludf.DUMMYFUNCTION("""COMPUTED_VALUE"""),4550)</f>
        <v>4550</v>
      </c>
      <c r="F231" s="2">
        <f ca="1">IFERROR(__xludf.DUMMYFUNCTION("""COMPUTED_VALUE"""),16321000)</f>
        <v>16321000</v>
      </c>
    </row>
    <row r="232" spans="1:6">
      <c r="A232" s="1">
        <f ca="1">IFERROR(__xludf.DUMMYFUNCTION("""COMPUTED_VALUE"""),42346.625)</f>
        <v>42346.625</v>
      </c>
      <c r="B232" s="2">
        <f ca="1">IFERROR(__xludf.DUMMYFUNCTION("""COMPUTED_VALUE"""),4500)</f>
        <v>4500</v>
      </c>
      <c r="C232" s="2">
        <f ca="1">IFERROR(__xludf.DUMMYFUNCTION("""COMPUTED_VALUE"""),4537.5)</f>
        <v>4537.5</v>
      </c>
      <c r="D232" s="2">
        <f ca="1">IFERROR(__xludf.DUMMYFUNCTION("""COMPUTED_VALUE"""),4450)</f>
        <v>4450</v>
      </c>
      <c r="E232" s="2">
        <f ca="1">IFERROR(__xludf.DUMMYFUNCTION("""COMPUTED_VALUE"""),4500)</f>
        <v>4500</v>
      </c>
      <c r="F232" s="2">
        <f ca="1">IFERROR(__xludf.DUMMYFUNCTION("""COMPUTED_VALUE"""),18805500)</f>
        <v>18805500</v>
      </c>
    </row>
    <row r="233" spans="1:6">
      <c r="A233" s="1">
        <f ca="1">IFERROR(__xludf.DUMMYFUNCTION("""COMPUTED_VALUE"""),42348.625)</f>
        <v>42348.625</v>
      </c>
      <c r="B233" s="2">
        <f ca="1">IFERROR(__xludf.DUMMYFUNCTION("""COMPUTED_VALUE"""),4400)</f>
        <v>4400</v>
      </c>
      <c r="C233" s="2">
        <f ca="1">IFERROR(__xludf.DUMMYFUNCTION("""COMPUTED_VALUE"""),4437.5)</f>
        <v>4437.5</v>
      </c>
      <c r="D233" s="2">
        <f ca="1">IFERROR(__xludf.DUMMYFUNCTION("""COMPUTED_VALUE"""),4375)</f>
        <v>4375</v>
      </c>
      <c r="E233" s="2">
        <f ca="1">IFERROR(__xludf.DUMMYFUNCTION("""COMPUTED_VALUE"""),4437.5)</f>
        <v>4437.5</v>
      </c>
      <c r="F233" s="2">
        <f ca="1">IFERROR(__xludf.DUMMYFUNCTION("""COMPUTED_VALUE"""),19758700)</f>
        <v>19758700</v>
      </c>
    </row>
    <row r="234" spans="1:6">
      <c r="A234" s="1">
        <f ca="1">IFERROR(__xludf.DUMMYFUNCTION("""COMPUTED_VALUE"""),42349.625)</f>
        <v>42349.625</v>
      </c>
      <c r="B234" s="2">
        <f ca="1">IFERROR(__xludf.DUMMYFUNCTION("""COMPUTED_VALUE"""),4462.5)</f>
        <v>4462.5</v>
      </c>
      <c r="C234" s="2">
        <f ca="1">IFERROR(__xludf.DUMMYFUNCTION("""COMPUTED_VALUE"""),4475)</f>
        <v>4475</v>
      </c>
      <c r="D234" s="2">
        <f ca="1">IFERROR(__xludf.DUMMYFUNCTION("""COMPUTED_VALUE"""),4375)</f>
        <v>4375</v>
      </c>
      <c r="E234" s="2">
        <f ca="1">IFERROR(__xludf.DUMMYFUNCTION("""COMPUTED_VALUE"""),4375)</f>
        <v>4375</v>
      </c>
      <c r="F234" s="2">
        <f ca="1">IFERROR(__xludf.DUMMYFUNCTION("""COMPUTED_VALUE"""),11496300)</f>
        <v>11496300</v>
      </c>
    </row>
    <row r="235" spans="1:6">
      <c r="A235" s="1">
        <f ca="1">IFERROR(__xludf.DUMMYFUNCTION("""COMPUTED_VALUE"""),42352.625)</f>
        <v>42352.625</v>
      </c>
      <c r="B235" s="2">
        <f ca="1">IFERROR(__xludf.DUMMYFUNCTION("""COMPUTED_VALUE"""),4250)</f>
        <v>4250</v>
      </c>
      <c r="C235" s="2">
        <f ca="1">IFERROR(__xludf.DUMMYFUNCTION("""COMPUTED_VALUE"""),4312.5)</f>
        <v>4312.5</v>
      </c>
      <c r="D235" s="2">
        <f ca="1">IFERROR(__xludf.DUMMYFUNCTION("""COMPUTED_VALUE"""),4225)</f>
        <v>4225</v>
      </c>
      <c r="E235" s="2">
        <f ca="1">IFERROR(__xludf.DUMMYFUNCTION("""COMPUTED_VALUE"""),4312.5)</f>
        <v>4312.5</v>
      </c>
      <c r="F235" s="2">
        <f ca="1">IFERROR(__xludf.DUMMYFUNCTION("""COMPUTED_VALUE"""),19642200)</f>
        <v>19642200</v>
      </c>
    </row>
    <row r="236" spans="1:6">
      <c r="A236" s="1">
        <f ca="1">IFERROR(__xludf.DUMMYFUNCTION("""COMPUTED_VALUE"""),42353.625)</f>
        <v>42353.625</v>
      </c>
      <c r="B236" s="2">
        <f ca="1">IFERROR(__xludf.DUMMYFUNCTION("""COMPUTED_VALUE"""),4337.5)</f>
        <v>4337.5</v>
      </c>
      <c r="C236" s="2">
        <f ca="1">IFERROR(__xludf.DUMMYFUNCTION("""COMPUTED_VALUE"""),4375)</f>
        <v>4375</v>
      </c>
      <c r="D236" s="2">
        <f ca="1">IFERROR(__xludf.DUMMYFUNCTION("""COMPUTED_VALUE"""),4287.5)</f>
        <v>4287.5</v>
      </c>
      <c r="E236" s="2">
        <f ca="1">IFERROR(__xludf.DUMMYFUNCTION("""COMPUTED_VALUE"""),4375)</f>
        <v>4375</v>
      </c>
      <c r="F236" s="2">
        <f ca="1">IFERROR(__xludf.DUMMYFUNCTION("""COMPUTED_VALUE"""),13807000)</f>
        <v>13807000</v>
      </c>
    </row>
    <row r="237" spans="1:6">
      <c r="A237" s="1">
        <f ca="1">IFERROR(__xludf.DUMMYFUNCTION("""COMPUTED_VALUE"""),42354.625)</f>
        <v>42354.625</v>
      </c>
      <c r="B237" s="2">
        <f ca="1">IFERROR(__xludf.DUMMYFUNCTION("""COMPUTED_VALUE"""),4425)</f>
        <v>4425</v>
      </c>
      <c r="C237" s="2">
        <f ca="1">IFERROR(__xludf.DUMMYFUNCTION("""COMPUTED_VALUE"""),4475)</f>
        <v>4475</v>
      </c>
      <c r="D237" s="2">
        <f ca="1">IFERROR(__xludf.DUMMYFUNCTION("""COMPUTED_VALUE"""),4375)</f>
        <v>4375</v>
      </c>
      <c r="E237" s="2">
        <f ca="1">IFERROR(__xludf.DUMMYFUNCTION("""COMPUTED_VALUE"""),4475)</f>
        <v>4475</v>
      </c>
      <c r="F237" s="2">
        <f ca="1">IFERROR(__xludf.DUMMYFUNCTION("""COMPUTED_VALUE"""),21797800)</f>
        <v>21797800</v>
      </c>
    </row>
    <row r="238" spans="1:6">
      <c r="A238" s="1">
        <f ca="1">IFERROR(__xludf.DUMMYFUNCTION("""COMPUTED_VALUE"""),42355.625)</f>
        <v>42355.625</v>
      </c>
      <c r="B238" s="2">
        <f ca="1">IFERROR(__xludf.DUMMYFUNCTION("""COMPUTED_VALUE"""),4575)</f>
        <v>4575</v>
      </c>
      <c r="C238" s="2">
        <f ca="1">IFERROR(__xludf.DUMMYFUNCTION("""COMPUTED_VALUE"""),4575)</f>
        <v>4575</v>
      </c>
      <c r="D238" s="2">
        <f ca="1">IFERROR(__xludf.DUMMYFUNCTION("""COMPUTED_VALUE"""),4487.5)</f>
        <v>4487.5</v>
      </c>
      <c r="E238" s="2">
        <f ca="1">IFERROR(__xludf.DUMMYFUNCTION("""COMPUTED_VALUE"""),4550)</f>
        <v>4550</v>
      </c>
      <c r="F238" s="2">
        <f ca="1">IFERROR(__xludf.DUMMYFUNCTION("""COMPUTED_VALUE"""),22574500)</f>
        <v>22574500</v>
      </c>
    </row>
    <row r="239" spans="1:6">
      <c r="A239" s="1">
        <f ca="1">IFERROR(__xludf.DUMMYFUNCTION("""COMPUTED_VALUE"""),42356.625)</f>
        <v>42356.625</v>
      </c>
      <c r="B239" s="2">
        <f ca="1">IFERROR(__xludf.DUMMYFUNCTION("""COMPUTED_VALUE"""),4487.5)</f>
        <v>4487.5</v>
      </c>
      <c r="C239" s="2">
        <f ca="1">IFERROR(__xludf.DUMMYFUNCTION("""COMPUTED_VALUE"""),4487.5)</f>
        <v>4487.5</v>
      </c>
      <c r="D239" s="2">
        <f ca="1">IFERROR(__xludf.DUMMYFUNCTION("""COMPUTED_VALUE"""),4362.5)</f>
        <v>4362.5</v>
      </c>
      <c r="E239" s="2">
        <f ca="1">IFERROR(__xludf.DUMMYFUNCTION("""COMPUTED_VALUE"""),4362.5)</f>
        <v>4362.5</v>
      </c>
      <c r="F239" s="2">
        <f ca="1">IFERROR(__xludf.DUMMYFUNCTION("""COMPUTED_VALUE"""),23273000)</f>
        <v>23273000</v>
      </c>
    </row>
    <row r="240" spans="1:6">
      <c r="A240" s="1">
        <f ca="1">IFERROR(__xludf.DUMMYFUNCTION("""COMPUTED_VALUE"""),42359.625)</f>
        <v>42359.625</v>
      </c>
      <c r="B240" s="2">
        <f ca="1">IFERROR(__xludf.DUMMYFUNCTION("""COMPUTED_VALUE"""),4362.5)</f>
        <v>4362.5</v>
      </c>
      <c r="C240" s="2">
        <f ca="1">IFERROR(__xludf.DUMMYFUNCTION("""COMPUTED_VALUE"""),4437.5)</f>
        <v>4437.5</v>
      </c>
      <c r="D240" s="2">
        <f ca="1">IFERROR(__xludf.DUMMYFUNCTION("""COMPUTED_VALUE"""),4362.5)</f>
        <v>4362.5</v>
      </c>
      <c r="E240" s="2">
        <f ca="1">IFERROR(__xludf.DUMMYFUNCTION("""COMPUTED_VALUE"""),4437.5)</f>
        <v>4437.5</v>
      </c>
      <c r="F240" s="2">
        <f ca="1">IFERROR(__xludf.DUMMYFUNCTION("""COMPUTED_VALUE"""),4227500)</f>
        <v>4227500</v>
      </c>
    </row>
    <row r="241" spans="1:6">
      <c r="A241" s="1">
        <f ca="1">IFERROR(__xludf.DUMMYFUNCTION("""COMPUTED_VALUE"""),42360.625)</f>
        <v>42360.625</v>
      </c>
      <c r="B241" s="2">
        <f ca="1">IFERROR(__xludf.DUMMYFUNCTION("""COMPUTED_VALUE"""),4462.5)</f>
        <v>4462.5</v>
      </c>
      <c r="C241" s="2">
        <f ca="1">IFERROR(__xludf.DUMMYFUNCTION("""COMPUTED_VALUE"""),4462.5)</f>
        <v>4462.5</v>
      </c>
      <c r="D241" s="2">
        <f ca="1">IFERROR(__xludf.DUMMYFUNCTION("""COMPUTED_VALUE"""),4400)</f>
        <v>4400</v>
      </c>
      <c r="E241" s="2">
        <f ca="1">IFERROR(__xludf.DUMMYFUNCTION("""COMPUTED_VALUE"""),4437.5)</f>
        <v>4437.5</v>
      </c>
      <c r="F241" s="2">
        <f ca="1">IFERROR(__xludf.DUMMYFUNCTION("""COMPUTED_VALUE"""),11229000)</f>
        <v>11229000</v>
      </c>
    </row>
    <row r="242" spans="1:6">
      <c r="A242" s="1">
        <f ca="1">IFERROR(__xludf.DUMMYFUNCTION("""COMPUTED_VALUE"""),42361.625)</f>
        <v>42361.625</v>
      </c>
      <c r="B242" s="2">
        <f ca="1">IFERROR(__xludf.DUMMYFUNCTION("""COMPUTED_VALUE"""),4425)</f>
        <v>4425</v>
      </c>
      <c r="C242" s="2">
        <f ca="1">IFERROR(__xludf.DUMMYFUNCTION("""COMPUTED_VALUE"""),4450)</f>
        <v>4450</v>
      </c>
      <c r="D242" s="2">
        <f ca="1">IFERROR(__xludf.DUMMYFUNCTION("""COMPUTED_VALUE"""),4375)</f>
        <v>4375</v>
      </c>
      <c r="E242" s="2">
        <f ca="1">IFERROR(__xludf.DUMMYFUNCTION("""COMPUTED_VALUE"""),4437.5)</f>
        <v>4437.5</v>
      </c>
      <c r="F242" s="2">
        <f ca="1">IFERROR(__xludf.DUMMYFUNCTION("""COMPUTED_VALUE"""),12928300)</f>
        <v>12928300</v>
      </c>
    </row>
    <row r="243" spans="1:6">
      <c r="A243" s="1">
        <f ca="1">IFERROR(__xludf.DUMMYFUNCTION("""COMPUTED_VALUE"""),42366.625)</f>
        <v>42366.625</v>
      </c>
      <c r="B243" s="2">
        <f ca="1">IFERROR(__xludf.DUMMYFUNCTION("""COMPUTED_VALUE"""),4350)</f>
        <v>4350</v>
      </c>
      <c r="C243" s="2">
        <f ca="1">IFERROR(__xludf.DUMMYFUNCTION("""COMPUTED_VALUE"""),4537.5)</f>
        <v>4537.5</v>
      </c>
      <c r="D243" s="2">
        <f ca="1">IFERROR(__xludf.DUMMYFUNCTION("""COMPUTED_VALUE"""),4350)</f>
        <v>4350</v>
      </c>
      <c r="E243" s="2">
        <f ca="1">IFERROR(__xludf.DUMMYFUNCTION("""COMPUTED_VALUE"""),4500)</f>
        <v>4500</v>
      </c>
      <c r="F243" s="2">
        <f ca="1">IFERROR(__xludf.DUMMYFUNCTION("""COMPUTED_VALUE"""),16677300)</f>
        <v>16677300</v>
      </c>
    </row>
    <row r="244" spans="1:6">
      <c r="A244" s="1">
        <f ca="1">IFERROR(__xludf.DUMMYFUNCTION("""COMPUTED_VALUE"""),42367.625)</f>
        <v>42367.625</v>
      </c>
      <c r="B244" s="2">
        <f ca="1">IFERROR(__xludf.DUMMYFUNCTION("""COMPUTED_VALUE"""),4537.5)</f>
        <v>4537.5</v>
      </c>
      <c r="C244" s="2">
        <f ca="1">IFERROR(__xludf.DUMMYFUNCTION("""COMPUTED_VALUE"""),4562.5)</f>
        <v>4562.5</v>
      </c>
      <c r="D244" s="2">
        <f ca="1">IFERROR(__xludf.DUMMYFUNCTION("""COMPUTED_VALUE"""),4537.5)</f>
        <v>4537.5</v>
      </c>
      <c r="E244" s="2">
        <f ca="1">IFERROR(__xludf.DUMMYFUNCTION("""COMPUTED_VALUE"""),4562.5)</f>
        <v>4562.5</v>
      </c>
      <c r="F244" s="2">
        <f ca="1">IFERROR(__xludf.DUMMYFUNCTION("""COMPUTED_VALUE"""),10888000)</f>
        <v>10888000</v>
      </c>
    </row>
    <row r="245" spans="1:6">
      <c r="A245" s="1">
        <f ca="1">IFERROR(__xludf.DUMMYFUNCTION("""COMPUTED_VALUE"""),42368.625)</f>
        <v>42368.625</v>
      </c>
      <c r="B245" s="2">
        <f ca="1">IFERROR(__xludf.DUMMYFUNCTION("""COMPUTED_VALUE"""),4562.5)</f>
        <v>4562.5</v>
      </c>
      <c r="C245" s="2">
        <f ca="1">IFERROR(__xludf.DUMMYFUNCTION("""COMPUTED_VALUE"""),4625)</f>
        <v>4625</v>
      </c>
      <c r="D245" s="2">
        <f ca="1">IFERROR(__xludf.DUMMYFUNCTION("""COMPUTED_VALUE"""),4550)</f>
        <v>4550</v>
      </c>
      <c r="E245" s="2">
        <f ca="1">IFERROR(__xludf.DUMMYFUNCTION("""COMPUTED_VALUE"""),4625)</f>
        <v>4625</v>
      </c>
      <c r="F245" s="2">
        <f ca="1">IFERROR(__xludf.DUMMYFUNCTION("""COMPUTED_VALUE"""),26097700)</f>
        <v>26097700</v>
      </c>
    </row>
    <row r="246" spans="1:6">
      <c r="A246" s="1">
        <f ca="1">IFERROR(__xludf.DUMMYFUNCTION("""COMPUTED_VALUE"""),42373.625)</f>
        <v>42373.625</v>
      </c>
      <c r="B246" s="2">
        <f ca="1">IFERROR(__xludf.DUMMYFUNCTION("""COMPUTED_VALUE"""),4600)</f>
        <v>4600</v>
      </c>
      <c r="C246" s="2">
        <f ca="1">IFERROR(__xludf.DUMMYFUNCTION("""COMPUTED_VALUE"""),4675)</f>
        <v>4675</v>
      </c>
      <c r="D246" s="2">
        <f ca="1">IFERROR(__xludf.DUMMYFUNCTION("""COMPUTED_VALUE"""),4537.5)</f>
        <v>4537.5</v>
      </c>
      <c r="E246" s="2">
        <f ca="1">IFERROR(__xludf.DUMMYFUNCTION("""COMPUTED_VALUE"""),4625)</f>
        <v>4625</v>
      </c>
      <c r="F246" s="2">
        <f ca="1">IFERROR(__xludf.DUMMYFUNCTION("""COMPUTED_VALUE"""),15166900)</f>
        <v>15166900</v>
      </c>
    </row>
    <row r="247" spans="1:6">
      <c r="A247" s="1">
        <f ca="1">IFERROR(__xludf.DUMMYFUNCTION("""COMPUTED_VALUE"""),42374.625)</f>
        <v>42374.625</v>
      </c>
      <c r="B247" s="2">
        <f ca="1">IFERROR(__xludf.DUMMYFUNCTION("""COMPUTED_VALUE"""),4625)</f>
        <v>4625</v>
      </c>
      <c r="C247" s="2">
        <f ca="1">IFERROR(__xludf.DUMMYFUNCTION("""COMPUTED_VALUE"""),4775)</f>
        <v>4775</v>
      </c>
      <c r="D247" s="2">
        <f ca="1">IFERROR(__xludf.DUMMYFUNCTION("""COMPUTED_VALUE"""),4625)</f>
        <v>4625</v>
      </c>
      <c r="E247" s="2">
        <f ca="1">IFERROR(__xludf.DUMMYFUNCTION("""COMPUTED_VALUE"""),4687.5)</f>
        <v>4687.5</v>
      </c>
      <c r="F247" s="2">
        <f ca="1">IFERROR(__xludf.DUMMYFUNCTION("""COMPUTED_VALUE"""),26538100)</f>
        <v>26538100</v>
      </c>
    </row>
    <row r="248" spans="1:6">
      <c r="A248" s="1">
        <f ca="1">IFERROR(__xludf.DUMMYFUNCTION("""COMPUTED_VALUE"""),42375.625)</f>
        <v>42375.625</v>
      </c>
      <c r="B248" s="2">
        <f ca="1">IFERROR(__xludf.DUMMYFUNCTION("""COMPUTED_VALUE"""),4725)</f>
        <v>4725</v>
      </c>
      <c r="C248" s="2">
        <f ca="1">IFERROR(__xludf.DUMMYFUNCTION("""COMPUTED_VALUE"""),4762.5)</f>
        <v>4762.5</v>
      </c>
      <c r="D248" s="2">
        <f ca="1">IFERROR(__xludf.DUMMYFUNCTION("""COMPUTED_VALUE"""),4675)</f>
        <v>4675</v>
      </c>
      <c r="E248" s="2">
        <f ca="1">IFERROR(__xludf.DUMMYFUNCTION("""COMPUTED_VALUE"""),4675)</f>
        <v>4675</v>
      </c>
      <c r="F248" s="2">
        <f ca="1">IFERROR(__xludf.DUMMYFUNCTION("""COMPUTED_VALUE"""),26536900)</f>
        <v>26536900</v>
      </c>
    </row>
    <row r="249" spans="1:6">
      <c r="A249" s="1">
        <f ca="1">IFERROR(__xludf.DUMMYFUNCTION("""COMPUTED_VALUE"""),42376.625)</f>
        <v>42376.625</v>
      </c>
      <c r="B249" s="2">
        <f ca="1">IFERROR(__xludf.DUMMYFUNCTION("""COMPUTED_VALUE"""),4575)</f>
        <v>4575</v>
      </c>
      <c r="C249" s="2">
        <f ca="1">IFERROR(__xludf.DUMMYFUNCTION("""COMPUTED_VALUE"""),4625)</f>
        <v>4625</v>
      </c>
      <c r="D249" s="2">
        <f ca="1">IFERROR(__xludf.DUMMYFUNCTION("""COMPUTED_VALUE"""),4550)</f>
        <v>4550</v>
      </c>
      <c r="E249" s="2">
        <f ca="1">IFERROR(__xludf.DUMMYFUNCTION("""COMPUTED_VALUE"""),4550)</f>
        <v>4550</v>
      </c>
      <c r="F249" s="2">
        <f ca="1">IFERROR(__xludf.DUMMYFUNCTION("""COMPUTED_VALUE"""),23049100)</f>
        <v>23049100</v>
      </c>
    </row>
    <row r="250" spans="1:6">
      <c r="A250" s="1">
        <f ca="1">IFERROR(__xludf.DUMMYFUNCTION("""COMPUTED_VALUE"""),42377.625)</f>
        <v>42377.625</v>
      </c>
      <c r="B250" s="2">
        <f ca="1">IFERROR(__xludf.DUMMYFUNCTION("""COMPUTED_VALUE"""),4550)</f>
        <v>4550</v>
      </c>
      <c r="C250" s="2">
        <f ca="1">IFERROR(__xludf.DUMMYFUNCTION("""COMPUTED_VALUE"""),4637.5)</f>
        <v>4637.5</v>
      </c>
      <c r="D250" s="2">
        <f ca="1">IFERROR(__xludf.DUMMYFUNCTION("""COMPUTED_VALUE"""),4550)</f>
        <v>4550</v>
      </c>
      <c r="E250" s="2">
        <f ca="1">IFERROR(__xludf.DUMMYFUNCTION("""COMPUTED_VALUE"""),4637.5)</f>
        <v>4637.5</v>
      </c>
      <c r="F250" s="2">
        <f ca="1">IFERROR(__xludf.DUMMYFUNCTION("""COMPUTED_VALUE"""),24277300)</f>
        <v>24277300</v>
      </c>
    </row>
    <row r="251" spans="1:6">
      <c r="A251" s="1">
        <f ca="1">IFERROR(__xludf.DUMMYFUNCTION("""COMPUTED_VALUE"""),42380.625)</f>
        <v>42380.625</v>
      </c>
      <c r="B251" s="2">
        <f ca="1">IFERROR(__xludf.DUMMYFUNCTION("""COMPUTED_VALUE"""),4550)</f>
        <v>4550</v>
      </c>
      <c r="C251" s="2">
        <f ca="1">IFERROR(__xludf.DUMMYFUNCTION("""COMPUTED_VALUE"""),4575)</f>
        <v>4575</v>
      </c>
      <c r="D251" s="2">
        <f ca="1">IFERROR(__xludf.DUMMYFUNCTION("""COMPUTED_VALUE"""),4500)</f>
        <v>4500</v>
      </c>
      <c r="E251" s="2">
        <f ca="1">IFERROR(__xludf.DUMMYFUNCTION("""COMPUTED_VALUE"""),4550)</f>
        <v>4550</v>
      </c>
      <c r="F251" s="2">
        <f ca="1">IFERROR(__xludf.DUMMYFUNCTION("""COMPUTED_VALUE"""),15743500)</f>
        <v>15743500</v>
      </c>
    </row>
    <row r="252" spans="1:6">
      <c r="A252" s="1">
        <f ca="1">IFERROR(__xludf.DUMMYFUNCTION("""COMPUTED_VALUE"""),42381.625)</f>
        <v>42381.625</v>
      </c>
      <c r="B252" s="2">
        <f ca="1">IFERROR(__xludf.DUMMYFUNCTION("""COMPUTED_VALUE"""),4600)</f>
        <v>4600</v>
      </c>
      <c r="C252" s="2">
        <f ca="1">IFERROR(__xludf.DUMMYFUNCTION("""COMPUTED_VALUE"""),4637.5)</f>
        <v>4637.5</v>
      </c>
      <c r="D252" s="2">
        <f ca="1">IFERROR(__xludf.DUMMYFUNCTION("""COMPUTED_VALUE"""),4550)</f>
        <v>4550</v>
      </c>
      <c r="E252" s="2">
        <f ca="1">IFERROR(__xludf.DUMMYFUNCTION("""COMPUTED_VALUE"""),4600)</f>
        <v>4600</v>
      </c>
      <c r="F252" s="2">
        <f ca="1">IFERROR(__xludf.DUMMYFUNCTION("""COMPUTED_VALUE"""),19461800)</f>
        <v>19461800</v>
      </c>
    </row>
    <row r="253" spans="1:6">
      <c r="A253" s="1">
        <f ca="1">IFERROR(__xludf.DUMMYFUNCTION("""COMPUTED_VALUE"""),42382.625)</f>
        <v>42382.625</v>
      </c>
      <c r="B253" s="2">
        <f ca="1">IFERROR(__xludf.DUMMYFUNCTION("""COMPUTED_VALUE"""),4637.5)</f>
        <v>4637.5</v>
      </c>
      <c r="C253" s="2">
        <f ca="1">IFERROR(__xludf.DUMMYFUNCTION("""COMPUTED_VALUE"""),4725)</f>
        <v>4725</v>
      </c>
      <c r="D253" s="2">
        <f ca="1">IFERROR(__xludf.DUMMYFUNCTION("""COMPUTED_VALUE"""),4600)</f>
        <v>4600</v>
      </c>
      <c r="E253" s="2">
        <f ca="1">IFERROR(__xludf.DUMMYFUNCTION("""COMPUTED_VALUE"""),4675)</f>
        <v>4675</v>
      </c>
      <c r="F253" s="2">
        <f ca="1">IFERROR(__xludf.DUMMYFUNCTION("""COMPUTED_VALUE"""),33049600)</f>
        <v>33049600</v>
      </c>
    </row>
    <row r="254" spans="1:6">
      <c r="A254" s="1">
        <f ca="1">IFERROR(__xludf.DUMMYFUNCTION("""COMPUTED_VALUE"""),42383.625)</f>
        <v>42383.625</v>
      </c>
      <c r="B254" s="2">
        <f ca="1">IFERROR(__xludf.DUMMYFUNCTION("""COMPUTED_VALUE"""),4550)</f>
        <v>4550</v>
      </c>
      <c r="C254" s="2">
        <f ca="1">IFERROR(__xludf.DUMMYFUNCTION("""COMPUTED_VALUE"""),4737.5)</f>
        <v>4737.5</v>
      </c>
      <c r="D254" s="2">
        <f ca="1">IFERROR(__xludf.DUMMYFUNCTION("""COMPUTED_VALUE"""),4550)</f>
        <v>4550</v>
      </c>
      <c r="E254" s="2">
        <f ca="1">IFERROR(__xludf.DUMMYFUNCTION("""COMPUTED_VALUE"""),4675)</f>
        <v>4675</v>
      </c>
      <c r="F254" s="2">
        <f ca="1">IFERROR(__xludf.DUMMYFUNCTION("""COMPUTED_VALUE"""),30211000)</f>
        <v>30211000</v>
      </c>
    </row>
    <row r="255" spans="1:6">
      <c r="A255" s="1">
        <f ca="1">IFERROR(__xludf.DUMMYFUNCTION("""COMPUTED_VALUE"""),42384.625)</f>
        <v>42384.625</v>
      </c>
      <c r="B255" s="2">
        <f ca="1">IFERROR(__xludf.DUMMYFUNCTION("""COMPUTED_VALUE"""),4675)</f>
        <v>4675</v>
      </c>
      <c r="C255" s="2">
        <f ca="1">IFERROR(__xludf.DUMMYFUNCTION("""COMPUTED_VALUE"""),4712.5)</f>
        <v>4712.5</v>
      </c>
      <c r="D255" s="2">
        <f ca="1">IFERROR(__xludf.DUMMYFUNCTION("""COMPUTED_VALUE"""),4637.5)</f>
        <v>4637.5</v>
      </c>
      <c r="E255" s="2">
        <f ca="1">IFERROR(__xludf.DUMMYFUNCTION("""COMPUTED_VALUE"""),4637.5)</f>
        <v>4637.5</v>
      </c>
      <c r="F255" s="2">
        <f ca="1">IFERROR(__xludf.DUMMYFUNCTION("""COMPUTED_VALUE"""),10408900)</f>
        <v>10408900</v>
      </c>
    </row>
    <row r="256" spans="1:6">
      <c r="A256" s="1">
        <f ca="1">IFERROR(__xludf.DUMMYFUNCTION("""COMPUTED_VALUE"""),42387.625)</f>
        <v>42387.625</v>
      </c>
      <c r="B256" s="2">
        <f ca="1">IFERROR(__xludf.DUMMYFUNCTION("""COMPUTED_VALUE"""),4625)</f>
        <v>4625</v>
      </c>
      <c r="C256" s="2">
        <f ca="1">IFERROR(__xludf.DUMMYFUNCTION("""COMPUTED_VALUE"""),4662.5)</f>
        <v>4662.5</v>
      </c>
      <c r="D256" s="2">
        <f ca="1">IFERROR(__xludf.DUMMYFUNCTION("""COMPUTED_VALUE"""),4625)</f>
        <v>4625</v>
      </c>
      <c r="E256" s="2">
        <f ca="1">IFERROR(__xludf.DUMMYFUNCTION("""COMPUTED_VALUE"""),4637.5)</f>
        <v>4637.5</v>
      </c>
      <c r="F256" s="2">
        <f ca="1">IFERROR(__xludf.DUMMYFUNCTION("""COMPUTED_VALUE"""),15404500)</f>
        <v>15404500</v>
      </c>
    </row>
    <row r="257" spans="1:6">
      <c r="A257" s="1">
        <f ca="1">IFERROR(__xludf.DUMMYFUNCTION("""COMPUTED_VALUE"""),42388.625)</f>
        <v>42388.625</v>
      </c>
      <c r="B257" s="2">
        <f ca="1">IFERROR(__xludf.DUMMYFUNCTION("""COMPUTED_VALUE"""),4612.5)</f>
        <v>4612.5</v>
      </c>
      <c r="C257" s="2">
        <f ca="1">IFERROR(__xludf.DUMMYFUNCTION("""COMPUTED_VALUE"""),4700)</f>
        <v>4700</v>
      </c>
      <c r="D257" s="2">
        <f ca="1">IFERROR(__xludf.DUMMYFUNCTION("""COMPUTED_VALUE"""),4612.5)</f>
        <v>4612.5</v>
      </c>
      <c r="E257" s="2">
        <f ca="1">IFERROR(__xludf.DUMMYFUNCTION("""COMPUTED_VALUE"""),4687.5)</f>
        <v>4687.5</v>
      </c>
      <c r="F257" s="2">
        <f ca="1">IFERROR(__xludf.DUMMYFUNCTION("""COMPUTED_VALUE"""),8472800)</f>
        <v>8472800</v>
      </c>
    </row>
    <row r="258" spans="1:6">
      <c r="A258" s="1">
        <f ca="1">IFERROR(__xludf.DUMMYFUNCTION("""COMPUTED_VALUE"""),42389.625)</f>
        <v>42389.625</v>
      </c>
      <c r="B258" s="2">
        <f ca="1">IFERROR(__xludf.DUMMYFUNCTION("""COMPUTED_VALUE"""),4662.5)</f>
        <v>4662.5</v>
      </c>
      <c r="C258" s="2">
        <f ca="1">IFERROR(__xludf.DUMMYFUNCTION("""COMPUTED_VALUE"""),4700)</f>
        <v>4700</v>
      </c>
      <c r="D258" s="2">
        <f ca="1">IFERROR(__xludf.DUMMYFUNCTION("""COMPUTED_VALUE"""),4650)</f>
        <v>4650</v>
      </c>
      <c r="E258" s="2">
        <f ca="1">IFERROR(__xludf.DUMMYFUNCTION("""COMPUTED_VALUE"""),4662.5)</f>
        <v>4662.5</v>
      </c>
      <c r="F258" s="2">
        <f ca="1">IFERROR(__xludf.DUMMYFUNCTION("""COMPUTED_VALUE"""),27879700)</f>
        <v>27879700</v>
      </c>
    </row>
    <row r="259" spans="1:6">
      <c r="A259" s="1">
        <f ca="1">IFERROR(__xludf.DUMMYFUNCTION("""COMPUTED_VALUE"""),42390.625)</f>
        <v>42390.625</v>
      </c>
      <c r="B259" s="2">
        <f ca="1">IFERROR(__xludf.DUMMYFUNCTION("""COMPUTED_VALUE"""),4662.5)</f>
        <v>4662.5</v>
      </c>
      <c r="C259" s="2">
        <f ca="1">IFERROR(__xludf.DUMMYFUNCTION("""COMPUTED_VALUE"""),4687.5)</f>
        <v>4687.5</v>
      </c>
      <c r="D259" s="2">
        <f ca="1">IFERROR(__xludf.DUMMYFUNCTION("""COMPUTED_VALUE"""),4625)</f>
        <v>4625</v>
      </c>
      <c r="E259" s="2">
        <f ca="1">IFERROR(__xludf.DUMMYFUNCTION("""COMPUTED_VALUE"""),4650)</f>
        <v>4650</v>
      </c>
      <c r="F259" s="2">
        <f ca="1">IFERROR(__xludf.DUMMYFUNCTION("""COMPUTED_VALUE"""),27779300)</f>
        <v>27779300</v>
      </c>
    </row>
    <row r="260" spans="1:6">
      <c r="A260" s="1">
        <f ca="1">IFERROR(__xludf.DUMMYFUNCTION("""COMPUTED_VALUE"""),42391.625)</f>
        <v>42391.625</v>
      </c>
      <c r="B260" s="2">
        <f ca="1">IFERROR(__xludf.DUMMYFUNCTION("""COMPUTED_VALUE"""),4650)</f>
        <v>4650</v>
      </c>
      <c r="C260" s="2">
        <f ca="1">IFERROR(__xludf.DUMMYFUNCTION("""COMPUTED_VALUE"""),4700)</f>
        <v>4700</v>
      </c>
      <c r="D260" s="2">
        <f ca="1">IFERROR(__xludf.DUMMYFUNCTION("""COMPUTED_VALUE"""),4637.5)</f>
        <v>4637.5</v>
      </c>
      <c r="E260" s="2">
        <f ca="1">IFERROR(__xludf.DUMMYFUNCTION("""COMPUTED_VALUE"""),4687.5)</f>
        <v>4687.5</v>
      </c>
      <c r="F260" s="2">
        <f ca="1">IFERROR(__xludf.DUMMYFUNCTION("""COMPUTED_VALUE"""),25579500)</f>
        <v>25579500</v>
      </c>
    </row>
    <row r="261" spans="1:6">
      <c r="A261" s="1">
        <f ca="1">IFERROR(__xludf.DUMMYFUNCTION("""COMPUTED_VALUE"""),42394.625)</f>
        <v>42394.625</v>
      </c>
      <c r="B261" s="2">
        <f ca="1">IFERROR(__xludf.DUMMYFUNCTION("""COMPUTED_VALUE"""),4700)</f>
        <v>4700</v>
      </c>
      <c r="C261" s="2">
        <f ca="1">IFERROR(__xludf.DUMMYFUNCTION("""COMPUTED_VALUE"""),4775)</f>
        <v>4775</v>
      </c>
      <c r="D261" s="2">
        <f ca="1">IFERROR(__xludf.DUMMYFUNCTION("""COMPUTED_VALUE"""),4687.5)</f>
        <v>4687.5</v>
      </c>
      <c r="E261" s="2">
        <f ca="1">IFERROR(__xludf.DUMMYFUNCTION("""COMPUTED_VALUE"""),4762.5)</f>
        <v>4762.5</v>
      </c>
      <c r="F261" s="2">
        <f ca="1">IFERROR(__xludf.DUMMYFUNCTION("""COMPUTED_VALUE"""),13216800)</f>
        <v>13216800</v>
      </c>
    </row>
    <row r="262" spans="1:6">
      <c r="A262" s="1">
        <f ca="1">IFERROR(__xludf.DUMMYFUNCTION("""COMPUTED_VALUE"""),42395.625)</f>
        <v>42395.625</v>
      </c>
      <c r="B262" s="2">
        <f ca="1">IFERROR(__xludf.DUMMYFUNCTION("""COMPUTED_VALUE"""),4725)</f>
        <v>4725</v>
      </c>
      <c r="C262" s="2">
        <f ca="1">IFERROR(__xludf.DUMMYFUNCTION("""COMPUTED_VALUE"""),4775)</f>
        <v>4775</v>
      </c>
      <c r="D262" s="2">
        <f ca="1">IFERROR(__xludf.DUMMYFUNCTION("""COMPUTED_VALUE"""),4712.5)</f>
        <v>4712.5</v>
      </c>
      <c r="E262" s="2">
        <f ca="1">IFERROR(__xludf.DUMMYFUNCTION("""COMPUTED_VALUE"""),4762.5)</f>
        <v>4762.5</v>
      </c>
      <c r="F262" s="2">
        <f ca="1">IFERROR(__xludf.DUMMYFUNCTION("""COMPUTED_VALUE"""),17176300)</f>
        <v>17176300</v>
      </c>
    </row>
    <row r="263" spans="1:6">
      <c r="A263" s="1">
        <f ca="1">IFERROR(__xludf.DUMMYFUNCTION("""COMPUTED_VALUE"""),42396.625)</f>
        <v>42396.625</v>
      </c>
      <c r="B263" s="2">
        <f ca="1">IFERROR(__xludf.DUMMYFUNCTION("""COMPUTED_VALUE"""),4775)</f>
        <v>4775</v>
      </c>
      <c r="C263" s="2">
        <f ca="1">IFERROR(__xludf.DUMMYFUNCTION("""COMPUTED_VALUE"""),4800)</f>
        <v>4800</v>
      </c>
      <c r="D263" s="2">
        <f ca="1">IFERROR(__xludf.DUMMYFUNCTION("""COMPUTED_VALUE"""),4725)</f>
        <v>4725</v>
      </c>
      <c r="E263" s="2">
        <f ca="1">IFERROR(__xludf.DUMMYFUNCTION("""COMPUTED_VALUE"""),4775)</f>
        <v>4775</v>
      </c>
      <c r="F263" s="2">
        <f ca="1">IFERROR(__xludf.DUMMYFUNCTION("""COMPUTED_VALUE"""),24465400)</f>
        <v>24465400</v>
      </c>
    </row>
    <row r="264" spans="1:6">
      <c r="A264" s="1">
        <f ca="1">IFERROR(__xludf.DUMMYFUNCTION("""COMPUTED_VALUE"""),42397.625)</f>
        <v>42397.625</v>
      </c>
      <c r="B264" s="2">
        <f ca="1">IFERROR(__xludf.DUMMYFUNCTION("""COMPUTED_VALUE"""),4775)</f>
        <v>4775</v>
      </c>
      <c r="C264" s="2">
        <f ca="1">IFERROR(__xludf.DUMMYFUNCTION("""COMPUTED_VALUE"""),4775)</f>
        <v>4775</v>
      </c>
      <c r="D264" s="2">
        <f ca="1">IFERROR(__xludf.DUMMYFUNCTION("""COMPUTED_VALUE"""),4712.5)</f>
        <v>4712.5</v>
      </c>
      <c r="E264" s="2">
        <f ca="1">IFERROR(__xludf.DUMMYFUNCTION("""COMPUTED_VALUE"""),4750)</f>
        <v>4750</v>
      </c>
      <c r="F264" s="2">
        <f ca="1">IFERROR(__xludf.DUMMYFUNCTION("""COMPUTED_VALUE"""),21187900)</f>
        <v>21187900</v>
      </c>
    </row>
    <row r="265" spans="1:6">
      <c r="A265" s="1">
        <f ca="1">IFERROR(__xludf.DUMMYFUNCTION("""COMPUTED_VALUE"""),42398.625)</f>
        <v>42398.625</v>
      </c>
      <c r="B265" s="2">
        <f ca="1">IFERROR(__xludf.DUMMYFUNCTION("""COMPUTED_VALUE"""),4750)</f>
        <v>4750</v>
      </c>
      <c r="C265" s="2">
        <f ca="1">IFERROR(__xludf.DUMMYFUNCTION("""COMPUTED_VALUE"""),4800)</f>
        <v>4800</v>
      </c>
      <c r="D265" s="2">
        <f ca="1">IFERROR(__xludf.DUMMYFUNCTION("""COMPUTED_VALUE"""),4712.5)</f>
        <v>4712.5</v>
      </c>
      <c r="E265" s="2">
        <f ca="1">IFERROR(__xludf.DUMMYFUNCTION("""COMPUTED_VALUE"""),4800)</f>
        <v>4800</v>
      </c>
      <c r="F265" s="2">
        <f ca="1">IFERROR(__xludf.DUMMYFUNCTION("""COMPUTED_VALUE"""),29721400)</f>
        <v>29721400</v>
      </c>
    </row>
    <row r="266" spans="1:6">
      <c r="A266" s="1">
        <f ca="1">IFERROR(__xludf.DUMMYFUNCTION("""COMPUTED_VALUE"""),42401.625)</f>
        <v>42401.625</v>
      </c>
      <c r="B266" s="2">
        <f ca="1">IFERROR(__xludf.DUMMYFUNCTION("""COMPUTED_VALUE"""),4800)</f>
        <v>4800</v>
      </c>
      <c r="C266" s="2">
        <f ca="1">IFERROR(__xludf.DUMMYFUNCTION("""COMPUTED_VALUE"""),4825)</f>
        <v>4825</v>
      </c>
      <c r="D266" s="2">
        <f ca="1">IFERROR(__xludf.DUMMYFUNCTION("""COMPUTED_VALUE"""),4687.5)</f>
        <v>4687.5</v>
      </c>
      <c r="E266" s="2">
        <f ca="1">IFERROR(__xludf.DUMMYFUNCTION("""COMPUTED_VALUE"""),4812.5)</f>
        <v>4812.5</v>
      </c>
      <c r="F266" s="2">
        <f ca="1">IFERROR(__xludf.DUMMYFUNCTION("""COMPUTED_VALUE"""),18404600)</f>
        <v>18404600</v>
      </c>
    </row>
    <row r="267" spans="1:6">
      <c r="A267" s="1">
        <f ca="1">IFERROR(__xludf.DUMMYFUNCTION("""COMPUTED_VALUE"""),42402.625)</f>
        <v>42402.625</v>
      </c>
      <c r="B267" s="2">
        <f ca="1">IFERROR(__xludf.DUMMYFUNCTION("""COMPUTED_VALUE"""),4787.5)</f>
        <v>4787.5</v>
      </c>
      <c r="C267" s="2">
        <f ca="1">IFERROR(__xludf.DUMMYFUNCTION("""COMPUTED_VALUE"""),4800)</f>
        <v>4800</v>
      </c>
      <c r="D267" s="2">
        <f ca="1">IFERROR(__xludf.DUMMYFUNCTION("""COMPUTED_VALUE"""),4700)</f>
        <v>4700</v>
      </c>
      <c r="E267" s="2">
        <f ca="1">IFERROR(__xludf.DUMMYFUNCTION("""COMPUTED_VALUE"""),4750)</f>
        <v>4750</v>
      </c>
      <c r="F267" s="2">
        <f ca="1">IFERROR(__xludf.DUMMYFUNCTION("""COMPUTED_VALUE"""),12658500)</f>
        <v>12658500</v>
      </c>
    </row>
    <row r="268" spans="1:6">
      <c r="A268" s="1">
        <f ca="1">IFERROR(__xludf.DUMMYFUNCTION("""COMPUTED_VALUE"""),42403.625)</f>
        <v>42403.625</v>
      </c>
      <c r="B268" s="2">
        <f ca="1">IFERROR(__xludf.DUMMYFUNCTION("""COMPUTED_VALUE"""),4700)</f>
        <v>4700</v>
      </c>
      <c r="C268" s="2">
        <f ca="1">IFERROR(__xludf.DUMMYFUNCTION("""COMPUTED_VALUE"""),4712.5)</f>
        <v>4712.5</v>
      </c>
      <c r="D268" s="2">
        <f ca="1">IFERROR(__xludf.DUMMYFUNCTION("""COMPUTED_VALUE"""),4675)</f>
        <v>4675</v>
      </c>
      <c r="E268" s="2">
        <f ca="1">IFERROR(__xludf.DUMMYFUNCTION("""COMPUTED_VALUE"""),4687.5)</f>
        <v>4687.5</v>
      </c>
      <c r="F268" s="2">
        <f ca="1">IFERROR(__xludf.DUMMYFUNCTION("""COMPUTED_VALUE"""),15507100)</f>
        <v>15507100</v>
      </c>
    </row>
    <row r="269" spans="1:6">
      <c r="A269" s="1">
        <f ca="1">IFERROR(__xludf.DUMMYFUNCTION("""COMPUTED_VALUE"""),42404.625)</f>
        <v>42404.625</v>
      </c>
      <c r="B269" s="2">
        <f ca="1">IFERROR(__xludf.DUMMYFUNCTION("""COMPUTED_VALUE"""),4737.5)</f>
        <v>4737.5</v>
      </c>
      <c r="C269" s="2">
        <f ca="1">IFERROR(__xludf.DUMMYFUNCTION("""COMPUTED_VALUE"""),4887.5)</f>
        <v>4887.5</v>
      </c>
      <c r="D269" s="2">
        <f ca="1">IFERROR(__xludf.DUMMYFUNCTION("""COMPUTED_VALUE"""),4700)</f>
        <v>4700</v>
      </c>
      <c r="E269" s="2">
        <f ca="1">IFERROR(__xludf.DUMMYFUNCTION("""COMPUTED_VALUE"""),4800)</f>
        <v>4800</v>
      </c>
      <c r="F269" s="2">
        <f ca="1">IFERROR(__xludf.DUMMYFUNCTION("""COMPUTED_VALUE"""),44054000)</f>
        <v>44054000</v>
      </c>
    </row>
    <row r="270" spans="1:6">
      <c r="A270" s="1">
        <f ca="1">IFERROR(__xludf.DUMMYFUNCTION("""COMPUTED_VALUE"""),42405.625)</f>
        <v>42405.625</v>
      </c>
      <c r="B270" s="2">
        <f ca="1">IFERROR(__xludf.DUMMYFUNCTION("""COMPUTED_VALUE"""),4800)</f>
        <v>4800</v>
      </c>
      <c r="C270" s="2">
        <f ca="1">IFERROR(__xludf.DUMMYFUNCTION("""COMPUTED_VALUE"""),5200)</f>
        <v>5200</v>
      </c>
      <c r="D270" s="2">
        <f ca="1">IFERROR(__xludf.DUMMYFUNCTION("""COMPUTED_VALUE"""),4800)</f>
        <v>4800</v>
      </c>
      <c r="E270" s="2">
        <f ca="1">IFERROR(__xludf.DUMMYFUNCTION("""COMPUTED_VALUE"""),5175)</f>
        <v>5175</v>
      </c>
      <c r="F270" s="2">
        <f ca="1">IFERROR(__xludf.DUMMYFUNCTION("""COMPUTED_VALUE"""),61016000)</f>
        <v>61016000</v>
      </c>
    </row>
    <row r="271" spans="1:6">
      <c r="A271" s="1">
        <f ca="1">IFERROR(__xludf.DUMMYFUNCTION("""COMPUTED_VALUE"""),42409.625)</f>
        <v>42409.625</v>
      </c>
      <c r="B271" s="2">
        <f ca="1">IFERROR(__xludf.DUMMYFUNCTION("""COMPUTED_VALUE"""),5100)</f>
        <v>5100</v>
      </c>
      <c r="C271" s="2">
        <f ca="1">IFERROR(__xludf.DUMMYFUNCTION("""COMPUTED_VALUE"""),5137.5)</f>
        <v>5137.5</v>
      </c>
      <c r="D271" s="2">
        <f ca="1">IFERROR(__xludf.DUMMYFUNCTION("""COMPUTED_VALUE"""),5025)</f>
        <v>5025</v>
      </c>
      <c r="E271" s="2">
        <f ca="1">IFERROR(__xludf.DUMMYFUNCTION("""COMPUTED_VALUE"""),5025)</f>
        <v>5025</v>
      </c>
      <c r="F271" s="2">
        <f ca="1">IFERROR(__xludf.DUMMYFUNCTION("""COMPUTED_VALUE"""),14065800)</f>
        <v>14065800</v>
      </c>
    </row>
    <row r="272" spans="1:6">
      <c r="A272" s="1">
        <f ca="1">IFERROR(__xludf.DUMMYFUNCTION("""COMPUTED_VALUE"""),42410.625)</f>
        <v>42410.625</v>
      </c>
      <c r="B272" s="2">
        <f ca="1">IFERROR(__xludf.DUMMYFUNCTION("""COMPUTED_VALUE"""),5000)</f>
        <v>5000</v>
      </c>
      <c r="C272" s="2">
        <f ca="1">IFERROR(__xludf.DUMMYFUNCTION("""COMPUTED_VALUE"""),5050)</f>
        <v>5050</v>
      </c>
      <c r="D272" s="2">
        <f ca="1">IFERROR(__xludf.DUMMYFUNCTION("""COMPUTED_VALUE"""),4900)</f>
        <v>4900</v>
      </c>
      <c r="E272" s="2">
        <f ca="1">IFERROR(__xludf.DUMMYFUNCTION("""COMPUTED_VALUE"""),4912.5)</f>
        <v>4912.5</v>
      </c>
      <c r="F272" s="2">
        <f ca="1">IFERROR(__xludf.DUMMYFUNCTION("""COMPUTED_VALUE"""),14031500)</f>
        <v>14031500</v>
      </c>
    </row>
    <row r="273" spans="1:6">
      <c r="A273" s="1">
        <f ca="1">IFERROR(__xludf.DUMMYFUNCTION("""COMPUTED_VALUE"""),42411.625)</f>
        <v>42411.625</v>
      </c>
      <c r="B273" s="2">
        <f ca="1">IFERROR(__xludf.DUMMYFUNCTION("""COMPUTED_VALUE"""),4912.5)</f>
        <v>4912.5</v>
      </c>
      <c r="C273" s="2">
        <f ca="1">IFERROR(__xludf.DUMMYFUNCTION("""COMPUTED_VALUE"""),5012.5)</f>
        <v>5012.5</v>
      </c>
      <c r="D273" s="2">
        <f ca="1">IFERROR(__xludf.DUMMYFUNCTION("""COMPUTED_VALUE"""),4912.5)</f>
        <v>4912.5</v>
      </c>
      <c r="E273" s="2">
        <f ca="1">IFERROR(__xludf.DUMMYFUNCTION("""COMPUTED_VALUE"""),5000)</f>
        <v>5000</v>
      </c>
      <c r="F273" s="2">
        <f ca="1">IFERROR(__xludf.DUMMYFUNCTION("""COMPUTED_VALUE"""),36041100)</f>
        <v>36041100</v>
      </c>
    </row>
    <row r="274" spans="1:6">
      <c r="A274" s="1">
        <f ca="1">IFERROR(__xludf.DUMMYFUNCTION("""COMPUTED_VALUE"""),42412.625)</f>
        <v>42412.625</v>
      </c>
      <c r="B274" s="2">
        <f ca="1">IFERROR(__xludf.DUMMYFUNCTION("""COMPUTED_VALUE"""),4950)</f>
        <v>4950</v>
      </c>
      <c r="C274" s="2">
        <f ca="1">IFERROR(__xludf.DUMMYFUNCTION("""COMPUTED_VALUE"""),4975)</f>
        <v>4975</v>
      </c>
      <c r="D274" s="2">
        <f ca="1">IFERROR(__xludf.DUMMYFUNCTION("""COMPUTED_VALUE"""),4825)</f>
        <v>4825</v>
      </c>
      <c r="E274" s="2">
        <f ca="1">IFERROR(__xludf.DUMMYFUNCTION("""COMPUTED_VALUE"""),4862.5)</f>
        <v>4862.5</v>
      </c>
      <c r="F274" s="2">
        <f ca="1">IFERROR(__xludf.DUMMYFUNCTION("""COMPUTED_VALUE"""),34107400)</f>
        <v>34107400</v>
      </c>
    </row>
    <row r="275" spans="1:6">
      <c r="A275" s="1">
        <f ca="1">IFERROR(__xludf.DUMMYFUNCTION("""COMPUTED_VALUE"""),42415.625)</f>
        <v>42415.625</v>
      </c>
      <c r="B275" s="2">
        <f ca="1">IFERROR(__xludf.DUMMYFUNCTION("""COMPUTED_VALUE"""),4900)</f>
        <v>4900</v>
      </c>
      <c r="C275" s="2">
        <f ca="1">IFERROR(__xludf.DUMMYFUNCTION("""COMPUTED_VALUE"""),4912.5)</f>
        <v>4912.5</v>
      </c>
      <c r="D275" s="2">
        <f ca="1">IFERROR(__xludf.DUMMYFUNCTION("""COMPUTED_VALUE"""),4862.5)</f>
        <v>4862.5</v>
      </c>
      <c r="E275" s="2">
        <f ca="1">IFERROR(__xludf.DUMMYFUNCTION("""COMPUTED_VALUE"""),4900)</f>
        <v>4900</v>
      </c>
      <c r="F275" s="2">
        <f ca="1">IFERROR(__xludf.DUMMYFUNCTION("""COMPUTED_VALUE"""),27603700)</f>
        <v>27603700</v>
      </c>
    </row>
    <row r="276" spans="1:6">
      <c r="A276" s="1">
        <f ca="1">IFERROR(__xludf.DUMMYFUNCTION("""COMPUTED_VALUE"""),42416.625)</f>
        <v>42416.625</v>
      </c>
      <c r="B276" s="2">
        <f ca="1">IFERROR(__xludf.DUMMYFUNCTION("""COMPUTED_VALUE"""),4912.5)</f>
        <v>4912.5</v>
      </c>
      <c r="C276" s="2">
        <f ca="1">IFERROR(__xludf.DUMMYFUNCTION("""COMPUTED_VALUE"""),4925)</f>
        <v>4925</v>
      </c>
      <c r="D276" s="2">
        <f ca="1">IFERROR(__xludf.DUMMYFUNCTION("""COMPUTED_VALUE"""),4862.5)</f>
        <v>4862.5</v>
      </c>
      <c r="E276" s="2">
        <f ca="1">IFERROR(__xludf.DUMMYFUNCTION("""COMPUTED_VALUE"""),4875)</f>
        <v>4875</v>
      </c>
      <c r="F276" s="2">
        <f ca="1">IFERROR(__xludf.DUMMYFUNCTION("""COMPUTED_VALUE"""),22542800)</f>
        <v>22542800</v>
      </c>
    </row>
    <row r="277" spans="1:6">
      <c r="A277" s="1">
        <f ca="1">IFERROR(__xludf.DUMMYFUNCTION("""COMPUTED_VALUE"""),42417.625)</f>
        <v>42417.625</v>
      </c>
      <c r="B277" s="2">
        <f ca="1">IFERROR(__xludf.DUMMYFUNCTION("""COMPUTED_VALUE"""),4862.5)</f>
        <v>4862.5</v>
      </c>
      <c r="C277" s="2">
        <f ca="1">IFERROR(__xludf.DUMMYFUNCTION("""COMPUTED_VALUE"""),4900)</f>
        <v>4900</v>
      </c>
      <c r="D277" s="2">
        <f ca="1">IFERROR(__xludf.DUMMYFUNCTION("""COMPUTED_VALUE"""),4837.5)</f>
        <v>4837.5</v>
      </c>
      <c r="E277" s="2">
        <f ca="1">IFERROR(__xludf.DUMMYFUNCTION("""COMPUTED_VALUE"""),4850)</f>
        <v>4850</v>
      </c>
      <c r="F277" s="2">
        <f ca="1">IFERROR(__xludf.DUMMYFUNCTION("""COMPUTED_VALUE"""),25892000)</f>
        <v>25892000</v>
      </c>
    </row>
    <row r="278" spans="1:6">
      <c r="A278" s="1">
        <f ca="1">IFERROR(__xludf.DUMMYFUNCTION("""COMPUTED_VALUE"""),42418.625)</f>
        <v>42418.625</v>
      </c>
      <c r="B278" s="2">
        <f ca="1">IFERROR(__xludf.DUMMYFUNCTION("""COMPUTED_VALUE"""),4887.5)</f>
        <v>4887.5</v>
      </c>
      <c r="C278" s="2">
        <f ca="1">IFERROR(__xludf.DUMMYFUNCTION("""COMPUTED_VALUE"""),4937.5)</f>
        <v>4937.5</v>
      </c>
      <c r="D278" s="2">
        <f ca="1">IFERROR(__xludf.DUMMYFUNCTION("""COMPUTED_VALUE"""),4850)</f>
        <v>4850</v>
      </c>
      <c r="E278" s="2">
        <f ca="1">IFERROR(__xludf.DUMMYFUNCTION("""COMPUTED_VALUE"""),4862.5)</f>
        <v>4862.5</v>
      </c>
      <c r="F278" s="2">
        <f ca="1">IFERROR(__xludf.DUMMYFUNCTION("""COMPUTED_VALUE"""),51409200)</f>
        <v>51409200</v>
      </c>
    </row>
    <row r="279" spans="1:6">
      <c r="A279" s="1">
        <f ca="1">IFERROR(__xludf.DUMMYFUNCTION("""COMPUTED_VALUE"""),42419.625)</f>
        <v>42419.625</v>
      </c>
      <c r="B279" s="2">
        <f ca="1">IFERROR(__xludf.DUMMYFUNCTION("""COMPUTED_VALUE"""),4737.5)</f>
        <v>4737.5</v>
      </c>
      <c r="C279" s="2">
        <f ca="1">IFERROR(__xludf.DUMMYFUNCTION("""COMPUTED_VALUE"""),4737.5)</f>
        <v>4737.5</v>
      </c>
      <c r="D279" s="2">
        <f ca="1">IFERROR(__xludf.DUMMYFUNCTION("""COMPUTED_VALUE"""),4600)</f>
        <v>4600</v>
      </c>
      <c r="E279" s="2">
        <f ca="1">IFERROR(__xludf.DUMMYFUNCTION("""COMPUTED_VALUE"""),4650)</f>
        <v>4650</v>
      </c>
      <c r="F279" s="2">
        <f ca="1">IFERROR(__xludf.DUMMYFUNCTION("""COMPUTED_VALUE"""),95414500)</f>
        <v>95414500</v>
      </c>
    </row>
    <row r="280" spans="1:6">
      <c r="A280" s="1">
        <f ca="1">IFERROR(__xludf.DUMMYFUNCTION("""COMPUTED_VALUE"""),42422.625)</f>
        <v>42422.625</v>
      </c>
      <c r="B280" s="2">
        <f ca="1">IFERROR(__xludf.DUMMYFUNCTION("""COMPUTED_VALUE"""),4612.5)</f>
        <v>4612.5</v>
      </c>
      <c r="C280" s="2">
        <f ca="1">IFERROR(__xludf.DUMMYFUNCTION("""COMPUTED_VALUE"""),4737.5)</f>
        <v>4737.5</v>
      </c>
      <c r="D280" s="2">
        <f ca="1">IFERROR(__xludf.DUMMYFUNCTION("""COMPUTED_VALUE"""),4612.5)</f>
        <v>4612.5</v>
      </c>
      <c r="E280" s="2">
        <f ca="1">IFERROR(__xludf.DUMMYFUNCTION("""COMPUTED_VALUE"""),4700)</f>
        <v>4700</v>
      </c>
      <c r="F280" s="2">
        <f ca="1">IFERROR(__xludf.DUMMYFUNCTION("""COMPUTED_VALUE"""),30506300)</f>
        <v>30506300</v>
      </c>
    </row>
    <row r="281" spans="1:6">
      <c r="A281" s="1">
        <f ca="1">IFERROR(__xludf.DUMMYFUNCTION("""COMPUTED_VALUE"""),42423.625)</f>
        <v>42423.625</v>
      </c>
      <c r="B281" s="2">
        <f ca="1">IFERROR(__xludf.DUMMYFUNCTION("""COMPUTED_VALUE"""),4625)</f>
        <v>4625</v>
      </c>
      <c r="C281" s="2">
        <f ca="1">IFERROR(__xludf.DUMMYFUNCTION("""COMPUTED_VALUE"""),4687.5)</f>
        <v>4687.5</v>
      </c>
      <c r="D281" s="2">
        <f ca="1">IFERROR(__xludf.DUMMYFUNCTION("""COMPUTED_VALUE"""),4587.5)</f>
        <v>4587.5</v>
      </c>
      <c r="E281" s="2">
        <f ca="1">IFERROR(__xludf.DUMMYFUNCTION("""COMPUTED_VALUE"""),4625)</f>
        <v>4625</v>
      </c>
      <c r="F281" s="2">
        <f ca="1">IFERROR(__xludf.DUMMYFUNCTION("""COMPUTED_VALUE"""),19734800)</f>
        <v>19734800</v>
      </c>
    </row>
    <row r="282" spans="1:6">
      <c r="A282" s="1">
        <f ca="1">IFERROR(__xludf.DUMMYFUNCTION("""COMPUTED_VALUE"""),42424.625)</f>
        <v>42424.625</v>
      </c>
      <c r="B282" s="2">
        <f ca="1">IFERROR(__xludf.DUMMYFUNCTION("""COMPUTED_VALUE"""),4675)</f>
        <v>4675</v>
      </c>
      <c r="C282" s="2">
        <f ca="1">IFERROR(__xludf.DUMMYFUNCTION("""COMPUTED_VALUE"""),4750)</f>
        <v>4750</v>
      </c>
      <c r="D282" s="2">
        <f ca="1">IFERROR(__xludf.DUMMYFUNCTION("""COMPUTED_VALUE"""),4637.5)</f>
        <v>4637.5</v>
      </c>
      <c r="E282" s="2">
        <f ca="1">IFERROR(__xludf.DUMMYFUNCTION("""COMPUTED_VALUE"""),4700)</f>
        <v>4700</v>
      </c>
      <c r="F282" s="2">
        <f ca="1">IFERROR(__xludf.DUMMYFUNCTION("""COMPUTED_VALUE"""),19099800)</f>
        <v>19099800</v>
      </c>
    </row>
    <row r="283" spans="1:6">
      <c r="A283" s="1">
        <f ca="1">IFERROR(__xludf.DUMMYFUNCTION("""COMPUTED_VALUE"""),42425.625)</f>
        <v>42425.625</v>
      </c>
      <c r="B283" s="2">
        <f ca="1">IFERROR(__xludf.DUMMYFUNCTION("""COMPUTED_VALUE"""),4700)</f>
        <v>4700</v>
      </c>
      <c r="C283" s="2">
        <f ca="1">IFERROR(__xludf.DUMMYFUNCTION("""COMPUTED_VALUE"""),4725)</f>
        <v>4725</v>
      </c>
      <c r="D283" s="2">
        <f ca="1">IFERROR(__xludf.DUMMYFUNCTION("""COMPUTED_VALUE"""),4625)</f>
        <v>4625</v>
      </c>
      <c r="E283" s="2">
        <f ca="1">IFERROR(__xludf.DUMMYFUNCTION("""COMPUTED_VALUE"""),4662.5)</f>
        <v>4662.5</v>
      </c>
      <c r="F283" s="2">
        <f ca="1">IFERROR(__xludf.DUMMYFUNCTION("""COMPUTED_VALUE"""),14995400)</f>
        <v>14995400</v>
      </c>
    </row>
    <row r="284" spans="1:6">
      <c r="A284" s="1">
        <f ca="1">IFERROR(__xludf.DUMMYFUNCTION("""COMPUTED_VALUE"""),42426.625)</f>
        <v>42426.625</v>
      </c>
      <c r="B284" s="2">
        <f ca="1">IFERROR(__xludf.DUMMYFUNCTION("""COMPUTED_VALUE"""),4687.5)</f>
        <v>4687.5</v>
      </c>
      <c r="C284" s="2">
        <f ca="1">IFERROR(__xludf.DUMMYFUNCTION("""COMPUTED_VALUE"""),4762.5)</f>
        <v>4762.5</v>
      </c>
      <c r="D284" s="2">
        <f ca="1">IFERROR(__xludf.DUMMYFUNCTION("""COMPUTED_VALUE"""),4687.5)</f>
        <v>4687.5</v>
      </c>
      <c r="E284" s="2">
        <f ca="1">IFERROR(__xludf.DUMMYFUNCTION("""COMPUTED_VALUE"""),4737.5)</f>
        <v>4737.5</v>
      </c>
      <c r="F284" s="2">
        <f ca="1">IFERROR(__xludf.DUMMYFUNCTION("""COMPUTED_VALUE"""),14885500)</f>
        <v>14885500</v>
      </c>
    </row>
    <row r="285" spans="1:6">
      <c r="A285" s="1">
        <f ca="1">IFERROR(__xludf.DUMMYFUNCTION("""COMPUTED_VALUE"""),42429.625)</f>
        <v>42429.625</v>
      </c>
      <c r="B285" s="2">
        <f ca="1">IFERROR(__xludf.DUMMYFUNCTION("""COMPUTED_VALUE"""),4737.5)</f>
        <v>4737.5</v>
      </c>
      <c r="C285" s="2">
        <f ca="1">IFERROR(__xludf.DUMMYFUNCTION("""COMPUTED_VALUE"""),4775)</f>
        <v>4775</v>
      </c>
      <c r="D285" s="2">
        <f ca="1">IFERROR(__xludf.DUMMYFUNCTION("""COMPUTED_VALUE"""),4687.5)</f>
        <v>4687.5</v>
      </c>
      <c r="E285" s="2">
        <f ca="1">IFERROR(__xludf.DUMMYFUNCTION("""COMPUTED_VALUE"""),4775)</f>
        <v>4775</v>
      </c>
      <c r="F285" s="2">
        <f ca="1">IFERROR(__xludf.DUMMYFUNCTION("""COMPUTED_VALUE"""),27342800)</f>
        <v>27342800</v>
      </c>
    </row>
    <row r="286" spans="1:6">
      <c r="A286" s="1">
        <f ca="1">IFERROR(__xludf.DUMMYFUNCTION("""COMPUTED_VALUE"""),42430.625)</f>
        <v>42430.625</v>
      </c>
      <c r="B286" s="2">
        <f ca="1">IFERROR(__xludf.DUMMYFUNCTION("""COMPUTED_VALUE"""),4737.5)</f>
        <v>4737.5</v>
      </c>
      <c r="C286" s="2">
        <f ca="1">IFERROR(__xludf.DUMMYFUNCTION("""COMPUTED_VALUE"""),4775)</f>
        <v>4775</v>
      </c>
      <c r="D286" s="2">
        <f ca="1">IFERROR(__xludf.DUMMYFUNCTION("""COMPUTED_VALUE"""),4687.5)</f>
        <v>4687.5</v>
      </c>
      <c r="E286" s="2">
        <f ca="1">IFERROR(__xludf.DUMMYFUNCTION("""COMPUTED_VALUE"""),4725)</f>
        <v>4725</v>
      </c>
      <c r="F286" s="2">
        <f ca="1">IFERROR(__xludf.DUMMYFUNCTION("""COMPUTED_VALUE"""),18892900)</f>
        <v>18892900</v>
      </c>
    </row>
    <row r="287" spans="1:6">
      <c r="A287" s="1">
        <f ca="1">IFERROR(__xludf.DUMMYFUNCTION("""COMPUTED_VALUE"""),42431.625)</f>
        <v>42431.625</v>
      </c>
      <c r="B287" s="2">
        <f ca="1">IFERROR(__xludf.DUMMYFUNCTION("""COMPUTED_VALUE"""),4775)</f>
        <v>4775</v>
      </c>
      <c r="C287" s="2">
        <f ca="1">IFERROR(__xludf.DUMMYFUNCTION("""COMPUTED_VALUE"""),4862.5)</f>
        <v>4862.5</v>
      </c>
      <c r="D287" s="2">
        <f ca="1">IFERROR(__xludf.DUMMYFUNCTION("""COMPUTED_VALUE"""),4750)</f>
        <v>4750</v>
      </c>
      <c r="E287" s="2">
        <f ca="1">IFERROR(__xludf.DUMMYFUNCTION("""COMPUTED_VALUE"""),4812.5)</f>
        <v>4812.5</v>
      </c>
      <c r="F287" s="2">
        <f ca="1">IFERROR(__xludf.DUMMYFUNCTION("""COMPUTED_VALUE"""),31386400)</f>
        <v>31386400</v>
      </c>
    </row>
    <row r="288" spans="1:6">
      <c r="A288" s="1">
        <f ca="1">IFERROR(__xludf.DUMMYFUNCTION("""COMPUTED_VALUE"""),42432.625)</f>
        <v>42432.625</v>
      </c>
      <c r="B288" s="2">
        <f ca="1">IFERROR(__xludf.DUMMYFUNCTION("""COMPUTED_VALUE"""),4850)</f>
        <v>4850</v>
      </c>
      <c r="C288" s="2">
        <f ca="1">IFERROR(__xludf.DUMMYFUNCTION("""COMPUTED_VALUE"""),4887.5)</f>
        <v>4887.5</v>
      </c>
      <c r="D288" s="2">
        <f ca="1">IFERROR(__xludf.DUMMYFUNCTION("""COMPUTED_VALUE"""),4800)</f>
        <v>4800</v>
      </c>
      <c r="E288" s="2">
        <f ca="1">IFERROR(__xludf.DUMMYFUNCTION("""COMPUTED_VALUE"""),4850)</f>
        <v>4850</v>
      </c>
      <c r="F288" s="2">
        <f ca="1">IFERROR(__xludf.DUMMYFUNCTION("""COMPUTED_VALUE"""),20203000)</f>
        <v>20203000</v>
      </c>
    </row>
    <row r="289" spans="1:6">
      <c r="A289" s="1">
        <f ca="1">IFERROR(__xludf.DUMMYFUNCTION("""COMPUTED_VALUE"""),42433.625)</f>
        <v>42433.625</v>
      </c>
      <c r="B289" s="2">
        <f ca="1">IFERROR(__xludf.DUMMYFUNCTION("""COMPUTED_VALUE"""),4850)</f>
        <v>4850</v>
      </c>
      <c r="C289" s="2">
        <f ca="1">IFERROR(__xludf.DUMMYFUNCTION("""COMPUTED_VALUE"""),4887.5)</f>
        <v>4887.5</v>
      </c>
      <c r="D289" s="2">
        <f ca="1">IFERROR(__xludf.DUMMYFUNCTION("""COMPUTED_VALUE"""),4812.5)</f>
        <v>4812.5</v>
      </c>
      <c r="E289" s="2">
        <f ca="1">IFERROR(__xludf.DUMMYFUNCTION("""COMPUTED_VALUE"""),4887.5)</f>
        <v>4887.5</v>
      </c>
      <c r="F289" s="2">
        <f ca="1">IFERROR(__xludf.DUMMYFUNCTION("""COMPUTED_VALUE"""),17439900)</f>
        <v>17439900</v>
      </c>
    </row>
    <row r="290" spans="1:6">
      <c r="A290" s="1">
        <f ca="1">IFERROR(__xludf.DUMMYFUNCTION("""COMPUTED_VALUE"""),42436.625)</f>
        <v>42436.625</v>
      </c>
      <c r="B290" s="2">
        <f ca="1">IFERROR(__xludf.DUMMYFUNCTION("""COMPUTED_VALUE"""),4925)</f>
        <v>4925</v>
      </c>
      <c r="C290" s="2">
        <f ca="1">IFERROR(__xludf.DUMMYFUNCTION("""COMPUTED_VALUE"""),5000)</f>
        <v>5000</v>
      </c>
      <c r="D290" s="2">
        <f ca="1">IFERROR(__xludf.DUMMYFUNCTION("""COMPUTED_VALUE"""),4900)</f>
        <v>4900</v>
      </c>
      <c r="E290" s="2">
        <f ca="1">IFERROR(__xludf.DUMMYFUNCTION("""COMPUTED_VALUE"""),4987.5)</f>
        <v>4987.5</v>
      </c>
      <c r="F290" s="2">
        <f ca="1">IFERROR(__xludf.DUMMYFUNCTION("""COMPUTED_VALUE"""),44116500)</f>
        <v>44116500</v>
      </c>
    </row>
    <row r="291" spans="1:6">
      <c r="A291" s="1">
        <f ca="1">IFERROR(__xludf.DUMMYFUNCTION("""COMPUTED_VALUE"""),42437.625)</f>
        <v>42437.625</v>
      </c>
      <c r="B291" s="2">
        <f ca="1">IFERROR(__xludf.DUMMYFUNCTION("""COMPUTED_VALUE"""),5000)</f>
        <v>5000</v>
      </c>
      <c r="C291" s="2">
        <f ca="1">IFERROR(__xludf.DUMMYFUNCTION("""COMPUTED_VALUE"""),5012.5)</f>
        <v>5012.5</v>
      </c>
      <c r="D291" s="2">
        <f ca="1">IFERROR(__xludf.DUMMYFUNCTION("""COMPUTED_VALUE"""),4950)</f>
        <v>4950</v>
      </c>
      <c r="E291" s="2">
        <f ca="1">IFERROR(__xludf.DUMMYFUNCTION("""COMPUTED_VALUE"""),5000)</f>
        <v>5000</v>
      </c>
      <c r="F291" s="2">
        <f ca="1">IFERROR(__xludf.DUMMYFUNCTION("""COMPUTED_VALUE"""),36344000)</f>
        <v>36344000</v>
      </c>
    </row>
    <row r="292" spans="1:6">
      <c r="A292" s="1">
        <f ca="1">IFERROR(__xludf.DUMMYFUNCTION("""COMPUTED_VALUE"""),42439.625)</f>
        <v>42439.625</v>
      </c>
      <c r="B292" s="2">
        <f ca="1">IFERROR(__xludf.DUMMYFUNCTION("""COMPUTED_VALUE"""),4900)</f>
        <v>4900</v>
      </c>
      <c r="C292" s="2">
        <f ca="1">IFERROR(__xludf.DUMMYFUNCTION("""COMPUTED_VALUE"""),5050)</f>
        <v>5050</v>
      </c>
      <c r="D292" s="2">
        <f ca="1">IFERROR(__xludf.DUMMYFUNCTION("""COMPUTED_VALUE"""),4900)</f>
        <v>4900</v>
      </c>
      <c r="E292" s="2">
        <f ca="1">IFERROR(__xludf.DUMMYFUNCTION("""COMPUTED_VALUE"""),5050)</f>
        <v>5050</v>
      </c>
      <c r="F292" s="2">
        <f ca="1">IFERROR(__xludf.DUMMYFUNCTION("""COMPUTED_VALUE"""),31001500)</f>
        <v>31001500</v>
      </c>
    </row>
    <row r="293" spans="1:6">
      <c r="A293" s="1">
        <f ca="1">IFERROR(__xludf.DUMMYFUNCTION("""COMPUTED_VALUE"""),42440.625)</f>
        <v>42440.625</v>
      </c>
      <c r="B293" s="2">
        <f ca="1">IFERROR(__xludf.DUMMYFUNCTION("""COMPUTED_VALUE"""),5087.5)</f>
        <v>5087.5</v>
      </c>
      <c r="C293" s="2">
        <f ca="1">IFERROR(__xludf.DUMMYFUNCTION("""COMPUTED_VALUE"""),5100)</f>
        <v>5100</v>
      </c>
      <c r="D293" s="2">
        <f ca="1">IFERROR(__xludf.DUMMYFUNCTION("""COMPUTED_VALUE"""),5025)</f>
        <v>5025</v>
      </c>
      <c r="E293" s="2">
        <f ca="1">IFERROR(__xludf.DUMMYFUNCTION("""COMPUTED_VALUE"""),5075)</f>
        <v>5075</v>
      </c>
      <c r="F293" s="2">
        <f ca="1">IFERROR(__xludf.DUMMYFUNCTION("""COMPUTED_VALUE"""),30747700)</f>
        <v>30747700</v>
      </c>
    </row>
    <row r="294" spans="1:6">
      <c r="A294" s="1">
        <f ca="1">IFERROR(__xludf.DUMMYFUNCTION("""COMPUTED_VALUE"""),42443.625)</f>
        <v>42443.625</v>
      </c>
      <c r="B294" s="2">
        <f ca="1">IFERROR(__xludf.DUMMYFUNCTION("""COMPUTED_VALUE"""),5075)</f>
        <v>5075</v>
      </c>
      <c r="C294" s="2">
        <f ca="1">IFERROR(__xludf.DUMMYFUNCTION("""COMPUTED_VALUE"""),5100)</f>
        <v>5100</v>
      </c>
      <c r="D294" s="2">
        <f ca="1">IFERROR(__xludf.DUMMYFUNCTION("""COMPUTED_VALUE"""),5050)</f>
        <v>5050</v>
      </c>
      <c r="E294" s="2">
        <f ca="1">IFERROR(__xludf.DUMMYFUNCTION("""COMPUTED_VALUE"""),5087.5)</f>
        <v>5087.5</v>
      </c>
      <c r="F294" s="2">
        <f ca="1">IFERROR(__xludf.DUMMYFUNCTION("""COMPUTED_VALUE"""),16477100)</f>
        <v>16477100</v>
      </c>
    </row>
    <row r="295" spans="1:6">
      <c r="A295" s="1">
        <f ca="1">IFERROR(__xludf.DUMMYFUNCTION("""COMPUTED_VALUE"""),42444.625)</f>
        <v>42444.625</v>
      </c>
      <c r="B295" s="2">
        <f ca="1">IFERROR(__xludf.DUMMYFUNCTION("""COMPUTED_VALUE"""),5125)</f>
        <v>5125</v>
      </c>
      <c r="C295" s="2">
        <f ca="1">IFERROR(__xludf.DUMMYFUNCTION("""COMPUTED_VALUE"""),5125)</f>
        <v>5125</v>
      </c>
      <c r="D295" s="2">
        <f ca="1">IFERROR(__xludf.DUMMYFUNCTION("""COMPUTED_VALUE"""),5075)</f>
        <v>5075</v>
      </c>
      <c r="E295" s="2">
        <f ca="1">IFERROR(__xludf.DUMMYFUNCTION("""COMPUTED_VALUE"""),5087.5)</f>
        <v>5087.5</v>
      </c>
      <c r="F295" s="2">
        <f ca="1">IFERROR(__xludf.DUMMYFUNCTION("""COMPUTED_VALUE"""),14389000)</f>
        <v>14389000</v>
      </c>
    </row>
    <row r="296" spans="1:6">
      <c r="A296" s="1">
        <f ca="1">IFERROR(__xludf.DUMMYFUNCTION("""COMPUTED_VALUE"""),42445.625)</f>
        <v>42445.625</v>
      </c>
      <c r="B296" s="2">
        <f ca="1">IFERROR(__xludf.DUMMYFUNCTION("""COMPUTED_VALUE"""),5100)</f>
        <v>5100</v>
      </c>
      <c r="C296" s="2">
        <f ca="1">IFERROR(__xludf.DUMMYFUNCTION("""COMPUTED_VALUE"""),5100)</f>
        <v>5100</v>
      </c>
      <c r="D296" s="2">
        <f ca="1">IFERROR(__xludf.DUMMYFUNCTION("""COMPUTED_VALUE"""),5000)</f>
        <v>5000</v>
      </c>
      <c r="E296" s="2">
        <f ca="1">IFERROR(__xludf.DUMMYFUNCTION("""COMPUTED_VALUE"""),5087.5)</f>
        <v>5087.5</v>
      </c>
      <c r="F296" s="2">
        <f ca="1">IFERROR(__xludf.DUMMYFUNCTION("""COMPUTED_VALUE"""),11700000)</f>
        <v>11700000</v>
      </c>
    </row>
    <row r="297" spans="1:6">
      <c r="A297" s="1">
        <f ca="1">IFERROR(__xludf.DUMMYFUNCTION("""COMPUTED_VALUE"""),42446.625)</f>
        <v>42446.625</v>
      </c>
      <c r="B297" s="2">
        <f ca="1">IFERROR(__xludf.DUMMYFUNCTION("""COMPUTED_VALUE"""),5125)</f>
        <v>5125</v>
      </c>
      <c r="C297" s="2">
        <f ca="1">IFERROR(__xludf.DUMMYFUNCTION("""COMPUTED_VALUE"""),5125)</f>
        <v>5125</v>
      </c>
      <c r="D297" s="2">
        <f ca="1">IFERROR(__xludf.DUMMYFUNCTION("""COMPUTED_VALUE"""),5000)</f>
        <v>5000</v>
      </c>
      <c r="E297" s="2">
        <f ca="1">IFERROR(__xludf.DUMMYFUNCTION("""COMPUTED_VALUE"""),5050)</f>
        <v>5050</v>
      </c>
      <c r="F297" s="2">
        <f ca="1">IFERROR(__xludf.DUMMYFUNCTION("""COMPUTED_VALUE"""),18819100)</f>
        <v>18819100</v>
      </c>
    </row>
    <row r="298" spans="1:6">
      <c r="A298" s="1">
        <f ca="1">IFERROR(__xludf.DUMMYFUNCTION("""COMPUTED_VALUE"""),42447.625)</f>
        <v>42447.625</v>
      </c>
      <c r="B298" s="2">
        <f ca="1">IFERROR(__xludf.DUMMYFUNCTION("""COMPUTED_VALUE"""),5087.5)</f>
        <v>5087.5</v>
      </c>
      <c r="C298" s="2">
        <f ca="1">IFERROR(__xludf.DUMMYFUNCTION("""COMPUTED_VALUE"""),5087.5)</f>
        <v>5087.5</v>
      </c>
      <c r="D298" s="2">
        <f ca="1">IFERROR(__xludf.DUMMYFUNCTION("""COMPUTED_VALUE"""),5000)</f>
        <v>5000</v>
      </c>
      <c r="E298" s="2">
        <f ca="1">IFERROR(__xludf.DUMMYFUNCTION("""COMPUTED_VALUE"""),5050)</f>
        <v>5050</v>
      </c>
      <c r="F298" s="2">
        <f ca="1">IFERROR(__xludf.DUMMYFUNCTION("""COMPUTED_VALUE"""),27501800)</f>
        <v>27501800</v>
      </c>
    </row>
    <row r="299" spans="1:6">
      <c r="A299" s="1">
        <f ca="1">IFERROR(__xludf.DUMMYFUNCTION("""COMPUTED_VALUE"""),42450.625)</f>
        <v>42450.625</v>
      </c>
      <c r="B299" s="2">
        <f ca="1">IFERROR(__xludf.DUMMYFUNCTION("""COMPUTED_VALUE"""),5050)</f>
        <v>5050</v>
      </c>
      <c r="C299" s="2">
        <f ca="1">IFERROR(__xludf.DUMMYFUNCTION("""COMPUTED_VALUE"""),5100)</f>
        <v>5100</v>
      </c>
      <c r="D299" s="2">
        <f ca="1">IFERROR(__xludf.DUMMYFUNCTION("""COMPUTED_VALUE"""),5050)</f>
        <v>5050</v>
      </c>
      <c r="E299" s="2">
        <f ca="1">IFERROR(__xludf.DUMMYFUNCTION("""COMPUTED_VALUE"""),5075)</f>
        <v>5075</v>
      </c>
      <c r="F299" s="2">
        <f ca="1">IFERROR(__xludf.DUMMYFUNCTION("""COMPUTED_VALUE"""),34341400)</f>
        <v>34341400</v>
      </c>
    </row>
    <row r="300" spans="1:6">
      <c r="A300" s="1">
        <f ca="1">IFERROR(__xludf.DUMMYFUNCTION("""COMPUTED_VALUE"""),42451.625)</f>
        <v>42451.625</v>
      </c>
      <c r="B300" s="2">
        <f ca="1">IFERROR(__xludf.DUMMYFUNCTION("""COMPUTED_VALUE"""),5100)</f>
        <v>5100</v>
      </c>
      <c r="C300" s="2">
        <f ca="1">IFERROR(__xludf.DUMMYFUNCTION("""COMPUTED_VALUE"""),5162.5)</f>
        <v>5162.5</v>
      </c>
      <c r="D300" s="2">
        <f ca="1">IFERROR(__xludf.DUMMYFUNCTION("""COMPUTED_VALUE"""),5087.5)</f>
        <v>5087.5</v>
      </c>
      <c r="E300" s="2">
        <f ca="1">IFERROR(__xludf.DUMMYFUNCTION("""COMPUTED_VALUE"""),5150)</f>
        <v>5150</v>
      </c>
      <c r="F300" s="2">
        <f ca="1">IFERROR(__xludf.DUMMYFUNCTION("""COMPUTED_VALUE"""),21906200)</f>
        <v>21906200</v>
      </c>
    </row>
    <row r="301" spans="1:6">
      <c r="A301" s="1">
        <f ca="1">IFERROR(__xludf.DUMMYFUNCTION("""COMPUTED_VALUE"""),42452.625)</f>
        <v>42452.625</v>
      </c>
      <c r="B301" s="2">
        <f ca="1">IFERROR(__xludf.DUMMYFUNCTION("""COMPUTED_VALUE"""),5162.5)</f>
        <v>5162.5</v>
      </c>
      <c r="C301" s="2">
        <f ca="1">IFERROR(__xludf.DUMMYFUNCTION("""COMPUTED_VALUE"""),5162.5)</f>
        <v>5162.5</v>
      </c>
      <c r="D301" s="2">
        <f ca="1">IFERROR(__xludf.DUMMYFUNCTION("""COMPUTED_VALUE"""),5100)</f>
        <v>5100</v>
      </c>
      <c r="E301" s="2">
        <f ca="1">IFERROR(__xludf.DUMMYFUNCTION("""COMPUTED_VALUE"""),5125)</f>
        <v>5125</v>
      </c>
      <c r="F301" s="2">
        <f ca="1">IFERROR(__xludf.DUMMYFUNCTION("""COMPUTED_VALUE"""),25923400)</f>
        <v>25923400</v>
      </c>
    </row>
    <row r="302" spans="1:6">
      <c r="A302" s="1">
        <f ca="1">IFERROR(__xludf.DUMMYFUNCTION("""COMPUTED_VALUE"""),42453.625)</f>
        <v>42453.625</v>
      </c>
      <c r="B302" s="2">
        <f ca="1">IFERROR(__xludf.DUMMYFUNCTION("""COMPUTED_VALUE"""),5100)</f>
        <v>5100</v>
      </c>
      <c r="C302" s="2">
        <f ca="1">IFERROR(__xludf.DUMMYFUNCTION("""COMPUTED_VALUE"""),5162.5)</f>
        <v>5162.5</v>
      </c>
      <c r="D302" s="2">
        <f ca="1">IFERROR(__xludf.DUMMYFUNCTION("""COMPUTED_VALUE"""),5100)</f>
        <v>5100</v>
      </c>
      <c r="E302" s="2">
        <f ca="1">IFERROR(__xludf.DUMMYFUNCTION("""COMPUTED_VALUE"""),5112.5)</f>
        <v>5112.5</v>
      </c>
      <c r="F302" s="2">
        <f ca="1">IFERROR(__xludf.DUMMYFUNCTION("""COMPUTED_VALUE"""),28871100)</f>
        <v>28871100</v>
      </c>
    </row>
    <row r="303" spans="1:6">
      <c r="A303" s="1">
        <f ca="1">IFERROR(__xludf.DUMMYFUNCTION("""COMPUTED_VALUE"""),42457.625)</f>
        <v>42457.625</v>
      </c>
      <c r="B303" s="2">
        <f ca="1">IFERROR(__xludf.DUMMYFUNCTION("""COMPUTED_VALUE"""),5087.5)</f>
        <v>5087.5</v>
      </c>
      <c r="C303" s="2">
        <f ca="1">IFERROR(__xludf.DUMMYFUNCTION("""COMPUTED_VALUE"""),5112.5)</f>
        <v>5112.5</v>
      </c>
      <c r="D303" s="2">
        <f ca="1">IFERROR(__xludf.DUMMYFUNCTION("""COMPUTED_VALUE"""),5012.5)</f>
        <v>5012.5</v>
      </c>
      <c r="E303" s="2">
        <f ca="1">IFERROR(__xludf.DUMMYFUNCTION("""COMPUTED_VALUE"""),5037.5)</f>
        <v>5037.5</v>
      </c>
      <c r="F303" s="2">
        <f ca="1">IFERROR(__xludf.DUMMYFUNCTION("""COMPUTED_VALUE"""),17788500)</f>
        <v>17788500</v>
      </c>
    </row>
    <row r="304" spans="1:6">
      <c r="A304" s="1">
        <f ca="1">IFERROR(__xludf.DUMMYFUNCTION("""COMPUTED_VALUE"""),42458.625)</f>
        <v>42458.625</v>
      </c>
      <c r="B304" s="2">
        <f ca="1">IFERROR(__xludf.DUMMYFUNCTION("""COMPUTED_VALUE"""),5037.5)</f>
        <v>5037.5</v>
      </c>
      <c r="C304" s="2">
        <f ca="1">IFERROR(__xludf.DUMMYFUNCTION("""COMPUTED_VALUE"""),5100)</f>
        <v>5100</v>
      </c>
      <c r="D304" s="2">
        <f ca="1">IFERROR(__xludf.DUMMYFUNCTION("""COMPUTED_VALUE"""),5000)</f>
        <v>5000</v>
      </c>
      <c r="E304" s="2">
        <f ca="1">IFERROR(__xludf.DUMMYFUNCTION("""COMPUTED_VALUE"""),5100)</f>
        <v>5100</v>
      </c>
      <c r="F304" s="2">
        <f ca="1">IFERROR(__xludf.DUMMYFUNCTION("""COMPUTED_VALUE"""),22723100)</f>
        <v>22723100</v>
      </c>
    </row>
    <row r="305" spans="1:6">
      <c r="A305" s="1">
        <f ca="1">IFERROR(__xludf.DUMMYFUNCTION("""COMPUTED_VALUE"""),42459.625)</f>
        <v>42459.625</v>
      </c>
      <c r="B305" s="2">
        <f ca="1">IFERROR(__xludf.DUMMYFUNCTION("""COMPUTED_VALUE"""),5050)</f>
        <v>5050</v>
      </c>
      <c r="C305" s="2">
        <f ca="1">IFERROR(__xludf.DUMMYFUNCTION("""COMPUTED_VALUE"""),5175)</f>
        <v>5175</v>
      </c>
      <c r="D305" s="2">
        <f ca="1">IFERROR(__xludf.DUMMYFUNCTION("""COMPUTED_VALUE"""),5025)</f>
        <v>5025</v>
      </c>
      <c r="E305" s="2">
        <f ca="1">IFERROR(__xludf.DUMMYFUNCTION("""COMPUTED_VALUE"""),5175)</f>
        <v>5175</v>
      </c>
      <c r="F305" s="2">
        <f ca="1">IFERROR(__xludf.DUMMYFUNCTION("""COMPUTED_VALUE"""),44610400)</f>
        <v>44610400</v>
      </c>
    </row>
    <row r="306" spans="1:6">
      <c r="A306" s="1">
        <f ca="1">IFERROR(__xludf.DUMMYFUNCTION("""COMPUTED_VALUE"""),42460.625)</f>
        <v>42460.625</v>
      </c>
      <c r="B306" s="2">
        <f ca="1">IFERROR(__xludf.DUMMYFUNCTION("""COMPUTED_VALUE"""),5175)</f>
        <v>5175</v>
      </c>
      <c r="C306" s="2">
        <f ca="1">IFERROR(__xludf.DUMMYFUNCTION("""COMPUTED_VALUE"""),5187.5)</f>
        <v>5187.5</v>
      </c>
      <c r="D306" s="2">
        <f ca="1">IFERROR(__xludf.DUMMYFUNCTION("""COMPUTED_VALUE"""),5100)</f>
        <v>5100</v>
      </c>
      <c r="E306" s="2">
        <f ca="1">IFERROR(__xludf.DUMMYFUNCTION("""COMPUTED_VALUE"""),5150)</f>
        <v>5150</v>
      </c>
      <c r="F306" s="2">
        <f ca="1">IFERROR(__xludf.DUMMYFUNCTION("""COMPUTED_VALUE"""),25965600)</f>
        <v>25965600</v>
      </c>
    </row>
    <row r="307" spans="1:6">
      <c r="A307" s="1">
        <f ca="1">IFERROR(__xludf.DUMMYFUNCTION("""COMPUTED_VALUE"""),42461.625)</f>
        <v>42461.625</v>
      </c>
      <c r="B307" s="2">
        <f ca="1">IFERROR(__xludf.DUMMYFUNCTION("""COMPUTED_VALUE"""),5112.5)</f>
        <v>5112.5</v>
      </c>
      <c r="C307" s="2">
        <f ca="1">IFERROR(__xludf.DUMMYFUNCTION("""COMPUTED_VALUE"""),5137.5)</f>
        <v>5137.5</v>
      </c>
      <c r="D307" s="2">
        <f ca="1">IFERROR(__xludf.DUMMYFUNCTION("""COMPUTED_VALUE"""),4962.5)</f>
        <v>4962.5</v>
      </c>
      <c r="E307" s="2">
        <f ca="1">IFERROR(__xludf.DUMMYFUNCTION("""COMPUTED_VALUE"""),5050)</f>
        <v>5050</v>
      </c>
      <c r="F307" s="2">
        <f ca="1">IFERROR(__xludf.DUMMYFUNCTION("""COMPUTED_VALUE"""),15177600)</f>
        <v>15177600</v>
      </c>
    </row>
    <row r="308" spans="1:6">
      <c r="A308" s="1">
        <f ca="1">IFERROR(__xludf.DUMMYFUNCTION("""COMPUTED_VALUE"""),42464.625)</f>
        <v>42464.625</v>
      </c>
      <c r="B308" s="2">
        <f ca="1">IFERROR(__xludf.DUMMYFUNCTION("""COMPUTED_VALUE"""),5050)</f>
        <v>5050</v>
      </c>
      <c r="C308" s="2">
        <f ca="1">IFERROR(__xludf.DUMMYFUNCTION("""COMPUTED_VALUE"""),5087.5)</f>
        <v>5087.5</v>
      </c>
      <c r="D308" s="2">
        <f ca="1">IFERROR(__xludf.DUMMYFUNCTION("""COMPUTED_VALUE"""),5037.5)</f>
        <v>5037.5</v>
      </c>
      <c r="E308" s="2">
        <f ca="1">IFERROR(__xludf.DUMMYFUNCTION("""COMPUTED_VALUE"""),5087.5)</f>
        <v>5087.5</v>
      </c>
      <c r="F308" s="2">
        <f ca="1">IFERROR(__xludf.DUMMYFUNCTION("""COMPUTED_VALUE"""),9212200)</f>
        <v>9212200</v>
      </c>
    </row>
    <row r="309" spans="1:6">
      <c r="A309" s="1">
        <f ca="1">IFERROR(__xludf.DUMMYFUNCTION("""COMPUTED_VALUE"""),42465.625)</f>
        <v>42465.625</v>
      </c>
      <c r="B309" s="2">
        <f ca="1">IFERROR(__xludf.DUMMYFUNCTION("""COMPUTED_VALUE"""),5100)</f>
        <v>5100</v>
      </c>
      <c r="C309" s="2">
        <f ca="1">IFERROR(__xludf.DUMMYFUNCTION("""COMPUTED_VALUE"""),5200)</f>
        <v>5200</v>
      </c>
      <c r="D309" s="2">
        <f ca="1">IFERROR(__xludf.DUMMYFUNCTION("""COMPUTED_VALUE"""),5075)</f>
        <v>5075</v>
      </c>
      <c r="E309" s="2">
        <f ca="1">IFERROR(__xludf.DUMMYFUNCTION("""COMPUTED_VALUE"""),5187.5)</f>
        <v>5187.5</v>
      </c>
      <c r="F309" s="2">
        <f ca="1">IFERROR(__xludf.DUMMYFUNCTION("""COMPUTED_VALUE"""),24865400)</f>
        <v>24865400</v>
      </c>
    </row>
    <row r="310" spans="1:6">
      <c r="A310" s="1">
        <f ca="1">IFERROR(__xludf.DUMMYFUNCTION("""COMPUTED_VALUE"""),42466.625)</f>
        <v>42466.625</v>
      </c>
      <c r="B310" s="2">
        <f ca="1">IFERROR(__xludf.DUMMYFUNCTION("""COMPUTED_VALUE"""),5225)</f>
        <v>5225</v>
      </c>
      <c r="C310" s="2">
        <f ca="1">IFERROR(__xludf.DUMMYFUNCTION("""COMPUTED_VALUE"""),5225)</f>
        <v>5225</v>
      </c>
      <c r="D310" s="2">
        <f ca="1">IFERROR(__xludf.DUMMYFUNCTION("""COMPUTED_VALUE"""),5137.5)</f>
        <v>5137.5</v>
      </c>
      <c r="E310" s="2">
        <f ca="1">IFERROR(__xludf.DUMMYFUNCTION("""COMPUTED_VALUE"""),5187.5)</f>
        <v>5187.5</v>
      </c>
      <c r="F310" s="2">
        <f ca="1">IFERROR(__xludf.DUMMYFUNCTION("""COMPUTED_VALUE"""),9978800)</f>
        <v>9978800</v>
      </c>
    </row>
    <row r="311" spans="1:6">
      <c r="A311" s="1">
        <f ca="1">IFERROR(__xludf.DUMMYFUNCTION("""COMPUTED_VALUE"""),42467.625)</f>
        <v>42467.625</v>
      </c>
      <c r="B311" s="2">
        <f ca="1">IFERROR(__xludf.DUMMYFUNCTION("""COMPUTED_VALUE"""),5225)</f>
        <v>5225</v>
      </c>
      <c r="C311" s="2">
        <f ca="1">IFERROR(__xludf.DUMMYFUNCTION("""COMPUTED_VALUE"""),5225)</f>
        <v>5225</v>
      </c>
      <c r="D311" s="2">
        <f ca="1">IFERROR(__xludf.DUMMYFUNCTION("""COMPUTED_VALUE"""),5075)</f>
        <v>5075</v>
      </c>
      <c r="E311" s="2">
        <f ca="1">IFERROR(__xludf.DUMMYFUNCTION("""COMPUTED_VALUE"""),5150)</f>
        <v>5150</v>
      </c>
      <c r="F311" s="2">
        <f ca="1">IFERROR(__xludf.DUMMYFUNCTION("""COMPUTED_VALUE"""),17526800)</f>
        <v>17526800</v>
      </c>
    </row>
    <row r="312" spans="1:6">
      <c r="A312" s="1">
        <f ca="1">IFERROR(__xludf.DUMMYFUNCTION("""COMPUTED_VALUE"""),42468.625)</f>
        <v>42468.625</v>
      </c>
      <c r="B312" s="2">
        <f ca="1">IFERROR(__xludf.DUMMYFUNCTION("""COMPUTED_VALUE"""),5025)</f>
        <v>5025</v>
      </c>
      <c r="C312" s="2">
        <f ca="1">IFERROR(__xludf.DUMMYFUNCTION("""COMPUTED_VALUE"""),5050)</f>
        <v>5050</v>
      </c>
      <c r="D312" s="2">
        <f ca="1">IFERROR(__xludf.DUMMYFUNCTION("""COMPUTED_VALUE"""),4887.5)</f>
        <v>4887.5</v>
      </c>
      <c r="E312" s="2">
        <f ca="1">IFERROR(__xludf.DUMMYFUNCTION("""COMPUTED_VALUE"""),4925)</f>
        <v>4925</v>
      </c>
      <c r="F312" s="2">
        <f ca="1">IFERROR(__xludf.DUMMYFUNCTION("""COMPUTED_VALUE"""),45262000)</f>
        <v>45262000</v>
      </c>
    </row>
    <row r="313" spans="1:6">
      <c r="A313" s="1">
        <f ca="1">IFERROR(__xludf.DUMMYFUNCTION("""COMPUTED_VALUE"""),42471.625)</f>
        <v>42471.625</v>
      </c>
      <c r="B313" s="2">
        <f ca="1">IFERROR(__xludf.DUMMYFUNCTION("""COMPUTED_VALUE"""),4900)</f>
        <v>4900</v>
      </c>
      <c r="C313" s="2">
        <f ca="1">IFERROR(__xludf.DUMMYFUNCTION("""COMPUTED_VALUE"""),4900)</f>
        <v>4900</v>
      </c>
      <c r="D313" s="2">
        <f ca="1">IFERROR(__xludf.DUMMYFUNCTION("""COMPUTED_VALUE"""),4737.5)</f>
        <v>4737.5</v>
      </c>
      <c r="E313" s="2">
        <f ca="1">IFERROR(__xludf.DUMMYFUNCTION("""COMPUTED_VALUE"""),4762.5)</f>
        <v>4762.5</v>
      </c>
      <c r="F313" s="2">
        <f ca="1">IFERROR(__xludf.DUMMYFUNCTION("""COMPUTED_VALUE"""),42610000)</f>
        <v>42610000</v>
      </c>
    </row>
    <row r="314" spans="1:6">
      <c r="A314" s="1">
        <f ca="1">IFERROR(__xludf.DUMMYFUNCTION("""COMPUTED_VALUE"""),42472.625)</f>
        <v>42472.625</v>
      </c>
      <c r="B314" s="2">
        <f ca="1">IFERROR(__xludf.DUMMYFUNCTION("""COMPUTED_VALUE"""),4762.5)</f>
        <v>4762.5</v>
      </c>
      <c r="C314" s="2">
        <f ca="1">IFERROR(__xludf.DUMMYFUNCTION("""COMPUTED_VALUE"""),4825)</f>
        <v>4825</v>
      </c>
      <c r="D314" s="2">
        <f ca="1">IFERROR(__xludf.DUMMYFUNCTION("""COMPUTED_VALUE"""),4725)</f>
        <v>4725</v>
      </c>
      <c r="E314" s="2">
        <f ca="1">IFERROR(__xludf.DUMMYFUNCTION("""COMPUTED_VALUE"""),4775)</f>
        <v>4775</v>
      </c>
      <c r="F314" s="2">
        <f ca="1">IFERROR(__xludf.DUMMYFUNCTION("""COMPUTED_VALUE"""),38483300)</f>
        <v>38483300</v>
      </c>
    </row>
    <row r="315" spans="1:6">
      <c r="A315" s="1">
        <f ca="1">IFERROR(__xludf.DUMMYFUNCTION("""COMPUTED_VALUE"""),42480.625)</f>
        <v>42480.625</v>
      </c>
      <c r="B315" s="2">
        <f ca="1">IFERROR(__xludf.DUMMYFUNCTION("""COMPUTED_VALUE"""),4812.5)</f>
        <v>4812.5</v>
      </c>
      <c r="C315" s="2">
        <f ca="1">IFERROR(__xludf.DUMMYFUNCTION("""COMPUTED_VALUE"""),4900)</f>
        <v>4900</v>
      </c>
      <c r="D315" s="2">
        <f ca="1">IFERROR(__xludf.DUMMYFUNCTION("""COMPUTED_VALUE"""),4800)</f>
        <v>4800</v>
      </c>
      <c r="E315" s="2">
        <f ca="1">IFERROR(__xludf.DUMMYFUNCTION("""COMPUTED_VALUE"""),4875)</f>
        <v>4875</v>
      </c>
      <c r="F315" s="2">
        <f ca="1">IFERROR(__xludf.DUMMYFUNCTION("""COMPUTED_VALUE"""),22027700)</f>
        <v>22027700</v>
      </c>
    </row>
    <row r="316" spans="1:6">
      <c r="A316" s="1">
        <f ca="1">IFERROR(__xludf.DUMMYFUNCTION("""COMPUTED_VALUE"""),42481.625)</f>
        <v>42481.625</v>
      </c>
      <c r="B316" s="2">
        <f ca="1">IFERROR(__xludf.DUMMYFUNCTION("""COMPUTED_VALUE"""),4875)</f>
        <v>4875</v>
      </c>
      <c r="C316" s="2">
        <f ca="1">IFERROR(__xludf.DUMMYFUNCTION("""COMPUTED_VALUE"""),4962.5)</f>
        <v>4962.5</v>
      </c>
      <c r="D316" s="2">
        <f ca="1">IFERROR(__xludf.DUMMYFUNCTION("""COMPUTED_VALUE"""),4875)</f>
        <v>4875</v>
      </c>
      <c r="E316" s="2">
        <f ca="1">IFERROR(__xludf.DUMMYFUNCTION("""COMPUTED_VALUE"""),4937.5)</f>
        <v>4937.5</v>
      </c>
      <c r="F316" s="2">
        <f ca="1">IFERROR(__xludf.DUMMYFUNCTION("""COMPUTED_VALUE"""),19743900)</f>
        <v>19743900</v>
      </c>
    </row>
    <row r="317" spans="1:6">
      <c r="A317" s="1">
        <f ca="1">IFERROR(__xludf.DUMMYFUNCTION("""COMPUTED_VALUE"""),42482.625)</f>
        <v>42482.625</v>
      </c>
      <c r="B317" s="2">
        <f ca="1">IFERROR(__xludf.DUMMYFUNCTION("""COMPUTED_VALUE"""),4937.5)</f>
        <v>4937.5</v>
      </c>
      <c r="C317" s="2">
        <f ca="1">IFERROR(__xludf.DUMMYFUNCTION("""COMPUTED_VALUE"""),5000)</f>
        <v>5000</v>
      </c>
      <c r="D317" s="2">
        <f ca="1">IFERROR(__xludf.DUMMYFUNCTION("""COMPUTED_VALUE"""),4900)</f>
        <v>4900</v>
      </c>
      <c r="E317" s="2">
        <f ca="1">IFERROR(__xludf.DUMMYFUNCTION("""COMPUTED_VALUE"""),4987.5)</f>
        <v>4987.5</v>
      </c>
      <c r="F317" s="2">
        <f ca="1">IFERROR(__xludf.DUMMYFUNCTION("""COMPUTED_VALUE"""),17649600)</f>
        <v>17649600</v>
      </c>
    </row>
    <row r="318" spans="1:6">
      <c r="A318" s="1">
        <f ca="1">IFERROR(__xludf.DUMMYFUNCTION("""COMPUTED_VALUE"""),42485.625)</f>
        <v>42485.625</v>
      </c>
      <c r="B318" s="2">
        <f ca="1">IFERROR(__xludf.DUMMYFUNCTION("""COMPUTED_VALUE"""),4975)</f>
        <v>4975</v>
      </c>
      <c r="C318" s="2">
        <f ca="1">IFERROR(__xludf.DUMMYFUNCTION("""COMPUTED_VALUE"""),4975)</f>
        <v>4975</v>
      </c>
      <c r="D318" s="2">
        <f ca="1">IFERROR(__xludf.DUMMYFUNCTION("""COMPUTED_VALUE"""),4762.5)</f>
        <v>4762.5</v>
      </c>
      <c r="E318" s="2">
        <f ca="1">IFERROR(__xludf.DUMMYFUNCTION("""COMPUTED_VALUE"""),4837.5)</f>
        <v>4837.5</v>
      </c>
      <c r="F318" s="2">
        <f ca="1">IFERROR(__xludf.DUMMYFUNCTION("""COMPUTED_VALUE"""),25112900)</f>
        <v>25112900</v>
      </c>
    </row>
    <row r="319" spans="1:6">
      <c r="A319" s="1">
        <f ca="1">IFERROR(__xludf.DUMMYFUNCTION("""COMPUTED_VALUE"""),42486.625)</f>
        <v>42486.625</v>
      </c>
      <c r="B319" s="2">
        <f ca="1">IFERROR(__xludf.DUMMYFUNCTION("""COMPUTED_VALUE"""),4800)</f>
        <v>4800</v>
      </c>
      <c r="C319" s="2">
        <f ca="1">IFERROR(__xludf.DUMMYFUNCTION("""COMPUTED_VALUE"""),4800)</f>
        <v>4800</v>
      </c>
      <c r="D319" s="2">
        <f ca="1">IFERROR(__xludf.DUMMYFUNCTION("""COMPUTED_VALUE"""),4637.5)</f>
        <v>4637.5</v>
      </c>
      <c r="E319" s="2">
        <f ca="1">IFERROR(__xludf.DUMMYFUNCTION("""COMPUTED_VALUE"""),4750)</f>
        <v>4750</v>
      </c>
      <c r="F319" s="2">
        <f ca="1">IFERROR(__xludf.DUMMYFUNCTION("""COMPUTED_VALUE"""),35930900)</f>
        <v>35930900</v>
      </c>
    </row>
    <row r="320" spans="1:6">
      <c r="A320" s="1">
        <f ca="1">IFERROR(__xludf.DUMMYFUNCTION("""COMPUTED_VALUE"""),42487.625)</f>
        <v>42487.625</v>
      </c>
      <c r="B320" s="2">
        <f ca="1">IFERROR(__xludf.DUMMYFUNCTION("""COMPUTED_VALUE"""),4700)</f>
        <v>4700</v>
      </c>
      <c r="C320" s="2">
        <f ca="1">IFERROR(__xludf.DUMMYFUNCTION("""COMPUTED_VALUE"""),4825)</f>
        <v>4825</v>
      </c>
      <c r="D320" s="2">
        <f ca="1">IFERROR(__xludf.DUMMYFUNCTION("""COMPUTED_VALUE"""),4687.5)</f>
        <v>4687.5</v>
      </c>
      <c r="E320" s="2">
        <f ca="1">IFERROR(__xludf.DUMMYFUNCTION("""COMPUTED_VALUE"""),4812.5)</f>
        <v>4812.5</v>
      </c>
      <c r="F320" s="2">
        <f ca="1">IFERROR(__xludf.DUMMYFUNCTION("""COMPUTED_VALUE"""),19354900)</f>
        <v>19354900</v>
      </c>
    </row>
    <row r="321" spans="1:6">
      <c r="A321" s="1">
        <f ca="1">IFERROR(__xludf.DUMMYFUNCTION("""COMPUTED_VALUE"""),42488.625)</f>
        <v>42488.625</v>
      </c>
      <c r="B321" s="2">
        <f ca="1">IFERROR(__xludf.DUMMYFUNCTION("""COMPUTED_VALUE"""),4825)</f>
        <v>4825</v>
      </c>
      <c r="C321" s="2">
        <f ca="1">IFERROR(__xludf.DUMMYFUNCTION("""COMPUTED_VALUE"""),4912.5)</f>
        <v>4912.5</v>
      </c>
      <c r="D321" s="2">
        <f ca="1">IFERROR(__xludf.DUMMYFUNCTION("""COMPUTED_VALUE"""),4812.5)</f>
        <v>4812.5</v>
      </c>
      <c r="E321" s="2">
        <f ca="1">IFERROR(__xludf.DUMMYFUNCTION("""COMPUTED_VALUE"""),4912.5)</f>
        <v>4912.5</v>
      </c>
      <c r="F321" s="2">
        <f ca="1">IFERROR(__xludf.DUMMYFUNCTION("""COMPUTED_VALUE"""),17605300)</f>
        <v>17605300</v>
      </c>
    </row>
    <row r="322" spans="1:6">
      <c r="A322" s="1">
        <f ca="1">IFERROR(__xludf.DUMMYFUNCTION("""COMPUTED_VALUE"""),42489.625)</f>
        <v>42489.625</v>
      </c>
      <c r="B322" s="2">
        <f ca="1">IFERROR(__xludf.DUMMYFUNCTION("""COMPUTED_VALUE"""),4837.5)</f>
        <v>4837.5</v>
      </c>
      <c r="C322" s="2">
        <f ca="1">IFERROR(__xludf.DUMMYFUNCTION("""COMPUTED_VALUE"""),4862.5)</f>
        <v>4862.5</v>
      </c>
      <c r="D322" s="2">
        <f ca="1">IFERROR(__xludf.DUMMYFUNCTION("""COMPUTED_VALUE"""),4775)</f>
        <v>4775</v>
      </c>
      <c r="E322" s="2">
        <f ca="1">IFERROR(__xludf.DUMMYFUNCTION("""COMPUTED_VALUE"""),4825)</f>
        <v>4825</v>
      </c>
      <c r="F322" s="2">
        <f ca="1">IFERROR(__xludf.DUMMYFUNCTION("""COMPUTED_VALUE"""),12997900)</f>
        <v>12997900</v>
      </c>
    </row>
    <row r="323" spans="1:6">
      <c r="A323" s="1">
        <f ca="1">IFERROR(__xludf.DUMMYFUNCTION("""COMPUTED_VALUE"""),42492.625)</f>
        <v>42492.625</v>
      </c>
      <c r="B323" s="2">
        <f ca="1">IFERROR(__xludf.DUMMYFUNCTION("""COMPUTED_VALUE"""),4812.5)</f>
        <v>4812.5</v>
      </c>
      <c r="C323" s="2">
        <f ca="1">IFERROR(__xludf.DUMMYFUNCTION("""COMPUTED_VALUE"""),4825)</f>
        <v>4825</v>
      </c>
      <c r="D323" s="2">
        <f ca="1">IFERROR(__xludf.DUMMYFUNCTION("""COMPUTED_VALUE"""),4700)</f>
        <v>4700</v>
      </c>
      <c r="E323" s="2">
        <f ca="1">IFERROR(__xludf.DUMMYFUNCTION("""COMPUTED_VALUE"""),4775)</f>
        <v>4775</v>
      </c>
      <c r="F323" s="2">
        <f ca="1">IFERROR(__xludf.DUMMYFUNCTION("""COMPUTED_VALUE"""),9977600)</f>
        <v>9977600</v>
      </c>
    </row>
    <row r="324" spans="1:6">
      <c r="A324" s="1">
        <f ca="1">IFERROR(__xludf.DUMMYFUNCTION("""COMPUTED_VALUE"""),42493.625)</f>
        <v>42493.625</v>
      </c>
      <c r="B324" s="2">
        <f ca="1">IFERROR(__xludf.DUMMYFUNCTION("""COMPUTED_VALUE"""),4850)</f>
        <v>4850</v>
      </c>
      <c r="C324" s="2">
        <f ca="1">IFERROR(__xludf.DUMMYFUNCTION("""COMPUTED_VALUE"""),4937.5)</f>
        <v>4937.5</v>
      </c>
      <c r="D324" s="2">
        <f ca="1">IFERROR(__xludf.DUMMYFUNCTION("""COMPUTED_VALUE"""),4825)</f>
        <v>4825</v>
      </c>
      <c r="E324" s="2">
        <f ca="1">IFERROR(__xludf.DUMMYFUNCTION("""COMPUTED_VALUE"""),4925)</f>
        <v>4925</v>
      </c>
      <c r="F324" s="2">
        <f ca="1">IFERROR(__xludf.DUMMYFUNCTION("""COMPUTED_VALUE"""),21983100)</f>
        <v>21983100</v>
      </c>
    </row>
    <row r="325" spans="1:6">
      <c r="A325" s="1">
        <f ca="1">IFERROR(__xludf.DUMMYFUNCTION("""COMPUTED_VALUE"""),42494.625)</f>
        <v>42494.625</v>
      </c>
      <c r="B325" s="2">
        <f ca="1">IFERROR(__xludf.DUMMYFUNCTION("""COMPUTED_VALUE"""),4887.5)</f>
        <v>4887.5</v>
      </c>
      <c r="C325" s="2">
        <f ca="1">IFERROR(__xludf.DUMMYFUNCTION("""COMPUTED_VALUE"""),4900)</f>
        <v>4900</v>
      </c>
      <c r="D325" s="2">
        <f ca="1">IFERROR(__xludf.DUMMYFUNCTION("""COMPUTED_VALUE"""),4800)</f>
        <v>4800</v>
      </c>
      <c r="E325" s="2">
        <f ca="1">IFERROR(__xludf.DUMMYFUNCTION("""COMPUTED_VALUE"""),4850)</f>
        <v>4850</v>
      </c>
      <c r="F325" s="2">
        <f ca="1">IFERROR(__xludf.DUMMYFUNCTION("""COMPUTED_VALUE"""),21501900)</f>
        <v>21501900</v>
      </c>
    </row>
    <row r="326" spans="1:6">
      <c r="A326" s="1">
        <f ca="1">IFERROR(__xludf.DUMMYFUNCTION("""COMPUTED_VALUE"""),42499.625)</f>
        <v>42499.625</v>
      </c>
      <c r="B326" s="2">
        <f ca="1">IFERROR(__xludf.DUMMYFUNCTION("""COMPUTED_VALUE"""),4800)</f>
        <v>4800</v>
      </c>
      <c r="C326" s="2">
        <f ca="1">IFERROR(__xludf.DUMMYFUNCTION("""COMPUTED_VALUE"""),4812.5)</f>
        <v>4812.5</v>
      </c>
      <c r="D326" s="2">
        <f ca="1">IFERROR(__xludf.DUMMYFUNCTION("""COMPUTED_VALUE"""),4575)</f>
        <v>4575</v>
      </c>
      <c r="E326" s="2">
        <f ca="1">IFERROR(__xludf.DUMMYFUNCTION("""COMPUTED_VALUE"""),4662.5)</f>
        <v>4662.5</v>
      </c>
      <c r="F326" s="2">
        <f ca="1">IFERROR(__xludf.DUMMYFUNCTION("""COMPUTED_VALUE"""),40856400)</f>
        <v>40856400</v>
      </c>
    </row>
    <row r="327" spans="1:6">
      <c r="A327" s="1">
        <f ca="1">IFERROR(__xludf.DUMMYFUNCTION("""COMPUTED_VALUE"""),42500.625)</f>
        <v>42500.625</v>
      </c>
      <c r="B327" s="2">
        <f ca="1">IFERROR(__xludf.DUMMYFUNCTION("""COMPUTED_VALUE"""),4650)</f>
        <v>4650</v>
      </c>
      <c r="C327" s="2">
        <f ca="1">IFERROR(__xludf.DUMMYFUNCTION("""COMPUTED_VALUE"""),4750)</f>
        <v>4750</v>
      </c>
      <c r="D327" s="2">
        <f ca="1">IFERROR(__xludf.DUMMYFUNCTION("""COMPUTED_VALUE"""),4625)</f>
        <v>4625</v>
      </c>
      <c r="E327" s="2">
        <f ca="1">IFERROR(__xludf.DUMMYFUNCTION("""COMPUTED_VALUE"""),4725)</f>
        <v>4725</v>
      </c>
      <c r="F327" s="2">
        <f ca="1">IFERROR(__xludf.DUMMYFUNCTION("""COMPUTED_VALUE"""),24020600)</f>
        <v>24020600</v>
      </c>
    </row>
    <row r="328" spans="1:6">
      <c r="A328" s="1">
        <f ca="1">IFERROR(__xludf.DUMMYFUNCTION("""COMPUTED_VALUE"""),42501.625)</f>
        <v>42501.625</v>
      </c>
      <c r="B328" s="2">
        <f ca="1">IFERROR(__xludf.DUMMYFUNCTION("""COMPUTED_VALUE"""),4750)</f>
        <v>4750</v>
      </c>
      <c r="C328" s="2">
        <f ca="1">IFERROR(__xludf.DUMMYFUNCTION("""COMPUTED_VALUE"""),4850)</f>
        <v>4850</v>
      </c>
      <c r="D328" s="2">
        <f ca="1">IFERROR(__xludf.DUMMYFUNCTION("""COMPUTED_VALUE"""),4737.5)</f>
        <v>4737.5</v>
      </c>
      <c r="E328" s="2">
        <f ca="1">IFERROR(__xludf.DUMMYFUNCTION("""COMPUTED_VALUE"""),4812.5)</f>
        <v>4812.5</v>
      </c>
      <c r="F328" s="2">
        <f ca="1">IFERROR(__xludf.DUMMYFUNCTION("""COMPUTED_VALUE"""),15354600)</f>
        <v>15354600</v>
      </c>
    </row>
    <row r="329" spans="1:6">
      <c r="A329" s="1">
        <f ca="1">IFERROR(__xludf.DUMMYFUNCTION("""COMPUTED_VALUE"""),42502.625)</f>
        <v>42502.625</v>
      </c>
      <c r="B329" s="2">
        <f ca="1">IFERROR(__xludf.DUMMYFUNCTION("""COMPUTED_VALUE"""),4837.5)</f>
        <v>4837.5</v>
      </c>
      <c r="C329" s="2">
        <f ca="1">IFERROR(__xludf.DUMMYFUNCTION("""COMPUTED_VALUE"""),4837.5)</f>
        <v>4837.5</v>
      </c>
      <c r="D329" s="2">
        <f ca="1">IFERROR(__xludf.DUMMYFUNCTION("""COMPUTED_VALUE"""),4725)</f>
        <v>4725</v>
      </c>
      <c r="E329" s="2">
        <f ca="1">IFERROR(__xludf.DUMMYFUNCTION("""COMPUTED_VALUE"""),4750)</f>
        <v>4750</v>
      </c>
      <c r="F329" s="2">
        <f ca="1">IFERROR(__xludf.DUMMYFUNCTION("""COMPUTED_VALUE"""),10071100)</f>
        <v>10071100</v>
      </c>
    </row>
    <row r="330" spans="1:6">
      <c r="A330" s="1">
        <f ca="1">IFERROR(__xludf.DUMMYFUNCTION("""COMPUTED_VALUE"""),42503.625)</f>
        <v>42503.625</v>
      </c>
      <c r="B330" s="2">
        <f ca="1">IFERROR(__xludf.DUMMYFUNCTION("""COMPUTED_VALUE"""),4700)</f>
        <v>4700</v>
      </c>
      <c r="C330" s="2">
        <f ca="1">IFERROR(__xludf.DUMMYFUNCTION("""COMPUTED_VALUE"""),4750)</f>
        <v>4750</v>
      </c>
      <c r="D330" s="2">
        <f ca="1">IFERROR(__xludf.DUMMYFUNCTION("""COMPUTED_VALUE"""),4575)</f>
        <v>4575</v>
      </c>
      <c r="E330" s="2">
        <f ca="1">IFERROR(__xludf.DUMMYFUNCTION("""COMPUTED_VALUE"""),4650)</f>
        <v>4650</v>
      </c>
      <c r="F330" s="2">
        <f ca="1">IFERROR(__xludf.DUMMYFUNCTION("""COMPUTED_VALUE"""),21686800)</f>
        <v>21686800</v>
      </c>
    </row>
    <row r="331" spans="1:6">
      <c r="A331" s="1">
        <f ca="1">IFERROR(__xludf.DUMMYFUNCTION("""COMPUTED_VALUE"""),42506.625)</f>
        <v>42506.625</v>
      </c>
      <c r="B331" s="2">
        <f ca="1">IFERROR(__xludf.DUMMYFUNCTION("""COMPUTED_VALUE"""),4550)</f>
        <v>4550</v>
      </c>
      <c r="C331" s="2">
        <f ca="1">IFERROR(__xludf.DUMMYFUNCTION("""COMPUTED_VALUE"""),4575)</f>
        <v>4575</v>
      </c>
      <c r="D331" s="2">
        <f ca="1">IFERROR(__xludf.DUMMYFUNCTION("""COMPUTED_VALUE"""),4487.5)</f>
        <v>4487.5</v>
      </c>
      <c r="E331" s="2">
        <f ca="1">IFERROR(__xludf.DUMMYFUNCTION("""COMPUTED_VALUE"""),4512.5)</f>
        <v>4512.5</v>
      </c>
      <c r="F331" s="2">
        <f ca="1">IFERROR(__xludf.DUMMYFUNCTION("""COMPUTED_VALUE"""),33023800)</f>
        <v>33023800</v>
      </c>
    </row>
    <row r="332" spans="1:6">
      <c r="A332" s="1">
        <f ca="1">IFERROR(__xludf.DUMMYFUNCTION("""COMPUTED_VALUE"""),42507.625)</f>
        <v>42507.625</v>
      </c>
      <c r="B332" s="2">
        <f ca="1">IFERROR(__xludf.DUMMYFUNCTION("""COMPUTED_VALUE"""),4425)</f>
        <v>4425</v>
      </c>
      <c r="C332" s="2">
        <f ca="1">IFERROR(__xludf.DUMMYFUNCTION("""COMPUTED_VALUE"""),4450)</f>
        <v>4450</v>
      </c>
      <c r="D332" s="2">
        <f ca="1">IFERROR(__xludf.DUMMYFUNCTION("""COMPUTED_VALUE"""),4337.5)</f>
        <v>4337.5</v>
      </c>
      <c r="E332" s="2">
        <f ca="1">IFERROR(__xludf.DUMMYFUNCTION("""COMPUTED_VALUE"""),4375)</f>
        <v>4375</v>
      </c>
      <c r="F332" s="2">
        <f ca="1">IFERROR(__xludf.DUMMYFUNCTION("""COMPUTED_VALUE"""),59590300)</f>
        <v>59590300</v>
      </c>
    </row>
    <row r="333" spans="1:6">
      <c r="A333" s="1">
        <f ca="1">IFERROR(__xludf.DUMMYFUNCTION("""COMPUTED_VALUE"""),42508.625)</f>
        <v>42508.625</v>
      </c>
      <c r="B333" s="2">
        <f ca="1">IFERROR(__xludf.DUMMYFUNCTION("""COMPUTED_VALUE"""),4350)</f>
        <v>4350</v>
      </c>
      <c r="C333" s="2">
        <f ca="1">IFERROR(__xludf.DUMMYFUNCTION("""COMPUTED_VALUE"""),4462.5)</f>
        <v>4462.5</v>
      </c>
      <c r="D333" s="2">
        <f ca="1">IFERROR(__xludf.DUMMYFUNCTION("""COMPUTED_VALUE"""),4325)</f>
        <v>4325</v>
      </c>
      <c r="E333" s="2">
        <f ca="1">IFERROR(__xludf.DUMMYFUNCTION("""COMPUTED_VALUE"""),4400)</f>
        <v>4400</v>
      </c>
      <c r="F333" s="2">
        <f ca="1">IFERROR(__xludf.DUMMYFUNCTION("""COMPUTED_VALUE"""),30119600)</f>
        <v>30119600</v>
      </c>
    </row>
    <row r="334" spans="1:6">
      <c r="A334" s="1">
        <f ca="1">IFERROR(__xludf.DUMMYFUNCTION("""COMPUTED_VALUE"""),42509.625)</f>
        <v>42509.625</v>
      </c>
      <c r="B334" s="2">
        <f ca="1">IFERROR(__xludf.DUMMYFUNCTION("""COMPUTED_VALUE"""),4425)</f>
        <v>4425</v>
      </c>
      <c r="C334" s="2">
        <f ca="1">IFERROR(__xludf.DUMMYFUNCTION("""COMPUTED_VALUE"""),4512.5)</f>
        <v>4512.5</v>
      </c>
      <c r="D334" s="2">
        <f ca="1">IFERROR(__xludf.DUMMYFUNCTION("""COMPUTED_VALUE"""),4412.5)</f>
        <v>4412.5</v>
      </c>
      <c r="E334" s="2">
        <f ca="1">IFERROR(__xludf.DUMMYFUNCTION("""COMPUTED_VALUE"""),4475)</f>
        <v>4475</v>
      </c>
      <c r="F334" s="2">
        <f ca="1">IFERROR(__xludf.DUMMYFUNCTION("""COMPUTED_VALUE"""),32034900)</f>
        <v>32034900</v>
      </c>
    </row>
    <row r="335" spans="1:6">
      <c r="A335" s="1">
        <f ca="1">IFERROR(__xludf.DUMMYFUNCTION("""COMPUTED_VALUE"""),42510.625)</f>
        <v>42510.625</v>
      </c>
      <c r="B335" s="2">
        <f ca="1">IFERROR(__xludf.DUMMYFUNCTION("""COMPUTED_VALUE"""),4475)</f>
        <v>4475</v>
      </c>
      <c r="C335" s="2">
        <f ca="1">IFERROR(__xludf.DUMMYFUNCTION("""COMPUTED_VALUE"""),4475)</f>
        <v>4475</v>
      </c>
      <c r="D335" s="2">
        <f ca="1">IFERROR(__xludf.DUMMYFUNCTION("""COMPUTED_VALUE"""),4337.5)</f>
        <v>4337.5</v>
      </c>
      <c r="E335" s="2">
        <f ca="1">IFERROR(__xludf.DUMMYFUNCTION("""COMPUTED_VALUE"""),4350)</f>
        <v>4350</v>
      </c>
      <c r="F335" s="2">
        <f ca="1">IFERROR(__xludf.DUMMYFUNCTION("""COMPUTED_VALUE"""),25735700)</f>
        <v>25735700</v>
      </c>
    </row>
    <row r="336" spans="1:6">
      <c r="A336" s="1">
        <f ca="1">IFERROR(__xludf.DUMMYFUNCTION("""COMPUTED_VALUE"""),42513.625)</f>
        <v>42513.625</v>
      </c>
      <c r="B336" s="2">
        <f ca="1">IFERROR(__xludf.DUMMYFUNCTION("""COMPUTED_VALUE"""),4387.5)</f>
        <v>4387.5</v>
      </c>
      <c r="C336" s="2">
        <f ca="1">IFERROR(__xludf.DUMMYFUNCTION("""COMPUTED_VALUE"""),4450)</f>
        <v>4450</v>
      </c>
      <c r="D336" s="2">
        <f ca="1">IFERROR(__xludf.DUMMYFUNCTION("""COMPUTED_VALUE"""),4375)</f>
        <v>4375</v>
      </c>
      <c r="E336" s="2">
        <f ca="1">IFERROR(__xludf.DUMMYFUNCTION("""COMPUTED_VALUE"""),4425)</f>
        <v>4425</v>
      </c>
      <c r="F336" s="2">
        <f ca="1">IFERROR(__xludf.DUMMYFUNCTION("""COMPUTED_VALUE"""),15161600)</f>
        <v>15161600</v>
      </c>
    </row>
    <row r="337" spans="1:6">
      <c r="A337" s="1">
        <f ca="1">IFERROR(__xludf.DUMMYFUNCTION("""COMPUTED_VALUE"""),42514.625)</f>
        <v>42514.625</v>
      </c>
      <c r="B337" s="2">
        <f ca="1">IFERROR(__xludf.DUMMYFUNCTION("""COMPUTED_VALUE"""),4437.5)</f>
        <v>4437.5</v>
      </c>
      <c r="C337" s="2">
        <f ca="1">IFERROR(__xludf.DUMMYFUNCTION("""COMPUTED_VALUE"""),4462.5)</f>
        <v>4462.5</v>
      </c>
      <c r="D337" s="2">
        <f ca="1">IFERROR(__xludf.DUMMYFUNCTION("""COMPUTED_VALUE"""),4412.5)</f>
        <v>4412.5</v>
      </c>
      <c r="E337" s="2">
        <f ca="1">IFERROR(__xludf.DUMMYFUNCTION("""COMPUTED_VALUE"""),4425)</f>
        <v>4425</v>
      </c>
      <c r="F337" s="2">
        <f ca="1">IFERROR(__xludf.DUMMYFUNCTION("""COMPUTED_VALUE"""),17129900)</f>
        <v>17129900</v>
      </c>
    </row>
    <row r="338" spans="1:6">
      <c r="A338" s="1">
        <f ca="1">IFERROR(__xludf.DUMMYFUNCTION("""COMPUTED_VALUE"""),42515.625)</f>
        <v>42515.625</v>
      </c>
      <c r="B338" s="2">
        <f ca="1">IFERROR(__xludf.DUMMYFUNCTION("""COMPUTED_VALUE"""),4487.5)</f>
        <v>4487.5</v>
      </c>
      <c r="C338" s="2">
        <f ca="1">IFERROR(__xludf.DUMMYFUNCTION("""COMPUTED_VALUE"""),4537.5)</f>
        <v>4537.5</v>
      </c>
      <c r="D338" s="2">
        <f ca="1">IFERROR(__xludf.DUMMYFUNCTION("""COMPUTED_VALUE"""),4475)</f>
        <v>4475</v>
      </c>
      <c r="E338" s="2">
        <f ca="1">IFERROR(__xludf.DUMMYFUNCTION("""COMPUTED_VALUE"""),4537.5)</f>
        <v>4537.5</v>
      </c>
      <c r="F338" s="2">
        <f ca="1">IFERROR(__xludf.DUMMYFUNCTION("""COMPUTED_VALUE"""),16295800)</f>
        <v>16295800</v>
      </c>
    </row>
    <row r="339" spans="1:6">
      <c r="A339" s="1">
        <f ca="1">IFERROR(__xludf.DUMMYFUNCTION("""COMPUTED_VALUE"""),42516.625)</f>
        <v>42516.625</v>
      </c>
      <c r="B339" s="2">
        <f ca="1">IFERROR(__xludf.DUMMYFUNCTION("""COMPUTED_VALUE"""),4537.5)</f>
        <v>4537.5</v>
      </c>
      <c r="C339" s="2">
        <f ca="1">IFERROR(__xludf.DUMMYFUNCTION("""COMPUTED_VALUE"""),4562.5)</f>
        <v>4562.5</v>
      </c>
      <c r="D339" s="2">
        <f ca="1">IFERROR(__xludf.DUMMYFUNCTION("""COMPUTED_VALUE"""),4462.5)</f>
        <v>4462.5</v>
      </c>
      <c r="E339" s="2">
        <f ca="1">IFERROR(__xludf.DUMMYFUNCTION("""COMPUTED_VALUE"""),4500)</f>
        <v>4500</v>
      </c>
      <c r="F339" s="2">
        <f ca="1">IFERROR(__xludf.DUMMYFUNCTION("""COMPUTED_VALUE"""),27630600)</f>
        <v>27630600</v>
      </c>
    </row>
    <row r="340" spans="1:6">
      <c r="A340" s="1">
        <f ca="1">IFERROR(__xludf.DUMMYFUNCTION("""COMPUTED_VALUE"""),42517.625)</f>
        <v>42517.625</v>
      </c>
      <c r="B340" s="2">
        <f ca="1">IFERROR(__xludf.DUMMYFUNCTION("""COMPUTED_VALUE"""),4450)</f>
        <v>4450</v>
      </c>
      <c r="C340" s="2">
        <f ca="1">IFERROR(__xludf.DUMMYFUNCTION("""COMPUTED_VALUE"""),4550)</f>
        <v>4550</v>
      </c>
      <c r="D340" s="2">
        <f ca="1">IFERROR(__xludf.DUMMYFUNCTION("""COMPUTED_VALUE"""),4450)</f>
        <v>4450</v>
      </c>
      <c r="E340" s="2">
        <f ca="1">IFERROR(__xludf.DUMMYFUNCTION("""COMPUTED_VALUE"""),4525)</f>
        <v>4525</v>
      </c>
      <c r="F340" s="2">
        <f ca="1">IFERROR(__xludf.DUMMYFUNCTION("""COMPUTED_VALUE"""),10583200)</f>
        <v>10583200</v>
      </c>
    </row>
    <row r="341" spans="1:6">
      <c r="A341" s="1">
        <f ca="1">IFERROR(__xludf.DUMMYFUNCTION("""COMPUTED_VALUE"""),42520.625)</f>
        <v>42520.625</v>
      </c>
      <c r="B341" s="2">
        <f ca="1">IFERROR(__xludf.DUMMYFUNCTION("""COMPUTED_VALUE"""),4562.5)</f>
        <v>4562.5</v>
      </c>
      <c r="C341" s="2">
        <f ca="1">IFERROR(__xludf.DUMMYFUNCTION("""COMPUTED_VALUE"""),4662.5)</f>
        <v>4662.5</v>
      </c>
      <c r="D341" s="2">
        <f ca="1">IFERROR(__xludf.DUMMYFUNCTION("""COMPUTED_VALUE"""),4550)</f>
        <v>4550</v>
      </c>
      <c r="E341" s="2">
        <f ca="1">IFERROR(__xludf.DUMMYFUNCTION("""COMPUTED_VALUE"""),4637.5)</f>
        <v>4637.5</v>
      </c>
      <c r="F341" s="2">
        <f ca="1">IFERROR(__xludf.DUMMYFUNCTION("""COMPUTED_VALUE"""),13083000)</f>
        <v>13083000</v>
      </c>
    </row>
    <row r="342" spans="1:6">
      <c r="A342" s="1">
        <f ca="1">IFERROR(__xludf.DUMMYFUNCTION("""COMPUTED_VALUE"""),42521.625)</f>
        <v>42521.625</v>
      </c>
      <c r="B342" s="2">
        <f ca="1">IFERROR(__xludf.DUMMYFUNCTION("""COMPUTED_VALUE"""),4637.5)</f>
        <v>4637.5</v>
      </c>
      <c r="C342" s="2">
        <f ca="1">IFERROR(__xludf.DUMMYFUNCTION("""COMPUTED_VALUE"""),4637.5)</f>
        <v>4637.5</v>
      </c>
      <c r="D342" s="2">
        <f ca="1">IFERROR(__xludf.DUMMYFUNCTION("""COMPUTED_VALUE"""),4512.5)</f>
        <v>4512.5</v>
      </c>
      <c r="E342" s="2">
        <f ca="1">IFERROR(__xludf.DUMMYFUNCTION("""COMPUTED_VALUE"""),4512.5)</f>
        <v>4512.5</v>
      </c>
      <c r="F342" s="2">
        <f ca="1">IFERROR(__xludf.DUMMYFUNCTION("""COMPUTED_VALUE"""),30325000)</f>
        <v>30325000</v>
      </c>
    </row>
    <row r="343" spans="1:6">
      <c r="A343" s="1">
        <f ca="1">IFERROR(__xludf.DUMMYFUNCTION("""COMPUTED_VALUE"""),42522.625)</f>
        <v>42522.625</v>
      </c>
      <c r="B343" s="2">
        <f ca="1">IFERROR(__xludf.DUMMYFUNCTION("""COMPUTED_VALUE"""),4500)</f>
        <v>4500</v>
      </c>
      <c r="C343" s="2">
        <f ca="1">IFERROR(__xludf.DUMMYFUNCTION("""COMPUTED_VALUE"""),4637.5)</f>
        <v>4637.5</v>
      </c>
      <c r="D343" s="2">
        <f ca="1">IFERROR(__xludf.DUMMYFUNCTION("""COMPUTED_VALUE"""),4500)</f>
        <v>4500</v>
      </c>
      <c r="E343" s="2">
        <f ca="1">IFERROR(__xludf.DUMMYFUNCTION("""COMPUTED_VALUE"""),4600)</f>
        <v>4600</v>
      </c>
      <c r="F343" s="2">
        <f ca="1">IFERROR(__xludf.DUMMYFUNCTION("""COMPUTED_VALUE"""),13697400)</f>
        <v>13697400</v>
      </c>
    </row>
    <row r="344" spans="1:6">
      <c r="A344" s="1">
        <f ca="1">IFERROR(__xludf.DUMMYFUNCTION("""COMPUTED_VALUE"""),42523.625)</f>
        <v>42523.625</v>
      </c>
      <c r="B344" s="2">
        <f ca="1">IFERROR(__xludf.DUMMYFUNCTION("""COMPUTED_VALUE"""),4600)</f>
        <v>4600</v>
      </c>
      <c r="C344" s="2">
        <f ca="1">IFERROR(__xludf.DUMMYFUNCTION("""COMPUTED_VALUE"""),4625)</f>
        <v>4625</v>
      </c>
      <c r="D344" s="2">
        <f ca="1">IFERROR(__xludf.DUMMYFUNCTION("""COMPUTED_VALUE"""),4562.5)</f>
        <v>4562.5</v>
      </c>
      <c r="E344" s="2">
        <f ca="1">IFERROR(__xludf.DUMMYFUNCTION("""COMPUTED_VALUE"""),4612.5)</f>
        <v>4612.5</v>
      </c>
      <c r="F344" s="2">
        <f ca="1">IFERROR(__xludf.DUMMYFUNCTION("""COMPUTED_VALUE"""),9436300)</f>
        <v>9436300</v>
      </c>
    </row>
    <row r="345" spans="1:6">
      <c r="A345" s="1">
        <f ca="1">IFERROR(__xludf.DUMMYFUNCTION("""COMPUTED_VALUE"""),42524.625)</f>
        <v>42524.625</v>
      </c>
      <c r="B345" s="2">
        <f ca="1">IFERROR(__xludf.DUMMYFUNCTION("""COMPUTED_VALUE"""),4650)</f>
        <v>4650</v>
      </c>
      <c r="C345" s="2">
        <f ca="1">IFERROR(__xludf.DUMMYFUNCTION("""COMPUTED_VALUE"""),4650)</f>
        <v>4650</v>
      </c>
      <c r="D345" s="2">
        <f ca="1">IFERROR(__xludf.DUMMYFUNCTION("""COMPUTED_VALUE"""),4537.5)</f>
        <v>4537.5</v>
      </c>
      <c r="E345" s="2">
        <f ca="1">IFERROR(__xludf.DUMMYFUNCTION("""COMPUTED_VALUE"""),4562.5)</f>
        <v>4562.5</v>
      </c>
      <c r="F345" s="2">
        <f ca="1">IFERROR(__xludf.DUMMYFUNCTION("""COMPUTED_VALUE"""),10389800)</f>
        <v>10389800</v>
      </c>
    </row>
    <row r="346" spans="1:6">
      <c r="A346" s="1">
        <f ca="1">IFERROR(__xludf.DUMMYFUNCTION("""COMPUTED_VALUE"""),42527.625)</f>
        <v>42527.625</v>
      </c>
      <c r="B346" s="2">
        <f ca="1">IFERROR(__xludf.DUMMYFUNCTION("""COMPUTED_VALUE"""),4575)</f>
        <v>4575</v>
      </c>
      <c r="C346" s="2">
        <f ca="1">IFERROR(__xludf.DUMMYFUNCTION("""COMPUTED_VALUE"""),4650)</f>
        <v>4650</v>
      </c>
      <c r="D346" s="2">
        <f ca="1">IFERROR(__xludf.DUMMYFUNCTION("""COMPUTED_VALUE"""),4562.5)</f>
        <v>4562.5</v>
      </c>
      <c r="E346" s="2">
        <f ca="1">IFERROR(__xludf.DUMMYFUNCTION("""COMPUTED_VALUE"""),4637.5)</f>
        <v>4637.5</v>
      </c>
      <c r="F346" s="2">
        <f ca="1">IFERROR(__xludf.DUMMYFUNCTION("""COMPUTED_VALUE"""),8996500)</f>
        <v>8996500</v>
      </c>
    </row>
    <row r="347" spans="1:6">
      <c r="A347" s="1">
        <f ca="1">IFERROR(__xludf.DUMMYFUNCTION("""COMPUTED_VALUE"""),42528.625)</f>
        <v>42528.625</v>
      </c>
      <c r="B347" s="2">
        <f ca="1">IFERROR(__xludf.DUMMYFUNCTION("""COMPUTED_VALUE"""),4687.5)</f>
        <v>4687.5</v>
      </c>
      <c r="C347" s="2">
        <f ca="1">IFERROR(__xludf.DUMMYFUNCTION("""COMPUTED_VALUE"""),4750)</f>
        <v>4750</v>
      </c>
      <c r="D347" s="2">
        <f ca="1">IFERROR(__xludf.DUMMYFUNCTION("""COMPUTED_VALUE"""),4662.5)</f>
        <v>4662.5</v>
      </c>
      <c r="E347" s="2">
        <f ca="1">IFERROR(__xludf.DUMMYFUNCTION("""COMPUTED_VALUE"""),4737.5)</f>
        <v>4737.5</v>
      </c>
      <c r="F347" s="2">
        <f ca="1">IFERROR(__xludf.DUMMYFUNCTION("""COMPUTED_VALUE"""),22444800)</f>
        <v>22444800</v>
      </c>
    </row>
    <row r="348" spans="1:6">
      <c r="A348" s="1">
        <f ca="1">IFERROR(__xludf.DUMMYFUNCTION("""COMPUTED_VALUE"""),42529.625)</f>
        <v>42529.625</v>
      </c>
      <c r="B348" s="2">
        <f ca="1">IFERROR(__xludf.DUMMYFUNCTION("""COMPUTED_VALUE"""),4662.5)</f>
        <v>4662.5</v>
      </c>
      <c r="C348" s="2">
        <f ca="1">IFERROR(__xludf.DUMMYFUNCTION("""COMPUTED_VALUE"""),4750)</f>
        <v>4750</v>
      </c>
      <c r="D348" s="2">
        <f ca="1">IFERROR(__xludf.DUMMYFUNCTION("""COMPUTED_VALUE"""),4662.5)</f>
        <v>4662.5</v>
      </c>
      <c r="E348" s="2">
        <f ca="1">IFERROR(__xludf.DUMMYFUNCTION("""COMPUTED_VALUE"""),4750)</f>
        <v>4750</v>
      </c>
      <c r="F348" s="2">
        <f ca="1">IFERROR(__xludf.DUMMYFUNCTION("""COMPUTED_VALUE"""),11910800)</f>
        <v>11910800</v>
      </c>
    </row>
    <row r="349" spans="1:6">
      <c r="A349" s="1">
        <f ca="1">IFERROR(__xludf.DUMMYFUNCTION("""COMPUTED_VALUE"""),42530.625)</f>
        <v>42530.625</v>
      </c>
      <c r="B349" s="2">
        <f ca="1">IFERROR(__xludf.DUMMYFUNCTION("""COMPUTED_VALUE"""),4675)</f>
        <v>4675</v>
      </c>
      <c r="C349" s="2">
        <f ca="1">IFERROR(__xludf.DUMMYFUNCTION("""COMPUTED_VALUE"""),4712.5)</f>
        <v>4712.5</v>
      </c>
      <c r="D349" s="2">
        <f ca="1">IFERROR(__xludf.DUMMYFUNCTION("""COMPUTED_VALUE"""),4637.5)</f>
        <v>4637.5</v>
      </c>
      <c r="E349" s="2">
        <f ca="1">IFERROR(__xludf.DUMMYFUNCTION("""COMPUTED_VALUE"""),4637.5)</f>
        <v>4637.5</v>
      </c>
      <c r="F349" s="2">
        <f ca="1">IFERROR(__xludf.DUMMYFUNCTION("""COMPUTED_VALUE"""),12296400)</f>
        <v>12296400</v>
      </c>
    </row>
    <row r="350" spans="1:6">
      <c r="A350" s="1">
        <f ca="1">IFERROR(__xludf.DUMMYFUNCTION("""COMPUTED_VALUE"""),42531.625)</f>
        <v>42531.625</v>
      </c>
      <c r="B350" s="2">
        <f ca="1">IFERROR(__xludf.DUMMYFUNCTION("""COMPUTED_VALUE"""),4662.5)</f>
        <v>4662.5</v>
      </c>
      <c r="C350" s="2">
        <f ca="1">IFERROR(__xludf.DUMMYFUNCTION("""COMPUTED_VALUE"""),4700)</f>
        <v>4700</v>
      </c>
      <c r="D350" s="2">
        <f ca="1">IFERROR(__xludf.DUMMYFUNCTION("""COMPUTED_VALUE"""),4625)</f>
        <v>4625</v>
      </c>
      <c r="E350" s="2">
        <f ca="1">IFERROR(__xludf.DUMMYFUNCTION("""COMPUTED_VALUE"""),4637.5)</f>
        <v>4637.5</v>
      </c>
      <c r="F350" s="2">
        <f ca="1">IFERROR(__xludf.DUMMYFUNCTION("""COMPUTED_VALUE"""),9501200)</f>
        <v>9501200</v>
      </c>
    </row>
    <row r="351" spans="1:6">
      <c r="A351" s="1">
        <f ca="1">IFERROR(__xludf.DUMMYFUNCTION("""COMPUTED_VALUE"""),42534.625)</f>
        <v>42534.625</v>
      </c>
      <c r="B351" s="2">
        <f ca="1">IFERROR(__xludf.DUMMYFUNCTION("""COMPUTED_VALUE"""),4600)</f>
        <v>4600</v>
      </c>
      <c r="C351" s="2">
        <f ca="1">IFERROR(__xludf.DUMMYFUNCTION("""COMPUTED_VALUE"""),4612.5)</f>
        <v>4612.5</v>
      </c>
      <c r="D351" s="2">
        <f ca="1">IFERROR(__xludf.DUMMYFUNCTION("""COMPUTED_VALUE"""),4512.5)</f>
        <v>4512.5</v>
      </c>
      <c r="E351" s="2">
        <f ca="1">IFERROR(__xludf.DUMMYFUNCTION("""COMPUTED_VALUE"""),4525)</f>
        <v>4525</v>
      </c>
      <c r="F351" s="2">
        <f ca="1">IFERROR(__xludf.DUMMYFUNCTION("""COMPUTED_VALUE"""),11994400)</f>
        <v>11994400</v>
      </c>
    </row>
    <row r="352" spans="1:6">
      <c r="A352" s="1">
        <f ca="1">IFERROR(__xludf.DUMMYFUNCTION("""COMPUTED_VALUE"""),42535.625)</f>
        <v>42535.625</v>
      </c>
      <c r="B352" s="2">
        <f ca="1">IFERROR(__xludf.DUMMYFUNCTION("""COMPUTED_VALUE"""),4512.5)</f>
        <v>4512.5</v>
      </c>
      <c r="C352" s="2">
        <f ca="1">IFERROR(__xludf.DUMMYFUNCTION("""COMPUTED_VALUE"""),4525)</f>
        <v>4525</v>
      </c>
      <c r="D352" s="2">
        <f ca="1">IFERROR(__xludf.DUMMYFUNCTION("""COMPUTED_VALUE"""),4450)</f>
        <v>4450</v>
      </c>
      <c r="E352" s="2">
        <f ca="1">IFERROR(__xludf.DUMMYFUNCTION("""COMPUTED_VALUE"""),4487.5)</f>
        <v>4487.5</v>
      </c>
      <c r="F352" s="2">
        <f ca="1">IFERROR(__xludf.DUMMYFUNCTION("""COMPUTED_VALUE"""),17250600)</f>
        <v>17250600</v>
      </c>
    </row>
    <row r="353" spans="1:6">
      <c r="A353" s="1">
        <f ca="1">IFERROR(__xludf.DUMMYFUNCTION("""COMPUTED_VALUE"""),42536.625)</f>
        <v>42536.625</v>
      </c>
      <c r="B353" s="2">
        <f ca="1">IFERROR(__xludf.DUMMYFUNCTION("""COMPUTED_VALUE"""),4475)</f>
        <v>4475</v>
      </c>
      <c r="C353" s="2">
        <f ca="1">IFERROR(__xludf.DUMMYFUNCTION("""COMPUTED_VALUE"""),4550)</f>
        <v>4550</v>
      </c>
      <c r="D353" s="2">
        <f ca="1">IFERROR(__xludf.DUMMYFUNCTION("""COMPUTED_VALUE"""),4462.5)</f>
        <v>4462.5</v>
      </c>
      <c r="E353" s="2">
        <f ca="1">IFERROR(__xludf.DUMMYFUNCTION("""COMPUTED_VALUE"""),4500)</f>
        <v>4500</v>
      </c>
      <c r="F353" s="2">
        <f ca="1">IFERROR(__xludf.DUMMYFUNCTION("""COMPUTED_VALUE"""),13364800)</f>
        <v>13364800</v>
      </c>
    </row>
    <row r="354" spans="1:6">
      <c r="A354" s="1">
        <f ca="1">IFERROR(__xludf.DUMMYFUNCTION("""COMPUTED_VALUE"""),42537.625)</f>
        <v>42537.625</v>
      </c>
      <c r="B354" s="2">
        <f ca="1">IFERROR(__xludf.DUMMYFUNCTION("""COMPUTED_VALUE"""),4512.5)</f>
        <v>4512.5</v>
      </c>
      <c r="C354" s="2">
        <f ca="1">IFERROR(__xludf.DUMMYFUNCTION("""COMPUTED_VALUE"""),4550)</f>
        <v>4550</v>
      </c>
      <c r="D354" s="2">
        <f ca="1">IFERROR(__xludf.DUMMYFUNCTION("""COMPUTED_VALUE"""),4450)</f>
        <v>4450</v>
      </c>
      <c r="E354" s="2">
        <f ca="1">IFERROR(__xludf.DUMMYFUNCTION("""COMPUTED_VALUE"""),4475)</f>
        <v>4475</v>
      </c>
      <c r="F354" s="2">
        <f ca="1">IFERROR(__xludf.DUMMYFUNCTION("""COMPUTED_VALUE"""),17690600)</f>
        <v>17690600</v>
      </c>
    </row>
    <row r="355" spans="1:6">
      <c r="A355" s="1">
        <f ca="1">IFERROR(__xludf.DUMMYFUNCTION("""COMPUTED_VALUE"""),42538.625)</f>
        <v>42538.625</v>
      </c>
      <c r="B355" s="2">
        <f ca="1">IFERROR(__xludf.DUMMYFUNCTION("""COMPUTED_VALUE"""),4500)</f>
        <v>4500</v>
      </c>
      <c r="C355" s="2">
        <f ca="1">IFERROR(__xludf.DUMMYFUNCTION("""COMPUTED_VALUE"""),4500)</f>
        <v>4500</v>
      </c>
      <c r="D355" s="2">
        <f ca="1">IFERROR(__xludf.DUMMYFUNCTION("""COMPUTED_VALUE"""),4437.5)</f>
        <v>4437.5</v>
      </c>
      <c r="E355" s="2">
        <f ca="1">IFERROR(__xludf.DUMMYFUNCTION("""COMPUTED_VALUE"""),4475)</f>
        <v>4475</v>
      </c>
      <c r="F355" s="2">
        <f ca="1">IFERROR(__xludf.DUMMYFUNCTION("""COMPUTED_VALUE"""),18021000)</f>
        <v>18021000</v>
      </c>
    </row>
    <row r="356" spans="1:6">
      <c r="A356" s="1">
        <f ca="1">IFERROR(__xludf.DUMMYFUNCTION("""COMPUTED_VALUE"""),42541.625)</f>
        <v>42541.625</v>
      </c>
      <c r="B356" s="2">
        <f ca="1">IFERROR(__xludf.DUMMYFUNCTION("""COMPUTED_VALUE"""),4550)</f>
        <v>4550</v>
      </c>
      <c r="C356" s="2">
        <f ca="1">IFERROR(__xludf.DUMMYFUNCTION("""COMPUTED_VALUE"""),4600)</f>
        <v>4600</v>
      </c>
      <c r="D356" s="2">
        <f ca="1">IFERROR(__xludf.DUMMYFUNCTION("""COMPUTED_VALUE"""),4475)</f>
        <v>4475</v>
      </c>
      <c r="E356" s="2">
        <f ca="1">IFERROR(__xludf.DUMMYFUNCTION("""COMPUTED_VALUE"""),4537.5)</f>
        <v>4537.5</v>
      </c>
      <c r="F356" s="2">
        <f ca="1">IFERROR(__xludf.DUMMYFUNCTION("""COMPUTED_VALUE"""),23063900)</f>
        <v>23063900</v>
      </c>
    </row>
    <row r="357" spans="1:6">
      <c r="A357" s="1">
        <f ca="1">IFERROR(__xludf.DUMMYFUNCTION("""COMPUTED_VALUE"""),42542.625)</f>
        <v>42542.625</v>
      </c>
      <c r="B357" s="2">
        <f ca="1">IFERROR(__xludf.DUMMYFUNCTION("""COMPUTED_VALUE"""),4575)</f>
        <v>4575</v>
      </c>
      <c r="C357" s="2">
        <f ca="1">IFERROR(__xludf.DUMMYFUNCTION("""COMPUTED_VALUE"""),4587.5)</f>
        <v>4587.5</v>
      </c>
      <c r="D357" s="2">
        <f ca="1">IFERROR(__xludf.DUMMYFUNCTION("""COMPUTED_VALUE"""),4500)</f>
        <v>4500</v>
      </c>
      <c r="E357" s="2">
        <f ca="1">IFERROR(__xludf.DUMMYFUNCTION("""COMPUTED_VALUE"""),4500)</f>
        <v>4500</v>
      </c>
      <c r="F357" s="2">
        <f ca="1">IFERROR(__xludf.DUMMYFUNCTION("""COMPUTED_VALUE"""),12082200)</f>
        <v>12082200</v>
      </c>
    </row>
    <row r="358" spans="1:6">
      <c r="A358" s="1">
        <f ca="1">IFERROR(__xludf.DUMMYFUNCTION("""COMPUTED_VALUE"""),42543.625)</f>
        <v>42543.625</v>
      </c>
      <c r="B358" s="2">
        <f ca="1">IFERROR(__xludf.DUMMYFUNCTION("""COMPUTED_VALUE"""),4525)</f>
        <v>4525</v>
      </c>
      <c r="C358" s="2">
        <f ca="1">IFERROR(__xludf.DUMMYFUNCTION("""COMPUTED_VALUE"""),4550)</f>
        <v>4550</v>
      </c>
      <c r="D358" s="2">
        <f ca="1">IFERROR(__xludf.DUMMYFUNCTION("""COMPUTED_VALUE"""),4500)</f>
        <v>4500</v>
      </c>
      <c r="E358" s="2">
        <f ca="1">IFERROR(__xludf.DUMMYFUNCTION("""COMPUTED_VALUE"""),4500)</f>
        <v>4500</v>
      </c>
      <c r="F358" s="2">
        <f ca="1">IFERROR(__xludf.DUMMYFUNCTION("""COMPUTED_VALUE"""),16137800)</f>
        <v>16137800</v>
      </c>
    </row>
    <row r="359" spans="1:6">
      <c r="A359" s="1">
        <f ca="1">IFERROR(__xludf.DUMMYFUNCTION("""COMPUTED_VALUE"""),42544.625)</f>
        <v>42544.625</v>
      </c>
      <c r="B359" s="2">
        <f ca="1">IFERROR(__xludf.DUMMYFUNCTION("""COMPUTED_VALUE"""),4500)</f>
        <v>4500</v>
      </c>
      <c r="C359" s="2">
        <f ca="1">IFERROR(__xludf.DUMMYFUNCTION("""COMPUTED_VALUE"""),4550)</f>
        <v>4550</v>
      </c>
      <c r="D359" s="2">
        <f ca="1">IFERROR(__xludf.DUMMYFUNCTION("""COMPUTED_VALUE"""),4500)</f>
        <v>4500</v>
      </c>
      <c r="E359" s="2">
        <f ca="1">IFERROR(__xludf.DUMMYFUNCTION("""COMPUTED_VALUE"""),4537.5)</f>
        <v>4537.5</v>
      </c>
      <c r="F359" s="2">
        <f ca="1">IFERROR(__xludf.DUMMYFUNCTION("""COMPUTED_VALUE"""),9893200)</f>
        <v>9893200</v>
      </c>
    </row>
    <row r="360" spans="1:6">
      <c r="A360" s="1">
        <f ca="1">IFERROR(__xludf.DUMMYFUNCTION("""COMPUTED_VALUE"""),42545.625)</f>
        <v>42545.625</v>
      </c>
      <c r="B360" s="2">
        <f ca="1">IFERROR(__xludf.DUMMYFUNCTION("""COMPUTED_VALUE"""),4575)</f>
        <v>4575</v>
      </c>
      <c r="C360" s="2">
        <f ca="1">IFERROR(__xludf.DUMMYFUNCTION("""COMPUTED_VALUE"""),4575)</f>
        <v>4575</v>
      </c>
      <c r="D360" s="2">
        <f ca="1">IFERROR(__xludf.DUMMYFUNCTION("""COMPUTED_VALUE"""),4425)</f>
        <v>4425</v>
      </c>
      <c r="E360" s="2">
        <f ca="1">IFERROR(__xludf.DUMMYFUNCTION("""COMPUTED_VALUE"""),4525)</f>
        <v>4525</v>
      </c>
      <c r="F360" s="2">
        <f ca="1">IFERROR(__xludf.DUMMYFUNCTION("""COMPUTED_VALUE"""),27189100)</f>
        <v>27189100</v>
      </c>
    </row>
    <row r="361" spans="1:6">
      <c r="A361" s="1">
        <f ca="1">IFERROR(__xludf.DUMMYFUNCTION("""COMPUTED_VALUE"""),42548.625)</f>
        <v>42548.625</v>
      </c>
      <c r="B361" s="2">
        <f ca="1">IFERROR(__xludf.DUMMYFUNCTION("""COMPUTED_VALUE"""),4500)</f>
        <v>4500</v>
      </c>
      <c r="C361" s="2">
        <f ca="1">IFERROR(__xludf.DUMMYFUNCTION("""COMPUTED_VALUE"""),4512.5)</f>
        <v>4512.5</v>
      </c>
      <c r="D361" s="2">
        <f ca="1">IFERROR(__xludf.DUMMYFUNCTION("""COMPUTED_VALUE"""),4462.5)</f>
        <v>4462.5</v>
      </c>
      <c r="E361" s="2">
        <f ca="1">IFERROR(__xludf.DUMMYFUNCTION("""COMPUTED_VALUE"""),4500)</f>
        <v>4500</v>
      </c>
      <c r="F361" s="2">
        <f ca="1">IFERROR(__xludf.DUMMYFUNCTION("""COMPUTED_VALUE"""),7515100)</f>
        <v>7515100</v>
      </c>
    </row>
    <row r="362" spans="1:6">
      <c r="A362" s="1">
        <f ca="1">IFERROR(__xludf.DUMMYFUNCTION("""COMPUTED_VALUE"""),42549.625)</f>
        <v>42549.625</v>
      </c>
      <c r="B362" s="2">
        <f ca="1">IFERROR(__xludf.DUMMYFUNCTION("""COMPUTED_VALUE"""),4500)</f>
        <v>4500</v>
      </c>
      <c r="C362" s="2">
        <f ca="1">IFERROR(__xludf.DUMMYFUNCTION("""COMPUTED_VALUE"""),4750)</f>
        <v>4750</v>
      </c>
      <c r="D362" s="2">
        <f ca="1">IFERROR(__xludf.DUMMYFUNCTION("""COMPUTED_VALUE"""),4462.5)</f>
        <v>4462.5</v>
      </c>
      <c r="E362" s="2">
        <f ca="1">IFERROR(__xludf.DUMMYFUNCTION("""COMPUTED_VALUE"""),4725)</f>
        <v>4725</v>
      </c>
      <c r="F362" s="2">
        <f ca="1">IFERROR(__xludf.DUMMYFUNCTION("""COMPUTED_VALUE"""),45056700)</f>
        <v>45056700</v>
      </c>
    </row>
    <row r="363" spans="1:6">
      <c r="A363" s="1">
        <f ca="1">IFERROR(__xludf.DUMMYFUNCTION("""COMPUTED_VALUE"""),42550.625)</f>
        <v>42550.625</v>
      </c>
      <c r="B363" s="2">
        <f ca="1">IFERROR(__xludf.DUMMYFUNCTION("""COMPUTED_VALUE"""),4750)</f>
        <v>4750</v>
      </c>
      <c r="C363" s="2">
        <f ca="1">IFERROR(__xludf.DUMMYFUNCTION("""COMPUTED_VALUE"""),4800)</f>
        <v>4800</v>
      </c>
      <c r="D363" s="2">
        <f ca="1">IFERROR(__xludf.DUMMYFUNCTION("""COMPUTED_VALUE"""),4737.5)</f>
        <v>4737.5</v>
      </c>
      <c r="E363" s="2">
        <f ca="1">IFERROR(__xludf.DUMMYFUNCTION("""COMPUTED_VALUE"""),4800)</f>
        <v>4800</v>
      </c>
      <c r="F363" s="2">
        <f ca="1">IFERROR(__xludf.DUMMYFUNCTION("""COMPUTED_VALUE"""),29786800)</f>
        <v>29786800</v>
      </c>
    </row>
    <row r="364" spans="1:6">
      <c r="A364" s="1">
        <f ca="1">IFERROR(__xludf.DUMMYFUNCTION("""COMPUTED_VALUE"""),42551.625)</f>
        <v>42551.625</v>
      </c>
      <c r="B364" s="2">
        <f ca="1">IFERROR(__xludf.DUMMYFUNCTION("""COMPUTED_VALUE"""),4825)</f>
        <v>4825</v>
      </c>
      <c r="C364" s="2">
        <f ca="1">IFERROR(__xludf.DUMMYFUNCTION("""COMPUTED_VALUE"""),4850)</f>
        <v>4850</v>
      </c>
      <c r="D364" s="2">
        <f ca="1">IFERROR(__xludf.DUMMYFUNCTION("""COMPUTED_VALUE"""),4750)</f>
        <v>4750</v>
      </c>
      <c r="E364" s="2">
        <f ca="1">IFERROR(__xludf.DUMMYFUNCTION("""COMPUTED_VALUE"""),4762.5)</f>
        <v>4762.5</v>
      </c>
      <c r="F364" s="2">
        <f ca="1">IFERROR(__xludf.DUMMYFUNCTION("""COMPUTED_VALUE"""),23601700)</f>
        <v>23601700</v>
      </c>
    </row>
    <row r="365" spans="1:6">
      <c r="A365" s="1">
        <f ca="1">IFERROR(__xludf.DUMMYFUNCTION("""COMPUTED_VALUE"""),42552.625)</f>
        <v>42552.625</v>
      </c>
      <c r="B365" s="2">
        <f ca="1">IFERROR(__xludf.DUMMYFUNCTION("""COMPUTED_VALUE"""),4750)</f>
        <v>4750</v>
      </c>
      <c r="C365" s="2">
        <f ca="1">IFERROR(__xludf.DUMMYFUNCTION("""COMPUTED_VALUE"""),4775)</f>
        <v>4775</v>
      </c>
      <c r="D365" s="2">
        <f ca="1">IFERROR(__xludf.DUMMYFUNCTION("""COMPUTED_VALUE"""),4662.5)</f>
        <v>4662.5</v>
      </c>
      <c r="E365" s="2">
        <f ca="1">IFERROR(__xludf.DUMMYFUNCTION("""COMPUTED_VALUE"""),4700)</f>
        <v>4700</v>
      </c>
      <c r="F365" s="2">
        <f ca="1">IFERROR(__xludf.DUMMYFUNCTION("""COMPUTED_VALUE"""),15184700)</f>
        <v>15184700</v>
      </c>
    </row>
    <row r="366" spans="1:6">
      <c r="A366" s="1">
        <f ca="1">IFERROR(__xludf.DUMMYFUNCTION("""COMPUTED_VALUE"""),42562.625)</f>
        <v>42562.625</v>
      </c>
      <c r="B366" s="2">
        <f ca="1">IFERROR(__xludf.DUMMYFUNCTION("""COMPUTED_VALUE"""),4700)</f>
        <v>4700</v>
      </c>
      <c r="C366" s="2">
        <f ca="1">IFERROR(__xludf.DUMMYFUNCTION("""COMPUTED_VALUE"""),4875)</f>
        <v>4875</v>
      </c>
      <c r="D366" s="2">
        <f ca="1">IFERROR(__xludf.DUMMYFUNCTION("""COMPUTED_VALUE"""),4700)</f>
        <v>4700</v>
      </c>
      <c r="E366" s="2">
        <f ca="1">IFERROR(__xludf.DUMMYFUNCTION("""COMPUTED_VALUE"""),4850)</f>
        <v>4850</v>
      </c>
      <c r="F366" s="2">
        <f ca="1">IFERROR(__xludf.DUMMYFUNCTION("""COMPUTED_VALUE"""),53571300)</f>
        <v>53571300</v>
      </c>
    </row>
    <row r="367" spans="1:6">
      <c r="A367" s="1">
        <f ca="1">IFERROR(__xludf.DUMMYFUNCTION("""COMPUTED_VALUE"""),42563.625)</f>
        <v>42563.625</v>
      </c>
      <c r="B367" s="2">
        <f ca="1">IFERROR(__xludf.DUMMYFUNCTION("""COMPUTED_VALUE"""),4887.5)</f>
        <v>4887.5</v>
      </c>
      <c r="C367" s="2">
        <f ca="1">IFERROR(__xludf.DUMMYFUNCTION("""COMPUTED_VALUE"""),5087.5)</f>
        <v>5087.5</v>
      </c>
      <c r="D367" s="2">
        <f ca="1">IFERROR(__xludf.DUMMYFUNCTION("""COMPUTED_VALUE"""),4887.5)</f>
        <v>4887.5</v>
      </c>
      <c r="E367" s="2">
        <f ca="1">IFERROR(__xludf.DUMMYFUNCTION("""COMPUTED_VALUE"""),5087.5)</f>
        <v>5087.5</v>
      </c>
      <c r="F367" s="2">
        <f ca="1">IFERROR(__xludf.DUMMYFUNCTION("""COMPUTED_VALUE"""),52534600)</f>
        <v>52534600</v>
      </c>
    </row>
    <row r="368" spans="1:6">
      <c r="A368" s="1">
        <f ca="1">IFERROR(__xludf.DUMMYFUNCTION("""COMPUTED_VALUE"""),42564.625)</f>
        <v>42564.625</v>
      </c>
      <c r="B368" s="2">
        <f ca="1">IFERROR(__xludf.DUMMYFUNCTION("""COMPUTED_VALUE"""),5087.5)</f>
        <v>5087.5</v>
      </c>
      <c r="C368" s="2">
        <f ca="1">IFERROR(__xludf.DUMMYFUNCTION("""COMPUTED_VALUE"""),5087.5)</f>
        <v>5087.5</v>
      </c>
      <c r="D368" s="2">
        <f ca="1">IFERROR(__xludf.DUMMYFUNCTION("""COMPUTED_VALUE"""),4925)</f>
        <v>4925</v>
      </c>
      <c r="E368" s="2">
        <f ca="1">IFERROR(__xludf.DUMMYFUNCTION("""COMPUTED_VALUE"""),4950)</f>
        <v>4950</v>
      </c>
      <c r="F368" s="2">
        <f ca="1">IFERROR(__xludf.DUMMYFUNCTION("""COMPUTED_VALUE"""),45226900)</f>
        <v>45226900</v>
      </c>
    </row>
    <row r="369" spans="1:6">
      <c r="A369" s="1">
        <f ca="1">IFERROR(__xludf.DUMMYFUNCTION("""COMPUTED_VALUE"""),42565.625)</f>
        <v>42565.625</v>
      </c>
      <c r="B369" s="2">
        <f ca="1">IFERROR(__xludf.DUMMYFUNCTION("""COMPUTED_VALUE"""),4912.5)</f>
        <v>4912.5</v>
      </c>
      <c r="C369" s="2">
        <f ca="1">IFERROR(__xludf.DUMMYFUNCTION("""COMPUTED_VALUE"""),4925)</f>
        <v>4925</v>
      </c>
      <c r="D369" s="2">
        <f ca="1">IFERROR(__xludf.DUMMYFUNCTION("""COMPUTED_VALUE"""),4800)</f>
        <v>4800</v>
      </c>
      <c r="E369" s="2">
        <f ca="1">IFERROR(__xludf.DUMMYFUNCTION("""COMPUTED_VALUE"""),4800)</f>
        <v>4800</v>
      </c>
      <c r="F369" s="2">
        <f ca="1">IFERROR(__xludf.DUMMYFUNCTION("""COMPUTED_VALUE"""),39004100)</f>
        <v>39004100</v>
      </c>
    </row>
    <row r="370" spans="1:6">
      <c r="A370" s="1">
        <f ca="1">IFERROR(__xludf.DUMMYFUNCTION("""COMPUTED_VALUE"""),42566.625)</f>
        <v>42566.625</v>
      </c>
      <c r="B370" s="2">
        <f ca="1">IFERROR(__xludf.DUMMYFUNCTION("""COMPUTED_VALUE"""),4812.5)</f>
        <v>4812.5</v>
      </c>
      <c r="C370" s="2">
        <f ca="1">IFERROR(__xludf.DUMMYFUNCTION("""COMPUTED_VALUE"""),4862.5)</f>
        <v>4862.5</v>
      </c>
      <c r="D370" s="2">
        <f ca="1">IFERROR(__xludf.DUMMYFUNCTION("""COMPUTED_VALUE"""),4800)</f>
        <v>4800</v>
      </c>
      <c r="E370" s="2">
        <f ca="1">IFERROR(__xludf.DUMMYFUNCTION("""COMPUTED_VALUE"""),4837.5)</f>
        <v>4837.5</v>
      </c>
      <c r="F370" s="2">
        <f ca="1">IFERROR(__xludf.DUMMYFUNCTION("""COMPUTED_VALUE"""),25284000)</f>
        <v>25284000</v>
      </c>
    </row>
    <row r="371" spans="1:6">
      <c r="A371" s="1">
        <f ca="1">IFERROR(__xludf.DUMMYFUNCTION("""COMPUTED_VALUE"""),42569.625)</f>
        <v>42569.625</v>
      </c>
      <c r="B371" s="2">
        <f ca="1">IFERROR(__xludf.DUMMYFUNCTION("""COMPUTED_VALUE"""),4800)</f>
        <v>4800</v>
      </c>
      <c r="C371" s="2">
        <f ca="1">IFERROR(__xludf.DUMMYFUNCTION("""COMPUTED_VALUE"""),4850)</f>
        <v>4850</v>
      </c>
      <c r="D371" s="2">
        <f ca="1">IFERROR(__xludf.DUMMYFUNCTION("""COMPUTED_VALUE"""),4787.5)</f>
        <v>4787.5</v>
      </c>
      <c r="E371" s="2">
        <f ca="1">IFERROR(__xludf.DUMMYFUNCTION("""COMPUTED_VALUE"""),4837.5)</f>
        <v>4837.5</v>
      </c>
      <c r="F371" s="2">
        <f ca="1">IFERROR(__xludf.DUMMYFUNCTION("""COMPUTED_VALUE"""),17632200)</f>
        <v>17632200</v>
      </c>
    </row>
    <row r="372" spans="1:6">
      <c r="A372" s="1">
        <f ca="1">IFERROR(__xludf.DUMMYFUNCTION("""COMPUTED_VALUE"""),42570.625)</f>
        <v>42570.625</v>
      </c>
      <c r="B372" s="2">
        <f ca="1">IFERROR(__xludf.DUMMYFUNCTION("""COMPUTED_VALUE"""),4825)</f>
        <v>4825</v>
      </c>
      <c r="C372" s="2">
        <f ca="1">IFERROR(__xludf.DUMMYFUNCTION("""COMPUTED_VALUE"""),5050)</f>
        <v>5050</v>
      </c>
      <c r="D372" s="2">
        <f ca="1">IFERROR(__xludf.DUMMYFUNCTION("""COMPUTED_VALUE"""),4800)</f>
        <v>4800</v>
      </c>
      <c r="E372" s="2">
        <f ca="1">IFERROR(__xludf.DUMMYFUNCTION("""COMPUTED_VALUE"""),5050)</f>
        <v>5050</v>
      </c>
      <c r="F372" s="2">
        <f ca="1">IFERROR(__xludf.DUMMYFUNCTION("""COMPUTED_VALUE"""),55387500)</f>
        <v>55387500</v>
      </c>
    </row>
    <row r="373" spans="1:6">
      <c r="A373" s="1">
        <f ca="1">IFERROR(__xludf.DUMMYFUNCTION("""COMPUTED_VALUE"""),42571.625)</f>
        <v>42571.625</v>
      </c>
      <c r="B373" s="2">
        <f ca="1">IFERROR(__xludf.DUMMYFUNCTION("""COMPUTED_VALUE"""),5050)</f>
        <v>5050</v>
      </c>
      <c r="C373" s="2">
        <f ca="1">IFERROR(__xludf.DUMMYFUNCTION("""COMPUTED_VALUE"""),5237.5)</f>
        <v>5237.5</v>
      </c>
      <c r="D373" s="2">
        <f ca="1">IFERROR(__xludf.DUMMYFUNCTION("""COMPUTED_VALUE"""),5050)</f>
        <v>5050</v>
      </c>
      <c r="E373" s="2">
        <f ca="1">IFERROR(__xludf.DUMMYFUNCTION("""COMPUTED_VALUE"""),5212.5)</f>
        <v>5212.5</v>
      </c>
      <c r="F373" s="2">
        <f ca="1">IFERROR(__xludf.DUMMYFUNCTION("""COMPUTED_VALUE"""),47451700)</f>
        <v>47451700</v>
      </c>
    </row>
    <row r="374" spans="1:6">
      <c r="A374" s="1">
        <f ca="1">IFERROR(__xludf.DUMMYFUNCTION("""COMPUTED_VALUE"""),42572.625)</f>
        <v>42572.625</v>
      </c>
      <c r="B374" s="2">
        <f ca="1">IFERROR(__xludf.DUMMYFUNCTION("""COMPUTED_VALUE"""),5212.5)</f>
        <v>5212.5</v>
      </c>
      <c r="C374" s="2">
        <f ca="1">IFERROR(__xludf.DUMMYFUNCTION("""COMPUTED_VALUE"""),5212.5)</f>
        <v>5212.5</v>
      </c>
      <c r="D374" s="2">
        <f ca="1">IFERROR(__xludf.DUMMYFUNCTION("""COMPUTED_VALUE"""),5012.5)</f>
        <v>5012.5</v>
      </c>
      <c r="E374" s="2">
        <f ca="1">IFERROR(__xludf.DUMMYFUNCTION("""COMPUTED_VALUE"""),5062.5)</f>
        <v>5062.5</v>
      </c>
      <c r="F374" s="2">
        <f ca="1">IFERROR(__xludf.DUMMYFUNCTION("""COMPUTED_VALUE"""),34038300)</f>
        <v>34038300</v>
      </c>
    </row>
    <row r="375" spans="1:6">
      <c r="A375" s="1">
        <f ca="1">IFERROR(__xludf.DUMMYFUNCTION("""COMPUTED_VALUE"""),42573.625)</f>
        <v>42573.625</v>
      </c>
      <c r="B375" s="2">
        <f ca="1">IFERROR(__xludf.DUMMYFUNCTION("""COMPUTED_VALUE"""),5087.5)</f>
        <v>5087.5</v>
      </c>
      <c r="C375" s="2">
        <f ca="1">IFERROR(__xludf.DUMMYFUNCTION("""COMPUTED_VALUE"""),5087.5)</f>
        <v>5087.5</v>
      </c>
      <c r="D375" s="2">
        <f ca="1">IFERROR(__xludf.DUMMYFUNCTION("""COMPUTED_VALUE"""),4950)</f>
        <v>4950</v>
      </c>
      <c r="E375" s="2">
        <f ca="1">IFERROR(__xludf.DUMMYFUNCTION("""COMPUTED_VALUE"""),4962.5)</f>
        <v>4962.5</v>
      </c>
      <c r="F375" s="2">
        <f ca="1">IFERROR(__xludf.DUMMYFUNCTION("""COMPUTED_VALUE"""),15782000)</f>
        <v>15782000</v>
      </c>
    </row>
    <row r="376" spans="1:6">
      <c r="A376" s="1">
        <f ca="1">IFERROR(__xludf.DUMMYFUNCTION("""COMPUTED_VALUE"""),42576.625)</f>
        <v>42576.625</v>
      </c>
      <c r="B376" s="2">
        <f ca="1">IFERROR(__xludf.DUMMYFUNCTION("""COMPUTED_VALUE"""),4975)</f>
        <v>4975</v>
      </c>
      <c r="C376" s="2">
        <f ca="1">IFERROR(__xludf.DUMMYFUNCTION("""COMPUTED_VALUE"""),5012.5)</f>
        <v>5012.5</v>
      </c>
      <c r="D376" s="2">
        <f ca="1">IFERROR(__xludf.DUMMYFUNCTION("""COMPUTED_VALUE"""),4912.5)</f>
        <v>4912.5</v>
      </c>
      <c r="E376" s="2">
        <f ca="1">IFERROR(__xludf.DUMMYFUNCTION("""COMPUTED_VALUE"""),4962.5)</f>
        <v>4962.5</v>
      </c>
      <c r="F376" s="2">
        <f ca="1">IFERROR(__xludf.DUMMYFUNCTION("""COMPUTED_VALUE"""),17464500)</f>
        <v>17464500</v>
      </c>
    </row>
    <row r="377" spans="1:6">
      <c r="A377" s="1">
        <f ca="1">IFERROR(__xludf.DUMMYFUNCTION("""COMPUTED_VALUE"""),42577.625)</f>
        <v>42577.625</v>
      </c>
      <c r="B377" s="2">
        <f ca="1">IFERROR(__xludf.DUMMYFUNCTION("""COMPUTED_VALUE"""),4937.5)</f>
        <v>4937.5</v>
      </c>
      <c r="C377" s="2">
        <f ca="1">IFERROR(__xludf.DUMMYFUNCTION("""COMPUTED_VALUE"""),4962.5)</f>
        <v>4962.5</v>
      </c>
      <c r="D377" s="2">
        <f ca="1">IFERROR(__xludf.DUMMYFUNCTION("""COMPUTED_VALUE"""),4900)</f>
        <v>4900</v>
      </c>
      <c r="E377" s="2">
        <f ca="1">IFERROR(__xludf.DUMMYFUNCTION("""COMPUTED_VALUE"""),4925)</f>
        <v>4925</v>
      </c>
      <c r="F377" s="2">
        <f ca="1">IFERROR(__xludf.DUMMYFUNCTION("""COMPUTED_VALUE"""),26624900)</f>
        <v>26624900</v>
      </c>
    </row>
    <row r="378" spans="1:6">
      <c r="A378" s="1">
        <f ca="1">IFERROR(__xludf.DUMMYFUNCTION("""COMPUTED_VALUE"""),42578.625)</f>
        <v>42578.625</v>
      </c>
      <c r="B378" s="2">
        <f ca="1">IFERROR(__xludf.DUMMYFUNCTION("""COMPUTED_VALUE"""),4937.5)</f>
        <v>4937.5</v>
      </c>
      <c r="C378" s="2">
        <f ca="1">IFERROR(__xludf.DUMMYFUNCTION("""COMPUTED_VALUE"""),5162.5)</f>
        <v>5162.5</v>
      </c>
      <c r="D378" s="2">
        <f ca="1">IFERROR(__xludf.DUMMYFUNCTION("""COMPUTED_VALUE"""),4937.5)</f>
        <v>4937.5</v>
      </c>
      <c r="E378" s="2">
        <f ca="1">IFERROR(__xludf.DUMMYFUNCTION("""COMPUTED_VALUE"""),5050)</f>
        <v>5050</v>
      </c>
      <c r="F378" s="2">
        <f ca="1">IFERROR(__xludf.DUMMYFUNCTION("""COMPUTED_VALUE"""),66955000)</f>
        <v>66955000</v>
      </c>
    </row>
    <row r="379" spans="1:6">
      <c r="A379" s="1">
        <f ca="1">IFERROR(__xludf.DUMMYFUNCTION("""COMPUTED_VALUE"""),42579.625)</f>
        <v>42579.625</v>
      </c>
      <c r="B379" s="2">
        <f ca="1">IFERROR(__xludf.DUMMYFUNCTION("""COMPUTED_VALUE"""),5062.5)</f>
        <v>5062.5</v>
      </c>
      <c r="C379" s="2">
        <f ca="1">IFERROR(__xludf.DUMMYFUNCTION("""COMPUTED_VALUE"""),5075)</f>
        <v>5075</v>
      </c>
      <c r="D379" s="2">
        <f ca="1">IFERROR(__xludf.DUMMYFUNCTION("""COMPUTED_VALUE"""),5000)</f>
        <v>5000</v>
      </c>
      <c r="E379" s="2">
        <f ca="1">IFERROR(__xludf.DUMMYFUNCTION("""COMPUTED_VALUE"""),5050)</f>
        <v>5050</v>
      </c>
      <c r="F379" s="2">
        <f ca="1">IFERROR(__xludf.DUMMYFUNCTION("""COMPUTED_VALUE"""),25963800)</f>
        <v>25963800</v>
      </c>
    </row>
    <row r="380" spans="1:6">
      <c r="A380" s="1">
        <f ca="1">IFERROR(__xludf.DUMMYFUNCTION("""COMPUTED_VALUE"""),42580.625)</f>
        <v>42580.625</v>
      </c>
      <c r="B380" s="2">
        <f ca="1">IFERROR(__xludf.DUMMYFUNCTION("""COMPUTED_VALUE"""),5050)</f>
        <v>5050</v>
      </c>
      <c r="C380" s="2">
        <f ca="1">IFERROR(__xludf.DUMMYFUNCTION("""COMPUTED_VALUE"""),5137.5)</f>
        <v>5137.5</v>
      </c>
      <c r="D380" s="2">
        <f ca="1">IFERROR(__xludf.DUMMYFUNCTION("""COMPUTED_VALUE"""),5025)</f>
        <v>5025</v>
      </c>
      <c r="E380" s="2">
        <f ca="1">IFERROR(__xludf.DUMMYFUNCTION("""COMPUTED_VALUE"""),5050)</f>
        <v>5050</v>
      </c>
      <c r="F380" s="2">
        <f ca="1">IFERROR(__xludf.DUMMYFUNCTION("""COMPUTED_VALUE"""),46230200)</f>
        <v>46230200</v>
      </c>
    </row>
    <row r="381" spans="1:6">
      <c r="A381" s="1">
        <f ca="1">IFERROR(__xludf.DUMMYFUNCTION("""COMPUTED_VALUE"""),42583.625)</f>
        <v>42583.625</v>
      </c>
      <c r="B381" s="2">
        <f ca="1">IFERROR(__xludf.DUMMYFUNCTION("""COMPUTED_VALUE"""),5112.5)</f>
        <v>5112.5</v>
      </c>
      <c r="C381" s="2">
        <f ca="1">IFERROR(__xludf.DUMMYFUNCTION("""COMPUTED_VALUE"""),5325)</f>
        <v>5325</v>
      </c>
      <c r="D381" s="2">
        <f ca="1">IFERROR(__xludf.DUMMYFUNCTION("""COMPUTED_VALUE"""),5100)</f>
        <v>5100</v>
      </c>
      <c r="E381" s="2">
        <f ca="1">IFERROR(__xludf.DUMMYFUNCTION("""COMPUTED_VALUE"""),5275)</f>
        <v>5275</v>
      </c>
      <c r="F381" s="2">
        <f ca="1">IFERROR(__xludf.DUMMYFUNCTION("""COMPUTED_VALUE"""),64761400)</f>
        <v>64761400</v>
      </c>
    </row>
    <row r="382" spans="1:6">
      <c r="A382" s="1">
        <f ca="1">IFERROR(__xludf.DUMMYFUNCTION("""COMPUTED_VALUE"""),42584.625)</f>
        <v>42584.625</v>
      </c>
      <c r="B382" s="2">
        <f ca="1">IFERROR(__xludf.DUMMYFUNCTION("""COMPUTED_VALUE"""),5325)</f>
        <v>5325</v>
      </c>
      <c r="C382" s="2">
        <f ca="1">IFERROR(__xludf.DUMMYFUNCTION("""COMPUTED_VALUE"""),5387.5)</f>
        <v>5387.5</v>
      </c>
      <c r="D382" s="2">
        <f ca="1">IFERROR(__xludf.DUMMYFUNCTION("""COMPUTED_VALUE"""),5275)</f>
        <v>5275</v>
      </c>
      <c r="E382" s="2">
        <f ca="1">IFERROR(__xludf.DUMMYFUNCTION("""COMPUTED_VALUE"""),5325)</f>
        <v>5325</v>
      </c>
      <c r="F382" s="2">
        <f ca="1">IFERROR(__xludf.DUMMYFUNCTION("""COMPUTED_VALUE"""),62113600)</f>
        <v>62113600</v>
      </c>
    </row>
    <row r="383" spans="1:6">
      <c r="A383" s="1">
        <f ca="1">IFERROR(__xludf.DUMMYFUNCTION("""COMPUTED_VALUE"""),42585.625)</f>
        <v>42585.625</v>
      </c>
      <c r="B383" s="2">
        <f ca="1">IFERROR(__xludf.DUMMYFUNCTION("""COMPUTED_VALUE"""),5325)</f>
        <v>5325</v>
      </c>
      <c r="C383" s="2">
        <f ca="1">IFERROR(__xludf.DUMMYFUNCTION("""COMPUTED_VALUE"""),5325)</f>
        <v>5325</v>
      </c>
      <c r="D383" s="2">
        <f ca="1">IFERROR(__xludf.DUMMYFUNCTION("""COMPUTED_VALUE"""),5200)</f>
        <v>5200</v>
      </c>
      <c r="E383" s="2">
        <f ca="1">IFERROR(__xludf.DUMMYFUNCTION("""COMPUTED_VALUE"""),5212.5)</f>
        <v>5212.5</v>
      </c>
      <c r="F383" s="2">
        <f ca="1">IFERROR(__xludf.DUMMYFUNCTION("""COMPUTED_VALUE"""),16704300)</f>
        <v>16704300</v>
      </c>
    </row>
    <row r="384" spans="1:6">
      <c r="A384" s="1">
        <f ca="1">IFERROR(__xludf.DUMMYFUNCTION("""COMPUTED_VALUE"""),42586.625)</f>
        <v>42586.625</v>
      </c>
      <c r="B384" s="2">
        <f ca="1">IFERROR(__xludf.DUMMYFUNCTION("""COMPUTED_VALUE"""),5212.5)</f>
        <v>5212.5</v>
      </c>
      <c r="C384" s="2">
        <f ca="1">IFERROR(__xludf.DUMMYFUNCTION("""COMPUTED_VALUE"""),5300)</f>
        <v>5300</v>
      </c>
      <c r="D384" s="2">
        <f ca="1">IFERROR(__xludf.DUMMYFUNCTION("""COMPUTED_VALUE"""),5212.5)</f>
        <v>5212.5</v>
      </c>
      <c r="E384" s="2">
        <f ca="1">IFERROR(__xludf.DUMMYFUNCTION("""COMPUTED_VALUE"""),5275)</f>
        <v>5275</v>
      </c>
      <c r="F384" s="2">
        <f ca="1">IFERROR(__xludf.DUMMYFUNCTION("""COMPUTED_VALUE"""),34591200)</f>
        <v>34591200</v>
      </c>
    </row>
    <row r="385" spans="1:6">
      <c r="A385" s="1">
        <f ca="1">IFERROR(__xludf.DUMMYFUNCTION("""COMPUTED_VALUE"""),42587.625)</f>
        <v>42587.625</v>
      </c>
      <c r="B385" s="2">
        <f ca="1">IFERROR(__xludf.DUMMYFUNCTION("""COMPUTED_VALUE"""),5312.5)</f>
        <v>5312.5</v>
      </c>
      <c r="C385" s="2">
        <f ca="1">IFERROR(__xludf.DUMMYFUNCTION("""COMPUTED_VALUE"""),5700)</f>
        <v>5700</v>
      </c>
      <c r="D385" s="2">
        <f ca="1">IFERROR(__xludf.DUMMYFUNCTION("""COMPUTED_VALUE"""),5300)</f>
        <v>5300</v>
      </c>
      <c r="E385" s="2">
        <f ca="1">IFERROR(__xludf.DUMMYFUNCTION("""COMPUTED_VALUE"""),5700)</f>
        <v>5700</v>
      </c>
      <c r="F385" s="2">
        <f ca="1">IFERROR(__xludf.DUMMYFUNCTION("""COMPUTED_VALUE"""),67758500)</f>
        <v>67758500</v>
      </c>
    </row>
    <row r="386" spans="1:6">
      <c r="A386" s="1">
        <f ca="1">IFERROR(__xludf.DUMMYFUNCTION("""COMPUTED_VALUE"""),42590.625)</f>
        <v>42590.625</v>
      </c>
      <c r="B386" s="2">
        <f ca="1">IFERROR(__xludf.DUMMYFUNCTION("""COMPUTED_VALUE"""),5750)</f>
        <v>5750</v>
      </c>
      <c r="C386" s="2">
        <f ca="1">IFERROR(__xludf.DUMMYFUNCTION("""COMPUTED_VALUE"""),5837.5)</f>
        <v>5837.5</v>
      </c>
      <c r="D386" s="2">
        <f ca="1">IFERROR(__xludf.DUMMYFUNCTION("""COMPUTED_VALUE"""),5725)</f>
        <v>5725</v>
      </c>
      <c r="E386" s="2">
        <f ca="1">IFERROR(__xludf.DUMMYFUNCTION("""COMPUTED_VALUE"""),5825)</f>
        <v>5825</v>
      </c>
      <c r="F386" s="2">
        <f ca="1">IFERROR(__xludf.DUMMYFUNCTION("""COMPUTED_VALUE"""),41807600)</f>
        <v>41807600</v>
      </c>
    </row>
    <row r="387" spans="1:6">
      <c r="A387" s="1">
        <f ca="1">IFERROR(__xludf.DUMMYFUNCTION("""COMPUTED_VALUE"""),42591.625)</f>
        <v>42591.625</v>
      </c>
      <c r="B387" s="2">
        <f ca="1">IFERROR(__xludf.DUMMYFUNCTION("""COMPUTED_VALUE"""),5825)</f>
        <v>5825</v>
      </c>
      <c r="C387" s="2">
        <f ca="1">IFERROR(__xludf.DUMMYFUNCTION("""COMPUTED_VALUE"""),5975)</f>
        <v>5975</v>
      </c>
      <c r="D387" s="2">
        <f ca="1">IFERROR(__xludf.DUMMYFUNCTION("""COMPUTED_VALUE"""),5825)</f>
        <v>5825</v>
      </c>
      <c r="E387" s="2">
        <f ca="1">IFERROR(__xludf.DUMMYFUNCTION("""COMPUTED_VALUE"""),5900)</f>
        <v>5900</v>
      </c>
      <c r="F387" s="2">
        <f ca="1">IFERROR(__xludf.DUMMYFUNCTION("""COMPUTED_VALUE"""),33805000)</f>
        <v>33805000</v>
      </c>
    </row>
    <row r="388" spans="1:6">
      <c r="A388" s="1">
        <f ca="1">IFERROR(__xludf.DUMMYFUNCTION("""COMPUTED_VALUE"""),42592.625)</f>
        <v>42592.625</v>
      </c>
      <c r="B388" s="2">
        <f ca="1">IFERROR(__xludf.DUMMYFUNCTION("""COMPUTED_VALUE"""),5825)</f>
        <v>5825</v>
      </c>
      <c r="C388" s="2">
        <f ca="1">IFERROR(__xludf.DUMMYFUNCTION("""COMPUTED_VALUE"""),5837.5)</f>
        <v>5837.5</v>
      </c>
      <c r="D388" s="2">
        <f ca="1">IFERROR(__xludf.DUMMYFUNCTION("""COMPUTED_VALUE"""),5737.5)</f>
        <v>5737.5</v>
      </c>
      <c r="E388" s="2">
        <f ca="1">IFERROR(__xludf.DUMMYFUNCTION("""COMPUTED_VALUE"""),5775)</f>
        <v>5775</v>
      </c>
      <c r="F388" s="2">
        <f ca="1">IFERROR(__xludf.DUMMYFUNCTION("""COMPUTED_VALUE"""),17189700)</f>
        <v>17189700</v>
      </c>
    </row>
    <row r="389" spans="1:6">
      <c r="A389" s="1">
        <f ca="1">IFERROR(__xludf.DUMMYFUNCTION("""COMPUTED_VALUE"""),42593.625)</f>
        <v>42593.625</v>
      </c>
      <c r="B389" s="2">
        <f ca="1">IFERROR(__xludf.DUMMYFUNCTION("""COMPUTED_VALUE"""),5725)</f>
        <v>5725</v>
      </c>
      <c r="C389" s="2">
        <f ca="1">IFERROR(__xludf.DUMMYFUNCTION("""COMPUTED_VALUE"""),5750)</f>
        <v>5750</v>
      </c>
      <c r="D389" s="2">
        <f ca="1">IFERROR(__xludf.DUMMYFUNCTION("""COMPUTED_VALUE"""),5525)</f>
        <v>5525</v>
      </c>
      <c r="E389" s="2">
        <f ca="1">IFERROR(__xludf.DUMMYFUNCTION("""COMPUTED_VALUE"""),5587.5)</f>
        <v>5587.5</v>
      </c>
      <c r="F389" s="2">
        <f ca="1">IFERROR(__xludf.DUMMYFUNCTION("""COMPUTED_VALUE"""),24042500)</f>
        <v>24042500</v>
      </c>
    </row>
    <row r="390" spans="1:6">
      <c r="A390" s="1">
        <f ca="1">IFERROR(__xludf.DUMMYFUNCTION("""COMPUTED_VALUE"""),42594.625)</f>
        <v>42594.625</v>
      </c>
      <c r="B390" s="2">
        <f ca="1">IFERROR(__xludf.DUMMYFUNCTION("""COMPUTED_VALUE"""),5625)</f>
        <v>5625</v>
      </c>
      <c r="C390" s="2">
        <f ca="1">IFERROR(__xludf.DUMMYFUNCTION("""COMPUTED_VALUE"""),5675)</f>
        <v>5675</v>
      </c>
      <c r="D390" s="2">
        <f ca="1">IFERROR(__xludf.DUMMYFUNCTION("""COMPUTED_VALUE"""),5437.5)</f>
        <v>5437.5</v>
      </c>
      <c r="E390" s="2">
        <f ca="1">IFERROR(__xludf.DUMMYFUNCTION("""COMPUTED_VALUE"""),5537.5)</f>
        <v>5537.5</v>
      </c>
      <c r="F390" s="2">
        <f ca="1">IFERROR(__xludf.DUMMYFUNCTION("""COMPUTED_VALUE"""),55448100)</f>
        <v>55448100</v>
      </c>
    </row>
    <row r="391" spans="1:6">
      <c r="A391" s="1">
        <f ca="1">IFERROR(__xludf.DUMMYFUNCTION("""COMPUTED_VALUE"""),42597.625)</f>
        <v>42597.625</v>
      </c>
      <c r="B391" s="2">
        <f ca="1">IFERROR(__xludf.DUMMYFUNCTION("""COMPUTED_VALUE"""),5512.5)</f>
        <v>5512.5</v>
      </c>
      <c r="C391" s="2">
        <f ca="1">IFERROR(__xludf.DUMMYFUNCTION("""COMPUTED_VALUE"""),5600)</f>
        <v>5600</v>
      </c>
      <c r="D391" s="2">
        <f ca="1">IFERROR(__xludf.DUMMYFUNCTION("""COMPUTED_VALUE"""),5450)</f>
        <v>5450</v>
      </c>
      <c r="E391" s="2">
        <f ca="1">IFERROR(__xludf.DUMMYFUNCTION("""COMPUTED_VALUE"""),5587.5)</f>
        <v>5587.5</v>
      </c>
      <c r="F391" s="2">
        <f ca="1">IFERROR(__xludf.DUMMYFUNCTION("""COMPUTED_VALUE"""),16747000)</f>
        <v>16747000</v>
      </c>
    </row>
    <row r="392" spans="1:6">
      <c r="A392" s="1">
        <f ca="1">IFERROR(__xludf.DUMMYFUNCTION("""COMPUTED_VALUE"""),42598.625)</f>
        <v>42598.625</v>
      </c>
      <c r="B392" s="2">
        <f ca="1">IFERROR(__xludf.DUMMYFUNCTION("""COMPUTED_VALUE"""),5600)</f>
        <v>5600</v>
      </c>
      <c r="C392" s="2">
        <f ca="1">IFERROR(__xludf.DUMMYFUNCTION("""COMPUTED_VALUE"""),5675)</f>
        <v>5675</v>
      </c>
      <c r="D392" s="2">
        <f ca="1">IFERROR(__xludf.DUMMYFUNCTION("""COMPUTED_VALUE"""),5575)</f>
        <v>5575</v>
      </c>
      <c r="E392" s="2">
        <f ca="1">IFERROR(__xludf.DUMMYFUNCTION("""COMPUTED_VALUE"""),5662.5)</f>
        <v>5662.5</v>
      </c>
      <c r="F392" s="2">
        <f ca="1">IFERROR(__xludf.DUMMYFUNCTION("""COMPUTED_VALUE"""),25423500)</f>
        <v>25423500</v>
      </c>
    </row>
    <row r="393" spans="1:6">
      <c r="A393" s="1">
        <f ca="1">IFERROR(__xludf.DUMMYFUNCTION("""COMPUTED_VALUE"""),42600.625)</f>
        <v>42600.625</v>
      </c>
      <c r="B393" s="2">
        <f ca="1">IFERROR(__xludf.DUMMYFUNCTION("""COMPUTED_VALUE"""),5675)</f>
        <v>5675</v>
      </c>
      <c r="C393" s="2">
        <f ca="1">IFERROR(__xludf.DUMMYFUNCTION("""COMPUTED_VALUE"""),5725)</f>
        <v>5725</v>
      </c>
      <c r="D393" s="2">
        <f ca="1">IFERROR(__xludf.DUMMYFUNCTION("""COMPUTED_VALUE"""),5662.5)</f>
        <v>5662.5</v>
      </c>
      <c r="E393" s="2">
        <f ca="1">IFERROR(__xludf.DUMMYFUNCTION("""COMPUTED_VALUE"""),5712.5)</f>
        <v>5712.5</v>
      </c>
      <c r="F393" s="2">
        <f ca="1">IFERROR(__xludf.DUMMYFUNCTION("""COMPUTED_VALUE"""),30593800)</f>
        <v>30593800</v>
      </c>
    </row>
    <row r="394" spans="1:6">
      <c r="A394" s="1">
        <f ca="1">IFERROR(__xludf.DUMMYFUNCTION("""COMPUTED_VALUE"""),42601.625)</f>
        <v>42601.625</v>
      </c>
      <c r="B394" s="2">
        <f ca="1">IFERROR(__xludf.DUMMYFUNCTION("""COMPUTED_VALUE"""),5712.5)</f>
        <v>5712.5</v>
      </c>
      <c r="C394" s="2">
        <f ca="1">IFERROR(__xludf.DUMMYFUNCTION("""COMPUTED_VALUE"""),5812.5)</f>
        <v>5812.5</v>
      </c>
      <c r="D394" s="2">
        <f ca="1">IFERROR(__xludf.DUMMYFUNCTION("""COMPUTED_VALUE"""),5675)</f>
        <v>5675</v>
      </c>
      <c r="E394" s="2">
        <f ca="1">IFERROR(__xludf.DUMMYFUNCTION("""COMPUTED_VALUE"""),5725)</f>
        <v>5725</v>
      </c>
      <c r="F394" s="2">
        <f ca="1">IFERROR(__xludf.DUMMYFUNCTION("""COMPUTED_VALUE"""),29634400)</f>
        <v>29634400</v>
      </c>
    </row>
    <row r="395" spans="1:6">
      <c r="A395" s="1">
        <f ca="1">IFERROR(__xludf.DUMMYFUNCTION("""COMPUTED_VALUE"""),42604.625)</f>
        <v>42604.625</v>
      </c>
      <c r="B395" s="2">
        <f ca="1">IFERROR(__xludf.DUMMYFUNCTION("""COMPUTED_VALUE"""),5712.5)</f>
        <v>5712.5</v>
      </c>
      <c r="C395" s="2">
        <f ca="1">IFERROR(__xludf.DUMMYFUNCTION("""COMPUTED_VALUE"""),5737.5)</f>
        <v>5737.5</v>
      </c>
      <c r="D395" s="2">
        <f ca="1">IFERROR(__xludf.DUMMYFUNCTION("""COMPUTED_VALUE"""),5650)</f>
        <v>5650</v>
      </c>
      <c r="E395" s="2">
        <f ca="1">IFERROR(__xludf.DUMMYFUNCTION("""COMPUTED_VALUE"""),5700)</f>
        <v>5700</v>
      </c>
      <c r="F395" s="2">
        <f ca="1">IFERROR(__xludf.DUMMYFUNCTION("""COMPUTED_VALUE"""),24234100)</f>
        <v>24234100</v>
      </c>
    </row>
    <row r="396" spans="1:6">
      <c r="A396" s="1">
        <f ca="1">IFERROR(__xludf.DUMMYFUNCTION("""COMPUTED_VALUE"""),42605.625)</f>
        <v>42605.625</v>
      </c>
      <c r="B396" s="2">
        <f ca="1">IFERROR(__xludf.DUMMYFUNCTION("""COMPUTED_VALUE"""),5725)</f>
        <v>5725</v>
      </c>
      <c r="C396" s="2">
        <f ca="1">IFERROR(__xludf.DUMMYFUNCTION("""COMPUTED_VALUE"""),5775)</f>
        <v>5775</v>
      </c>
      <c r="D396" s="2">
        <f ca="1">IFERROR(__xludf.DUMMYFUNCTION("""COMPUTED_VALUE"""),5600)</f>
        <v>5600</v>
      </c>
      <c r="E396" s="2">
        <f ca="1">IFERROR(__xludf.DUMMYFUNCTION("""COMPUTED_VALUE"""),5650)</f>
        <v>5650</v>
      </c>
      <c r="F396" s="2">
        <f ca="1">IFERROR(__xludf.DUMMYFUNCTION("""COMPUTED_VALUE"""),26695000)</f>
        <v>26695000</v>
      </c>
    </row>
    <row r="397" spans="1:6">
      <c r="A397" s="1">
        <f ca="1">IFERROR(__xludf.DUMMYFUNCTION("""COMPUTED_VALUE"""),42606.625)</f>
        <v>42606.625</v>
      </c>
      <c r="B397" s="2">
        <f ca="1">IFERROR(__xludf.DUMMYFUNCTION("""COMPUTED_VALUE"""),5675)</f>
        <v>5675</v>
      </c>
      <c r="C397" s="2">
        <f ca="1">IFERROR(__xludf.DUMMYFUNCTION("""COMPUTED_VALUE"""),5762.5)</f>
        <v>5762.5</v>
      </c>
      <c r="D397" s="2">
        <f ca="1">IFERROR(__xludf.DUMMYFUNCTION("""COMPUTED_VALUE"""),5662.5)</f>
        <v>5662.5</v>
      </c>
      <c r="E397" s="2">
        <f ca="1">IFERROR(__xludf.DUMMYFUNCTION("""COMPUTED_VALUE"""),5675)</f>
        <v>5675</v>
      </c>
      <c r="F397" s="2">
        <f ca="1">IFERROR(__xludf.DUMMYFUNCTION("""COMPUTED_VALUE"""),18985700)</f>
        <v>18985700</v>
      </c>
    </row>
    <row r="398" spans="1:6">
      <c r="A398" s="1">
        <f ca="1">IFERROR(__xludf.DUMMYFUNCTION("""COMPUTED_VALUE"""),42607.625)</f>
        <v>42607.625</v>
      </c>
      <c r="B398" s="2">
        <f ca="1">IFERROR(__xludf.DUMMYFUNCTION("""COMPUTED_VALUE"""),5675)</f>
        <v>5675</v>
      </c>
      <c r="C398" s="2">
        <f ca="1">IFERROR(__xludf.DUMMYFUNCTION("""COMPUTED_VALUE"""),5762.5)</f>
        <v>5762.5</v>
      </c>
      <c r="D398" s="2">
        <f ca="1">IFERROR(__xludf.DUMMYFUNCTION("""COMPUTED_VALUE"""),5675)</f>
        <v>5675</v>
      </c>
      <c r="E398" s="2">
        <f ca="1">IFERROR(__xludf.DUMMYFUNCTION("""COMPUTED_VALUE"""),5700)</f>
        <v>5700</v>
      </c>
      <c r="F398" s="2">
        <f ca="1">IFERROR(__xludf.DUMMYFUNCTION("""COMPUTED_VALUE"""),19150500)</f>
        <v>19150500</v>
      </c>
    </row>
    <row r="399" spans="1:6">
      <c r="A399" s="1">
        <f ca="1">IFERROR(__xludf.DUMMYFUNCTION("""COMPUTED_VALUE"""),42608.625)</f>
        <v>42608.625</v>
      </c>
      <c r="B399" s="2">
        <f ca="1">IFERROR(__xludf.DUMMYFUNCTION("""COMPUTED_VALUE"""),5775)</f>
        <v>5775</v>
      </c>
      <c r="C399" s="2">
        <f ca="1">IFERROR(__xludf.DUMMYFUNCTION("""COMPUTED_VALUE"""),5775)</f>
        <v>5775</v>
      </c>
      <c r="D399" s="2">
        <f ca="1">IFERROR(__xludf.DUMMYFUNCTION("""COMPUTED_VALUE"""),5650)</f>
        <v>5650</v>
      </c>
      <c r="E399" s="2">
        <f ca="1">IFERROR(__xludf.DUMMYFUNCTION("""COMPUTED_VALUE"""),5700)</f>
        <v>5700</v>
      </c>
      <c r="F399" s="2">
        <f ca="1">IFERROR(__xludf.DUMMYFUNCTION("""COMPUTED_VALUE"""),9372900)</f>
        <v>9372900</v>
      </c>
    </row>
    <row r="400" spans="1:6">
      <c r="A400" s="1">
        <f ca="1">IFERROR(__xludf.DUMMYFUNCTION("""COMPUTED_VALUE"""),42611.625)</f>
        <v>42611.625</v>
      </c>
      <c r="B400" s="2">
        <f ca="1">IFERROR(__xludf.DUMMYFUNCTION("""COMPUTED_VALUE"""),5600)</f>
        <v>5600</v>
      </c>
      <c r="C400" s="2">
        <f ca="1">IFERROR(__xludf.DUMMYFUNCTION("""COMPUTED_VALUE"""),5625)</f>
        <v>5625</v>
      </c>
      <c r="D400" s="2">
        <f ca="1">IFERROR(__xludf.DUMMYFUNCTION("""COMPUTED_VALUE"""),5525)</f>
        <v>5525</v>
      </c>
      <c r="E400" s="2">
        <f ca="1">IFERROR(__xludf.DUMMYFUNCTION("""COMPUTED_VALUE"""),5587.5)</f>
        <v>5587.5</v>
      </c>
      <c r="F400" s="2">
        <f ca="1">IFERROR(__xludf.DUMMYFUNCTION("""COMPUTED_VALUE"""),27266300)</f>
        <v>27266300</v>
      </c>
    </row>
    <row r="401" spans="1:6">
      <c r="A401" s="1">
        <f ca="1">IFERROR(__xludf.DUMMYFUNCTION("""COMPUTED_VALUE"""),42612.625)</f>
        <v>42612.625</v>
      </c>
      <c r="B401" s="2">
        <f ca="1">IFERROR(__xludf.DUMMYFUNCTION("""COMPUTED_VALUE"""),5550)</f>
        <v>5550</v>
      </c>
      <c r="C401" s="2">
        <f ca="1">IFERROR(__xludf.DUMMYFUNCTION("""COMPUTED_VALUE"""),5637.5)</f>
        <v>5637.5</v>
      </c>
      <c r="D401" s="2">
        <f ca="1">IFERROR(__xludf.DUMMYFUNCTION("""COMPUTED_VALUE"""),5525)</f>
        <v>5525</v>
      </c>
      <c r="E401" s="2">
        <f ca="1">IFERROR(__xludf.DUMMYFUNCTION("""COMPUTED_VALUE"""),5637.5)</f>
        <v>5637.5</v>
      </c>
      <c r="F401" s="2">
        <f ca="1">IFERROR(__xludf.DUMMYFUNCTION("""COMPUTED_VALUE"""),20024700)</f>
        <v>20024700</v>
      </c>
    </row>
    <row r="402" spans="1:6">
      <c r="A402" s="1">
        <f ca="1">IFERROR(__xludf.DUMMYFUNCTION("""COMPUTED_VALUE"""),42613.625)</f>
        <v>42613.625</v>
      </c>
      <c r="B402" s="2">
        <f ca="1">IFERROR(__xludf.DUMMYFUNCTION("""COMPUTED_VALUE"""),5550)</f>
        <v>5550</v>
      </c>
      <c r="C402" s="2">
        <f ca="1">IFERROR(__xludf.DUMMYFUNCTION("""COMPUTED_VALUE"""),5675)</f>
        <v>5675</v>
      </c>
      <c r="D402" s="2">
        <f ca="1">IFERROR(__xludf.DUMMYFUNCTION("""COMPUTED_VALUE"""),5550)</f>
        <v>5550</v>
      </c>
      <c r="E402" s="2">
        <f ca="1">IFERROR(__xludf.DUMMYFUNCTION("""COMPUTED_VALUE"""),5612.5)</f>
        <v>5612.5</v>
      </c>
      <c r="F402" s="2">
        <f ca="1">IFERROR(__xludf.DUMMYFUNCTION("""COMPUTED_VALUE"""),22360600)</f>
        <v>22360600</v>
      </c>
    </row>
    <row r="403" spans="1:6">
      <c r="A403" s="1">
        <f ca="1">IFERROR(__xludf.DUMMYFUNCTION("""COMPUTED_VALUE"""),42614.625)</f>
        <v>42614.625</v>
      </c>
      <c r="B403" s="2">
        <f ca="1">IFERROR(__xludf.DUMMYFUNCTION("""COMPUTED_VALUE"""),5550)</f>
        <v>5550</v>
      </c>
      <c r="C403" s="2">
        <f ca="1">IFERROR(__xludf.DUMMYFUNCTION("""COMPUTED_VALUE"""),5612.5)</f>
        <v>5612.5</v>
      </c>
      <c r="D403" s="2">
        <f ca="1">IFERROR(__xludf.DUMMYFUNCTION("""COMPUTED_VALUE"""),5525)</f>
        <v>5525</v>
      </c>
      <c r="E403" s="2">
        <f ca="1">IFERROR(__xludf.DUMMYFUNCTION("""COMPUTED_VALUE"""),5537.5)</f>
        <v>5537.5</v>
      </c>
      <c r="F403" s="2">
        <f ca="1">IFERROR(__xludf.DUMMYFUNCTION("""COMPUTED_VALUE"""),12516400)</f>
        <v>12516400</v>
      </c>
    </row>
    <row r="404" spans="1:6">
      <c r="A404" s="1">
        <f ca="1">IFERROR(__xludf.DUMMYFUNCTION("""COMPUTED_VALUE"""),42615.625)</f>
        <v>42615.625</v>
      </c>
      <c r="B404" s="2">
        <f ca="1">IFERROR(__xludf.DUMMYFUNCTION("""COMPUTED_VALUE"""),5437.5)</f>
        <v>5437.5</v>
      </c>
      <c r="C404" s="2">
        <f ca="1">IFERROR(__xludf.DUMMYFUNCTION("""COMPUTED_VALUE"""),5600)</f>
        <v>5600</v>
      </c>
      <c r="D404" s="2">
        <f ca="1">IFERROR(__xludf.DUMMYFUNCTION("""COMPUTED_VALUE"""),5437.5)</f>
        <v>5437.5</v>
      </c>
      <c r="E404" s="2">
        <f ca="1">IFERROR(__xludf.DUMMYFUNCTION("""COMPUTED_VALUE"""),5587.5)</f>
        <v>5587.5</v>
      </c>
      <c r="F404" s="2">
        <f ca="1">IFERROR(__xludf.DUMMYFUNCTION("""COMPUTED_VALUE"""),10654100)</f>
        <v>10654100</v>
      </c>
    </row>
    <row r="405" spans="1:6">
      <c r="A405" s="1">
        <f ca="1">IFERROR(__xludf.DUMMYFUNCTION("""COMPUTED_VALUE"""),42618.625)</f>
        <v>42618.625</v>
      </c>
      <c r="B405" s="2">
        <f ca="1">IFERROR(__xludf.DUMMYFUNCTION("""COMPUTED_VALUE"""),5650)</f>
        <v>5650</v>
      </c>
      <c r="C405" s="2">
        <f ca="1">IFERROR(__xludf.DUMMYFUNCTION("""COMPUTED_VALUE"""),5662.5)</f>
        <v>5662.5</v>
      </c>
      <c r="D405" s="2">
        <f ca="1">IFERROR(__xludf.DUMMYFUNCTION("""COMPUTED_VALUE"""),5587.5)</f>
        <v>5587.5</v>
      </c>
      <c r="E405" s="2">
        <f ca="1">IFERROR(__xludf.DUMMYFUNCTION("""COMPUTED_VALUE"""),5587.5)</f>
        <v>5587.5</v>
      </c>
      <c r="F405" s="2">
        <f ca="1">IFERROR(__xludf.DUMMYFUNCTION("""COMPUTED_VALUE"""),10832000)</f>
        <v>10832000</v>
      </c>
    </row>
    <row r="406" spans="1:6">
      <c r="A406" s="1">
        <f ca="1">IFERROR(__xludf.DUMMYFUNCTION("""COMPUTED_VALUE"""),42619.625)</f>
        <v>42619.625</v>
      </c>
      <c r="B406" s="2">
        <f ca="1">IFERROR(__xludf.DUMMYFUNCTION("""COMPUTED_VALUE"""),5550)</f>
        <v>5550</v>
      </c>
      <c r="C406" s="2">
        <f ca="1">IFERROR(__xludf.DUMMYFUNCTION("""COMPUTED_VALUE"""),5600)</f>
        <v>5600</v>
      </c>
      <c r="D406" s="2">
        <f ca="1">IFERROR(__xludf.DUMMYFUNCTION("""COMPUTED_VALUE"""),5512.5)</f>
        <v>5512.5</v>
      </c>
      <c r="E406" s="2">
        <f ca="1">IFERROR(__xludf.DUMMYFUNCTION("""COMPUTED_VALUE"""),5587.5)</f>
        <v>5587.5</v>
      </c>
      <c r="F406" s="2">
        <f ca="1">IFERROR(__xludf.DUMMYFUNCTION("""COMPUTED_VALUE"""),13325100)</f>
        <v>13325100</v>
      </c>
    </row>
    <row r="407" spans="1:6">
      <c r="A407" s="1">
        <f ca="1">IFERROR(__xludf.DUMMYFUNCTION("""COMPUTED_VALUE"""),42620.625)</f>
        <v>42620.625</v>
      </c>
      <c r="B407" s="2">
        <f ca="1">IFERROR(__xludf.DUMMYFUNCTION("""COMPUTED_VALUE"""),5562.5)</f>
        <v>5562.5</v>
      </c>
      <c r="C407" s="2">
        <f ca="1">IFERROR(__xludf.DUMMYFUNCTION("""COMPUTED_VALUE"""),5637.5)</f>
        <v>5637.5</v>
      </c>
      <c r="D407" s="2">
        <f ca="1">IFERROR(__xludf.DUMMYFUNCTION("""COMPUTED_VALUE"""),5562.5)</f>
        <v>5562.5</v>
      </c>
      <c r="E407" s="2">
        <f ca="1">IFERROR(__xludf.DUMMYFUNCTION("""COMPUTED_VALUE"""),5637.5)</f>
        <v>5637.5</v>
      </c>
      <c r="F407" s="2">
        <f ca="1">IFERROR(__xludf.DUMMYFUNCTION("""COMPUTED_VALUE"""),15901800)</f>
        <v>15901800</v>
      </c>
    </row>
    <row r="408" spans="1:6">
      <c r="A408" s="1">
        <f ca="1">IFERROR(__xludf.DUMMYFUNCTION("""COMPUTED_VALUE"""),42621.625)</f>
        <v>42621.625</v>
      </c>
      <c r="B408" s="2">
        <f ca="1">IFERROR(__xludf.DUMMYFUNCTION("""COMPUTED_VALUE"""),5587.5)</f>
        <v>5587.5</v>
      </c>
      <c r="C408" s="2">
        <f ca="1">IFERROR(__xludf.DUMMYFUNCTION("""COMPUTED_VALUE"""),5625)</f>
        <v>5625</v>
      </c>
      <c r="D408" s="2">
        <f ca="1">IFERROR(__xludf.DUMMYFUNCTION("""COMPUTED_VALUE"""),5562.5)</f>
        <v>5562.5</v>
      </c>
      <c r="E408" s="2">
        <f ca="1">IFERROR(__xludf.DUMMYFUNCTION("""COMPUTED_VALUE"""),5600)</f>
        <v>5600</v>
      </c>
      <c r="F408" s="2">
        <f ca="1">IFERROR(__xludf.DUMMYFUNCTION("""COMPUTED_VALUE"""),6768200)</f>
        <v>6768200</v>
      </c>
    </row>
    <row r="409" spans="1:6">
      <c r="A409" s="1">
        <f ca="1">IFERROR(__xludf.DUMMYFUNCTION("""COMPUTED_VALUE"""),42622.625)</f>
        <v>42622.625</v>
      </c>
      <c r="B409" s="2">
        <f ca="1">IFERROR(__xludf.DUMMYFUNCTION("""COMPUTED_VALUE"""),5550)</f>
        <v>5550</v>
      </c>
      <c r="C409" s="2">
        <f ca="1">IFERROR(__xludf.DUMMYFUNCTION("""COMPUTED_VALUE"""),5600)</f>
        <v>5600</v>
      </c>
      <c r="D409" s="2">
        <f ca="1">IFERROR(__xludf.DUMMYFUNCTION("""COMPUTED_VALUE"""),5412.5)</f>
        <v>5412.5</v>
      </c>
      <c r="E409" s="2">
        <f ca="1">IFERROR(__xludf.DUMMYFUNCTION("""COMPUTED_VALUE"""),5425)</f>
        <v>5425</v>
      </c>
      <c r="F409" s="2">
        <f ca="1">IFERROR(__xludf.DUMMYFUNCTION("""COMPUTED_VALUE"""),24998500)</f>
        <v>24998500</v>
      </c>
    </row>
    <row r="410" spans="1:6">
      <c r="A410" s="1">
        <f ca="1">IFERROR(__xludf.DUMMYFUNCTION("""COMPUTED_VALUE"""),42626.625)</f>
        <v>42626.625</v>
      </c>
      <c r="B410" s="2">
        <f ca="1">IFERROR(__xludf.DUMMYFUNCTION("""COMPUTED_VALUE"""),5337.5)</f>
        <v>5337.5</v>
      </c>
      <c r="C410" s="2">
        <f ca="1">IFERROR(__xludf.DUMMYFUNCTION("""COMPUTED_VALUE"""),5412.5)</f>
        <v>5412.5</v>
      </c>
      <c r="D410" s="2">
        <f ca="1">IFERROR(__xludf.DUMMYFUNCTION("""COMPUTED_VALUE"""),5250)</f>
        <v>5250</v>
      </c>
      <c r="E410" s="2">
        <f ca="1">IFERROR(__xludf.DUMMYFUNCTION("""COMPUTED_VALUE"""),5337.5)</f>
        <v>5337.5</v>
      </c>
      <c r="F410" s="2">
        <f ca="1">IFERROR(__xludf.DUMMYFUNCTION("""COMPUTED_VALUE"""),20770000)</f>
        <v>20770000</v>
      </c>
    </row>
    <row r="411" spans="1:6">
      <c r="A411" s="1">
        <f ca="1">IFERROR(__xludf.DUMMYFUNCTION("""COMPUTED_VALUE"""),42627.625)</f>
        <v>42627.625</v>
      </c>
      <c r="B411" s="2">
        <f ca="1">IFERROR(__xludf.DUMMYFUNCTION("""COMPUTED_VALUE"""),5262.5)</f>
        <v>5262.5</v>
      </c>
      <c r="C411" s="2">
        <f ca="1">IFERROR(__xludf.DUMMYFUNCTION("""COMPUTED_VALUE"""),5400)</f>
        <v>5400</v>
      </c>
      <c r="D411" s="2">
        <f ca="1">IFERROR(__xludf.DUMMYFUNCTION("""COMPUTED_VALUE"""),5262.5)</f>
        <v>5262.5</v>
      </c>
      <c r="E411" s="2">
        <f ca="1">IFERROR(__xludf.DUMMYFUNCTION("""COMPUTED_VALUE"""),5300)</f>
        <v>5300</v>
      </c>
      <c r="F411" s="2">
        <f ca="1">IFERROR(__xludf.DUMMYFUNCTION("""COMPUTED_VALUE"""),17558000)</f>
        <v>17558000</v>
      </c>
    </row>
    <row r="412" spans="1:6">
      <c r="A412" s="1">
        <f ca="1">IFERROR(__xludf.DUMMYFUNCTION("""COMPUTED_VALUE"""),42628.625)</f>
        <v>42628.625</v>
      </c>
      <c r="B412" s="2">
        <f ca="1">IFERROR(__xludf.DUMMYFUNCTION("""COMPUTED_VALUE"""),5362.5)</f>
        <v>5362.5</v>
      </c>
      <c r="C412" s="2">
        <f ca="1">IFERROR(__xludf.DUMMYFUNCTION("""COMPUTED_VALUE"""),5600)</f>
        <v>5600</v>
      </c>
      <c r="D412" s="2">
        <f ca="1">IFERROR(__xludf.DUMMYFUNCTION("""COMPUTED_VALUE"""),5300)</f>
        <v>5300</v>
      </c>
      <c r="E412" s="2">
        <f ca="1">IFERROR(__xludf.DUMMYFUNCTION("""COMPUTED_VALUE"""),5487.5)</f>
        <v>5487.5</v>
      </c>
      <c r="F412" s="2">
        <f ca="1">IFERROR(__xludf.DUMMYFUNCTION("""COMPUTED_VALUE"""),21812300)</f>
        <v>21812300</v>
      </c>
    </row>
    <row r="413" spans="1:6">
      <c r="A413" s="1">
        <f ca="1">IFERROR(__xludf.DUMMYFUNCTION("""COMPUTED_VALUE"""),42629.625)</f>
        <v>42629.625</v>
      </c>
      <c r="B413" s="2">
        <f ca="1">IFERROR(__xludf.DUMMYFUNCTION("""COMPUTED_VALUE"""),5550)</f>
        <v>5550</v>
      </c>
      <c r="C413" s="2">
        <f ca="1">IFERROR(__xludf.DUMMYFUNCTION("""COMPUTED_VALUE"""),5625)</f>
        <v>5625</v>
      </c>
      <c r="D413" s="2">
        <f ca="1">IFERROR(__xludf.DUMMYFUNCTION("""COMPUTED_VALUE"""),5500)</f>
        <v>5500</v>
      </c>
      <c r="E413" s="2">
        <f ca="1">IFERROR(__xludf.DUMMYFUNCTION("""COMPUTED_VALUE"""),5537.5)</f>
        <v>5537.5</v>
      </c>
      <c r="F413" s="2">
        <f ca="1">IFERROR(__xludf.DUMMYFUNCTION("""COMPUTED_VALUE"""),29116200)</f>
        <v>29116200</v>
      </c>
    </row>
    <row r="414" spans="1:6">
      <c r="A414" s="1">
        <f ca="1">IFERROR(__xludf.DUMMYFUNCTION("""COMPUTED_VALUE"""),42632.625)</f>
        <v>42632.625</v>
      </c>
      <c r="B414" s="2">
        <f ca="1">IFERROR(__xludf.DUMMYFUNCTION("""COMPUTED_VALUE"""),5587.5)</f>
        <v>5587.5</v>
      </c>
      <c r="C414" s="2">
        <f ca="1">IFERROR(__xludf.DUMMYFUNCTION("""COMPUTED_VALUE"""),5650)</f>
        <v>5650</v>
      </c>
      <c r="D414" s="2">
        <f ca="1">IFERROR(__xludf.DUMMYFUNCTION("""COMPUTED_VALUE"""),5562.5)</f>
        <v>5562.5</v>
      </c>
      <c r="E414" s="2">
        <f ca="1">IFERROR(__xludf.DUMMYFUNCTION("""COMPUTED_VALUE"""),5612.5)</f>
        <v>5612.5</v>
      </c>
      <c r="F414" s="2">
        <f ca="1">IFERROR(__xludf.DUMMYFUNCTION("""COMPUTED_VALUE"""),9793700)</f>
        <v>9793700</v>
      </c>
    </row>
    <row r="415" spans="1:6">
      <c r="A415" s="1">
        <f ca="1">IFERROR(__xludf.DUMMYFUNCTION("""COMPUTED_VALUE"""),42633.625)</f>
        <v>42633.625</v>
      </c>
      <c r="B415" s="2">
        <f ca="1">IFERROR(__xludf.DUMMYFUNCTION("""COMPUTED_VALUE"""),5650)</f>
        <v>5650</v>
      </c>
      <c r="C415" s="2">
        <f ca="1">IFERROR(__xludf.DUMMYFUNCTION("""COMPUTED_VALUE"""),5700)</f>
        <v>5700</v>
      </c>
      <c r="D415" s="2">
        <f ca="1">IFERROR(__xludf.DUMMYFUNCTION("""COMPUTED_VALUE"""),5625)</f>
        <v>5625</v>
      </c>
      <c r="E415" s="2">
        <f ca="1">IFERROR(__xludf.DUMMYFUNCTION("""COMPUTED_VALUE"""),5700)</f>
        <v>5700</v>
      </c>
      <c r="F415" s="2">
        <f ca="1">IFERROR(__xludf.DUMMYFUNCTION("""COMPUTED_VALUE"""),11348400)</f>
        <v>11348400</v>
      </c>
    </row>
    <row r="416" spans="1:6">
      <c r="A416" s="1">
        <f ca="1">IFERROR(__xludf.DUMMYFUNCTION("""COMPUTED_VALUE"""),42634.625)</f>
        <v>42634.625</v>
      </c>
      <c r="B416" s="2">
        <f ca="1">IFERROR(__xludf.DUMMYFUNCTION("""COMPUTED_VALUE"""),5612.5)</f>
        <v>5612.5</v>
      </c>
      <c r="C416" s="2">
        <f ca="1">IFERROR(__xludf.DUMMYFUNCTION("""COMPUTED_VALUE"""),5750)</f>
        <v>5750</v>
      </c>
      <c r="D416" s="2">
        <f ca="1">IFERROR(__xludf.DUMMYFUNCTION("""COMPUTED_VALUE"""),5587.5)</f>
        <v>5587.5</v>
      </c>
      <c r="E416" s="2">
        <f ca="1">IFERROR(__xludf.DUMMYFUNCTION("""COMPUTED_VALUE"""),5687.5)</f>
        <v>5687.5</v>
      </c>
      <c r="F416" s="2">
        <f ca="1">IFERROR(__xludf.DUMMYFUNCTION("""COMPUTED_VALUE"""),16014300)</f>
        <v>16014300</v>
      </c>
    </row>
    <row r="417" spans="1:6">
      <c r="A417" s="1">
        <f ca="1">IFERROR(__xludf.DUMMYFUNCTION("""COMPUTED_VALUE"""),42635.625)</f>
        <v>42635.625</v>
      </c>
      <c r="B417" s="2">
        <f ca="1">IFERROR(__xludf.DUMMYFUNCTION("""COMPUTED_VALUE"""),5750)</f>
        <v>5750</v>
      </c>
      <c r="C417" s="2">
        <f ca="1">IFERROR(__xludf.DUMMYFUNCTION("""COMPUTED_VALUE"""),5825)</f>
        <v>5825</v>
      </c>
      <c r="D417" s="2">
        <f ca="1">IFERROR(__xludf.DUMMYFUNCTION("""COMPUTED_VALUE"""),5712.5)</f>
        <v>5712.5</v>
      </c>
      <c r="E417" s="2">
        <f ca="1">IFERROR(__xludf.DUMMYFUNCTION("""COMPUTED_VALUE"""),5825)</f>
        <v>5825</v>
      </c>
      <c r="F417" s="2">
        <f ca="1">IFERROR(__xludf.DUMMYFUNCTION("""COMPUTED_VALUE"""),21107300)</f>
        <v>21107300</v>
      </c>
    </row>
    <row r="418" spans="1:6">
      <c r="A418" s="1">
        <f ca="1">IFERROR(__xludf.DUMMYFUNCTION("""COMPUTED_VALUE"""),42636.625)</f>
        <v>42636.625</v>
      </c>
      <c r="B418" s="2">
        <f ca="1">IFERROR(__xludf.DUMMYFUNCTION("""COMPUTED_VALUE"""),5825)</f>
        <v>5825</v>
      </c>
      <c r="C418" s="2">
        <f ca="1">IFERROR(__xludf.DUMMYFUNCTION("""COMPUTED_VALUE"""),5850)</f>
        <v>5850</v>
      </c>
      <c r="D418" s="2">
        <f ca="1">IFERROR(__xludf.DUMMYFUNCTION("""COMPUTED_VALUE"""),5737.5)</f>
        <v>5737.5</v>
      </c>
      <c r="E418" s="2">
        <f ca="1">IFERROR(__xludf.DUMMYFUNCTION("""COMPUTED_VALUE"""),5750)</f>
        <v>5750</v>
      </c>
      <c r="F418" s="2">
        <f ca="1">IFERROR(__xludf.DUMMYFUNCTION("""COMPUTED_VALUE"""),20003700)</f>
        <v>20003700</v>
      </c>
    </row>
    <row r="419" spans="1:6">
      <c r="A419" s="1">
        <f ca="1">IFERROR(__xludf.DUMMYFUNCTION("""COMPUTED_VALUE"""),42639.625)</f>
        <v>42639.625</v>
      </c>
      <c r="B419" s="2">
        <f ca="1">IFERROR(__xludf.DUMMYFUNCTION("""COMPUTED_VALUE"""),5800)</f>
        <v>5800</v>
      </c>
      <c r="C419" s="2">
        <f ca="1">IFERROR(__xludf.DUMMYFUNCTION("""COMPUTED_VALUE"""),5837.5)</f>
        <v>5837.5</v>
      </c>
      <c r="D419" s="2">
        <f ca="1">IFERROR(__xludf.DUMMYFUNCTION("""COMPUTED_VALUE"""),5712.5)</f>
        <v>5712.5</v>
      </c>
      <c r="E419" s="2">
        <f ca="1">IFERROR(__xludf.DUMMYFUNCTION("""COMPUTED_VALUE"""),5825)</f>
        <v>5825</v>
      </c>
      <c r="F419" s="2">
        <f ca="1">IFERROR(__xludf.DUMMYFUNCTION("""COMPUTED_VALUE"""),13625500)</f>
        <v>13625500</v>
      </c>
    </row>
    <row r="420" spans="1:6">
      <c r="A420" s="1">
        <f ca="1">IFERROR(__xludf.DUMMYFUNCTION("""COMPUTED_VALUE"""),42640.625)</f>
        <v>42640.625</v>
      </c>
      <c r="B420" s="2">
        <f ca="1">IFERROR(__xludf.DUMMYFUNCTION("""COMPUTED_VALUE"""),5825)</f>
        <v>5825</v>
      </c>
      <c r="C420" s="2">
        <f ca="1">IFERROR(__xludf.DUMMYFUNCTION("""COMPUTED_VALUE"""),5875)</f>
        <v>5875</v>
      </c>
      <c r="D420" s="2">
        <f ca="1">IFERROR(__xludf.DUMMYFUNCTION("""COMPUTED_VALUE"""),5700)</f>
        <v>5700</v>
      </c>
      <c r="E420" s="2">
        <f ca="1">IFERROR(__xludf.DUMMYFUNCTION("""COMPUTED_VALUE"""),5875)</f>
        <v>5875</v>
      </c>
      <c r="F420" s="2">
        <f ca="1">IFERROR(__xludf.DUMMYFUNCTION("""COMPUTED_VALUE"""),33211600)</f>
        <v>33211600</v>
      </c>
    </row>
    <row r="421" spans="1:6">
      <c r="A421" s="1">
        <f ca="1">IFERROR(__xludf.DUMMYFUNCTION("""COMPUTED_VALUE"""),42641.625)</f>
        <v>42641.625</v>
      </c>
      <c r="B421" s="2">
        <f ca="1">IFERROR(__xludf.DUMMYFUNCTION("""COMPUTED_VALUE"""),5725)</f>
        <v>5725</v>
      </c>
      <c r="C421" s="2">
        <f ca="1">IFERROR(__xludf.DUMMYFUNCTION("""COMPUTED_VALUE"""),5750)</f>
        <v>5750</v>
      </c>
      <c r="D421" s="2">
        <f ca="1">IFERROR(__xludf.DUMMYFUNCTION("""COMPUTED_VALUE"""),5600)</f>
        <v>5600</v>
      </c>
      <c r="E421" s="2">
        <f ca="1">IFERROR(__xludf.DUMMYFUNCTION("""COMPUTED_VALUE"""),5650)</f>
        <v>5650</v>
      </c>
      <c r="F421" s="2">
        <f ca="1">IFERROR(__xludf.DUMMYFUNCTION("""COMPUTED_VALUE"""),62051100)</f>
        <v>62051100</v>
      </c>
    </row>
    <row r="422" spans="1:6">
      <c r="A422" s="1">
        <f ca="1">IFERROR(__xludf.DUMMYFUNCTION("""COMPUTED_VALUE"""),42642.625)</f>
        <v>42642.625</v>
      </c>
      <c r="B422" s="2">
        <f ca="1">IFERROR(__xludf.DUMMYFUNCTION("""COMPUTED_VALUE"""),5662.5)</f>
        <v>5662.5</v>
      </c>
      <c r="C422" s="2">
        <f ca="1">IFERROR(__xludf.DUMMYFUNCTION("""COMPUTED_VALUE"""),5725)</f>
        <v>5725</v>
      </c>
      <c r="D422" s="2">
        <f ca="1">IFERROR(__xludf.DUMMYFUNCTION("""COMPUTED_VALUE"""),5662.5)</f>
        <v>5662.5</v>
      </c>
      <c r="E422" s="2">
        <f ca="1">IFERROR(__xludf.DUMMYFUNCTION("""COMPUTED_VALUE"""),5712.5)</f>
        <v>5712.5</v>
      </c>
      <c r="F422" s="2">
        <f ca="1">IFERROR(__xludf.DUMMYFUNCTION("""COMPUTED_VALUE"""),38344700)</f>
        <v>38344700</v>
      </c>
    </row>
    <row r="423" spans="1:6">
      <c r="A423" s="1">
        <f ca="1">IFERROR(__xludf.DUMMYFUNCTION("""COMPUTED_VALUE"""),42643.625)</f>
        <v>42643.625</v>
      </c>
      <c r="B423" s="2">
        <f ca="1">IFERROR(__xludf.DUMMYFUNCTION("""COMPUTED_VALUE"""),5675)</f>
        <v>5675</v>
      </c>
      <c r="C423" s="2">
        <f ca="1">IFERROR(__xludf.DUMMYFUNCTION("""COMPUTED_VALUE"""),5687.5)</f>
        <v>5687.5</v>
      </c>
      <c r="D423" s="2">
        <f ca="1">IFERROR(__xludf.DUMMYFUNCTION("""COMPUTED_VALUE"""),5575)</f>
        <v>5575</v>
      </c>
      <c r="E423" s="2">
        <f ca="1">IFERROR(__xludf.DUMMYFUNCTION("""COMPUTED_VALUE"""),5600)</f>
        <v>5600</v>
      </c>
      <c r="F423" s="2">
        <f ca="1">IFERROR(__xludf.DUMMYFUNCTION("""COMPUTED_VALUE"""),33508500)</f>
        <v>33508500</v>
      </c>
    </row>
    <row r="424" spans="1:6">
      <c r="A424" s="1">
        <f ca="1">IFERROR(__xludf.DUMMYFUNCTION("""COMPUTED_VALUE"""),42646.625)</f>
        <v>42646.625</v>
      </c>
      <c r="B424" s="2">
        <f ca="1">IFERROR(__xludf.DUMMYFUNCTION("""COMPUTED_VALUE"""),5662.5)</f>
        <v>5662.5</v>
      </c>
      <c r="C424" s="2">
        <f ca="1">IFERROR(__xludf.DUMMYFUNCTION("""COMPUTED_VALUE"""),5675)</f>
        <v>5675</v>
      </c>
      <c r="D424" s="2">
        <f ca="1">IFERROR(__xludf.DUMMYFUNCTION("""COMPUTED_VALUE"""),5575)</f>
        <v>5575</v>
      </c>
      <c r="E424" s="2">
        <f ca="1">IFERROR(__xludf.DUMMYFUNCTION("""COMPUTED_VALUE"""),5637.5)</f>
        <v>5637.5</v>
      </c>
      <c r="F424" s="2">
        <f ca="1">IFERROR(__xludf.DUMMYFUNCTION("""COMPUTED_VALUE"""),18214100)</f>
        <v>18214100</v>
      </c>
    </row>
    <row r="425" spans="1:6">
      <c r="A425" s="1">
        <f ca="1">IFERROR(__xludf.DUMMYFUNCTION("""COMPUTED_VALUE"""),42647.625)</f>
        <v>42647.625</v>
      </c>
      <c r="B425" s="2">
        <f ca="1">IFERROR(__xludf.DUMMYFUNCTION("""COMPUTED_VALUE"""),5637.5)</f>
        <v>5637.5</v>
      </c>
      <c r="C425" s="2">
        <f ca="1">IFERROR(__xludf.DUMMYFUNCTION("""COMPUTED_VALUE"""),5650)</f>
        <v>5650</v>
      </c>
      <c r="D425" s="2">
        <f ca="1">IFERROR(__xludf.DUMMYFUNCTION("""COMPUTED_VALUE"""),5587.5)</f>
        <v>5587.5</v>
      </c>
      <c r="E425" s="2">
        <f ca="1">IFERROR(__xludf.DUMMYFUNCTION("""COMPUTED_VALUE"""),5600)</f>
        <v>5600</v>
      </c>
      <c r="F425" s="2">
        <f ca="1">IFERROR(__xludf.DUMMYFUNCTION("""COMPUTED_VALUE"""),21149500)</f>
        <v>21149500</v>
      </c>
    </row>
    <row r="426" spans="1:6">
      <c r="A426" s="1">
        <f ca="1">IFERROR(__xludf.DUMMYFUNCTION("""COMPUTED_VALUE"""),42648.625)</f>
        <v>42648.625</v>
      </c>
      <c r="B426" s="2">
        <f ca="1">IFERROR(__xludf.DUMMYFUNCTION("""COMPUTED_VALUE"""),5562.5)</f>
        <v>5562.5</v>
      </c>
      <c r="C426" s="2">
        <f ca="1">IFERROR(__xludf.DUMMYFUNCTION("""COMPUTED_VALUE"""),5587.5)</f>
        <v>5587.5</v>
      </c>
      <c r="D426" s="2">
        <f ca="1">IFERROR(__xludf.DUMMYFUNCTION("""COMPUTED_VALUE"""),5487.5)</f>
        <v>5487.5</v>
      </c>
      <c r="E426" s="2">
        <f ca="1">IFERROR(__xludf.DUMMYFUNCTION("""COMPUTED_VALUE"""),5500)</f>
        <v>5500</v>
      </c>
      <c r="F426" s="2">
        <f ca="1">IFERROR(__xludf.DUMMYFUNCTION("""COMPUTED_VALUE"""),36373600)</f>
        <v>36373600</v>
      </c>
    </row>
    <row r="427" spans="1:6">
      <c r="A427" s="1">
        <f ca="1">IFERROR(__xludf.DUMMYFUNCTION("""COMPUTED_VALUE"""),42649.625)</f>
        <v>42649.625</v>
      </c>
      <c r="B427" s="2">
        <f ca="1">IFERROR(__xludf.DUMMYFUNCTION("""COMPUTED_VALUE"""),5500)</f>
        <v>5500</v>
      </c>
      <c r="C427" s="2">
        <f ca="1">IFERROR(__xludf.DUMMYFUNCTION("""COMPUTED_VALUE"""),5537.5)</f>
        <v>5537.5</v>
      </c>
      <c r="D427" s="2">
        <f ca="1">IFERROR(__xludf.DUMMYFUNCTION("""COMPUTED_VALUE"""),5437.5)</f>
        <v>5437.5</v>
      </c>
      <c r="E427" s="2">
        <f ca="1">IFERROR(__xludf.DUMMYFUNCTION("""COMPUTED_VALUE"""),5475)</f>
        <v>5475</v>
      </c>
      <c r="F427" s="2">
        <f ca="1">IFERROR(__xludf.DUMMYFUNCTION("""COMPUTED_VALUE"""),25840900)</f>
        <v>25840900</v>
      </c>
    </row>
    <row r="428" spans="1:6">
      <c r="A428" s="1">
        <f ca="1">IFERROR(__xludf.DUMMYFUNCTION("""COMPUTED_VALUE"""),42650.625)</f>
        <v>42650.625</v>
      </c>
      <c r="B428" s="2">
        <f ca="1">IFERROR(__xludf.DUMMYFUNCTION("""COMPUTED_VALUE"""),5412.5)</f>
        <v>5412.5</v>
      </c>
      <c r="C428" s="2">
        <f ca="1">IFERROR(__xludf.DUMMYFUNCTION("""COMPUTED_VALUE"""),5475)</f>
        <v>5475</v>
      </c>
      <c r="D428" s="2">
        <f ca="1">IFERROR(__xludf.DUMMYFUNCTION("""COMPUTED_VALUE"""),5412.5)</f>
        <v>5412.5</v>
      </c>
      <c r="E428" s="2">
        <f ca="1">IFERROR(__xludf.DUMMYFUNCTION("""COMPUTED_VALUE"""),5450)</f>
        <v>5450</v>
      </c>
      <c r="F428" s="2">
        <f ca="1">IFERROR(__xludf.DUMMYFUNCTION("""COMPUTED_VALUE"""),14421800)</f>
        <v>14421800</v>
      </c>
    </row>
    <row r="429" spans="1:6">
      <c r="A429" s="1">
        <f ca="1">IFERROR(__xludf.DUMMYFUNCTION("""COMPUTED_VALUE"""),42653.625)</f>
        <v>42653.625</v>
      </c>
      <c r="B429" s="2">
        <f ca="1">IFERROR(__xludf.DUMMYFUNCTION("""COMPUTED_VALUE"""),5487.5)</f>
        <v>5487.5</v>
      </c>
      <c r="C429" s="2">
        <f ca="1">IFERROR(__xludf.DUMMYFUNCTION("""COMPUTED_VALUE"""),5525)</f>
        <v>5525</v>
      </c>
      <c r="D429" s="2">
        <f ca="1">IFERROR(__xludf.DUMMYFUNCTION("""COMPUTED_VALUE"""),5450)</f>
        <v>5450</v>
      </c>
      <c r="E429" s="2">
        <f ca="1">IFERROR(__xludf.DUMMYFUNCTION("""COMPUTED_VALUE"""),5450)</f>
        <v>5450</v>
      </c>
      <c r="F429" s="2">
        <f ca="1">IFERROR(__xludf.DUMMYFUNCTION("""COMPUTED_VALUE"""),14072600)</f>
        <v>14072600</v>
      </c>
    </row>
    <row r="430" spans="1:6">
      <c r="A430" s="1">
        <f ca="1">IFERROR(__xludf.DUMMYFUNCTION("""COMPUTED_VALUE"""),42654.625)</f>
        <v>42654.625</v>
      </c>
      <c r="B430" s="2">
        <f ca="1">IFERROR(__xludf.DUMMYFUNCTION("""COMPUTED_VALUE"""),5462.5)</f>
        <v>5462.5</v>
      </c>
      <c r="C430" s="2">
        <f ca="1">IFERROR(__xludf.DUMMYFUNCTION("""COMPUTED_VALUE"""),5500)</f>
        <v>5500</v>
      </c>
      <c r="D430" s="2">
        <f ca="1">IFERROR(__xludf.DUMMYFUNCTION("""COMPUTED_VALUE"""),5400)</f>
        <v>5400</v>
      </c>
      <c r="E430" s="2">
        <f ca="1">IFERROR(__xludf.DUMMYFUNCTION("""COMPUTED_VALUE"""),5425)</f>
        <v>5425</v>
      </c>
      <c r="F430" s="2">
        <f ca="1">IFERROR(__xludf.DUMMYFUNCTION("""COMPUTED_VALUE"""),22330700)</f>
        <v>22330700</v>
      </c>
    </row>
    <row r="431" spans="1:6">
      <c r="A431" s="1">
        <f ca="1">IFERROR(__xludf.DUMMYFUNCTION("""COMPUTED_VALUE"""),42655.625)</f>
        <v>42655.625</v>
      </c>
      <c r="B431" s="2">
        <f ca="1">IFERROR(__xludf.DUMMYFUNCTION("""COMPUTED_VALUE"""),5375)</f>
        <v>5375</v>
      </c>
      <c r="C431" s="2">
        <f ca="1">IFERROR(__xludf.DUMMYFUNCTION("""COMPUTED_VALUE"""),5512.5)</f>
        <v>5512.5</v>
      </c>
      <c r="D431" s="2">
        <f ca="1">IFERROR(__xludf.DUMMYFUNCTION("""COMPUTED_VALUE"""),5375)</f>
        <v>5375</v>
      </c>
      <c r="E431" s="2">
        <f ca="1">IFERROR(__xludf.DUMMYFUNCTION("""COMPUTED_VALUE"""),5500)</f>
        <v>5500</v>
      </c>
      <c r="F431" s="2">
        <f ca="1">IFERROR(__xludf.DUMMYFUNCTION("""COMPUTED_VALUE"""),14687000)</f>
        <v>14687000</v>
      </c>
    </row>
    <row r="432" spans="1:6">
      <c r="A432" s="1">
        <f ca="1">IFERROR(__xludf.DUMMYFUNCTION("""COMPUTED_VALUE"""),42656.625)</f>
        <v>42656.625</v>
      </c>
      <c r="B432" s="2">
        <f ca="1">IFERROR(__xludf.DUMMYFUNCTION("""COMPUTED_VALUE"""),5512.5)</f>
        <v>5512.5</v>
      </c>
      <c r="C432" s="2">
        <f ca="1">IFERROR(__xludf.DUMMYFUNCTION("""COMPUTED_VALUE"""),5562.5)</f>
        <v>5562.5</v>
      </c>
      <c r="D432" s="2">
        <f ca="1">IFERROR(__xludf.DUMMYFUNCTION("""COMPUTED_VALUE"""),5437.5)</f>
        <v>5437.5</v>
      </c>
      <c r="E432" s="2">
        <f ca="1">IFERROR(__xludf.DUMMYFUNCTION("""COMPUTED_VALUE"""),5525)</f>
        <v>5525</v>
      </c>
      <c r="F432" s="2">
        <f ca="1">IFERROR(__xludf.DUMMYFUNCTION("""COMPUTED_VALUE"""),18684300)</f>
        <v>18684300</v>
      </c>
    </row>
    <row r="433" spans="1:6">
      <c r="A433" s="1">
        <f ca="1">IFERROR(__xludf.DUMMYFUNCTION("""COMPUTED_VALUE"""),42657.625)</f>
        <v>42657.625</v>
      </c>
      <c r="B433" s="2">
        <f ca="1">IFERROR(__xludf.DUMMYFUNCTION("""COMPUTED_VALUE"""),5525)</f>
        <v>5525</v>
      </c>
      <c r="C433" s="2">
        <f ca="1">IFERROR(__xludf.DUMMYFUNCTION("""COMPUTED_VALUE"""),5687.5)</f>
        <v>5687.5</v>
      </c>
      <c r="D433" s="2">
        <f ca="1">IFERROR(__xludf.DUMMYFUNCTION("""COMPUTED_VALUE"""),5512.5)</f>
        <v>5512.5</v>
      </c>
      <c r="E433" s="2">
        <f ca="1">IFERROR(__xludf.DUMMYFUNCTION("""COMPUTED_VALUE"""),5675)</f>
        <v>5675</v>
      </c>
      <c r="F433" s="2">
        <f ca="1">IFERROR(__xludf.DUMMYFUNCTION("""COMPUTED_VALUE"""),23564200)</f>
        <v>23564200</v>
      </c>
    </row>
    <row r="434" spans="1:6">
      <c r="A434" s="1">
        <f ca="1">IFERROR(__xludf.DUMMYFUNCTION("""COMPUTED_VALUE"""),42660.625)</f>
        <v>42660.625</v>
      </c>
      <c r="B434" s="2">
        <f ca="1">IFERROR(__xludf.DUMMYFUNCTION("""COMPUTED_VALUE"""),5625)</f>
        <v>5625</v>
      </c>
      <c r="C434" s="2">
        <f ca="1">IFERROR(__xludf.DUMMYFUNCTION("""COMPUTED_VALUE"""),5725)</f>
        <v>5725</v>
      </c>
      <c r="D434" s="2">
        <f ca="1">IFERROR(__xludf.DUMMYFUNCTION("""COMPUTED_VALUE"""),5625)</f>
        <v>5625</v>
      </c>
      <c r="E434" s="2">
        <f ca="1">IFERROR(__xludf.DUMMYFUNCTION("""COMPUTED_VALUE"""),5687.5)</f>
        <v>5687.5</v>
      </c>
      <c r="F434" s="2">
        <f ca="1">IFERROR(__xludf.DUMMYFUNCTION("""COMPUTED_VALUE"""),16760500)</f>
        <v>16760500</v>
      </c>
    </row>
    <row r="435" spans="1:6">
      <c r="A435" s="1">
        <f ca="1">IFERROR(__xludf.DUMMYFUNCTION("""COMPUTED_VALUE"""),42661.625)</f>
        <v>42661.625</v>
      </c>
      <c r="B435" s="2">
        <f ca="1">IFERROR(__xludf.DUMMYFUNCTION("""COMPUTED_VALUE"""),5725)</f>
        <v>5725</v>
      </c>
      <c r="C435" s="2">
        <f ca="1">IFERROR(__xludf.DUMMYFUNCTION("""COMPUTED_VALUE"""),5750)</f>
        <v>5750</v>
      </c>
      <c r="D435" s="2">
        <f ca="1">IFERROR(__xludf.DUMMYFUNCTION("""COMPUTED_VALUE"""),5700)</f>
        <v>5700</v>
      </c>
      <c r="E435" s="2">
        <f ca="1">IFERROR(__xludf.DUMMYFUNCTION("""COMPUTED_VALUE"""),5700)</f>
        <v>5700</v>
      </c>
      <c r="F435" s="2">
        <f ca="1">IFERROR(__xludf.DUMMYFUNCTION("""COMPUTED_VALUE"""),14227400)</f>
        <v>14227400</v>
      </c>
    </row>
    <row r="436" spans="1:6">
      <c r="A436" s="1">
        <f ca="1">IFERROR(__xludf.DUMMYFUNCTION("""COMPUTED_VALUE"""),42662.625)</f>
        <v>42662.625</v>
      </c>
      <c r="B436" s="2">
        <f ca="1">IFERROR(__xludf.DUMMYFUNCTION("""COMPUTED_VALUE"""),5687.5)</f>
        <v>5687.5</v>
      </c>
      <c r="C436" s="2">
        <f ca="1">IFERROR(__xludf.DUMMYFUNCTION("""COMPUTED_VALUE"""),5725)</f>
        <v>5725</v>
      </c>
      <c r="D436" s="2">
        <f ca="1">IFERROR(__xludf.DUMMYFUNCTION("""COMPUTED_VALUE"""),5662.5)</f>
        <v>5662.5</v>
      </c>
      <c r="E436" s="2">
        <f ca="1">IFERROR(__xludf.DUMMYFUNCTION("""COMPUTED_VALUE"""),5687.5)</f>
        <v>5687.5</v>
      </c>
      <c r="F436" s="2">
        <f ca="1">IFERROR(__xludf.DUMMYFUNCTION("""COMPUTED_VALUE"""),12864200)</f>
        <v>12864200</v>
      </c>
    </row>
    <row r="437" spans="1:6">
      <c r="A437" s="1">
        <f ca="1">IFERROR(__xludf.DUMMYFUNCTION("""COMPUTED_VALUE"""),42663.625)</f>
        <v>42663.625</v>
      </c>
      <c r="B437" s="2">
        <f ca="1">IFERROR(__xludf.DUMMYFUNCTION("""COMPUTED_VALUE"""),5700)</f>
        <v>5700</v>
      </c>
      <c r="C437" s="2">
        <f ca="1">IFERROR(__xludf.DUMMYFUNCTION("""COMPUTED_VALUE"""),5712.5)</f>
        <v>5712.5</v>
      </c>
      <c r="D437" s="2">
        <f ca="1">IFERROR(__xludf.DUMMYFUNCTION("""COMPUTED_VALUE"""),5650)</f>
        <v>5650</v>
      </c>
      <c r="E437" s="2">
        <f ca="1">IFERROR(__xludf.DUMMYFUNCTION("""COMPUTED_VALUE"""),5650)</f>
        <v>5650</v>
      </c>
      <c r="F437" s="2">
        <f ca="1">IFERROR(__xludf.DUMMYFUNCTION("""COMPUTED_VALUE"""),13411100)</f>
        <v>13411100</v>
      </c>
    </row>
    <row r="438" spans="1:6">
      <c r="A438" s="1">
        <f ca="1">IFERROR(__xludf.DUMMYFUNCTION("""COMPUTED_VALUE"""),42664.625)</f>
        <v>42664.625</v>
      </c>
      <c r="B438" s="2">
        <f ca="1">IFERROR(__xludf.DUMMYFUNCTION("""COMPUTED_VALUE"""),5700)</f>
        <v>5700</v>
      </c>
      <c r="C438" s="2">
        <f ca="1">IFERROR(__xludf.DUMMYFUNCTION("""COMPUTED_VALUE"""),5700)</f>
        <v>5700</v>
      </c>
      <c r="D438" s="2">
        <f ca="1">IFERROR(__xludf.DUMMYFUNCTION("""COMPUTED_VALUE"""),5612.5)</f>
        <v>5612.5</v>
      </c>
      <c r="E438" s="2">
        <f ca="1">IFERROR(__xludf.DUMMYFUNCTION("""COMPUTED_VALUE"""),5612.5)</f>
        <v>5612.5</v>
      </c>
      <c r="F438" s="2">
        <f ca="1">IFERROR(__xludf.DUMMYFUNCTION("""COMPUTED_VALUE"""),12594700)</f>
        <v>12594700</v>
      </c>
    </row>
    <row r="439" spans="1:6">
      <c r="A439" s="1">
        <f ca="1">IFERROR(__xludf.DUMMYFUNCTION("""COMPUTED_VALUE"""),42667.625)</f>
        <v>42667.625</v>
      </c>
      <c r="B439" s="2">
        <f ca="1">IFERROR(__xludf.DUMMYFUNCTION("""COMPUTED_VALUE"""),5612.5)</f>
        <v>5612.5</v>
      </c>
      <c r="C439" s="2">
        <f ca="1">IFERROR(__xludf.DUMMYFUNCTION("""COMPUTED_VALUE"""),5687.5)</f>
        <v>5687.5</v>
      </c>
      <c r="D439" s="2">
        <f ca="1">IFERROR(__xludf.DUMMYFUNCTION("""COMPUTED_VALUE"""),5600)</f>
        <v>5600</v>
      </c>
      <c r="E439" s="2">
        <f ca="1">IFERROR(__xludf.DUMMYFUNCTION("""COMPUTED_VALUE"""),5600)</f>
        <v>5600</v>
      </c>
      <c r="F439" s="2">
        <f ca="1">IFERROR(__xludf.DUMMYFUNCTION("""COMPUTED_VALUE"""),15862700)</f>
        <v>15862700</v>
      </c>
    </row>
    <row r="440" spans="1:6">
      <c r="A440" s="1">
        <f ca="1">IFERROR(__xludf.DUMMYFUNCTION("""COMPUTED_VALUE"""),42668.625)</f>
        <v>42668.625</v>
      </c>
      <c r="B440" s="2">
        <f ca="1">IFERROR(__xludf.DUMMYFUNCTION("""COMPUTED_VALUE"""),5612.5)</f>
        <v>5612.5</v>
      </c>
      <c r="C440" s="2">
        <f ca="1">IFERROR(__xludf.DUMMYFUNCTION("""COMPUTED_VALUE"""),5650)</f>
        <v>5650</v>
      </c>
      <c r="D440" s="2">
        <f ca="1">IFERROR(__xludf.DUMMYFUNCTION("""COMPUTED_VALUE"""),5575)</f>
        <v>5575</v>
      </c>
      <c r="E440" s="2">
        <f ca="1">IFERROR(__xludf.DUMMYFUNCTION("""COMPUTED_VALUE"""),5587.5)</f>
        <v>5587.5</v>
      </c>
      <c r="F440" s="2">
        <f ca="1">IFERROR(__xludf.DUMMYFUNCTION("""COMPUTED_VALUE"""),18445600)</f>
        <v>18445600</v>
      </c>
    </row>
    <row r="441" spans="1:6">
      <c r="A441" s="1">
        <f ca="1">IFERROR(__xludf.DUMMYFUNCTION("""COMPUTED_VALUE"""),42669.625)</f>
        <v>42669.625</v>
      </c>
      <c r="B441" s="2">
        <f ca="1">IFERROR(__xludf.DUMMYFUNCTION("""COMPUTED_VALUE"""),5512.5)</f>
        <v>5512.5</v>
      </c>
      <c r="C441" s="2">
        <f ca="1">IFERROR(__xludf.DUMMYFUNCTION("""COMPUTED_VALUE"""),5600)</f>
        <v>5600</v>
      </c>
      <c r="D441" s="2">
        <f ca="1">IFERROR(__xludf.DUMMYFUNCTION("""COMPUTED_VALUE"""),5412.5)</f>
        <v>5412.5</v>
      </c>
      <c r="E441" s="2">
        <f ca="1">IFERROR(__xludf.DUMMYFUNCTION("""COMPUTED_VALUE"""),5537.5)</f>
        <v>5537.5</v>
      </c>
      <c r="F441" s="2">
        <f ca="1">IFERROR(__xludf.DUMMYFUNCTION("""COMPUTED_VALUE"""),35495300)</f>
        <v>35495300</v>
      </c>
    </row>
    <row r="442" spans="1:6">
      <c r="A442" s="1">
        <f ca="1">IFERROR(__xludf.DUMMYFUNCTION("""COMPUTED_VALUE"""),42670.625)</f>
        <v>42670.625</v>
      </c>
      <c r="B442" s="2">
        <f ca="1">IFERROR(__xludf.DUMMYFUNCTION("""COMPUTED_VALUE"""),5537.5)</f>
        <v>5537.5</v>
      </c>
      <c r="C442" s="2">
        <f ca="1">IFERROR(__xludf.DUMMYFUNCTION("""COMPUTED_VALUE"""),5687.5)</f>
        <v>5687.5</v>
      </c>
      <c r="D442" s="2">
        <f ca="1">IFERROR(__xludf.DUMMYFUNCTION("""COMPUTED_VALUE"""),5537.5)</f>
        <v>5537.5</v>
      </c>
      <c r="E442" s="2">
        <f ca="1">IFERROR(__xludf.DUMMYFUNCTION("""COMPUTED_VALUE"""),5662.5)</f>
        <v>5662.5</v>
      </c>
      <c r="F442" s="2">
        <f ca="1">IFERROR(__xludf.DUMMYFUNCTION("""COMPUTED_VALUE"""),17334100)</f>
        <v>17334100</v>
      </c>
    </row>
    <row r="443" spans="1:6">
      <c r="A443" s="1">
        <f ca="1">IFERROR(__xludf.DUMMYFUNCTION("""COMPUTED_VALUE"""),42671.625)</f>
        <v>42671.625</v>
      </c>
      <c r="B443" s="2">
        <f ca="1">IFERROR(__xludf.DUMMYFUNCTION("""COMPUTED_VALUE"""),5700)</f>
        <v>5700</v>
      </c>
      <c r="C443" s="2">
        <f ca="1">IFERROR(__xludf.DUMMYFUNCTION("""COMPUTED_VALUE"""),5712.5)</f>
        <v>5712.5</v>
      </c>
      <c r="D443" s="2">
        <f ca="1">IFERROR(__xludf.DUMMYFUNCTION("""COMPUTED_VALUE"""),5662.5)</f>
        <v>5662.5</v>
      </c>
      <c r="E443" s="2">
        <f ca="1">IFERROR(__xludf.DUMMYFUNCTION("""COMPUTED_VALUE"""),5687.5)</f>
        <v>5687.5</v>
      </c>
      <c r="F443" s="2">
        <f ca="1">IFERROR(__xludf.DUMMYFUNCTION("""COMPUTED_VALUE"""),10877700)</f>
        <v>10877700</v>
      </c>
    </row>
    <row r="444" spans="1:6">
      <c r="A444" s="1">
        <f ca="1">IFERROR(__xludf.DUMMYFUNCTION("""COMPUTED_VALUE"""),42674.625)</f>
        <v>42674.625</v>
      </c>
      <c r="B444" s="2">
        <f ca="1">IFERROR(__xludf.DUMMYFUNCTION("""COMPUTED_VALUE"""),5700)</f>
        <v>5700</v>
      </c>
      <c r="C444" s="2">
        <f ca="1">IFERROR(__xludf.DUMMYFUNCTION("""COMPUTED_VALUE"""),5825)</f>
        <v>5825</v>
      </c>
      <c r="D444" s="2">
        <f ca="1">IFERROR(__xludf.DUMMYFUNCTION("""COMPUTED_VALUE"""),5700)</f>
        <v>5700</v>
      </c>
      <c r="E444" s="2">
        <f ca="1">IFERROR(__xludf.DUMMYFUNCTION("""COMPUTED_VALUE"""),5737.5)</f>
        <v>5737.5</v>
      </c>
      <c r="F444" s="2">
        <f ca="1">IFERROR(__xludf.DUMMYFUNCTION("""COMPUTED_VALUE"""),33182700)</f>
        <v>33182700</v>
      </c>
    </row>
    <row r="445" spans="1:6">
      <c r="A445" s="1">
        <f ca="1">IFERROR(__xludf.DUMMYFUNCTION("""COMPUTED_VALUE"""),42675.625)</f>
        <v>42675.625</v>
      </c>
      <c r="B445" s="2">
        <f ca="1">IFERROR(__xludf.DUMMYFUNCTION("""COMPUTED_VALUE"""),5737.5)</f>
        <v>5737.5</v>
      </c>
      <c r="C445" s="2">
        <f ca="1">IFERROR(__xludf.DUMMYFUNCTION("""COMPUTED_VALUE"""),5812.5)</f>
        <v>5812.5</v>
      </c>
      <c r="D445" s="2">
        <f ca="1">IFERROR(__xludf.DUMMYFUNCTION("""COMPUTED_VALUE"""),5712.5)</f>
        <v>5712.5</v>
      </c>
      <c r="E445" s="2">
        <f ca="1">IFERROR(__xludf.DUMMYFUNCTION("""COMPUTED_VALUE"""),5712.5)</f>
        <v>5712.5</v>
      </c>
      <c r="F445" s="2">
        <f ca="1">IFERROR(__xludf.DUMMYFUNCTION("""COMPUTED_VALUE"""),18517800)</f>
        <v>18517800</v>
      </c>
    </row>
    <row r="446" spans="1:6">
      <c r="A446" s="1">
        <f ca="1">IFERROR(__xludf.DUMMYFUNCTION("""COMPUTED_VALUE"""),42676.625)</f>
        <v>42676.625</v>
      </c>
      <c r="B446" s="2">
        <f ca="1">IFERROR(__xludf.DUMMYFUNCTION("""COMPUTED_VALUE"""),5712.5)</f>
        <v>5712.5</v>
      </c>
      <c r="C446" s="2">
        <f ca="1">IFERROR(__xludf.DUMMYFUNCTION("""COMPUTED_VALUE"""),5775)</f>
        <v>5775</v>
      </c>
      <c r="D446" s="2">
        <f ca="1">IFERROR(__xludf.DUMMYFUNCTION("""COMPUTED_VALUE"""),5712.5)</f>
        <v>5712.5</v>
      </c>
      <c r="E446" s="2">
        <f ca="1">IFERROR(__xludf.DUMMYFUNCTION("""COMPUTED_VALUE"""),5750)</f>
        <v>5750</v>
      </c>
      <c r="F446" s="2">
        <f ca="1">IFERROR(__xludf.DUMMYFUNCTION("""COMPUTED_VALUE"""),18100400)</f>
        <v>18100400</v>
      </c>
    </row>
    <row r="447" spans="1:6">
      <c r="A447" s="1">
        <f ca="1">IFERROR(__xludf.DUMMYFUNCTION("""COMPUTED_VALUE"""),42677.625)</f>
        <v>42677.625</v>
      </c>
      <c r="B447" s="2">
        <f ca="1">IFERROR(__xludf.DUMMYFUNCTION("""COMPUTED_VALUE"""),5725)</f>
        <v>5725</v>
      </c>
      <c r="C447" s="2">
        <f ca="1">IFERROR(__xludf.DUMMYFUNCTION("""COMPUTED_VALUE"""),5750)</f>
        <v>5750</v>
      </c>
      <c r="D447" s="2">
        <f ca="1">IFERROR(__xludf.DUMMYFUNCTION("""COMPUTED_VALUE"""),5575)</f>
        <v>5575</v>
      </c>
      <c r="E447" s="2">
        <f ca="1">IFERROR(__xludf.DUMMYFUNCTION("""COMPUTED_VALUE"""),5575)</f>
        <v>5575</v>
      </c>
      <c r="F447" s="2">
        <f ca="1">IFERROR(__xludf.DUMMYFUNCTION("""COMPUTED_VALUE"""),22942200)</f>
        <v>22942200</v>
      </c>
    </row>
    <row r="448" spans="1:6">
      <c r="A448" s="1">
        <f ca="1">IFERROR(__xludf.DUMMYFUNCTION("""COMPUTED_VALUE"""),42678.625)</f>
        <v>42678.625</v>
      </c>
      <c r="B448" s="2">
        <f ca="1">IFERROR(__xludf.DUMMYFUNCTION("""COMPUTED_VALUE"""),5500)</f>
        <v>5500</v>
      </c>
      <c r="C448" s="2">
        <f ca="1">IFERROR(__xludf.DUMMYFUNCTION("""COMPUTED_VALUE"""),5637.5)</f>
        <v>5637.5</v>
      </c>
      <c r="D448" s="2">
        <f ca="1">IFERROR(__xludf.DUMMYFUNCTION("""COMPUTED_VALUE"""),5475)</f>
        <v>5475</v>
      </c>
      <c r="E448" s="2">
        <f ca="1">IFERROR(__xludf.DUMMYFUNCTION("""COMPUTED_VALUE"""),5550)</f>
        <v>5550</v>
      </c>
      <c r="F448" s="2">
        <f ca="1">IFERROR(__xludf.DUMMYFUNCTION("""COMPUTED_VALUE"""),14683100)</f>
        <v>14683100</v>
      </c>
    </row>
    <row r="449" spans="1:6">
      <c r="A449" s="1">
        <f ca="1">IFERROR(__xludf.DUMMYFUNCTION("""COMPUTED_VALUE"""),42681.625)</f>
        <v>42681.625</v>
      </c>
      <c r="B449" s="2">
        <f ca="1">IFERROR(__xludf.DUMMYFUNCTION("""COMPUTED_VALUE"""),5650)</f>
        <v>5650</v>
      </c>
      <c r="C449" s="2">
        <f ca="1">IFERROR(__xludf.DUMMYFUNCTION("""COMPUTED_VALUE"""),5700)</f>
        <v>5700</v>
      </c>
      <c r="D449" s="2">
        <f ca="1">IFERROR(__xludf.DUMMYFUNCTION("""COMPUTED_VALUE"""),5562.5)</f>
        <v>5562.5</v>
      </c>
      <c r="E449" s="2">
        <f ca="1">IFERROR(__xludf.DUMMYFUNCTION("""COMPUTED_VALUE"""),5687.5)</f>
        <v>5687.5</v>
      </c>
      <c r="F449" s="2">
        <f ca="1">IFERROR(__xludf.DUMMYFUNCTION("""COMPUTED_VALUE"""),17474700)</f>
        <v>17474700</v>
      </c>
    </row>
    <row r="450" spans="1:6">
      <c r="A450" s="1">
        <f ca="1">IFERROR(__xludf.DUMMYFUNCTION("""COMPUTED_VALUE"""),42682.625)</f>
        <v>42682.625</v>
      </c>
      <c r="B450" s="2">
        <f ca="1">IFERROR(__xludf.DUMMYFUNCTION("""COMPUTED_VALUE"""),5725)</f>
        <v>5725</v>
      </c>
      <c r="C450" s="2">
        <f ca="1">IFERROR(__xludf.DUMMYFUNCTION("""COMPUTED_VALUE"""),5825)</f>
        <v>5825</v>
      </c>
      <c r="D450" s="2">
        <f ca="1">IFERROR(__xludf.DUMMYFUNCTION("""COMPUTED_VALUE"""),5712.5)</f>
        <v>5712.5</v>
      </c>
      <c r="E450" s="2">
        <f ca="1">IFERROR(__xludf.DUMMYFUNCTION("""COMPUTED_VALUE"""),5787.5)</f>
        <v>5787.5</v>
      </c>
      <c r="F450" s="2">
        <f ca="1">IFERROR(__xludf.DUMMYFUNCTION("""COMPUTED_VALUE"""),20515800)</f>
        <v>20515800</v>
      </c>
    </row>
    <row r="451" spans="1:6">
      <c r="A451" s="1">
        <f ca="1">IFERROR(__xludf.DUMMYFUNCTION("""COMPUTED_VALUE"""),42683.625)</f>
        <v>42683.625</v>
      </c>
      <c r="B451" s="2">
        <f ca="1">IFERROR(__xludf.DUMMYFUNCTION("""COMPUTED_VALUE"""),5825)</f>
        <v>5825</v>
      </c>
      <c r="C451" s="2">
        <f ca="1">IFERROR(__xludf.DUMMYFUNCTION("""COMPUTED_VALUE"""),5950)</f>
        <v>5950</v>
      </c>
      <c r="D451" s="2">
        <f ca="1">IFERROR(__xludf.DUMMYFUNCTION("""COMPUTED_VALUE"""),5625)</f>
        <v>5625</v>
      </c>
      <c r="E451" s="2">
        <f ca="1">IFERROR(__xludf.DUMMYFUNCTION("""COMPUTED_VALUE"""),5675)</f>
        <v>5675</v>
      </c>
      <c r="F451" s="2">
        <f ca="1">IFERROR(__xludf.DUMMYFUNCTION("""COMPUTED_VALUE"""),28646400)</f>
        <v>28646400</v>
      </c>
    </row>
    <row r="452" spans="1:6">
      <c r="A452" s="1">
        <f ca="1">IFERROR(__xludf.DUMMYFUNCTION("""COMPUTED_VALUE"""),42684.625)</f>
        <v>42684.625</v>
      </c>
      <c r="B452" s="2">
        <f ca="1">IFERROR(__xludf.DUMMYFUNCTION("""COMPUTED_VALUE"""),5800)</f>
        <v>5800</v>
      </c>
      <c r="C452" s="2">
        <f ca="1">IFERROR(__xludf.DUMMYFUNCTION("""COMPUTED_VALUE"""),5812.5)</f>
        <v>5812.5</v>
      </c>
      <c r="D452" s="2">
        <f ca="1">IFERROR(__xludf.DUMMYFUNCTION("""COMPUTED_VALUE"""),5712.5)</f>
        <v>5712.5</v>
      </c>
      <c r="E452" s="2">
        <f ca="1">IFERROR(__xludf.DUMMYFUNCTION("""COMPUTED_VALUE"""),5712.5)</f>
        <v>5712.5</v>
      </c>
      <c r="F452" s="2">
        <f ca="1">IFERROR(__xludf.DUMMYFUNCTION("""COMPUTED_VALUE"""),13692600)</f>
        <v>13692600</v>
      </c>
    </row>
    <row r="453" spans="1:6">
      <c r="A453" s="1">
        <f ca="1">IFERROR(__xludf.DUMMYFUNCTION("""COMPUTED_VALUE"""),42685.625)</f>
        <v>42685.625</v>
      </c>
      <c r="B453" s="2">
        <f ca="1">IFERROR(__xludf.DUMMYFUNCTION("""COMPUTED_VALUE"""),5562.5)</f>
        <v>5562.5</v>
      </c>
      <c r="C453" s="2">
        <f ca="1">IFERROR(__xludf.DUMMYFUNCTION("""COMPUTED_VALUE"""),5587.5)</f>
        <v>5587.5</v>
      </c>
      <c r="D453" s="2">
        <f ca="1">IFERROR(__xludf.DUMMYFUNCTION("""COMPUTED_VALUE"""),5425)</f>
        <v>5425</v>
      </c>
      <c r="E453" s="2">
        <f ca="1">IFERROR(__xludf.DUMMYFUNCTION("""COMPUTED_VALUE"""),5425)</f>
        <v>5425</v>
      </c>
      <c r="F453" s="2">
        <f ca="1">IFERROR(__xludf.DUMMYFUNCTION("""COMPUTED_VALUE"""),50037800)</f>
        <v>50037800</v>
      </c>
    </row>
    <row r="454" spans="1:6">
      <c r="A454" s="1">
        <f ca="1">IFERROR(__xludf.DUMMYFUNCTION("""COMPUTED_VALUE"""),42688.625)</f>
        <v>42688.625</v>
      </c>
      <c r="B454" s="2">
        <f ca="1">IFERROR(__xludf.DUMMYFUNCTION("""COMPUTED_VALUE"""),5350)</f>
        <v>5350</v>
      </c>
      <c r="C454" s="2">
        <f ca="1">IFERROR(__xludf.DUMMYFUNCTION("""COMPUTED_VALUE"""),5375)</f>
        <v>5375</v>
      </c>
      <c r="D454" s="2">
        <f ca="1">IFERROR(__xludf.DUMMYFUNCTION("""COMPUTED_VALUE"""),5025)</f>
        <v>5025</v>
      </c>
      <c r="E454" s="2">
        <f ca="1">IFERROR(__xludf.DUMMYFUNCTION("""COMPUTED_VALUE"""),5162.5)</f>
        <v>5162.5</v>
      </c>
      <c r="F454" s="2">
        <f ca="1">IFERROR(__xludf.DUMMYFUNCTION("""COMPUTED_VALUE"""),48482500)</f>
        <v>48482500</v>
      </c>
    </row>
    <row r="455" spans="1:6">
      <c r="A455" s="1">
        <f ca="1">IFERROR(__xludf.DUMMYFUNCTION("""COMPUTED_VALUE"""),42689.625)</f>
        <v>42689.625</v>
      </c>
      <c r="B455" s="2">
        <f ca="1">IFERROR(__xludf.DUMMYFUNCTION("""COMPUTED_VALUE"""),5200)</f>
        <v>5200</v>
      </c>
      <c r="C455" s="2">
        <f ca="1">IFERROR(__xludf.DUMMYFUNCTION("""COMPUTED_VALUE"""),5337.5)</f>
        <v>5337.5</v>
      </c>
      <c r="D455" s="2">
        <f ca="1">IFERROR(__xludf.DUMMYFUNCTION("""COMPUTED_VALUE"""),5162.5)</f>
        <v>5162.5</v>
      </c>
      <c r="E455" s="2">
        <f ca="1">IFERROR(__xludf.DUMMYFUNCTION("""COMPUTED_VALUE"""),5275)</f>
        <v>5275</v>
      </c>
      <c r="F455" s="2">
        <f ca="1">IFERROR(__xludf.DUMMYFUNCTION("""COMPUTED_VALUE"""),21234100)</f>
        <v>21234100</v>
      </c>
    </row>
    <row r="456" spans="1:6">
      <c r="A456" s="1">
        <f ca="1">IFERROR(__xludf.DUMMYFUNCTION("""COMPUTED_VALUE"""),42690.625)</f>
        <v>42690.625</v>
      </c>
      <c r="B456" s="2">
        <f ca="1">IFERROR(__xludf.DUMMYFUNCTION("""COMPUTED_VALUE"""),5300)</f>
        <v>5300</v>
      </c>
      <c r="C456" s="2">
        <f ca="1">IFERROR(__xludf.DUMMYFUNCTION("""COMPUTED_VALUE"""),5475)</f>
        <v>5475</v>
      </c>
      <c r="D456" s="2">
        <f ca="1">IFERROR(__xludf.DUMMYFUNCTION("""COMPUTED_VALUE"""),5300)</f>
        <v>5300</v>
      </c>
      <c r="E456" s="2">
        <f ca="1">IFERROR(__xludf.DUMMYFUNCTION("""COMPUTED_VALUE"""),5412.5)</f>
        <v>5412.5</v>
      </c>
      <c r="F456" s="2">
        <f ca="1">IFERROR(__xludf.DUMMYFUNCTION("""COMPUTED_VALUE"""),12973200)</f>
        <v>12973200</v>
      </c>
    </row>
    <row r="457" spans="1:6">
      <c r="A457" s="1">
        <f ca="1">IFERROR(__xludf.DUMMYFUNCTION("""COMPUTED_VALUE"""),42691.625)</f>
        <v>42691.625</v>
      </c>
      <c r="B457" s="2">
        <f ca="1">IFERROR(__xludf.DUMMYFUNCTION("""COMPUTED_VALUE"""),5437.5)</f>
        <v>5437.5</v>
      </c>
      <c r="C457" s="2">
        <f ca="1">IFERROR(__xludf.DUMMYFUNCTION("""COMPUTED_VALUE"""),5450)</f>
        <v>5450</v>
      </c>
      <c r="D457" s="2">
        <f ca="1">IFERROR(__xludf.DUMMYFUNCTION("""COMPUTED_VALUE"""),5337.5)</f>
        <v>5337.5</v>
      </c>
      <c r="E457" s="2">
        <f ca="1">IFERROR(__xludf.DUMMYFUNCTION("""COMPUTED_VALUE"""),5450)</f>
        <v>5450</v>
      </c>
      <c r="F457" s="2">
        <f ca="1">IFERROR(__xludf.DUMMYFUNCTION("""COMPUTED_VALUE"""),13061200)</f>
        <v>13061200</v>
      </c>
    </row>
    <row r="458" spans="1:6">
      <c r="A458" s="1">
        <f ca="1">IFERROR(__xludf.DUMMYFUNCTION("""COMPUTED_VALUE"""),42692.625)</f>
        <v>42692.625</v>
      </c>
      <c r="B458" s="2">
        <f ca="1">IFERROR(__xludf.DUMMYFUNCTION("""COMPUTED_VALUE"""),5475)</f>
        <v>5475</v>
      </c>
      <c r="C458" s="2">
        <f ca="1">IFERROR(__xludf.DUMMYFUNCTION("""COMPUTED_VALUE"""),5475)</f>
        <v>5475</v>
      </c>
      <c r="D458" s="2">
        <f ca="1">IFERROR(__xludf.DUMMYFUNCTION("""COMPUTED_VALUE"""),5375)</f>
        <v>5375</v>
      </c>
      <c r="E458" s="2">
        <f ca="1">IFERROR(__xludf.DUMMYFUNCTION("""COMPUTED_VALUE"""),5462.5)</f>
        <v>5462.5</v>
      </c>
      <c r="F458" s="2">
        <f ca="1">IFERROR(__xludf.DUMMYFUNCTION("""COMPUTED_VALUE"""),10701300)</f>
        <v>10701300</v>
      </c>
    </row>
    <row r="459" spans="1:6">
      <c r="A459" s="1">
        <f ca="1">IFERROR(__xludf.DUMMYFUNCTION("""COMPUTED_VALUE"""),42695.625)</f>
        <v>42695.625</v>
      </c>
      <c r="B459" s="2">
        <f ca="1">IFERROR(__xludf.DUMMYFUNCTION("""COMPUTED_VALUE"""),5350)</f>
        <v>5350</v>
      </c>
      <c r="C459" s="2">
        <f ca="1">IFERROR(__xludf.DUMMYFUNCTION("""COMPUTED_VALUE"""),5400)</f>
        <v>5400</v>
      </c>
      <c r="D459" s="2">
        <f ca="1">IFERROR(__xludf.DUMMYFUNCTION("""COMPUTED_VALUE"""),5337.5)</f>
        <v>5337.5</v>
      </c>
      <c r="E459" s="2">
        <f ca="1">IFERROR(__xludf.DUMMYFUNCTION("""COMPUTED_VALUE"""),5350)</f>
        <v>5350</v>
      </c>
      <c r="F459" s="2">
        <f ca="1">IFERROR(__xludf.DUMMYFUNCTION("""COMPUTED_VALUE"""),20669200)</f>
        <v>20669200</v>
      </c>
    </row>
    <row r="460" spans="1:6">
      <c r="A460" s="1">
        <f ca="1">IFERROR(__xludf.DUMMYFUNCTION("""COMPUTED_VALUE"""),42696.625)</f>
        <v>42696.625</v>
      </c>
      <c r="B460" s="2">
        <f ca="1">IFERROR(__xludf.DUMMYFUNCTION("""COMPUTED_VALUE"""),5350)</f>
        <v>5350</v>
      </c>
      <c r="C460" s="2">
        <f ca="1">IFERROR(__xludf.DUMMYFUNCTION("""COMPUTED_VALUE"""),5462.5)</f>
        <v>5462.5</v>
      </c>
      <c r="D460" s="2">
        <f ca="1">IFERROR(__xludf.DUMMYFUNCTION("""COMPUTED_VALUE"""),5350)</f>
        <v>5350</v>
      </c>
      <c r="E460" s="2">
        <f ca="1">IFERROR(__xludf.DUMMYFUNCTION("""COMPUTED_VALUE"""),5462.5)</f>
        <v>5462.5</v>
      </c>
      <c r="F460" s="2">
        <f ca="1">IFERROR(__xludf.DUMMYFUNCTION("""COMPUTED_VALUE"""),17968500)</f>
        <v>17968500</v>
      </c>
    </row>
    <row r="461" spans="1:6">
      <c r="A461" s="1">
        <f ca="1">IFERROR(__xludf.DUMMYFUNCTION("""COMPUTED_VALUE"""),42697.625)</f>
        <v>42697.625</v>
      </c>
      <c r="B461" s="2">
        <f ca="1">IFERROR(__xludf.DUMMYFUNCTION("""COMPUTED_VALUE"""),5387.5)</f>
        <v>5387.5</v>
      </c>
      <c r="C461" s="2">
        <f ca="1">IFERROR(__xludf.DUMMYFUNCTION("""COMPUTED_VALUE"""),5462.5)</f>
        <v>5462.5</v>
      </c>
      <c r="D461" s="2">
        <f ca="1">IFERROR(__xludf.DUMMYFUNCTION("""COMPUTED_VALUE"""),5350)</f>
        <v>5350</v>
      </c>
      <c r="E461" s="2">
        <f ca="1">IFERROR(__xludf.DUMMYFUNCTION("""COMPUTED_VALUE"""),5450)</f>
        <v>5450</v>
      </c>
      <c r="F461" s="2">
        <f ca="1">IFERROR(__xludf.DUMMYFUNCTION("""COMPUTED_VALUE"""),17289300)</f>
        <v>17289300</v>
      </c>
    </row>
    <row r="462" spans="1:6">
      <c r="A462" s="1">
        <f ca="1">IFERROR(__xludf.DUMMYFUNCTION("""COMPUTED_VALUE"""),42698.625)</f>
        <v>42698.625</v>
      </c>
      <c r="B462" s="2">
        <f ca="1">IFERROR(__xludf.DUMMYFUNCTION("""COMPUTED_VALUE"""),5350)</f>
        <v>5350</v>
      </c>
      <c r="C462" s="2">
        <f ca="1">IFERROR(__xludf.DUMMYFUNCTION("""COMPUTED_VALUE"""),5362.5)</f>
        <v>5362.5</v>
      </c>
      <c r="D462" s="2">
        <f ca="1">IFERROR(__xludf.DUMMYFUNCTION("""COMPUTED_VALUE"""),5012.5)</f>
        <v>5012.5</v>
      </c>
      <c r="E462" s="2">
        <f ca="1">IFERROR(__xludf.DUMMYFUNCTION("""COMPUTED_VALUE"""),5050)</f>
        <v>5050</v>
      </c>
      <c r="F462" s="2">
        <f ca="1">IFERROR(__xludf.DUMMYFUNCTION("""COMPUTED_VALUE"""),57696000)</f>
        <v>57696000</v>
      </c>
    </row>
    <row r="463" spans="1:6">
      <c r="A463" s="1">
        <f ca="1">IFERROR(__xludf.DUMMYFUNCTION("""COMPUTED_VALUE"""),42699.625)</f>
        <v>42699.625</v>
      </c>
      <c r="B463" s="2">
        <f ca="1">IFERROR(__xludf.DUMMYFUNCTION("""COMPUTED_VALUE"""),5087.5)</f>
        <v>5087.5</v>
      </c>
      <c r="C463" s="2">
        <f ca="1">IFERROR(__xludf.DUMMYFUNCTION("""COMPUTED_VALUE"""),5137.5)</f>
        <v>5137.5</v>
      </c>
      <c r="D463" s="2">
        <f ca="1">IFERROR(__xludf.DUMMYFUNCTION("""COMPUTED_VALUE"""),5012.5)</f>
        <v>5012.5</v>
      </c>
      <c r="E463" s="2">
        <f ca="1">IFERROR(__xludf.DUMMYFUNCTION("""COMPUTED_VALUE"""),5075)</f>
        <v>5075</v>
      </c>
      <c r="F463" s="2">
        <f ca="1">IFERROR(__xludf.DUMMYFUNCTION("""COMPUTED_VALUE"""),28248700)</f>
        <v>28248700</v>
      </c>
    </row>
    <row r="464" spans="1:6">
      <c r="A464" s="1">
        <f ca="1">IFERROR(__xludf.DUMMYFUNCTION("""COMPUTED_VALUE"""),42702.625)</f>
        <v>42702.625</v>
      </c>
      <c r="B464" s="2">
        <f ca="1">IFERROR(__xludf.DUMMYFUNCTION("""COMPUTED_VALUE"""),5075)</f>
        <v>5075</v>
      </c>
      <c r="C464" s="2">
        <f ca="1">IFERROR(__xludf.DUMMYFUNCTION("""COMPUTED_VALUE"""),5087.5)</f>
        <v>5087.5</v>
      </c>
      <c r="D464" s="2">
        <f ca="1">IFERROR(__xludf.DUMMYFUNCTION("""COMPUTED_VALUE"""),5012.5)</f>
        <v>5012.5</v>
      </c>
      <c r="E464" s="2">
        <f ca="1">IFERROR(__xludf.DUMMYFUNCTION("""COMPUTED_VALUE"""),5075)</f>
        <v>5075</v>
      </c>
      <c r="F464" s="2">
        <f ca="1">IFERROR(__xludf.DUMMYFUNCTION("""COMPUTED_VALUE"""),27856500)</f>
        <v>27856500</v>
      </c>
    </row>
    <row r="465" spans="1:6">
      <c r="A465" s="1">
        <f ca="1">IFERROR(__xludf.DUMMYFUNCTION("""COMPUTED_VALUE"""),42703.625)</f>
        <v>42703.625</v>
      </c>
      <c r="B465" s="2">
        <f ca="1">IFERROR(__xludf.DUMMYFUNCTION("""COMPUTED_VALUE"""),5075)</f>
        <v>5075</v>
      </c>
      <c r="C465" s="2">
        <f ca="1">IFERROR(__xludf.DUMMYFUNCTION("""COMPUTED_VALUE"""),5200)</f>
        <v>5200</v>
      </c>
      <c r="D465" s="2">
        <f ca="1">IFERROR(__xludf.DUMMYFUNCTION("""COMPUTED_VALUE"""),5075)</f>
        <v>5075</v>
      </c>
      <c r="E465" s="2">
        <f ca="1">IFERROR(__xludf.DUMMYFUNCTION("""COMPUTED_VALUE"""),5162.5)</f>
        <v>5162.5</v>
      </c>
      <c r="F465" s="2">
        <f ca="1">IFERROR(__xludf.DUMMYFUNCTION("""COMPUTED_VALUE"""),20759300)</f>
        <v>20759300</v>
      </c>
    </row>
    <row r="466" spans="1:6">
      <c r="A466" s="1">
        <f ca="1">IFERROR(__xludf.DUMMYFUNCTION("""COMPUTED_VALUE"""),42704.625)</f>
        <v>42704.625</v>
      </c>
      <c r="B466" s="2">
        <f ca="1">IFERROR(__xludf.DUMMYFUNCTION("""COMPUTED_VALUE"""),5200)</f>
        <v>5200</v>
      </c>
      <c r="C466" s="2">
        <f ca="1">IFERROR(__xludf.DUMMYFUNCTION("""COMPUTED_VALUE"""),5312.5)</f>
        <v>5312.5</v>
      </c>
      <c r="D466" s="2">
        <f ca="1">IFERROR(__xludf.DUMMYFUNCTION("""COMPUTED_VALUE"""),5200)</f>
        <v>5200</v>
      </c>
      <c r="E466" s="2">
        <f ca="1">IFERROR(__xludf.DUMMYFUNCTION("""COMPUTED_VALUE"""),5250)</f>
        <v>5250</v>
      </c>
      <c r="F466" s="2">
        <f ca="1">IFERROR(__xludf.DUMMYFUNCTION("""COMPUTED_VALUE"""),39406600)</f>
        <v>39406600</v>
      </c>
    </row>
    <row r="467" spans="1:6">
      <c r="A467" s="1">
        <f ca="1">IFERROR(__xludf.DUMMYFUNCTION("""COMPUTED_VALUE"""),42705.625)</f>
        <v>42705.625</v>
      </c>
      <c r="B467" s="2">
        <f ca="1">IFERROR(__xludf.DUMMYFUNCTION("""COMPUTED_VALUE"""),5250)</f>
        <v>5250</v>
      </c>
      <c r="C467" s="2">
        <f ca="1">IFERROR(__xludf.DUMMYFUNCTION("""COMPUTED_VALUE"""),5350)</f>
        <v>5350</v>
      </c>
      <c r="D467" s="2">
        <f ca="1">IFERROR(__xludf.DUMMYFUNCTION("""COMPUTED_VALUE"""),5250)</f>
        <v>5250</v>
      </c>
      <c r="E467" s="2">
        <f ca="1">IFERROR(__xludf.DUMMYFUNCTION("""COMPUTED_VALUE"""),5250)</f>
        <v>5250</v>
      </c>
      <c r="F467" s="2">
        <f ca="1">IFERROR(__xludf.DUMMYFUNCTION("""COMPUTED_VALUE"""),28209100)</f>
        <v>28209100</v>
      </c>
    </row>
    <row r="468" spans="1:6">
      <c r="A468" s="1">
        <f ca="1">IFERROR(__xludf.DUMMYFUNCTION("""COMPUTED_VALUE"""),42706.625)</f>
        <v>42706.625</v>
      </c>
      <c r="B468" s="2">
        <f ca="1">IFERROR(__xludf.DUMMYFUNCTION("""COMPUTED_VALUE"""),5325)</f>
        <v>5325</v>
      </c>
      <c r="C468" s="2">
        <f ca="1">IFERROR(__xludf.DUMMYFUNCTION("""COMPUTED_VALUE"""),5387.5)</f>
        <v>5387.5</v>
      </c>
      <c r="D468" s="2">
        <f ca="1">IFERROR(__xludf.DUMMYFUNCTION("""COMPUTED_VALUE"""),5250)</f>
        <v>5250</v>
      </c>
      <c r="E468" s="2">
        <f ca="1">IFERROR(__xludf.DUMMYFUNCTION("""COMPUTED_VALUE"""),5350)</f>
        <v>5350</v>
      </c>
      <c r="F468" s="2">
        <f ca="1">IFERROR(__xludf.DUMMYFUNCTION("""COMPUTED_VALUE"""),18653200)</f>
        <v>18653200</v>
      </c>
    </row>
    <row r="469" spans="1:6">
      <c r="A469" s="1">
        <f ca="1">IFERROR(__xludf.DUMMYFUNCTION("""COMPUTED_VALUE"""),42709.625)</f>
        <v>42709.625</v>
      </c>
      <c r="B469" s="2">
        <f ca="1">IFERROR(__xludf.DUMMYFUNCTION("""COMPUTED_VALUE"""),5300)</f>
        <v>5300</v>
      </c>
      <c r="C469" s="2">
        <f ca="1">IFERROR(__xludf.DUMMYFUNCTION("""COMPUTED_VALUE"""),5362.5)</f>
        <v>5362.5</v>
      </c>
      <c r="D469" s="2">
        <f ca="1">IFERROR(__xludf.DUMMYFUNCTION("""COMPUTED_VALUE"""),5300)</f>
        <v>5300</v>
      </c>
      <c r="E469" s="2">
        <f ca="1">IFERROR(__xludf.DUMMYFUNCTION("""COMPUTED_VALUE"""),5325)</f>
        <v>5325</v>
      </c>
      <c r="F469" s="2">
        <f ca="1">IFERROR(__xludf.DUMMYFUNCTION("""COMPUTED_VALUE"""),10777800)</f>
        <v>10777800</v>
      </c>
    </row>
    <row r="470" spans="1:6">
      <c r="A470" s="1">
        <f ca="1">IFERROR(__xludf.DUMMYFUNCTION("""COMPUTED_VALUE"""),42710.625)</f>
        <v>42710.625</v>
      </c>
      <c r="B470" s="2">
        <f ca="1">IFERROR(__xludf.DUMMYFUNCTION("""COMPUTED_VALUE"""),5400)</f>
        <v>5400</v>
      </c>
      <c r="C470" s="2">
        <f ca="1">IFERROR(__xludf.DUMMYFUNCTION("""COMPUTED_VALUE"""),5412.5)</f>
        <v>5412.5</v>
      </c>
      <c r="D470" s="2">
        <f ca="1">IFERROR(__xludf.DUMMYFUNCTION("""COMPUTED_VALUE"""),5287.5)</f>
        <v>5287.5</v>
      </c>
      <c r="E470" s="2">
        <f ca="1">IFERROR(__xludf.DUMMYFUNCTION("""COMPUTED_VALUE"""),5325)</f>
        <v>5325</v>
      </c>
      <c r="F470" s="2">
        <f ca="1">IFERROR(__xludf.DUMMYFUNCTION("""COMPUTED_VALUE"""),23943500)</f>
        <v>23943500</v>
      </c>
    </row>
    <row r="471" spans="1:6">
      <c r="A471" s="1">
        <f ca="1">IFERROR(__xludf.DUMMYFUNCTION("""COMPUTED_VALUE"""),42711.625)</f>
        <v>42711.625</v>
      </c>
      <c r="B471" s="2">
        <f ca="1">IFERROR(__xludf.DUMMYFUNCTION("""COMPUTED_VALUE"""),5325)</f>
        <v>5325</v>
      </c>
      <c r="C471" s="2">
        <f ca="1">IFERROR(__xludf.DUMMYFUNCTION("""COMPUTED_VALUE"""),5350)</f>
        <v>5350</v>
      </c>
      <c r="D471" s="2">
        <f ca="1">IFERROR(__xludf.DUMMYFUNCTION("""COMPUTED_VALUE"""),5312.5)</f>
        <v>5312.5</v>
      </c>
      <c r="E471" s="2">
        <f ca="1">IFERROR(__xludf.DUMMYFUNCTION("""COMPUTED_VALUE"""),5350)</f>
        <v>5350</v>
      </c>
      <c r="F471" s="2">
        <f ca="1">IFERROR(__xludf.DUMMYFUNCTION("""COMPUTED_VALUE"""),10573300)</f>
        <v>10573300</v>
      </c>
    </row>
    <row r="472" spans="1:6">
      <c r="A472" s="1">
        <f ca="1">IFERROR(__xludf.DUMMYFUNCTION("""COMPUTED_VALUE"""),42712.625)</f>
        <v>42712.625</v>
      </c>
      <c r="B472" s="2">
        <f ca="1">IFERROR(__xludf.DUMMYFUNCTION("""COMPUTED_VALUE"""),5387.5)</f>
        <v>5387.5</v>
      </c>
      <c r="C472" s="2">
        <f ca="1">IFERROR(__xludf.DUMMYFUNCTION("""COMPUTED_VALUE"""),5475)</f>
        <v>5475</v>
      </c>
      <c r="D472" s="2">
        <f ca="1">IFERROR(__xludf.DUMMYFUNCTION("""COMPUTED_VALUE"""),5362.5)</f>
        <v>5362.5</v>
      </c>
      <c r="E472" s="2">
        <f ca="1">IFERROR(__xludf.DUMMYFUNCTION("""COMPUTED_VALUE"""),5475)</f>
        <v>5475</v>
      </c>
      <c r="F472" s="2">
        <f ca="1">IFERROR(__xludf.DUMMYFUNCTION("""COMPUTED_VALUE"""),15708900)</f>
        <v>15708900</v>
      </c>
    </row>
    <row r="473" spans="1:6">
      <c r="A473" s="1">
        <f ca="1">IFERROR(__xludf.DUMMYFUNCTION("""COMPUTED_VALUE"""),42713.625)</f>
        <v>42713.625</v>
      </c>
      <c r="B473" s="2">
        <f ca="1">IFERROR(__xludf.DUMMYFUNCTION("""COMPUTED_VALUE"""),5400)</f>
        <v>5400</v>
      </c>
      <c r="C473" s="2">
        <f ca="1">IFERROR(__xludf.DUMMYFUNCTION("""COMPUTED_VALUE"""),5500)</f>
        <v>5500</v>
      </c>
      <c r="D473" s="2">
        <f ca="1">IFERROR(__xludf.DUMMYFUNCTION("""COMPUTED_VALUE"""),5400)</f>
        <v>5400</v>
      </c>
      <c r="E473" s="2">
        <f ca="1">IFERROR(__xludf.DUMMYFUNCTION("""COMPUTED_VALUE"""),5487.5)</f>
        <v>5487.5</v>
      </c>
      <c r="F473" s="2">
        <f ca="1">IFERROR(__xludf.DUMMYFUNCTION("""COMPUTED_VALUE"""),16183700)</f>
        <v>16183700</v>
      </c>
    </row>
    <row r="474" spans="1:6">
      <c r="A474" s="1">
        <f ca="1">IFERROR(__xludf.DUMMYFUNCTION("""COMPUTED_VALUE"""),42717.625)</f>
        <v>42717.625</v>
      </c>
      <c r="B474" s="2">
        <f ca="1">IFERROR(__xludf.DUMMYFUNCTION("""COMPUTED_VALUE"""),5462.5)</f>
        <v>5462.5</v>
      </c>
      <c r="C474" s="2">
        <f ca="1">IFERROR(__xludf.DUMMYFUNCTION("""COMPUTED_VALUE"""),5462.5)</f>
        <v>5462.5</v>
      </c>
      <c r="D474" s="2">
        <f ca="1">IFERROR(__xludf.DUMMYFUNCTION("""COMPUTED_VALUE"""),5375)</f>
        <v>5375</v>
      </c>
      <c r="E474" s="2">
        <f ca="1">IFERROR(__xludf.DUMMYFUNCTION("""COMPUTED_VALUE"""),5412.5)</f>
        <v>5412.5</v>
      </c>
      <c r="F474" s="2">
        <f ca="1">IFERROR(__xludf.DUMMYFUNCTION("""COMPUTED_VALUE"""),13005800)</f>
        <v>13005800</v>
      </c>
    </row>
    <row r="475" spans="1:6">
      <c r="A475" s="1">
        <f ca="1">IFERROR(__xludf.DUMMYFUNCTION("""COMPUTED_VALUE"""),42718.625)</f>
        <v>42718.625</v>
      </c>
      <c r="B475" s="2">
        <f ca="1">IFERROR(__xludf.DUMMYFUNCTION("""COMPUTED_VALUE"""),5437.5)</f>
        <v>5437.5</v>
      </c>
      <c r="C475" s="2">
        <f ca="1">IFERROR(__xludf.DUMMYFUNCTION("""COMPUTED_VALUE"""),5487.5)</f>
        <v>5487.5</v>
      </c>
      <c r="D475" s="2">
        <f ca="1">IFERROR(__xludf.DUMMYFUNCTION("""COMPUTED_VALUE"""),5400)</f>
        <v>5400</v>
      </c>
      <c r="E475" s="2">
        <f ca="1">IFERROR(__xludf.DUMMYFUNCTION("""COMPUTED_VALUE"""),5437.5)</f>
        <v>5437.5</v>
      </c>
      <c r="F475" s="2">
        <f ca="1">IFERROR(__xludf.DUMMYFUNCTION("""COMPUTED_VALUE"""),10063100)</f>
        <v>10063100</v>
      </c>
    </row>
    <row r="476" spans="1:6">
      <c r="A476" s="1">
        <f ca="1">IFERROR(__xludf.DUMMYFUNCTION("""COMPUTED_VALUE"""),42719.625)</f>
        <v>42719.625</v>
      </c>
      <c r="B476" s="2">
        <f ca="1">IFERROR(__xludf.DUMMYFUNCTION("""COMPUTED_VALUE"""),5350)</f>
        <v>5350</v>
      </c>
      <c r="C476" s="2">
        <f ca="1">IFERROR(__xludf.DUMMYFUNCTION("""COMPUTED_VALUE"""),5425)</f>
        <v>5425</v>
      </c>
      <c r="D476" s="2">
        <f ca="1">IFERROR(__xludf.DUMMYFUNCTION("""COMPUTED_VALUE"""),5300)</f>
        <v>5300</v>
      </c>
      <c r="E476" s="2">
        <f ca="1">IFERROR(__xludf.DUMMYFUNCTION("""COMPUTED_VALUE"""),5400)</f>
        <v>5400</v>
      </c>
      <c r="F476" s="2">
        <f ca="1">IFERROR(__xludf.DUMMYFUNCTION("""COMPUTED_VALUE"""),13804600)</f>
        <v>13804600</v>
      </c>
    </row>
    <row r="477" spans="1:6">
      <c r="A477" s="1">
        <f ca="1">IFERROR(__xludf.DUMMYFUNCTION("""COMPUTED_VALUE"""),42720.625)</f>
        <v>42720.625</v>
      </c>
      <c r="B477" s="2">
        <f ca="1">IFERROR(__xludf.DUMMYFUNCTION("""COMPUTED_VALUE"""),5400)</f>
        <v>5400</v>
      </c>
      <c r="C477" s="2">
        <f ca="1">IFERROR(__xludf.DUMMYFUNCTION("""COMPUTED_VALUE"""),5425)</f>
        <v>5425</v>
      </c>
      <c r="D477" s="2">
        <f ca="1">IFERROR(__xludf.DUMMYFUNCTION("""COMPUTED_VALUE"""),5375)</f>
        <v>5375</v>
      </c>
      <c r="E477" s="2">
        <f ca="1">IFERROR(__xludf.DUMMYFUNCTION("""COMPUTED_VALUE"""),5375)</f>
        <v>5375</v>
      </c>
      <c r="F477" s="2">
        <f ca="1">IFERROR(__xludf.DUMMYFUNCTION("""COMPUTED_VALUE"""),17511200)</f>
        <v>17511200</v>
      </c>
    </row>
    <row r="478" spans="1:6">
      <c r="A478" s="1">
        <f ca="1">IFERROR(__xludf.DUMMYFUNCTION("""COMPUTED_VALUE"""),42723.625)</f>
        <v>42723.625</v>
      </c>
      <c r="B478" s="2">
        <f ca="1">IFERROR(__xludf.DUMMYFUNCTION("""COMPUTED_VALUE"""),5375)</f>
        <v>5375</v>
      </c>
      <c r="C478" s="2">
        <f ca="1">IFERROR(__xludf.DUMMYFUNCTION("""COMPUTED_VALUE"""),5450)</f>
        <v>5450</v>
      </c>
      <c r="D478" s="2">
        <f ca="1">IFERROR(__xludf.DUMMYFUNCTION("""COMPUTED_VALUE"""),5375)</f>
        <v>5375</v>
      </c>
      <c r="E478" s="2">
        <f ca="1">IFERROR(__xludf.DUMMYFUNCTION("""COMPUTED_VALUE"""),5412.5)</f>
        <v>5412.5</v>
      </c>
      <c r="F478" s="2">
        <f ca="1">IFERROR(__xludf.DUMMYFUNCTION("""COMPUTED_VALUE"""),5797200)</f>
        <v>5797200</v>
      </c>
    </row>
    <row r="479" spans="1:6">
      <c r="A479" s="1">
        <f ca="1">IFERROR(__xludf.DUMMYFUNCTION("""COMPUTED_VALUE"""),42724.625)</f>
        <v>42724.625</v>
      </c>
      <c r="B479" s="2">
        <f ca="1">IFERROR(__xludf.DUMMYFUNCTION("""COMPUTED_VALUE"""),5375)</f>
        <v>5375</v>
      </c>
      <c r="C479" s="2">
        <f ca="1">IFERROR(__xludf.DUMMYFUNCTION("""COMPUTED_VALUE"""),5437.5)</f>
        <v>5437.5</v>
      </c>
      <c r="D479" s="2">
        <f ca="1">IFERROR(__xludf.DUMMYFUNCTION("""COMPUTED_VALUE"""),5375)</f>
        <v>5375</v>
      </c>
      <c r="E479" s="2">
        <f ca="1">IFERROR(__xludf.DUMMYFUNCTION("""COMPUTED_VALUE"""),5400)</f>
        <v>5400</v>
      </c>
      <c r="F479" s="2">
        <f ca="1">IFERROR(__xludf.DUMMYFUNCTION("""COMPUTED_VALUE"""),8380400)</f>
        <v>8380400</v>
      </c>
    </row>
    <row r="480" spans="1:6">
      <c r="A480" s="1">
        <f ca="1">IFERROR(__xludf.DUMMYFUNCTION("""COMPUTED_VALUE"""),42725.625)</f>
        <v>42725.625</v>
      </c>
      <c r="B480" s="2">
        <f ca="1">IFERROR(__xludf.DUMMYFUNCTION("""COMPUTED_VALUE"""),5375)</f>
        <v>5375</v>
      </c>
      <c r="C480" s="2">
        <f ca="1">IFERROR(__xludf.DUMMYFUNCTION("""COMPUTED_VALUE"""),5412.5)</f>
        <v>5412.5</v>
      </c>
      <c r="D480" s="2">
        <f ca="1">IFERROR(__xludf.DUMMYFUNCTION("""COMPUTED_VALUE"""),5375)</f>
        <v>5375</v>
      </c>
      <c r="E480" s="2">
        <f ca="1">IFERROR(__xludf.DUMMYFUNCTION("""COMPUTED_VALUE"""),5375)</f>
        <v>5375</v>
      </c>
      <c r="F480" s="2">
        <f ca="1">IFERROR(__xludf.DUMMYFUNCTION("""COMPUTED_VALUE"""),11567200)</f>
        <v>11567200</v>
      </c>
    </row>
    <row r="481" spans="1:6">
      <c r="A481" s="1">
        <f ca="1">IFERROR(__xludf.DUMMYFUNCTION("""COMPUTED_VALUE"""),42726.625)</f>
        <v>42726.625</v>
      </c>
      <c r="B481" s="2">
        <f ca="1">IFERROR(__xludf.DUMMYFUNCTION("""COMPUTED_VALUE"""),5375)</f>
        <v>5375</v>
      </c>
      <c r="C481" s="2">
        <f ca="1">IFERROR(__xludf.DUMMYFUNCTION("""COMPUTED_VALUE"""),5412.5)</f>
        <v>5412.5</v>
      </c>
      <c r="D481" s="2">
        <f ca="1">IFERROR(__xludf.DUMMYFUNCTION("""COMPUTED_VALUE"""),5350)</f>
        <v>5350</v>
      </c>
      <c r="E481" s="2">
        <f ca="1">IFERROR(__xludf.DUMMYFUNCTION("""COMPUTED_VALUE"""),5375)</f>
        <v>5375</v>
      </c>
      <c r="F481" s="2">
        <f ca="1">IFERROR(__xludf.DUMMYFUNCTION("""COMPUTED_VALUE"""),24280700)</f>
        <v>24280700</v>
      </c>
    </row>
    <row r="482" spans="1:6">
      <c r="A482" s="1">
        <f ca="1">IFERROR(__xludf.DUMMYFUNCTION("""COMPUTED_VALUE"""),42727.625)</f>
        <v>42727.625</v>
      </c>
      <c r="B482" s="2">
        <f ca="1">IFERROR(__xludf.DUMMYFUNCTION("""COMPUTED_VALUE"""),5375)</f>
        <v>5375</v>
      </c>
      <c r="C482" s="2">
        <f ca="1">IFERROR(__xludf.DUMMYFUNCTION("""COMPUTED_VALUE"""),5475)</f>
        <v>5475</v>
      </c>
      <c r="D482" s="2">
        <f ca="1">IFERROR(__xludf.DUMMYFUNCTION("""COMPUTED_VALUE"""),5362.5)</f>
        <v>5362.5</v>
      </c>
      <c r="E482" s="2">
        <f ca="1">IFERROR(__xludf.DUMMYFUNCTION("""COMPUTED_VALUE"""),5387.5)</f>
        <v>5387.5</v>
      </c>
      <c r="F482" s="2">
        <f ca="1">IFERROR(__xludf.DUMMYFUNCTION("""COMPUTED_VALUE"""),13642500)</f>
        <v>13642500</v>
      </c>
    </row>
    <row r="483" spans="1:6">
      <c r="A483" s="1">
        <f ca="1">IFERROR(__xludf.DUMMYFUNCTION("""COMPUTED_VALUE"""),42731.625)</f>
        <v>42731.625</v>
      </c>
      <c r="B483" s="2">
        <f ca="1">IFERROR(__xludf.DUMMYFUNCTION("""COMPUTED_VALUE"""),5387.5)</f>
        <v>5387.5</v>
      </c>
      <c r="C483" s="2">
        <f ca="1">IFERROR(__xludf.DUMMYFUNCTION("""COMPUTED_VALUE"""),5425)</f>
        <v>5425</v>
      </c>
      <c r="D483" s="2">
        <f ca="1">IFERROR(__xludf.DUMMYFUNCTION("""COMPUTED_VALUE"""),5375)</f>
        <v>5375</v>
      </c>
      <c r="E483" s="2">
        <f ca="1">IFERROR(__xludf.DUMMYFUNCTION("""COMPUTED_VALUE"""),5400)</f>
        <v>5400</v>
      </c>
      <c r="F483" s="2">
        <f ca="1">IFERROR(__xludf.DUMMYFUNCTION("""COMPUTED_VALUE"""),9662700)</f>
        <v>9662700</v>
      </c>
    </row>
    <row r="484" spans="1:6">
      <c r="A484" s="1">
        <f ca="1">IFERROR(__xludf.DUMMYFUNCTION("""COMPUTED_VALUE"""),42732.625)</f>
        <v>42732.625</v>
      </c>
      <c r="B484" s="2">
        <f ca="1">IFERROR(__xludf.DUMMYFUNCTION("""COMPUTED_VALUE"""),5475)</f>
        <v>5475</v>
      </c>
      <c r="C484" s="2">
        <f ca="1">IFERROR(__xludf.DUMMYFUNCTION("""COMPUTED_VALUE"""),5575)</f>
        <v>5575</v>
      </c>
      <c r="D484" s="2">
        <f ca="1">IFERROR(__xludf.DUMMYFUNCTION("""COMPUTED_VALUE"""),5437.5)</f>
        <v>5437.5</v>
      </c>
      <c r="E484" s="2">
        <f ca="1">IFERROR(__xludf.DUMMYFUNCTION("""COMPUTED_VALUE"""),5575)</f>
        <v>5575</v>
      </c>
      <c r="F484" s="2">
        <f ca="1">IFERROR(__xludf.DUMMYFUNCTION("""COMPUTED_VALUE"""),11864400)</f>
        <v>11864400</v>
      </c>
    </row>
    <row r="485" spans="1:6">
      <c r="A485" s="1">
        <f ca="1">IFERROR(__xludf.DUMMYFUNCTION("""COMPUTED_VALUE"""),42733.625)</f>
        <v>42733.625</v>
      </c>
      <c r="B485" s="2">
        <f ca="1">IFERROR(__xludf.DUMMYFUNCTION("""COMPUTED_VALUE"""),5600)</f>
        <v>5600</v>
      </c>
      <c r="C485" s="2">
        <f ca="1">IFERROR(__xludf.DUMMYFUNCTION("""COMPUTED_VALUE"""),5787.5)</f>
        <v>5787.5</v>
      </c>
      <c r="D485" s="2">
        <f ca="1">IFERROR(__xludf.DUMMYFUNCTION("""COMPUTED_VALUE"""),5550)</f>
        <v>5550</v>
      </c>
      <c r="E485" s="2">
        <f ca="1">IFERROR(__xludf.DUMMYFUNCTION("""COMPUTED_VALUE"""),5787.5)</f>
        <v>5787.5</v>
      </c>
      <c r="F485" s="2">
        <f ca="1">IFERROR(__xludf.DUMMYFUNCTION("""COMPUTED_VALUE"""),19487800)</f>
        <v>19487800</v>
      </c>
    </row>
    <row r="486" spans="1:6">
      <c r="A486" s="1">
        <f ca="1">IFERROR(__xludf.DUMMYFUNCTION("""COMPUTED_VALUE"""),42734.625)</f>
        <v>42734.625</v>
      </c>
      <c r="B486" s="2">
        <f ca="1">IFERROR(__xludf.DUMMYFUNCTION("""COMPUTED_VALUE"""),5787.5)</f>
        <v>5787.5</v>
      </c>
      <c r="C486" s="2">
        <f ca="1">IFERROR(__xludf.DUMMYFUNCTION("""COMPUTED_VALUE"""),5862.5)</f>
        <v>5862.5</v>
      </c>
      <c r="D486" s="2">
        <f ca="1">IFERROR(__xludf.DUMMYFUNCTION("""COMPUTED_VALUE"""),5675)</f>
        <v>5675</v>
      </c>
      <c r="E486" s="2">
        <f ca="1">IFERROR(__xludf.DUMMYFUNCTION("""COMPUTED_VALUE"""),5787.5)</f>
        <v>5787.5</v>
      </c>
      <c r="F486" s="2">
        <f ca="1">IFERROR(__xludf.DUMMYFUNCTION("""COMPUTED_VALUE"""),34034900)</f>
        <v>34034900</v>
      </c>
    </row>
    <row r="487" spans="1:6">
      <c r="A487" s="1">
        <f ca="1">IFERROR(__xludf.DUMMYFUNCTION("""COMPUTED_VALUE"""),42738.625)</f>
        <v>42738.625</v>
      </c>
      <c r="B487" s="2">
        <f ca="1">IFERROR(__xludf.DUMMYFUNCTION("""COMPUTED_VALUE"""),5787.5)</f>
        <v>5787.5</v>
      </c>
      <c r="C487" s="2">
        <f ca="1">IFERROR(__xludf.DUMMYFUNCTION("""COMPUTED_VALUE"""),5787.5)</f>
        <v>5787.5</v>
      </c>
      <c r="D487" s="2">
        <f ca="1">IFERROR(__xludf.DUMMYFUNCTION("""COMPUTED_VALUE"""),5600)</f>
        <v>5600</v>
      </c>
      <c r="E487" s="2">
        <f ca="1">IFERROR(__xludf.DUMMYFUNCTION("""COMPUTED_VALUE"""),5650)</f>
        <v>5650</v>
      </c>
      <c r="F487" s="2">
        <f ca="1">IFERROR(__xludf.DUMMYFUNCTION("""COMPUTED_VALUE"""),12603000)</f>
        <v>12603000</v>
      </c>
    </row>
    <row r="488" spans="1:6">
      <c r="A488" s="1">
        <f ca="1">IFERROR(__xludf.DUMMYFUNCTION("""COMPUTED_VALUE"""),42739.625)</f>
        <v>42739.625</v>
      </c>
      <c r="B488" s="2">
        <f ca="1">IFERROR(__xludf.DUMMYFUNCTION("""COMPUTED_VALUE"""),5650)</f>
        <v>5650</v>
      </c>
      <c r="C488" s="2">
        <f ca="1">IFERROR(__xludf.DUMMYFUNCTION("""COMPUTED_VALUE"""),5675)</f>
        <v>5675</v>
      </c>
      <c r="D488" s="2">
        <f ca="1">IFERROR(__xludf.DUMMYFUNCTION("""COMPUTED_VALUE"""),5562.5)</f>
        <v>5562.5</v>
      </c>
      <c r="E488" s="2">
        <f ca="1">IFERROR(__xludf.DUMMYFUNCTION("""COMPUTED_VALUE"""),5675)</f>
        <v>5675</v>
      </c>
      <c r="F488" s="2">
        <f ca="1">IFERROR(__xludf.DUMMYFUNCTION("""COMPUTED_VALUE"""),10277600)</f>
        <v>10277600</v>
      </c>
    </row>
    <row r="489" spans="1:6">
      <c r="A489" s="1">
        <f ca="1">IFERROR(__xludf.DUMMYFUNCTION("""COMPUTED_VALUE"""),42740.625)</f>
        <v>42740.625</v>
      </c>
      <c r="B489" s="2">
        <f ca="1">IFERROR(__xludf.DUMMYFUNCTION("""COMPUTED_VALUE"""),5600)</f>
        <v>5600</v>
      </c>
      <c r="C489" s="2">
        <f ca="1">IFERROR(__xludf.DUMMYFUNCTION("""COMPUTED_VALUE"""),5662.5)</f>
        <v>5662.5</v>
      </c>
      <c r="D489" s="2">
        <f ca="1">IFERROR(__xludf.DUMMYFUNCTION("""COMPUTED_VALUE"""),5575)</f>
        <v>5575</v>
      </c>
      <c r="E489" s="2">
        <f ca="1">IFERROR(__xludf.DUMMYFUNCTION("""COMPUTED_VALUE"""),5625)</f>
        <v>5625</v>
      </c>
      <c r="F489" s="2">
        <f ca="1">IFERROR(__xludf.DUMMYFUNCTION("""COMPUTED_VALUE"""),16638600)</f>
        <v>16638600</v>
      </c>
    </row>
    <row r="490" spans="1:6">
      <c r="A490" s="1">
        <f ca="1">IFERROR(__xludf.DUMMYFUNCTION("""COMPUTED_VALUE"""),42741.625)</f>
        <v>42741.625</v>
      </c>
      <c r="B490" s="2">
        <f ca="1">IFERROR(__xludf.DUMMYFUNCTION("""COMPUTED_VALUE"""),5675)</f>
        <v>5675</v>
      </c>
      <c r="C490" s="2">
        <f ca="1">IFERROR(__xludf.DUMMYFUNCTION("""COMPUTED_VALUE"""),5712.5)</f>
        <v>5712.5</v>
      </c>
      <c r="D490" s="2">
        <f ca="1">IFERROR(__xludf.DUMMYFUNCTION("""COMPUTED_VALUE"""),5637.5)</f>
        <v>5637.5</v>
      </c>
      <c r="E490" s="2">
        <f ca="1">IFERROR(__xludf.DUMMYFUNCTION("""COMPUTED_VALUE"""),5687.5)</f>
        <v>5687.5</v>
      </c>
      <c r="F490" s="2">
        <f ca="1">IFERROR(__xludf.DUMMYFUNCTION("""COMPUTED_VALUE"""),13584400)</f>
        <v>13584400</v>
      </c>
    </row>
    <row r="491" spans="1:6">
      <c r="A491" s="1">
        <f ca="1">IFERROR(__xludf.DUMMYFUNCTION("""COMPUTED_VALUE"""),42744.625)</f>
        <v>42744.625</v>
      </c>
      <c r="B491" s="2">
        <f ca="1">IFERROR(__xludf.DUMMYFUNCTION("""COMPUTED_VALUE"""),5712.5)</f>
        <v>5712.5</v>
      </c>
      <c r="C491" s="2">
        <f ca="1">IFERROR(__xludf.DUMMYFUNCTION("""COMPUTED_VALUE"""),5712.5)</f>
        <v>5712.5</v>
      </c>
      <c r="D491" s="2">
        <f ca="1">IFERROR(__xludf.DUMMYFUNCTION("""COMPUTED_VALUE"""),5612.5)</f>
        <v>5612.5</v>
      </c>
      <c r="E491" s="2">
        <f ca="1">IFERROR(__xludf.DUMMYFUNCTION("""COMPUTED_VALUE"""),5637.5)</f>
        <v>5637.5</v>
      </c>
      <c r="F491" s="2">
        <f ca="1">IFERROR(__xludf.DUMMYFUNCTION("""COMPUTED_VALUE"""),9087300)</f>
        <v>9087300</v>
      </c>
    </row>
    <row r="492" spans="1:6">
      <c r="A492" s="1">
        <f ca="1">IFERROR(__xludf.DUMMYFUNCTION("""COMPUTED_VALUE"""),42745.625)</f>
        <v>42745.625</v>
      </c>
      <c r="B492" s="2">
        <f ca="1">IFERROR(__xludf.DUMMYFUNCTION("""COMPUTED_VALUE"""),5687.5)</f>
        <v>5687.5</v>
      </c>
      <c r="C492" s="2">
        <f ca="1">IFERROR(__xludf.DUMMYFUNCTION("""COMPUTED_VALUE"""),5700)</f>
        <v>5700</v>
      </c>
      <c r="D492" s="2">
        <f ca="1">IFERROR(__xludf.DUMMYFUNCTION("""COMPUTED_VALUE"""),5625)</f>
        <v>5625</v>
      </c>
      <c r="E492" s="2">
        <f ca="1">IFERROR(__xludf.DUMMYFUNCTION("""COMPUTED_VALUE"""),5700)</f>
        <v>5700</v>
      </c>
      <c r="F492" s="2">
        <f ca="1">IFERROR(__xludf.DUMMYFUNCTION("""COMPUTED_VALUE"""),6201200)</f>
        <v>6201200</v>
      </c>
    </row>
    <row r="493" spans="1:6">
      <c r="A493" s="1">
        <f ca="1">IFERROR(__xludf.DUMMYFUNCTION("""COMPUTED_VALUE"""),42746.625)</f>
        <v>42746.625</v>
      </c>
      <c r="B493" s="2">
        <f ca="1">IFERROR(__xludf.DUMMYFUNCTION("""COMPUTED_VALUE"""),5712.5)</f>
        <v>5712.5</v>
      </c>
      <c r="C493" s="2">
        <f ca="1">IFERROR(__xludf.DUMMYFUNCTION("""COMPUTED_VALUE"""),5800)</f>
        <v>5800</v>
      </c>
      <c r="D493" s="2">
        <f ca="1">IFERROR(__xludf.DUMMYFUNCTION("""COMPUTED_VALUE"""),5687.5)</f>
        <v>5687.5</v>
      </c>
      <c r="E493" s="2">
        <f ca="1">IFERROR(__xludf.DUMMYFUNCTION("""COMPUTED_VALUE"""),5687.5)</f>
        <v>5687.5</v>
      </c>
      <c r="F493" s="2">
        <f ca="1">IFERROR(__xludf.DUMMYFUNCTION("""COMPUTED_VALUE"""),17181800)</f>
        <v>17181800</v>
      </c>
    </row>
    <row r="494" spans="1:6">
      <c r="A494" s="1">
        <f ca="1">IFERROR(__xludf.DUMMYFUNCTION("""COMPUTED_VALUE"""),42747.625)</f>
        <v>42747.625</v>
      </c>
      <c r="B494" s="2">
        <f ca="1">IFERROR(__xludf.DUMMYFUNCTION("""COMPUTED_VALUE"""),5700)</f>
        <v>5700</v>
      </c>
      <c r="C494" s="2">
        <f ca="1">IFERROR(__xludf.DUMMYFUNCTION("""COMPUTED_VALUE"""),5737.5)</f>
        <v>5737.5</v>
      </c>
      <c r="D494" s="2">
        <f ca="1">IFERROR(__xludf.DUMMYFUNCTION("""COMPUTED_VALUE"""),5650)</f>
        <v>5650</v>
      </c>
      <c r="E494" s="2">
        <f ca="1">IFERROR(__xludf.DUMMYFUNCTION("""COMPUTED_VALUE"""),5650)</f>
        <v>5650</v>
      </c>
      <c r="F494" s="2">
        <f ca="1">IFERROR(__xludf.DUMMYFUNCTION("""COMPUTED_VALUE"""),7284000)</f>
        <v>7284000</v>
      </c>
    </row>
    <row r="495" spans="1:6">
      <c r="A495" s="1">
        <f ca="1">IFERROR(__xludf.DUMMYFUNCTION("""COMPUTED_VALUE"""),42748.625)</f>
        <v>42748.625</v>
      </c>
      <c r="B495" s="2">
        <f ca="1">IFERROR(__xludf.DUMMYFUNCTION("""COMPUTED_VALUE"""),5737.5)</f>
        <v>5737.5</v>
      </c>
      <c r="C495" s="2">
        <f ca="1">IFERROR(__xludf.DUMMYFUNCTION("""COMPUTED_VALUE"""),5737.5)</f>
        <v>5737.5</v>
      </c>
      <c r="D495" s="2">
        <f ca="1">IFERROR(__xludf.DUMMYFUNCTION("""COMPUTED_VALUE"""),5550)</f>
        <v>5550</v>
      </c>
      <c r="E495" s="2">
        <f ca="1">IFERROR(__xludf.DUMMYFUNCTION("""COMPUTED_VALUE"""),5550)</f>
        <v>5550</v>
      </c>
      <c r="F495" s="2">
        <f ca="1">IFERROR(__xludf.DUMMYFUNCTION("""COMPUTED_VALUE"""),14057200)</f>
        <v>14057200</v>
      </c>
    </row>
    <row r="496" spans="1:6">
      <c r="A496" s="1">
        <f ca="1">IFERROR(__xludf.DUMMYFUNCTION("""COMPUTED_VALUE"""),42751.625)</f>
        <v>42751.625</v>
      </c>
      <c r="B496" s="2">
        <f ca="1">IFERROR(__xludf.DUMMYFUNCTION("""COMPUTED_VALUE"""),5625)</f>
        <v>5625</v>
      </c>
      <c r="C496" s="2">
        <f ca="1">IFERROR(__xludf.DUMMYFUNCTION("""COMPUTED_VALUE"""),5625)</f>
        <v>5625</v>
      </c>
      <c r="D496" s="2">
        <f ca="1">IFERROR(__xludf.DUMMYFUNCTION("""COMPUTED_VALUE"""),5450)</f>
        <v>5450</v>
      </c>
      <c r="E496" s="2">
        <f ca="1">IFERROR(__xludf.DUMMYFUNCTION("""COMPUTED_VALUE"""),5462.5)</f>
        <v>5462.5</v>
      </c>
      <c r="F496" s="2">
        <f ca="1">IFERROR(__xludf.DUMMYFUNCTION("""COMPUTED_VALUE"""),19407300)</f>
        <v>19407300</v>
      </c>
    </row>
    <row r="497" spans="1:6">
      <c r="A497" s="1">
        <f ca="1">IFERROR(__xludf.DUMMYFUNCTION("""COMPUTED_VALUE"""),42752.625)</f>
        <v>42752.625</v>
      </c>
      <c r="B497" s="2">
        <f ca="1">IFERROR(__xludf.DUMMYFUNCTION("""COMPUTED_VALUE"""),5450)</f>
        <v>5450</v>
      </c>
      <c r="C497" s="2">
        <f ca="1">IFERROR(__xludf.DUMMYFUNCTION("""COMPUTED_VALUE"""),5512.5)</f>
        <v>5512.5</v>
      </c>
      <c r="D497" s="2">
        <f ca="1">IFERROR(__xludf.DUMMYFUNCTION("""COMPUTED_VALUE"""),5450)</f>
        <v>5450</v>
      </c>
      <c r="E497" s="2">
        <f ca="1">IFERROR(__xludf.DUMMYFUNCTION("""COMPUTED_VALUE"""),5462.5)</f>
        <v>5462.5</v>
      </c>
      <c r="F497" s="2">
        <f ca="1">IFERROR(__xludf.DUMMYFUNCTION("""COMPUTED_VALUE"""),15511300)</f>
        <v>15511300</v>
      </c>
    </row>
    <row r="498" spans="1:6">
      <c r="A498" s="1">
        <f ca="1">IFERROR(__xludf.DUMMYFUNCTION("""COMPUTED_VALUE"""),42753.625)</f>
        <v>42753.625</v>
      </c>
      <c r="B498" s="2">
        <f ca="1">IFERROR(__xludf.DUMMYFUNCTION("""COMPUTED_VALUE"""),5500)</f>
        <v>5500</v>
      </c>
      <c r="C498" s="2">
        <f ca="1">IFERROR(__xludf.DUMMYFUNCTION("""COMPUTED_VALUE"""),5562.5)</f>
        <v>5562.5</v>
      </c>
      <c r="D498" s="2">
        <f ca="1">IFERROR(__xludf.DUMMYFUNCTION("""COMPUTED_VALUE"""),5475)</f>
        <v>5475</v>
      </c>
      <c r="E498" s="2">
        <f ca="1">IFERROR(__xludf.DUMMYFUNCTION("""COMPUTED_VALUE"""),5525)</f>
        <v>5525</v>
      </c>
      <c r="F498" s="2">
        <f ca="1">IFERROR(__xludf.DUMMYFUNCTION("""COMPUTED_VALUE"""),23671800)</f>
        <v>23671800</v>
      </c>
    </row>
    <row r="499" spans="1:6">
      <c r="A499" s="1">
        <f ca="1">IFERROR(__xludf.DUMMYFUNCTION("""COMPUTED_VALUE"""),42754.625)</f>
        <v>42754.625</v>
      </c>
      <c r="B499" s="2">
        <f ca="1">IFERROR(__xludf.DUMMYFUNCTION("""COMPUTED_VALUE"""),5550)</f>
        <v>5550</v>
      </c>
      <c r="C499" s="2">
        <f ca="1">IFERROR(__xludf.DUMMYFUNCTION("""COMPUTED_VALUE"""),5587.5)</f>
        <v>5587.5</v>
      </c>
      <c r="D499" s="2">
        <f ca="1">IFERROR(__xludf.DUMMYFUNCTION("""COMPUTED_VALUE"""),5500)</f>
        <v>5500</v>
      </c>
      <c r="E499" s="2">
        <f ca="1">IFERROR(__xludf.DUMMYFUNCTION("""COMPUTED_VALUE"""),5525)</f>
        <v>5525</v>
      </c>
      <c r="F499" s="2">
        <f ca="1">IFERROR(__xludf.DUMMYFUNCTION("""COMPUTED_VALUE"""),18186000)</f>
        <v>18186000</v>
      </c>
    </row>
    <row r="500" spans="1:6">
      <c r="A500" s="1">
        <f ca="1">IFERROR(__xludf.DUMMYFUNCTION("""COMPUTED_VALUE"""),42755.625)</f>
        <v>42755.625</v>
      </c>
      <c r="B500" s="2">
        <f ca="1">IFERROR(__xludf.DUMMYFUNCTION("""COMPUTED_VALUE"""),5525)</f>
        <v>5525</v>
      </c>
      <c r="C500" s="2">
        <f ca="1">IFERROR(__xludf.DUMMYFUNCTION("""COMPUTED_VALUE"""),5537.5)</f>
        <v>5537.5</v>
      </c>
      <c r="D500" s="2">
        <f ca="1">IFERROR(__xludf.DUMMYFUNCTION("""COMPUTED_VALUE"""),5475)</f>
        <v>5475</v>
      </c>
      <c r="E500" s="2">
        <f ca="1">IFERROR(__xludf.DUMMYFUNCTION("""COMPUTED_VALUE"""),5500)</f>
        <v>5500</v>
      </c>
      <c r="F500" s="2">
        <f ca="1">IFERROR(__xludf.DUMMYFUNCTION("""COMPUTED_VALUE"""),10001800)</f>
        <v>10001800</v>
      </c>
    </row>
    <row r="501" spans="1:6">
      <c r="A501" s="1">
        <f ca="1">IFERROR(__xludf.DUMMYFUNCTION("""COMPUTED_VALUE"""),42758.625)</f>
        <v>42758.625</v>
      </c>
      <c r="B501" s="2">
        <f ca="1">IFERROR(__xludf.DUMMYFUNCTION("""COMPUTED_VALUE"""),5450)</f>
        <v>5450</v>
      </c>
      <c r="C501" s="2">
        <f ca="1">IFERROR(__xludf.DUMMYFUNCTION("""COMPUTED_VALUE"""),5525)</f>
        <v>5525</v>
      </c>
      <c r="D501" s="2">
        <f ca="1">IFERROR(__xludf.DUMMYFUNCTION("""COMPUTED_VALUE"""),5450)</f>
        <v>5450</v>
      </c>
      <c r="E501" s="2">
        <f ca="1">IFERROR(__xludf.DUMMYFUNCTION("""COMPUTED_VALUE"""),5487.5)</f>
        <v>5487.5</v>
      </c>
      <c r="F501" s="2">
        <f ca="1">IFERROR(__xludf.DUMMYFUNCTION("""COMPUTED_VALUE"""),4172700)</f>
        <v>4172700</v>
      </c>
    </row>
    <row r="502" spans="1:6">
      <c r="A502" s="1">
        <f ca="1">IFERROR(__xludf.DUMMYFUNCTION("""COMPUTED_VALUE"""),42759.625)</f>
        <v>42759.625</v>
      </c>
      <c r="B502" s="2">
        <f ca="1">IFERROR(__xludf.DUMMYFUNCTION("""COMPUTED_VALUE"""),5500)</f>
        <v>5500</v>
      </c>
      <c r="C502" s="2">
        <f ca="1">IFERROR(__xludf.DUMMYFUNCTION("""COMPUTED_VALUE"""),5525)</f>
        <v>5525</v>
      </c>
      <c r="D502" s="2">
        <f ca="1">IFERROR(__xludf.DUMMYFUNCTION("""COMPUTED_VALUE"""),5475)</f>
        <v>5475</v>
      </c>
      <c r="E502" s="2">
        <f ca="1">IFERROR(__xludf.DUMMYFUNCTION("""COMPUTED_VALUE"""),5500)</f>
        <v>5500</v>
      </c>
      <c r="F502" s="2">
        <f ca="1">IFERROR(__xludf.DUMMYFUNCTION("""COMPUTED_VALUE"""),20818600)</f>
        <v>20818600</v>
      </c>
    </row>
    <row r="503" spans="1:6">
      <c r="A503" s="1">
        <f ca="1">IFERROR(__xludf.DUMMYFUNCTION("""COMPUTED_VALUE"""),42760.625)</f>
        <v>42760.625</v>
      </c>
      <c r="B503" s="2">
        <f ca="1">IFERROR(__xludf.DUMMYFUNCTION("""COMPUTED_VALUE"""),5500)</f>
        <v>5500</v>
      </c>
      <c r="C503" s="2">
        <f ca="1">IFERROR(__xludf.DUMMYFUNCTION("""COMPUTED_VALUE"""),5525)</f>
        <v>5525</v>
      </c>
      <c r="D503" s="2">
        <f ca="1">IFERROR(__xludf.DUMMYFUNCTION("""COMPUTED_VALUE"""),5487.5)</f>
        <v>5487.5</v>
      </c>
      <c r="E503" s="2">
        <f ca="1">IFERROR(__xludf.DUMMYFUNCTION("""COMPUTED_VALUE"""),5500)</f>
        <v>5500</v>
      </c>
      <c r="F503" s="2">
        <f ca="1">IFERROR(__xludf.DUMMYFUNCTION("""COMPUTED_VALUE"""),19137500)</f>
        <v>19137500</v>
      </c>
    </row>
    <row r="504" spans="1:6">
      <c r="A504" s="1">
        <f ca="1">IFERROR(__xludf.DUMMYFUNCTION("""COMPUTED_VALUE"""),42761.625)</f>
        <v>42761.625</v>
      </c>
      <c r="B504" s="2">
        <f ca="1">IFERROR(__xludf.DUMMYFUNCTION("""COMPUTED_VALUE"""),5475)</f>
        <v>5475</v>
      </c>
      <c r="C504" s="2">
        <f ca="1">IFERROR(__xludf.DUMMYFUNCTION("""COMPUTED_VALUE"""),5512.5)</f>
        <v>5512.5</v>
      </c>
      <c r="D504" s="2">
        <f ca="1">IFERROR(__xludf.DUMMYFUNCTION("""COMPUTED_VALUE"""),5450)</f>
        <v>5450</v>
      </c>
      <c r="E504" s="2">
        <f ca="1">IFERROR(__xludf.DUMMYFUNCTION("""COMPUTED_VALUE"""),5450)</f>
        <v>5450</v>
      </c>
      <c r="F504" s="2">
        <f ca="1">IFERROR(__xludf.DUMMYFUNCTION("""COMPUTED_VALUE"""),12361500)</f>
        <v>12361500</v>
      </c>
    </row>
    <row r="505" spans="1:6">
      <c r="A505" s="1">
        <f ca="1">IFERROR(__xludf.DUMMYFUNCTION("""COMPUTED_VALUE"""),42762.625)</f>
        <v>42762.625</v>
      </c>
      <c r="B505" s="2">
        <f ca="1">IFERROR(__xludf.DUMMYFUNCTION("""COMPUTED_VALUE"""),5487.5)</f>
        <v>5487.5</v>
      </c>
      <c r="C505" s="2">
        <f ca="1">IFERROR(__xludf.DUMMYFUNCTION("""COMPUTED_VALUE"""),5512.5)</f>
        <v>5512.5</v>
      </c>
      <c r="D505" s="2">
        <f ca="1">IFERROR(__xludf.DUMMYFUNCTION("""COMPUTED_VALUE"""),5475)</f>
        <v>5475</v>
      </c>
      <c r="E505" s="2">
        <f ca="1">IFERROR(__xludf.DUMMYFUNCTION("""COMPUTED_VALUE"""),5487.5)</f>
        <v>5487.5</v>
      </c>
      <c r="F505" s="2">
        <f ca="1">IFERROR(__xludf.DUMMYFUNCTION("""COMPUTED_VALUE"""),6043700)</f>
        <v>6043700</v>
      </c>
    </row>
    <row r="506" spans="1:6">
      <c r="A506" s="1">
        <f ca="1">IFERROR(__xludf.DUMMYFUNCTION("""COMPUTED_VALUE"""),42765.625)</f>
        <v>42765.625</v>
      </c>
      <c r="B506" s="2">
        <f ca="1">IFERROR(__xludf.DUMMYFUNCTION("""COMPUTED_VALUE"""),5525)</f>
        <v>5525</v>
      </c>
      <c r="C506" s="2">
        <f ca="1">IFERROR(__xludf.DUMMYFUNCTION("""COMPUTED_VALUE"""),5537.5)</f>
        <v>5537.5</v>
      </c>
      <c r="D506" s="2">
        <f ca="1">IFERROR(__xludf.DUMMYFUNCTION("""COMPUTED_VALUE"""),5487.5)</f>
        <v>5487.5</v>
      </c>
      <c r="E506" s="2">
        <f ca="1">IFERROR(__xludf.DUMMYFUNCTION("""COMPUTED_VALUE"""),5512.5)</f>
        <v>5512.5</v>
      </c>
      <c r="F506" s="2">
        <f ca="1">IFERROR(__xludf.DUMMYFUNCTION("""COMPUTED_VALUE"""),8860100)</f>
        <v>8860100</v>
      </c>
    </row>
    <row r="507" spans="1:6">
      <c r="A507" s="1">
        <f ca="1">IFERROR(__xludf.DUMMYFUNCTION("""COMPUTED_VALUE"""),42766.625)</f>
        <v>42766.625</v>
      </c>
      <c r="B507" s="2">
        <f ca="1">IFERROR(__xludf.DUMMYFUNCTION("""COMPUTED_VALUE"""),5487.5)</f>
        <v>5487.5</v>
      </c>
      <c r="C507" s="2">
        <f ca="1">IFERROR(__xludf.DUMMYFUNCTION("""COMPUTED_VALUE"""),5512.5)</f>
        <v>5512.5</v>
      </c>
      <c r="D507" s="2">
        <f ca="1">IFERROR(__xludf.DUMMYFUNCTION("""COMPUTED_VALUE"""),5450)</f>
        <v>5450</v>
      </c>
      <c r="E507" s="2">
        <f ca="1">IFERROR(__xludf.DUMMYFUNCTION("""COMPUTED_VALUE"""),5450)</f>
        <v>5450</v>
      </c>
      <c r="F507" s="2">
        <f ca="1">IFERROR(__xludf.DUMMYFUNCTION("""COMPUTED_VALUE"""),9513900)</f>
        <v>9513900</v>
      </c>
    </row>
    <row r="508" spans="1:6">
      <c r="A508" s="1">
        <f ca="1">IFERROR(__xludf.DUMMYFUNCTION("""COMPUTED_VALUE"""),42767.625)</f>
        <v>42767.625</v>
      </c>
      <c r="B508" s="2">
        <f ca="1">IFERROR(__xludf.DUMMYFUNCTION("""COMPUTED_VALUE"""),5487.5)</f>
        <v>5487.5</v>
      </c>
      <c r="C508" s="2">
        <f ca="1">IFERROR(__xludf.DUMMYFUNCTION("""COMPUTED_VALUE"""),5512.5)</f>
        <v>5512.5</v>
      </c>
      <c r="D508" s="2">
        <f ca="1">IFERROR(__xludf.DUMMYFUNCTION("""COMPUTED_VALUE"""),5462.5)</f>
        <v>5462.5</v>
      </c>
      <c r="E508" s="2">
        <f ca="1">IFERROR(__xludf.DUMMYFUNCTION("""COMPUTED_VALUE"""),5487.5)</f>
        <v>5487.5</v>
      </c>
      <c r="F508" s="2">
        <f ca="1">IFERROR(__xludf.DUMMYFUNCTION("""COMPUTED_VALUE"""),29311400)</f>
        <v>29311400</v>
      </c>
    </row>
    <row r="509" spans="1:6">
      <c r="A509" s="1">
        <f ca="1">IFERROR(__xludf.DUMMYFUNCTION("""COMPUTED_VALUE"""),42768.625)</f>
        <v>42768.625</v>
      </c>
      <c r="B509" s="2">
        <f ca="1">IFERROR(__xludf.DUMMYFUNCTION("""COMPUTED_VALUE"""),5487.5)</f>
        <v>5487.5</v>
      </c>
      <c r="C509" s="2">
        <f ca="1">IFERROR(__xludf.DUMMYFUNCTION("""COMPUTED_VALUE"""),5525)</f>
        <v>5525</v>
      </c>
      <c r="D509" s="2">
        <f ca="1">IFERROR(__xludf.DUMMYFUNCTION("""COMPUTED_VALUE"""),5475)</f>
        <v>5475</v>
      </c>
      <c r="E509" s="2">
        <f ca="1">IFERROR(__xludf.DUMMYFUNCTION("""COMPUTED_VALUE"""),5500)</f>
        <v>5500</v>
      </c>
      <c r="F509" s="2">
        <f ca="1">IFERROR(__xludf.DUMMYFUNCTION("""COMPUTED_VALUE"""),19902500)</f>
        <v>19902500</v>
      </c>
    </row>
    <row r="510" spans="1:6">
      <c r="A510" s="1">
        <f ca="1">IFERROR(__xludf.DUMMYFUNCTION("""COMPUTED_VALUE"""),42769.625)</f>
        <v>42769.625</v>
      </c>
      <c r="B510" s="2">
        <f ca="1">IFERROR(__xludf.DUMMYFUNCTION("""COMPUTED_VALUE"""),5537.5)</f>
        <v>5537.5</v>
      </c>
      <c r="C510" s="2">
        <f ca="1">IFERROR(__xludf.DUMMYFUNCTION("""COMPUTED_VALUE"""),5550)</f>
        <v>5550</v>
      </c>
      <c r="D510" s="2">
        <f ca="1">IFERROR(__xludf.DUMMYFUNCTION("""COMPUTED_VALUE"""),5500)</f>
        <v>5500</v>
      </c>
      <c r="E510" s="2">
        <f ca="1">IFERROR(__xludf.DUMMYFUNCTION("""COMPUTED_VALUE"""),5537.5)</f>
        <v>5537.5</v>
      </c>
      <c r="F510" s="2">
        <f ca="1">IFERROR(__xludf.DUMMYFUNCTION("""COMPUTED_VALUE"""),27829000)</f>
        <v>27829000</v>
      </c>
    </row>
    <row r="511" spans="1:6">
      <c r="A511" s="1">
        <f ca="1">IFERROR(__xludf.DUMMYFUNCTION("""COMPUTED_VALUE"""),42772.625)</f>
        <v>42772.625</v>
      </c>
      <c r="B511" s="2">
        <f ca="1">IFERROR(__xludf.DUMMYFUNCTION("""COMPUTED_VALUE"""),5575)</f>
        <v>5575</v>
      </c>
      <c r="C511" s="2">
        <f ca="1">IFERROR(__xludf.DUMMYFUNCTION("""COMPUTED_VALUE"""),5700)</f>
        <v>5700</v>
      </c>
      <c r="D511" s="2">
        <f ca="1">IFERROR(__xludf.DUMMYFUNCTION("""COMPUTED_VALUE"""),5575)</f>
        <v>5575</v>
      </c>
      <c r="E511" s="2">
        <f ca="1">IFERROR(__xludf.DUMMYFUNCTION("""COMPUTED_VALUE"""),5687.5)</f>
        <v>5687.5</v>
      </c>
      <c r="F511" s="2">
        <f ca="1">IFERROR(__xludf.DUMMYFUNCTION("""COMPUTED_VALUE"""),49503600)</f>
        <v>49503600</v>
      </c>
    </row>
    <row r="512" spans="1:6">
      <c r="A512" s="1">
        <f ca="1">IFERROR(__xludf.DUMMYFUNCTION("""COMPUTED_VALUE"""),42773.625)</f>
        <v>42773.625</v>
      </c>
      <c r="B512" s="2">
        <f ca="1">IFERROR(__xludf.DUMMYFUNCTION("""COMPUTED_VALUE"""),5687.5)</f>
        <v>5687.5</v>
      </c>
      <c r="C512" s="2">
        <f ca="1">IFERROR(__xludf.DUMMYFUNCTION("""COMPUTED_VALUE"""),5725)</f>
        <v>5725</v>
      </c>
      <c r="D512" s="2">
        <f ca="1">IFERROR(__xludf.DUMMYFUNCTION("""COMPUTED_VALUE"""),5662.5)</f>
        <v>5662.5</v>
      </c>
      <c r="E512" s="2">
        <f ca="1">IFERROR(__xludf.DUMMYFUNCTION("""COMPUTED_VALUE"""),5700)</f>
        <v>5700</v>
      </c>
      <c r="F512" s="2">
        <f ca="1">IFERROR(__xludf.DUMMYFUNCTION("""COMPUTED_VALUE"""),29429700)</f>
        <v>29429700</v>
      </c>
    </row>
    <row r="513" spans="1:6">
      <c r="A513" s="1">
        <f ca="1">IFERROR(__xludf.DUMMYFUNCTION("""COMPUTED_VALUE"""),42774.625)</f>
        <v>42774.625</v>
      </c>
      <c r="B513" s="2">
        <f ca="1">IFERROR(__xludf.DUMMYFUNCTION("""COMPUTED_VALUE"""),5675)</f>
        <v>5675</v>
      </c>
      <c r="C513" s="2">
        <f ca="1">IFERROR(__xludf.DUMMYFUNCTION("""COMPUTED_VALUE"""),5675)</f>
        <v>5675</v>
      </c>
      <c r="D513" s="2">
        <f ca="1">IFERROR(__xludf.DUMMYFUNCTION("""COMPUTED_VALUE"""),5587.5)</f>
        <v>5587.5</v>
      </c>
      <c r="E513" s="2">
        <f ca="1">IFERROR(__xludf.DUMMYFUNCTION("""COMPUTED_VALUE"""),5612.5)</f>
        <v>5612.5</v>
      </c>
      <c r="F513" s="2">
        <f ca="1">IFERROR(__xludf.DUMMYFUNCTION("""COMPUTED_VALUE"""),27413800)</f>
        <v>27413800</v>
      </c>
    </row>
    <row r="514" spans="1:6">
      <c r="A514" s="1">
        <f ca="1">IFERROR(__xludf.DUMMYFUNCTION("""COMPUTED_VALUE"""),42775.625)</f>
        <v>42775.625</v>
      </c>
      <c r="B514" s="2">
        <f ca="1">IFERROR(__xludf.DUMMYFUNCTION("""COMPUTED_VALUE"""),5700)</f>
        <v>5700</v>
      </c>
      <c r="C514" s="2">
        <f ca="1">IFERROR(__xludf.DUMMYFUNCTION("""COMPUTED_VALUE"""),5787.5)</f>
        <v>5787.5</v>
      </c>
      <c r="D514" s="2">
        <f ca="1">IFERROR(__xludf.DUMMYFUNCTION("""COMPUTED_VALUE"""),5700)</f>
        <v>5700</v>
      </c>
      <c r="E514" s="2">
        <f ca="1">IFERROR(__xludf.DUMMYFUNCTION("""COMPUTED_VALUE"""),5737.5)</f>
        <v>5737.5</v>
      </c>
      <c r="F514" s="2">
        <f ca="1">IFERROR(__xludf.DUMMYFUNCTION("""COMPUTED_VALUE"""),24461000)</f>
        <v>24461000</v>
      </c>
    </row>
    <row r="515" spans="1:6">
      <c r="A515" s="1">
        <f ca="1">IFERROR(__xludf.DUMMYFUNCTION("""COMPUTED_VALUE"""),42776.625)</f>
        <v>42776.625</v>
      </c>
      <c r="B515" s="2">
        <f ca="1">IFERROR(__xludf.DUMMYFUNCTION("""COMPUTED_VALUE"""),5800)</f>
        <v>5800</v>
      </c>
      <c r="C515" s="2">
        <f ca="1">IFERROR(__xludf.DUMMYFUNCTION("""COMPUTED_VALUE"""),5800)</f>
        <v>5800</v>
      </c>
      <c r="D515" s="2">
        <f ca="1">IFERROR(__xludf.DUMMYFUNCTION("""COMPUTED_VALUE"""),5675)</f>
        <v>5675</v>
      </c>
      <c r="E515" s="2">
        <f ca="1">IFERROR(__xludf.DUMMYFUNCTION("""COMPUTED_VALUE"""),5700)</f>
        <v>5700</v>
      </c>
      <c r="F515" s="2">
        <f ca="1">IFERROR(__xludf.DUMMYFUNCTION("""COMPUTED_VALUE"""),24135100)</f>
        <v>24135100</v>
      </c>
    </row>
    <row r="516" spans="1:6">
      <c r="A516" s="1">
        <f ca="1">IFERROR(__xludf.DUMMYFUNCTION("""COMPUTED_VALUE"""),42779.625)</f>
        <v>42779.625</v>
      </c>
      <c r="B516" s="2">
        <f ca="1">IFERROR(__xludf.DUMMYFUNCTION("""COMPUTED_VALUE"""),5787.5)</f>
        <v>5787.5</v>
      </c>
      <c r="C516" s="2">
        <f ca="1">IFERROR(__xludf.DUMMYFUNCTION("""COMPUTED_VALUE"""),5800)</f>
        <v>5800</v>
      </c>
      <c r="D516" s="2">
        <f ca="1">IFERROR(__xludf.DUMMYFUNCTION("""COMPUTED_VALUE"""),5712.5)</f>
        <v>5712.5</v>
      </c>
      <c r="E516" s="2">
        <f ca="1">IFERROR(__xludf.DUMMYFUNCTION("""COMPUTED_VALUE"""),5725)</f>
        <v>5725</v>
      </c>
      <c r="F516" s="2">
        <f ca="1">IFERROR(__xludf.DUMMYFUNCTION("""COMPUTED_VALUE"""),20349300)</f>
        <v>20349300</v>
      </c>
    </row>
    <row r="517" spans="1:6">
      <c r="A517" s="1">
        <f ca="1">IFERROR(__xludf.DUMMYFUNCTION("""COMPUTED_VALUE"""),42780.625)</f>
        <v>42780.625</v>
      </c>
      <c r="B517" s="2">
        <f ca="1">IFERROR(__xludf.DUMMYFUNCTION("""COMPUTED_VALUE"""),5725)</f>
        <v>5725</v>
      </c>
      <c r="C517" s="2">
        <f ca="1">IFERROR(__xludf.DUMMYFUNCTION("""COMPUTED_VALUE"""),5737.5)</f>
        <v>5737.5</v>
      </c>
      <c r="D517" s="2">
        <f ca="1">IFERROR(__xludf.DUMMYFUNCTION("""COMPUTED_VALUE"""),5675)</f>
        <v>5675</v>
      </c>
      <c r="E517" s="2">
        <f ca="1">IFERROR(__xludf.DUMMYFUNCTION("""COMPUTED_VALUE"""),5712.5)</f>
        <v>5712.5</v>
      </c>
      <c r="F517" s="2">
        <f ca="1">IFERROR(__xludf.DUMMYFUNCTION("""COMPUTED_VALUE"""),19936300)</f>
        <v>19936300</v>
      </c>
    </row>
    <row r="518" spans="1:6">
      <c r="A518" s="1">
        <f ca="1">IFERROR(__xludf.DUMMYFUNCTION("""COMPUTED_VALUE"""),42782.625)</f>
        <v>42782.625</v>
      </c>
      <c r="B518" s="2">
        <f ca="1">IFERROR(__xludf.DUMMYFUNCTION("""COMPUTED_VALUE"""),5650)</f>
        <v>5650</v>
      </c>
      <c r="C518" s="2">
        <f ca="1">IFERROR(__xludf.DUMMYFUNCTION("""COMPUTED_VALUE"""),5675)</f>
        <v>5675</v>
      </c>
      <c r="D518" s="2">
        <f ca="1">IFERROR(__xludf.DUMMYFUNCTION("""COMPUTED_VALUE"""),5450)</f>
        <v>5450</v>
      </c>
      <c r="E518" s="2">
        <f ca="1">IFERROR(__xludf.DUMMYFUNCTION("""COMPUTED_VALUE"""),5600)</f>
        <v>5600</v>
      </c>
      <c r="F518" s="2">
        <f ca="1">IFERROR(__xludf.DUMMYFUNCTION("""COMPUTED_VALUE"""),51944500)</f>
        <v>51944500</v>
      </c>
    </row>
    <row r="519" spans="1:6">
      <c r="A519" s="1">
        <f ca="1">IFERROR(__xludf.DUMMYFUNCTION("""COMPUTED_VALUE"""),42783.625)</f>
        <v>42783.625</v>
      </c>
      <c r="B519" s="2">
        <f ca="1">IFERROR(__xludf.DUMMYFUNCTION("""COMPUTED_VALUE"""),5600)</f>
        <v>5600</v>
      </c>
      <c r="C519" s="2">
        <f ca="1">IFERROR(__xludf.DUMMYFUNCTION("""COMPUTED_VALUE"""),5600)</f>
        <v>5600</v>
      </c>
      <c r="D519" s="2">
        <f ca="1">IFERROR(__xludf.DUMMYFUNCTION("""COMPUTED_VALUE"""),5500)</f>
        <v>5500</v>
      </c>
      <c r="E519" s="2">
        <f ca="1">IFERROR(__xludf.DUMMYFUNCTION("""COMPUTED_VALUE"""),5537.5)</f>
        <v>5537.5</v>
      </c>
      <c r="F519" s="2">
        <f ca="1">IFERROR(__xludf.DUMMYFUNCTION("""COMPUTED_VALUE"""),25806000)</f>
        <v>25806000</v>
      </c>
    </row>
    <row r="520" spans="1:6">
      <c r="A520" s="1">
        <f ca="1">IFERROR(__xludf.DUMMYFUNCTION("""COMPUTED_VALUE"""),42786.625)</f>
        <v>42786.625</v>
      </c>
      <c r="B520" s="2">
        <f ca="1">IFERROR(__xludf.DUMMYFUNCTION("""COMPUTED_VALUE"""),5600)</f>
        <v>5600</v>
      </c>
      <c r="C520" s="2">
        <f ca="1">IFERROR(__xludf.DUMMYFUNCTION("""COMPUTED_VALUE"""),5637.5)</f>
        <v>5637.5</v>
      </c>
      <c r="D520" s="2">
        <f ca="1">IFERROR(__xludf.DUMMYFUNCTION("""COMPUTED_VALUE"""),5550)</f>
        <v>5550</v>
      </c>
      <c r="E520" s="2">
        <f ca="1">IFERROR(__xludf.DUMMYFUNCTION("""COMPUTED_VALUE"""),5637.5)</f>
        <v>5637.5</v>
      </c>
      <c r="F520" s="2">
        <f ca="1">IFERROR(__xludf.DUMMYFUNCTION("""COMPUTED_VALUE"""),18047500)</f>
        <v>18047500</v>
      </c>
    </row>
    <row r="521" spans="1:6">
      <c r="A521" s="1">
        <f ca="1">IFERROR(__xludf.DUMMYFUNCTION("""COMPUTED_VALUE"""),42787.625)</f>
        <v>42787.625</v>
      </c>
      <c r="B521" s="2">
        <f ca="1">IFERROR(__xludf.DUMMYFUNCTION("""COMPUTED_VALUE"""),5650)</f>
        <v>5650</v>
      </c>
      <c r="C521" s="2">
        <f ca="1">IFERROR(__xludf.DUMMYFUNCTION("""COMPUTED_VALUE"""),5650)</f>
        <v>5650</v>
      </c>
      <c r="D521" s="2">
        <f ca="1">IFERROR(__xludf.DUMMYFUNCTION("""COMPUTED_VALUE"""),5550)</f>
        <v>5550</v>
      </c>
      <c r="E521" s="2">
        <f ca="1">IFERROR(__xludf.DUMMYFUNCTION("""COMPUTED_VALUE"""),5575)</f>
        <v>5575</v>
      </c>
      <c r="F521" s="2">
        <f ca="1">IFERROR(__xludf.DUMMYFUNCTION("""COMPUTED_VALUE"""),12502100)</f>
        <v>12502100</v>
      </c>
    </row>
    <row r="522" spans="1:6">
      <c r="A522" s="1">
        <f ca="1">IFERROR(__xludf.DUMMYFUNCTION("""COMPUTED_VALUE"""),42788.625)</f>
        <v>42788.625</v>
      </c>
      <c r="B522" s="2">
        <f ca="1">IFERROR(__xludf.DUMMYFUNCTION("""COMPUTED_VALUE"""),5625)</f>
        <v>5625</v>
      </c>
      <c r="C522" s="2">
        <f ca="1">IFERROR(__xludf.DUMMYFUNCTION("""COMPUTED_VALUE"""),5650)</f>
        <v>5650</v>
      </c>
      <c r="D522" s="2">
        <f ca="1">IFERROR(__xludf.DUMMYFUNCTION("""COMPUTED_VALUE"""),5550)</f>
        <v>5550</v>
      </c>
      <c r="E522" s="2">
        <f ca="1">IFERROR(__xludf.DUMMYFUNCTION("""COMPUTED_VALUE"""),5650)</f>
        <v>5650</v>
      </c>
      <c r="F522" s="2">
        <f ca="1">IFERROR(__xludf.DUMMYFUNCTION("""COMPUTED_VALUE"""),26559300)</f>
        <v>26559300</v>
      </c>
    </row>
    <row r="523" spans="1:6">
      <c r="A523" s="1">
        <f ca="1">IFERROR(__xludf.DUMMYFUNCTION("""COMPUTED_VALUE"""),42789.625)</f>
        <v>42789.625</v>
      </c>
      <c r="B523" s="2">
        <f ca="1">IFERROR(__xludf.DUMMYFUNCTION("""COMPUTED_VALUE"""),5575)</f>
        <v>5575</v>
      </c>
      <c r="C523" s="2">
        <f ca="1">IFERROR(__xludf.DUMMYFUNCTION("""COMPUTED_VALUE"""),5637.5)</f>
        <v>5637.5</v>
      </c>
      <c r="D523" s="2">
        <f ca="1">IFERROR(__xludf.DUMMYFUNCTION("""COMPUTED_VALUE"""),5575)</f>
        <v>5575</v>
      </c>
      <c r="E523" s="2">
        <f ca="1">IFERROR(__xludf.DUMMYFUNCTION("""COMPUTED_VALUE"""),5575)</f>
        <v>5575</v>
      </c>
      <c r="F523" s="2">
        <f ca="1">IFERROR(__xludf.DUMMYFUNCTION("""COMPUTED_VALUE"""),10963200)</f>
        <v>10963200</v>
      </c>
    </row>
    <row r="524" spans="1:6">
      <c r="A524" s="1">
        <f ca="1">IFERROR(__xludf.DUMMYFUNCTION("""COMPUTED_VALUE"""),42790.625)</f>
        <v>42790.625</v>
      </c>
      <c r="B524" s="2">
        <f ca="1">IFERROR(__xludf.DUMMYFUNCTION("""COMPUTED_VALUE"""),5637.5)</f>
        <v>5637.5</v>
      </c>
      <c r="C524" s="2">
        <f ca="1">IFERROR(__xludf.DUMMYFUNCTION("""COMPUTED_VALUE"""),5637.5)</f>
        <v>5637.5</v>
      </c>
      <c r="D524" s="2">
        <f ca="1">IFERROR(__xludf.DUMMYFUNCTION("""COMPUTED_VALUE"""),5550)</f>
        <v>5550</v>
      </c>
      <c r="E524" s="2">
        <f ca="1">IFERROR(__xludf.DUMMYFUNCTION("""COMPUTED_VALUE"""),5550)</f>
        <v>5550</v>
      </c>
      <c r="F524" s="2">
        <f ca="1">IFERROR(__xludf.DUMMYFUNCTION("""COMPUTED_VALUE"""),14789500)</f>
        <v>14789500</v>
      </c>
    </row>
    <row r="525" spans="1:6">
      <c r="A525" s="1">
        <f ca="1">IFERROR(__xludf.DUMMYFUNCTION("""COMPUTED_VALUE"""),42793.625)</f>
        <v>42793.625</v>
      </c>
      <c r="B525" s="2">
        <f ca="1">IFERROR(__xludf.DUMMYFUNCTION("""COMPUTED_VALUE"""),5587.5)</f>
        <v>5587.5</v>
      </c>
      <c r="C525" s="2">
        <f ca="1">IFERROR(__xludf.DUMMYFUNCTION("""COMPUTED_VALUE"""),5612.5)</f>
        <v>5612.5</v>
      </c>
      <c r="D525" s="2">
        <f ca="1">IFERROR(__xludf.DUMMYFUNCTION("""COMPUTED_VALUE"""),5587.5)</f>
        <v>5587.5</v>
      </c>
      <c r="E525" s="2">
        <f ca="1">IFERROR(__xludf.DUMMYFUNCTION("""COMPUTED_VALUE"""),5587.5)</f>
        <v>5587.5</v>
      </c>
      <c r="F525" s="2">
        <f ca="1">IFERROR(__xludf.DUMMYFUNCTION("""COMPUTED_VALUE"""),7599400)</f>
        <v>7599400</v>
      </c>
    </row>
    <row r="526" spans="1:6">
      <c r="A526" s="1">
        <f ca="1">IFERROR(__xludf.DUMMYFUNCTION("""COMPUTED_VALUE"""),42794.625)</f>
        <v>42794.625</v>
      </c>
      <c r="B526" s="2">
        <f ca="1">IFERROR(__xludf.DUMMYFUNCTION("""COMPUTED_VALUE"""),5650)</f>
        <v>5650</v>
      </c>
      <c r="C526" s="2">
        <f ca="1">IFERROR(__xludf.DUMMYFUNCTION("""COMPUTED_VALUE"""),5700)</f>
        <v>5700</v>
      </c>
      <c r="D526" s="2">
        <f ca="1">IFERROR(__xludf.DUMMYFUNCTION("""COMPUTED_VALUE"""),5600)</f>
        <v>5600</v>
      </c>
      <c r="E526" s="2">
        <f ca="1">IFERROR(__xludf.DUMMYFUNCTION("""COMPUTED_VALUE"""),5650)</f>
        <v>5650</v>
      </c>
      <c r="F526" s="2">
        <f ca="1">IFERROR(__xludf.DUMMYFUNCTION("""COMPUTED_VALUE"""),10861100)</f>
        <v>10861100</v>
      </c>
    </row>
    <row r="527" spans="1:6">
      <c r="A527" s="1">
        <f ca="1">IFERROR(__xludf.DUMMYFUNCTION("""COMPUTED_VALUE"""),42795.625)</f>
        <v>42795.625</v>
      </c>
      <c r="B527" s="2">
        <f ca="1">IFERROR(__xludf.DUMMYFUNCTION("""COMPUTED_VALUE"""),5700)</f>
        <v>5700</v>
      </c>
      <c r="C527" s="2">
        <f ca="1">IFERROR(__xludf.DUMMYFUNCTION("""COMPUTED_VALUE"""),5700)</f>
        <v>5700</v>
      </c>
      <c r="D527" s="2">
        <f ca="1">IFERROR(__xludf.DUMMYFUNCTION("""COMPUTED_VALUE"""),5612.5)</f>
        <v>5612.5</v>
      </c>
      <c r="E527" s="2">
        <f ca="1">IFERROR(__xludf.DUMMYFUNCTION("""COMPUTED_VALUE"""),5675)</f>
        <v>5675</v>
      </c>
      <c r="F527" s="2">
        <f ca="1">IFERROR(__xludf.DUMMYFUNCTION("""COMPUTED_VALUE"""),22789100)</f>
        <v>22789100</v>
      </c>
    </row>
    <row r="528" spans="1:6">
      <c r="A528" s="1">
        <f ca="1">IFERROR(__xludf.DUMMYFUNCTION("""COMPUTED_VALUE"""),42796.625)</f>
        <v>42796.625</v>
      </c>
      <c r="B528" s="2">
        <f ca="1">IFERROR(__xludf.DUMMYFUNCTION("""COMPUTED_VALUE"""),5687.5)</f>
        <v>5687.5</v>
      </c>
      <c r="C528" s="2">
        <f ca="1">IFERROR(__xludf.DUMMYFUNCTION("""COMPUTED_VALUE"""),5725)</f>
        <v>5725</v>
      </c>
      <c r="D528" s="2">
        <f ca="1">IFERROR(__xludf.DUMMYFUNCTION("""COMPUTED_VALUE"""),5662.5)</f>
        <v>5662.5</v>
      </c>
      <c r="E528" s="2">
        <f ca="1">IFERROR(__xludf.DUMMYFUNCTION("""COMPUTED_VALUE"""),5662.5)</f>
        <v>5662.5</v>
      </c>
      <c r="F528" s="2">
        <f ca="1">IFERROR(__xludf.DUMMYFUNCTION("""COMPUTED_VALUE"""),14370700)</f>
        <v>14370700</v>
      </c>
    </row>
    <row r="529" spans="1:6">
      <c r="A529" s="1">
        <f ca="1">IFERROR(__xludf.DUMMYFUNCTION("""COMPUTED_VALUE"""),42797.625)</f>
        <v>42797.625</v>
      </c>
      <c r="B529" s="2">
        <f ca="1">IFERROR(__xludf.DUMMYFUNCTION("""COMPUTED_VALUE"""),5625)</f>
        <v>5625</v>
      </c>
      <c r="C529" s="2">
        <f ca="1">IFERROR(__xludf.DUMMYFUNCTION("""COMPUTED_VALUE"""),5687.5)</f>
        <v>5687.5</v>
      </c>
      <c r="D529" s="2">
        <f ca="1">IFERROR(__xludf.DUMMYFUNCTION("""COMPUTED_VALUE"""),5600)</f>
        <v>5600</v>
      </c>
      <c r="E529" s="2">
        <f ca="1">IFERROR(__xludf.DUMMYFUNCTION("""COMPUTED_VALUE"""),5675)</f>
        <v>5675</v>
      </c>
      <c r="F529" s="2">
        <f ca="1">IFERROR(__xludf.DUMMYFUNCTION("""COMPUTED_VALUE"""),7332900)</f>
        <v>7332900</v>
      </c>
    </row>
    <row r="530" spans="1:6">
      <c r="A530" s="1">
        <f ca="1">IFERROR(__xludf.DUMMYFUNCTION("""COMPUTED_VALUE"""),42800.625)</f>
        <v>42800.625</v>
      </c>
      <c r="B530" s="2">
        <f ca="1">IFERROR(__xludf.DUMMYFUNCTION("""COMPUTED_VALUE"""),5675)</f>
        <v>5675</v>
      </c>
      <c r="C530" s="2">
        <f ca="1">IFERROR(__xludf.DUMMYFUNCTION("""COMPUTED_VALUE"""),5687.5)</f>
        <v>5687.5</v>
      </c>
      <c r="D530" s="2">
        <f ca="1">IFERROR(__xludf.DUMMYFUNCTION("""COMPUTED_VALUE"""),5612.5)</f>
        <v>5612.5</v>
      </c>
      <c r="E530" s="2">
        <f ca="1">IFERROR(__xludf.DUMMYFUNCTION("""COMPUTED_VALUE"""),5650)</f>
        <v>5650</v>
      </c>
      <c r="F530" s="2">
        <f ca="1">IFERROR(__xludf.DUMMYFUNCTION("""COMPUTED_VALUE"""),10644600)</f>
        <v>10644600</v>
      </c>
    </row>
    <row r="531" spans="1:6">
      <c r="A531" s="1">
        <f ca="1">IFERROR(__xludf.DUMMYFUNCTION("""COMPUTED_VALUE"""),42801.625)</f>
        <v>42801.625</v>
      </c>
      <c r="B531" s="2">
        <f ca="1">IFERROR(__xludf.DUMMYFUNCTION("""COMPUTED_VALUE"""),5600)</f>
        <v>5600</v>
      </c>
      <c r="C531" s="2">
        <f ca="1">IFERROR(__xludf.DUMMYFUNCTION("""COMPUTED_VALUE"""),5675)</f>
        <v>5675</v>
      </c>
      <c r="D531" s="2">
        <f ca="1">IFERROR(__xludf.DUMMYFUNCTION("""COMPUTED_VALUE"""),5600)</f>
        <v>5600</v>
      </c>
      <c r="E531" s="2">
        <f ca="1">IFERROR(__xludf.DUMMYFUNCTION("""COMPUTED_VALUE"""),5662.5)</f>
        <v>5662.5</v>
      </c>
      <c r="F531" s="2">
        <f ca="1">IFERROR(__xludf.DUMMYFUNCTION("""COMPUTED_VALUE"""),21705800)</f>
        <v>21705800</v>
      </c>
    </row>
    <row r="532" spans="1:6">
      <c r="A532" s="1">
        <f ca="1">IFERROR(__xludf.DUMMYFUNCTION("""COMPUTED_VALUE"""),42802.625)</f>
        <v>42802.625</v>
      </c>
      <c r="B532" s="2">
        <f ca="1">IFERROR(__xludf.DUMMYFUNCTION("""COMPUTED_VALUE"""),5687.5)</f>
        <v>5687.5</v>
      </c>
      <c r="C532" s="2">
        <f ca="1">IFERROR(__xludf.DUMMYFUNCTION("""COMPUTED_VALUE"""),5700)</f>
        <v>5700</v>
      </c>
      <c r="D532" s="2">
        <f ca="1">IFERROR(__xludf.DUMMYFUNCTION("""COMPUTED_VALUE"""),5662.5)</f>
        <v>5662.5</v>
      </c>
      <c r="E532" s="2">
        <f ca="1">IFERROR(__xludf.DUMMYFUNCTION("""COMPUTED_VALUE"""),5662.5)</f>
        <v>5662.5</v>
      </c>
      <c r="F532" s="2">
        <f ca="1">IFERROR(__xludf.DUMMYFUNCTION("""COMPUTED_VALUE"""),8342800)</f>
        <v>8342800</v>
      </c>
    </row>
    <row r="533" spans="1:6">
      <c r="A533" s="1">
        <f ca="1">IFERROR(__xludf.DUMMYFUNCTION("""COMPUTED_VALUE"""),42803.625)</f>
        <v>42803.625</v>
      </c>
      <c r="B533" s="2">
        <f ca="1">IFERROR(__xludf.DUMMYFUNCTION("""COMPUTED_VALUE"""),5625)</f>
        <v>5625</v>
      </c>
      <c r="C533" s="2">
        <f ca="1">IFERROR(__xludf.DUMMYFUNCTION("""COMPUTED_VALUE"""),5687.5)</f>
        <v>5687.5</v>
      </c>
      <c r="D533" s="2">
        <f ca="1">IFERROR(__xludf.DUMMYFUNCTION("""COMPUTED_VALUE"""),5625)</f>
        <v>5625</v>
      </c>
      <c r="E533" s="2">
        <f ca="1">IFERROR(__xludf.DUMMYFUNCTION("""COMPUTED_VALUE"""),5687.5)</f>
        <v>5687.5</v>
      </c>
      <c r="F533" s="2">
        <f ca="1">IFERROR(__xludf.DUMMYFUNCTION("""COMPUTED_VALUE"""),3574600)</f>
        <v>3574600</v>
      </c>
    </row>
    <row r="534" spans="1:6">
      <c r="A534" s="1">
        <f ca="1">IFERROR(__xludf.DUMMYFUNCTION("""COMPUTED_VALUE"""),42804.625)</f>
        <v>42804.625</v>
      </c>
      <c r="B534" s="2">
        <f ca="1">IFERROR(__xludf.DUMMYFUNCTION("""COMPUTED_VALUE"""),5700)</f>
        <v>5700</v>
      </c>
      <c r="C534" s="2">
        <f ca="1">IFERROR(__xludf.DUMMYFUNCTION("""COMPUTED_VALUE"""),5700)</f>
        <v>5700</v>
      </c>
      <c r="D534" s="2">
        <f ca="1">IFERROR(__xludf.DUMMYFUNCTION("""COMPUTED_VALUE"""),5662.5)</f>
        <v>5662.5</v>
      </c>
      <c r="E534" s="2">
        <f ca="1">IFERROR(__xludf.DUMMYFUNCTION("""COMPUTED_VALUE"""),5700)</f>
        <v>5700</v>
      </c>
      <c r="F534" s="2">
        <f ca="1">IFERROR(__xludf.DUMMYFUNCTION("""COMPUTED_VALUE"""),5686200)</f>
        <v>5686200</v>
      </c>
    </row>
    <row r="535" spans="1:6">
      <c r="A535" s="1">
        <f ca="1">IFERROR(__xludf.DUMMYFUNCTION("""COMPUTED_VALUE"""),42807.625)</f>
        <v>42807.625</v>
      </c>
      <c r="B535" s="2">
        <f ca="1">IFERROR(__xludf.DUMMYFUNCTION("""COMPUTED_VALUE"""),5600)</f>
        <v>5600</v>
      </c>
      <c r="C535" s="2">
        <f ca="1">IFERROR(__xludf.DUMMYFUNCTION("""COMPUTED_VALUE"""),5700)</f>
        <v>5700</v>
      </c>
      <c r="D535" s="2">
        <f ca="1">IFERROR(__xludf.DUMMYFUNCTION("""COMPUTED_VALUE"""),5600)</f>
        <v>5600</v>
      </c>
      <c r="E535" s="2">
        <f ca="1">IFERROR(__xludf.DUMMYFUNCTION("""COMPUTED_VALUE"""),5700)</f>
        <v>5700</v>
      </c>
      <c r="F535" s="2">
        <f ca="1">IFERROR(__xludf.DUMMYFUNCTION("""COMPUTED_VALUE"""),11478600)</f>
        <v>11478600</v>
      </c>
    </row>
    <row r="536" spans="1:6">
      <c r="A536" s="1">
        <f ca="1">IFERROR(__xludf.DUMMYFUNCTION("""COMPUTED_VALUE"""),42808.625)</f>
        <v>42808.625</v>
      </c>
      <c r="B536" s="2">
        <f ca="1">IFERROR(__xludf.DUMMYFUNCTION("""COMPUTED_VALUE"""),5650)</f>
        <v>5650</v>
      </c>
      <c r="C536" s="2">
        <f ca="1">IFERROR(__xludf.DUMMYFUNCTION("""COMPUTED_VALUE"""),5725)</f>
        <v>5725</v>
      </c>
      <c r="D536" s="2">
        <f ca="1">IFERROR(__xludf.DUMMYFUNCTION("""COMPUTED_VALUE"""),5650)</f>
        <v>5650</v>
      </c>
      <c r="E536" s="2">
        <f ca="1">IFERROR(__xludf.DUMMYFUNCTION("""COMPUTED_VALUE"""),5712.5)</f>
        <v>5712.5</v>
      </c>
      <c r="F536" s="2">
        <f ca="1">IFERROR(__xludf.DUMMYFUNCTION("""COMPUTED_VALUE"""),8104200)</f>
        <v>8104200</v>
      </c>
    </row>
    <row r="537" spans="1:6">
      <c r="A537" s="1">
        <f ca="1">IFERROR(__xludf.DUMMYFUNCTION("""COMPUTED_VALUE"""),42809.625)</f>
        <v>42809.625</v>
      </c>
      <c r="B537" s="2">
        <f ca="1">IFERROR(__xludf.DUMMYFUNCTION("""COMPUTED_VALUE"""),5750)</f>
        <v>5750</v>
      </c>
      <c r="C537" s="2">
        <f ca="1">IFERROR(__xludf.DUMMYFUNCTION("""COMPUTED_VALUE"""),5787.5)</f>
        <v>5787.5</v>
      </c>
      <c r="D537" s="2">
        <f ca="1">IFERROR(__xludf.DUMMYFUNCTION("""COMPUTED_VALUE"""),5687.5)</f>
        <v>5687.5</v>
      </c>
      <c r="E537" s="2">
        <f ca="1">IFERROR(__xludf.DUMMYFUNCTION("""COMPUTED_VALUE"""),5725)</f>
        <v>5725</v>
      </c>
      <c r="F537" s="2">
        <f ca="1">IFERROR(__xludf.DUMMYFUNCTION("""COMPUTED_VALUE"""),9695900)</f>
        <v>9695900</v>
      </c>
    </row>
    <row r="538" spans="1:6">
      <c r="A538" s="1">
        <f ca="1">IFERROR(__xludf.DUMMYFUNCTION("""COMPUTED_VALUE"""),42810.625)</f>
        <v>42810.625</v>
      </c>
      <c r="B538" s="2">
        <f ca="1">IFERROR(__xludf.DUMMYFUNCTION("""COMPUTED_VALUE"""),5787.5)</f>
        <v>5787.5</v>
      </c>
      <c r="C538" s="2">
        <f ca="1">IFERROR(__xludf.DUMMYFUNCTION("""COMPUTED_VALUE"""),5825)</f>
        <v>5825</v>
      </c>
      <c r="D538" s="2">
        <f ca="1">IFERROR(__xludf.DUMMYFUNCTION("""COMPUTED_VALUE"""),5762.5)</f>
        <v>5762.5</v>
      </c>
      <c r="E538" s="2">
        <f ca="1">IFERROR(__xludf.DUMMYFUNCTION("""COMPUTED_VALUE"""),5787.5)</f>
        <v>5787.5</v>
      </c>
      <c r="F538" s="2">
        <f ca="1">IFERROR(__xludf.DUMMYFUNCTION("""COMPUTED_VALUE"""),31034200)</f>
        <v>31034200</v>
      </c>
    </row>
    <row r="539" spans="1:6">
      <c r="A539" s="1">
        <f ca="1">IFERROR(__xludf.DUMMYFUNCTION("""COMPUTED_VALUE"""),42811.625)</f>
        <v>42811.625</v>
      </c>
      <c r="B539" s="2">
        <f ca="1">IFERROR(__xludf.DUMMYFUNCTION("""COMPUTED_VALUE"""),5825)</f>
        <v>5825</v>
      </c>
      <c r="C539" s="2">
        <f ca="1">IFERROR(__xludf.DUMMYFUNCTION("""COMPUTED_VALUE"""),5850)</f>
        <v>5850</v>
      </c>
      <c r="D539" s="2">
        <f ca="1">IFERROR(__xludf.DUMMYFUNCTION("""COMPUTED_VALUE"""),5775)</f>
        <v>5775</v>
      </c>
      <c r="E539" s="2">
        <f ca="1">IFERROR(__xludf.DUMMYFUNCTION("""COMPUTED_VALUE"""),5812.5)</f>
        <v>5812.5</v>
      </c>
      <c r="F539" s="2">
        <f ca="1">IFERROR(__xludf.DUMMYFUNCTION("""COMPUTED_VALUE"""),28952800)</f>
        <v>28952800</v>
      </c>
    </row>
    <row r="540" spans="1:6">
      <c r="A540" s="1">
        <f ca="1">IFERROR(__xludf.DUMMYFUNCTION("""COMPUTED_VALUE"""),42814.625)</f>
        <v>42814.625</v>
      </c>
      <c r="B540" s="2">
        <f ca="1">IFERROR(__xludf.DUMMYFUNCTION("""COMPUTED_VALUE"""),5862.5)</f>
        <v>5862.5</v>
      </c>
      <c r="C540" s="2">
        <f ca="1">IFERROR(__xludf.DUMMYFUNCTION("""COMPUTED_VALUE"""),5950)</f>
        <v>5950</v>
      </c>
      <c r="D540" s="2">
        <f ca="1">IFERROR(__xludf.DUMMYFUNCTION("""COMPUTED_VALUE"""),5812.5)</f>
        <v>5812.5</v>
      </c>
      <c r="E540" s="2">
        <f ca="1">IFERROR(__xludf.DUMMYFUNCTION("""COMPUTED_VALUE"""),5887.5)</f>
        <v>5887.5</v>
      </c>
      <c r="F540" s="2">
        <f ca="1">IFERROR(__xludf.DUMMYFUNCTION("""COMPUTED_VALUE"""),21029500)</f>
        <v>21029500</v>
      </c>
    </row>
    <row r="541" spans="1:6">
      <c r="A541" s="1">
        <f ca="1">IFERROR(__xludf.DUMMYFUNCTION("""COMPUTED_VALUE"""),42815.625)</f>
        <v>42815.625</v>
      </c>
      <c r="B541" s="2">
        <f ca="1">IFERROR(__xludf.DUMMYFUNCTION("""COMPUTED_VALUE"""),5925)</f>
        <v>5925</v>
      </c>
      <c r="C541" s="2">
        <f ca="1">IFERROR(__xludf.DUMMYFUNCTION("""COMPUTED_VALUE"""),5950)</f>
        <v>5950</v>
      </c>
      <c r="D541" s="2">
        <f ca="1">IFERROR(__xludf.DUMMYFUNCTION("""COMPUTED_VALUE"""),5875)</f>
        <v>5875</v>
      </c>
      <c r="E541" s="2">
        <f ca="1">IFERROR(__xludf.DUMMYFUNCTION("""COMPUTED_VALUE"""),5900)</f>
        <v>5900</v>
      </c>
      <c r="F541" s="2">
        <f ca="1">IFERROR(__xludf.DUMMYFUNCTION("""COMPUTED_VALUE"""),24662800)</f>
        <v>24662800</v>
      </c>
    </row>
    <row r="542" spans="1:6">
      <c r="A542" s="1">
        <f ca="1">IFERROR(__xludf.DUMMYFUNCTION("""COMPUTED_VALUE"""),42816.625)</f>
        <v>42816.625</v>
      </c>
      <c r="B542" s="2">
        <f ca="1">IFERROR(__xludf.DUMMYFUNCTION("""COMPUTED_VALUE"""),5775)</f>
        <v>5775</v>
      </c>
      <c r="C542" s="2">
        <f ca="1">IFERROR(__xludf.DUMMYFUNCTION("""COMPUTED_VALUE"""),5912.5)</f>
        <v>5912.5</v>
      </c>
      <c r="D542" s="2">
        <f ca="1">IFERROR(__xludf.DUMMYFUNCTION("""COMPUTED_VALUE"""),5737.5)</f>
        <v>5737.5</v>
      </c>
      <c r="E542" s="2">
        <f ca="1">IFERROR(__xludf.DUMMYFUNCTION("""COMPUTED_VALUE"""),5887.5)</f>
        <v>5887.5</v>
      </c>
      <c r="F542" s="2">
        <f ca="1">IFERROR(__xludf.DUMMYFUNCTION("""COMPUTED_VALUE"""),34466600)</f>
        <v>34466600</v>
      </c>
    </row>
    <row r="543" spans="1:6">
      <c r="A543" s="1">
        <f ca="1">IFERROR(__xludf.DUMMYFUNCTION("""COMPUTED_VALUE"""),42817.625)</f>
        <v>42817.625</v>
      </c>
      <c r="B543" s="2">
        <f ca="1">IFERROR(__xludf.DUMMYFUNCTION("""COMPUTED_VALUE"""),5925)</f>
        <v>5925</v>
      </c>
      <c r="C543" s="2">
        <f ca="1">IFERROR(__xludf.DUMMYFUNCTION("""COMPUTED_VALUE"""),6012.5)</f>
        <v>6012.5</v>
      </c>
      <c r="D543" s="2">
        <f ca="1">IFERROR(__xludf.DUMMYFUNCTION("""COMPUTED_VALUE"""),5925)</f>
        <v>5925</v>
      </c>
      <c r="E543" s="2">
        <f ca="1">IFERROR(__xludf.DUMMYFUNCTION("""COMPUTED_VALUE"""),5950)</f>
        <v>5950</v>
      </c>
      <c r="F543" s="2">
        <f ca="1">IFERROR(__xludf.DUMMYFUNCTION("""COMPUTED_VALUE"""),41237900)</f>
        <v>41237900</v>
      </c>
    </row>
    <row r="544" spans="1:6">
      <c r="A544" s="1">
        <f ca="1">IFERROR(__xludf.DUMMYFUNCTION("""COMPUTED_VALUE"""),42818.625)</f>
        <v>42818.625</v>
      </c>
      <c r="B544" s="2">
        <f ca="1">IFERROR(__xludf.DUMMYFUNCTION("""COMPUTED_VALUE"""),5987.5)</f>
        <v>5987.5</v>
      </c>
      <c r="C544" s="2">
        <f ca="1">IFERROR(__xludf.DUMMYFUNCTION("""COMPUTED_VALUE"""),5987.5)</f>
        <v>5987.5</v>
      </c>
      <c r="D544" s="2">
        <f ca="1">IFERROR(__xludf.DUMMYFUNCTION("""COMPUTED_VALUE"""),5875)</f>
        <v>5875</v>
      </c>
      <c r="E544" s="2">
        <f ca="1">IFERROR(__xludf.DUMMYFUNCTION("""COMPUTED_VALUE"""),5950)</f>
        <v>5950</v>
      </c>
      <c r="F544" s="2">
        <f ca="1">IFERROR(__xludf.DUMMYFUNCTION("""COMPUTED_VALUE"""),25405600)</f>
        <v>25405600</v>
      </c>
    </row>
    <row r="545" spans="1:6">
      <c r="A545" s="1">
        <f ca="1">IFERROR(__xludf.DUMMYFUNCTION("""COMPUTED_VALUE"""),42821.625)</f>
        <v>42821.625</v>
      </c>
      <c r="B545" s="2">
        <f ca="1">IFERROR(__xludf.DUMMYFUNCTION("""COMPUTED_VALUE"""),5900)</f>
        <v>5900</v>
      </c>
      <c r="C545" s="2">
        <f ca="1">IFERROR(__xludf.DUMMYFUNCTION("""COMPUTED_VALUE"""),5925)</f>
        <v>5925</v>
      </c>
      <c r="D545" s="2">
        <f ca="1">IFERROR(__xludf.DUMMYFUNCTION("""COMPUTED_VALUE"""),5850)</f>
        <v>5850</v>
      </c>
      <c r="E545" s="2">
        <f ca="1">IFERROR(__xludf.DUMMYFUNCTION("""COMPUTED_VALUE"""),5850)</f>
        <v>5850</v>
      </c>
      <c r="F545" s="2">
        <f ca="1">IFERROR(__xludf.DUMMYFUNCTION("""COMPUTED_VALUE"""),10844200)</f>
        <v>10844200</v>
      </c>
    </row>
    <row r="546" spans="1:6">
      <c r="A546" s="1">
        <f ca="1">IFERROR(__xludf.DUMMYFUNCTION("""COMPUTED_VALUE"""),42823.625)</f>
        <v>42823.625</v>
      </c>
      <c r="B546" s="2">
        <f ca="1">IFERROR(__xludf.DUMMYFUNCTION("""COMPUTED_VALUE"""),5950)</f>
        <v>5950</v>
      </c>
      <c r="C546" s="2">
        <f ca="1">IFERROR(__xludf.DUMMYFUNCTION("""COMPUTED_VALUE"""),5950)</f>
        <v>5950</v>
      </c>
      <c r="D546" s="2">
        <f ca="1">IFERROR(__xludf.DUMMYFUNCTION("""COMPUTED_VALUE"""),5837.5)</f>
        <v>5837.5</v>
      </c>
      <c r="E546" s="2">
        <f ca="1">IFERROR(__xludf.DUMMYFUNCTION("""COMPUTED_VALUE"""),5887.5)</f>
        <v>5887.5</v>
      </c>
      <c r="F546" s="2">
        <f ca="1">IFERROR(__xludf.DUMMYFUNCTION("""COMPUTED_VALUE"""),13914500)</f>
        <v>13914500</v>
      </c>
    </row>
    <row r="547" spans="1:6">
      <c r="A547" s="1">
        <f ca="1">IFERROR(__xludf.DUMMYFUNCTION("""COMPUTED_VALUE"""),42824.625)</f>
        <v>42824.625</v>
      </c>
      <c r="B547" s="2">
        <f ca="1">IFERROR(__xludf.DUMMYFUNCTION("""COMPUTED_VALUE"""),5887.5)</f>
        <v>5887.5</v>
      </c>
      <c r="C547" s="2">
        <f ca="1">IFERROR(__xludf.DUMMYFUNCTION("""COMPUTED_VALUE"""),5925)</f>
        <v>5925</v>
      </c>
      <c r="D547" s="2">
        <f ca="1">IFERROR(__xludf.DUMMYFUNCTION("""COMPUTED_VALUE"""),5812.5)</f>
        <v>5812.5</v>
      </c>
      <c r="E547" s="2">
        <f ca="1">IFERROR(__xludf.DUMMYFUNCTION("""COMPUTED_VALUE"""),5887.5)</f>
        <v>5887.5</v>
      </c>
      <c r="F547" s="2">
        <f ca="1">IFERROR(__xludf.DUMMYFUNCTION("""COMPUTED_VALUE"""),8040400)</f>
        <v>8040400</v>
      </c>
    </row>
    <row r="548" spans="1:6">
      <c r="A548" s="1">
        <f ca="1">IFERROR(__xludf.DUMMYFUNCTION("""COMPUTED_VALUE"""),42825.625)</f>
        <v>42825.625</v>
      </c>
      <c r="B548" s="2">
        <f ca="1">IFERROR(__xludf.DUMMYFUNCTION("""COMPUTED_VALUE"""),5875)</f>
        <v>5875</v>
      </c>
      <c r="C548" s="2">
        <f ca="1">IFERROR(__xludf.DUMMYFUNCTION("""COMPUTED_VALUE"""),5887.5)</f>
        <v>5887.5</v>
      </c>
      <c r="D548" s="2">
        <f ca="1">IFERROR(__xludf.DUMMYFUNCTION("""COMPUTED_VALUE"""),5850)</f>
        <v>5850</v>
      </c>
      <c r="E548" s="2">
        <f ca="1">IFERROR(__xludf.DUMMYFUNCTION("""COMPUTED_VALUE"""),5850)</f>
        <v>5850</v>
      </c>
      <c r="F548" s="2">
        <f ca="1">IFERROR(__xludf.DUMMYFUNCTION("""COMPUTED_VALUE"""),15996400)</f>
        <v>15996400</v>
      </c>
    </row>
    <row r="549" spans="1:6">
      <c r="A549" s="1">
        <f ca="1">IFERROR(__xludf.DUMMYFUNCTION("""COMPUTED_VALUE"""),42828.625)</f>
        <v>42828.625</v>
      </c>
      <c r="B549" s="2">
        <f ca="1">IFERROR(__xludf.DUMMYFUNCTION("""COMPUTED_VALUE"""),5900)</f>
        <v>5900</v>
      </c>
      <c r="C549" s="2">
        <f ca="1">IFERROR(__xludf.DUMMYFUNCTION("""COMPUTED_VALUE"""),5925)</f>
        <v>5925</v>
      </c>
      <c r="D549" s="2">
        <f ca="1">IFERROR(__xludf.DUMMYFUNCTION("""COMPUTED_VALUE"""),5800)</f>
        <v>5800</v>
      </c>
      <c r="E549" s="2">
        <f ca="1">IFERROR(__xludf.DUMMYFUNCTION("""COMPUTED_VALUE"""),5875)</f>
        <v>5875</v>
      </c>
      <c r="F549" s="2">
        <f ca="1">IFERROR(__xludf.DUMMYFUNCTION("""COMPUTED_VALUE"""),14741100)</f>
        <v>14741100</v>
      </c>
    </row>
    <row r="550" spans="1:6">
      <c r="A550" s="1">
        <f ca="1">IFERROR(__xludf.DUMMYFUNCTION("""COMPUTED_VALUE"""),42829.625)</f>
        <v>42829.625</v>
      </c>
      <c r="B550" s="2">
        <f ca="1">IFERROR(__xludf.DUMMYFUNCTION("""COMPUTED_VALUE"""),5825)</f>
        <v>5825</v>
      </c>
      <c r="C550" s="2">
        <f ca="1">IFERROR(__xludf.DUMMYFUNCTION("""COMPUTED_VALUE"""),5975)</f>
        <v>5975</v>
      </c>
      <c r="D550" s="2">
        <f ca="1">IFERROR(__xludf.DUMMYFUNCTION("""COMPUTED_VALUE"""),5825)</f>
        <v>5825</v>
      </c>
      <c r="E550" s="2">
        <f ca="1">IFERROR(__xludf.DUMMYFUNCTION("""COMPUTED_VALUE"""),5875)</f>
        <v>5875</v>
      </c>
      <c r="F550" s="2">
        <f ca="1">IFERROR(__xludf.DUMMYFUNCTION("""COMPUTED_VALUE"""),19352200)</f>
        <v>19352200</v>
      </c>
    </row>
    <row r="551" spans="1:6">
      <c r="A551" s="1">
        <f ca="1">IFERROR(__xludf.DUMMYFUNCTION("""COMPUTED_VALUE"""),42830.625)</f>
        <v>42830.625</v>
      </c>
      <c r="B551" s="2">
        <f ca="1">IFERROR(__xludf.DUMMYFUNCTION("""COMPUTED_VALUE"""),5925)</f>
        <v>5925</v>
      </c>
      <c r="C551" s="2">
        <f ca="1">IFERROR(__xludf.DUMMYFUNCTION("""COMPUTED_VALUE"""),5950)</f>
        <v>5950</v>
      </c>
      <c r="D551" s="2">
        <f ca="1">IFERROR(__xludf.DUMMYFUNCTION("""COMPUTED_VALUE"""),5862.5)</f>
        <v>5862.5</v>
      </c>
      <c r="E551" s="2">
        <f ca="1">IFERROR(__xludf.DUMMYFUNCTION("""COMPUTED_VALUE"""),5950)</f>
        <v>5950</v>
      </c>
      <c r="F551" s="2">
        <f ca="1">IFERROR(__xludf.DUMMYFUNCTION("""COMPUTED_VALUE"""),13757900)</f>
        <v>13757900</v>
      </c>
    </row>
    <row r="552" spans="1:6">
      <c r="A552" s="1">
        <f ca="1">IFERROR(__xludf.DUMMYFUNCTION("""COMPUTED_VALUE"""),42831.625)</f>
        <v>42831.625</v>
      </c>
      <c r="B552" s="2">
        <f ca="1">IFERROR(__xludf.DUMMYFUNCTION("""COMPUTED_VALUE"""),5950)</f>
        <v>5950</v>
      </c>
      <c r="C552" s="2">
        <f ca="1">IFERROR(__xludf.DUMMYFUNCTION("""COMPUTED_VALUE"""),6212.5)</f>
        <v>6212.5</v>
      </c>
      <c r="D552" s="2">
        <f ca="1">IFERROR(__xludf.DUMMYFUNCTION("""COMPUTED_VALUE"""),5912.5)</f>
        <v>5912.5</v>
      </c>
      <c r="E552" s="2">
        <f ca="1">IFERROR(__xludf.DUMMYFUNCTION("""COMPUTED_VALUE"""),6212.5)</f>
        <v>6212.5</v>
      </c>
      <c r="F552" s="2">
        <f ca="1">IFERROR(__xludf.DUMMYFUNCTION("""COMPUTED_VALUE"""),21853900)</f>
        <v>21853900</v>
      </c>
    </row>
    <row r="553" spans="1:6">
      <c r="A553" s="1">
        <f ca="1">IFERROR(__xludf.DUMMYFUNCTION("""COMPUTED_VALUE"""),42832.625)</f>
        <v>42832.625</v>
      </c>
      <c r="B553" s="2">
        <f ca="1">IFERROR(__xludf.DUMMYFUNCTION("""COMPUTED_VALUE"""),6150)</f>
        <v>6150</v>
      </c>
      <c r="C553" s="2">
        <f ca="1">IFERROR(__xludf.DUMMYFUNCTION("""COMPUTED_VALUE"""),6212.5)</f>
        <v>6212.5</v>
      </c>
      <c r="D553" s="2">
        <f ca="1">IFERROR(__xludf.DUMMYFUNCTION("""COMPUTED_VALUE"""),6100)</f>
        <v>6100</v>
      </c>
      <c r="E553" s="2">
        <f ca="1">IFERROR(__xludf.DUMMYFUNCTION("""COMPUTED_VALUE"""),6100)</f>
        <v>6100</v>
      </c>
      <c r="F553" s="2">
        <f ca="1">IFERROR(__xludf.DUMMYFUNCTION("""COMPUTED_VALUE"""),19958900)</f>
        <v>19958900</v>
      </c>
    </row>
    <row r="554" spans="1:6">
      <c r="A554" s="1">
        <f ca="1">IFERROR(__xludf.DUMMYFUNCTION("""COMPUTED_VALUE"""),42835.625)</f>
        <v>42835.625</v>
      </c>
      <c r="B554" s="2">
        <f ca="1">IFERROR(__xludf.DUMMYFUNCTION("""COMPUTED_VALUE"""),6112.5)</f>
        <v>6112.5</v>
      </c>
      <c r="C554" s="2">
        <f ca="1">IFERROR(__xludf.DUMMYFUNCTION("""COMPUTED_VALUE"""),6137.5)</f>
        <v>6137.5</v>
      </c>
      <c r="D554" s="2">
        <f ca="1">IFERROR(__xludf.DUMMYFUNCTION("""COMPUTED_VALUE"""),5975)</f>
        <v>5975</v>
      </c>
      <c r="E554" s="2">
        <f ca="1">IFERROR(__xludf.DUMMYFUNCTION("""COMPUTED_VALUE"""),6025)</f>
        <v>6025</v>
      </c>
      <c r="F554" s="2">
        <f ca="1">IFERROR(__xludf.DUMMYFUNCTION("""COMPUTED_VALUE"""),9159200)</f>
        <v>9159200</v>
      </c>
    </row>
    <row r="555" spans="1:6">
      <c r="A555" s="1">
        <f ca="1">IFERROR(__xludf.DUMMYFUNCTION("""COMPUTED_VALUE"""),42836.625)</f>
        <v>42836.625</v>
      </c>
      <c r="B555" s="2">
        <f ca="1">IFERROR(__xludf.DUMMYFUNCTION("""COMPUTED_VALUE"""),6000)</f>
        <v>6000</v>
      </c>
      <c r="C555" s="2">
        <f ca="1">IFERROR(__xludf.DUMMYFUNCTION("""COMPUTED_VALUE"""),6000)</f>
        <v>6000</v>
      </c>
      <c r="D555" s="2">
        <f ca="1">IFERROR(__xludf.DUMMYFUNCTION("""COMPUTED_VALUE"""),5850)</f>
        <v>5850</v>
      </c>
      <c r="E555" s="2">
        <f ca="1">IFERROR(__xludf.DUMMYFUNCTION("""COMPUTED_VALUE"""),5875)</f>
        <v>5875</v>
      </c>
      <c r="F555" s="2">
        <f ca="1">IFERROR(__xludf.DUMMYFUNCTION("""COMPUTED_VALUE"""),10778300)</f>
        <v>10778300</v>
      </c>
    </row>
    <row r="556" spans="1:6">
      <c r="A556" s="1">
        <f ca="1">IFERROR(__xludf.DUMMYFUNCTION("""COMPUTED_VALUE"""),42837.625)</f>
        <v>42837.625</v>
      </c>
      <c r="B556" s="2">
        <f ca="1">IFERROR(__xludf.DUMMYFUNCTION("""COMPUTED_VALUE"""),5837.5)</f>
        <v>5837.5</v>
      </c>
      <c r="C556" s="2">
        <f ca="1">IFERROR(__xludf.DUMMYFUNCTION("""COMPUTED_VALUE"""),5900)</f>
        <v>5900</v>
      </c>
      <c r="D556" s="2">
        <f ca="1">IFERROR(__xludf.DUMMYFUNCTION("""COMPUTED_VALUE"""),5837.5)</f>
        <v>5837.5</v>
      </c>
      <c r="E556" s="2">
        <f ca="1">IFERROR(__xludf.DUMMYFUNCTION("""COMPUTED_VALUE"""),5850)</f>
        <v>5850</v>
      </c>
      <c r="F556" s="2">
        <f ca="1">IFERROR(__xludf.DUMMYFUNCTION("""COMPUTED_VALUE"""),8140400)</f>
        <v>8140400</v>
      </c>
    </row>
    <row r="557" spans="1:6">
      <c r="A557" s="1">
        <f ca="1">IFERROR(__xludf.DUMMYFUNCTION("""COMPUTED_VALUE"""),42838.625)</f>
        <v>42838.625</v>
      </c>
      <c r="B557" s="2">
        <f ca="1">IFERROR(__xludf.DUMMYFUNCTION("""COMPUTED_VALUE"""),5900)</f>
        <v>5900</v>
      </c>
      <c r="C557" s="2">
        <f ca="1">IFERROR(__xludf.DUMMYFUNCTION("""COMPUTED_VALUE"""),5925)</f>
        <v>5925</v>
      </c>
      <c r="D557" s="2">
        <f ca="1">IFERROR(__xludf.DUMMYFUNCTION("""COMPUTED_VALUE"""),5750)</f>
        <v>5750</v>
      </c>
      <c r="E557" s="2">
        <f ca="1">IFERROR(__xludf.DUMMYFUNCTION("""COMPUTED_VALUE"""),5825)</f>
        <v>5825</v>
      </c>
      <c r="F557" s="2">
        <f ca="1">IFERROR(__xludf.DUMMYFUNCTION("""COMPUTED_VALUE"""),14048600)</f>
        <v>14048600</v>
      </c>
    </row>
    <row r="558" spans="1:6">
      <c r="A558" s="1">
        <f ca="1">IFERROR(__xludf.DUMMYFUNCTION("""COMPUTED_VALUE"""),42842.625)</f>
        <v>42842.625</v>
      </c>
      <c r="B558" s="2">
        <f ca="1">IFERROR(__xludf.DUMMYFUNCTION("""COMPUTED_VALUE"""),5850)</f>
        <v>5850</v>
      </c>
      <c r="C558" s="2">
        <f ca="1">IFERROR(__xludf.DUMMYFUNCTION("""COMPUTED_VALUE"""),5850)</f>
        <v>5850</v>
      </c>
      <c r="D558" s="2">
        <f ca="1">IFERROR(__xludf.DUMMYFUNCTION("""COMPUTED_VALUE"""),5762.5)</f>
        <v>5762.5</v>
      </c>
      <c r="E558" s="2">
        <f ca="1">IFERROR(__xludf.DUMMYFUNCTION("""COMPUTED_VALUE"""),5812.5)</f>
        <v>5812.5</v>
      </c>
      <c r="F558" s="2">
        <f ca="1">IFERROR(__xludf.DUMMYFUNCTION("""COMPUTED_VALUE"""),4788300)</f>
        <v>4788300</v>
      </c>
    </row>
    <row r="559" spans="1:6">
      <c r="A559" s="1">
        <f ca="1">IFERROR(__xludf.DUMMYFUNCTION("""COMPUTED_VALUE"""),42843.625)</f>
        <v>42843.625</v>
      </c>
      <c r="B559" s="2">
        <f ca="1">IFERROR(__xludf.DUMMYFUNCTION("""COMPUTED_VALUE"""),5850)</f>
        <v>5850</v>
      </c>
      <c r="C559" s="2">
        <f ca="1">IFERROR(__xludf.DUMMYFUNCTION("""COMPUTED_VALUE"""),5925)</f>
        <v>5925</v>
      </c>
      <c r="D559" s="2">
        <f ca="1">IFERROR(__xludf.DUMMYFUNCTION("""COMPUTED_VALUE"""),5812.5)</f>
        <v>5812.5</v>
      </c>
      <c r="E559" s="2">
        <f ca="1">IFERROR(__xludf.DUMMYFUNCTION("""COMPUTED_VALUE"""),5875)</f>
        <v>5875</v>
      </c>
      <c r="F559" s="2">
        <f ca="1">IFERROR(__xludf.DUMMYFUNCTION("""COMPUTED_VALUE"""),22342000)</f>
        <v>22342000</v>
      </c>
    </row>
    <row r="560" spans="1:6">
      <c r="A560" s="1">
        <f ca="1">IFERROR(__xludf.DUMMYFUNCTION("""COMPUTED_VALUE"""),42845.625)</f>
        <v>42845.625</v>
      </c>
      <c r="B560" s="2">
        <f ca="1">IFERROR(__xludf.DUMMYFUNCTION("""COMPUTED_VALUE"""),5850)</f>
        <v>5850</v>
      </c>
      <c r="C560" s="2">
        <f ca="1">IFERROR(__xludf.DUMMYFUNCTION("""COMPUTED_VALUE"""),5875)</f>
        <v>5875</v>
      </c>
      <c r="D560" s="2">
        <f ca="1">IFERROR(__xludf.DUMMYFUNCTION("""COMPUTED_VALUE"""),5725)</f>
        <v>5725</v>
      </c>
      <c r="E560" s="2">
        <f ca="1">IFERROR(__xludf.DUMMYFUNCTION("""COMPUTED_VALUE"""),5762.5)</f>
        <v>5762.5</v>
      </c>
      <c r="F560" s="2">
        <f ca="1">IFERROR(__xludf.DUMMYFUNCTION("""COMPUTED_VALUE"""),20369600)</f>
        <v>20369600</v>
      </c>
    </row>
    <row r="561" spans="1:6">
      <c r="A561" s="1">
        <f ca="1">IFERROR(__xludf.DUMMYFUNCTION("""COMPUTED_VALUE"""),42846.625)</f>
        <v>42846.625</v>
      </c>
      <c r="B561" s="2">
        <f ca="1">IFERROR(__xludf.DUMMYFUNCTION("""COMPUTED_VALUE"""),5787.5)</f>
        <v>5787.5</v>
      </c>
      <c r="C561" s="2">
        <f ca="1">IFERROR(__xludf.DUMMYFUNCTION("""COMPUTED_VALUE"""),5837.5)</f>
        <v>5837.5</v>
      </c>
      <c r="D561" s="2">
        <f ca="1">IFERROR(__xludf.DUMMYFUNCTION("""COMPUTED_VALUE"""),5700)</f>
        <v>5700</v>
      </c>
      <c r="E561" s="2">
        <f ca="1">IFERROR(__xludf.DUMMYFUNCTION("""COMPUTED_VALUE"""),5700)</f>
        <v>5700</v>
      </c>
      <c r="F561" s="2">
        <f ca="1">IFERROR(__xludf.DUMMYFUNCTION("""COMPUTED_VALUE"""),9582400)</f>
        <v>9582400</v>
      </c>
    </row>
    <row r="562" spans="1:6">
      <c r="A562" s="1">
        <f ca="1">IFERROR(__xludf.DUMMYFUNCTION("""COMPUTED_VALUE"""),42850.625)</f>
        <v>42850.625</v>
      </c>
      <c r="B562" s="2">
        <f ca="1">IFERROR(__xludf.DUMMYFUNCTION("""COMPUTED_VALUE"""),5787.5)</f>
        <v>5787.5</v>
      </c>
      <c r="C562" s="2">
        <f ca="1">IFERROR(__xludf.DUMMYFUNCTION("""COMPUTED_VALUE"""),5850)</f>
        <v>5850</v>
      </c>
      <c r="D562" s="2">
        <f ca="1">IFERROR(__xludf.DUMMYFUNCTION("""COMPUTED_VALUE"""),5737.5)</f>
        <v>5737.5</v>
      </c>
      <c r="E562" s="2">
        <f ca="1">IFERROR(__xludf.DUMMYFUNCTION("""COMPUTED_VALUE"""),5775)</f>
        <v>5775</v>
      </c>
      <c r="F562" s="2">
        <f ca="1">IFERROR(__xludf.DUMMYFUNCTION("""COMPUTED_VALUE"""),37302000)</f>
        <v>37302000</v>
      </c>
    </row>
    <row r="563" spans="1:6">
      <c r="A563" s="1">
        <f ca="1">IFERROR(__xludf.DUMMYFUNCTION("""COMPUTED_VALUE"""),42851.625)</f>
        <v>42851.625</v>
      </c>
      <c r="B563" s="2">
        <f ca="1">IFERROR(__xludf.DUMMYFUNCTION("""COMPUTED_VALUE"""),5850)</f>
        <v>5850</v>
      </c>
      <c r="C563" s="2">
        <f ca="1">IFERROR(__xludf.DUMMYFUNCTION("""COMPUTED_VALUE"""),6137.5)</f>
        <v>6137.5</v>
      </c>
      <c r="D563" s="2">
        <f ca="1">IFERROR(__xludf.DUMMYFUNCTION("""COMPUTED_VALUE"""),5850)</f>
        <v>5850</v>
      </c>
      <c r="E563" s="2">
        <f ca="1">IFERROR(__xludf.DUMMYFUNCTION("""COMPUTED_VALUE"""),5912.5)</f>
        <v>5912.5</v>
      </c>
      <c r="F563" s="2">
        <f ca="1">IFERROR(__xludf.DUMMYFUNCTION("""COMPUTED_VALUE"""),79962600)</f>
        <v>79962600</v>
      </c>
    </row>
    <row r="564" spans="1:6">
      <c r="A564" s="1">
        <f ca="1">IFERROR(__xludf.DUMMYFUNCTION("""COMPUTED_VALUE"""),42852.625)</f>
        <v>42852.625</v>
      </c>
      <c r="B564" s="2">
        <f ca="1">IFERROR(__xludf.DUMMYFUNCTION("""COMPUTED_VALUE"""),5850)</f>
        <v>5850</v>
      </c>
      <c r="C564" s="2">
        <f ca="1">IFERROR(__xludf.DUMMYFUNCTION("""COMPUTED_VALUE"""),5925)</f>
        <v>5925</v>
      </c>
      <c r="D564" s="2">
        <f ca="1">IFERROR(__xludf.DUMMYFUNCTION("""COMPUTED_VALUE"""),5850)</f>
        <v>5850</v>
      </c>
      <c r="E564" s="2">
        <f ca="1">IFERROR(__xludf.DUMMYFUNCTION("""COMPUTED_VALUE"""),5862.5)</f>
        <v>5862.5</v>
      </c>
      <c r="F564" s="2">
        <f ca="1">IFERROR(__xludf.DUMMYFUNCTION("""COMPUTED_VALUE"""),26595500)</f>
        <v>26595500</v>
      </c>
    </row>
    <row r="565" spans="1:6">
      <c r="A565" s="1">
        <f ca="1">IFERROR(__xludf.DUMMYFUNCTION("""COMPUTED_VALUE"""),42853.625)</f>
        <v>42853.625</v>
      </c>
      <c r="B565" s="2">
        <f ca="1">IFERROR(__xludf.DUMMYFUNCTION("""COMPUTED_VALUE"""),5837.5)</f>
        <v>5837.5</v>
      </c>
      <c r="C565" s="2">
        <f ca="1">IFERROR(__xludf.DUMMYFUNCTION("""COMPUTED_VALUE"""),5875)</f>
        <v>5875</v>
      </c>
      <c r="D565" s="2">
        <f ca="1">IFERROR(__xludf.DUMMYFUNCTION("""COMPUTED_VALUE"""),5825)</f>
        <v>5825</v>
      </c>
      <c r="E565" s="2">
        <f ca="1">IFERROR(__xludf.DUMMYFUNCTION("""COMPUTED_VALUE"""),5850)</f>
        <v>5850</v>
      </c>
      <c r="F565" s="2">
        <f ca="1">IFERROR(__xludf.DUMMYFUNCTION("""COMPUTED_VALUE"""),20936900)</f>
        <v>20936900</v>
      </c>
    </row>
    <row r="566" spans="1:6">
      <c r="A566" s="1">
        <f ca="1">IFERROR(__xludf.DUMMYFUNCTION("""COMPUTED_VALUE"""),42857.625)</f>
        <v>42857.625</v>
      </c>
      <c r="B566" s="2">
        <f ca="1">IFERROR(__xludf.DUMMYFUNCTION("""COMPUTED_VALUE"""),5850)</f>
        <v>5850</v>
      </c>
      <c r="C566" s="2">
        <f ca="1">IFERROR(__xludf.DUMMYFUNCTION("""COMPUTED_VALUE"""),5862.5)</f>
        <v>5862.5</v>
      </c>
      <c r="D566" s="2">
        <f ca="1">IFERROR(__xludf.DUMMYFUNCTION("""COMPUTED_VALUE"""),5837.5)</f>
        <v>5837.5</v>
      </c>
      <c r="E566" s="2">
        <f ca="1">IFERROR(__xludf.DUMMYFUNCTION("""COMPUTED_VALUE"""),5837.5)</f>
        <v>5837.5</v>
      </c>
      <c r="F566" s="2">
        <f ca="1">IFERROR(__xludf.DUMMYFUNCTION("""COMPUTED_VALUE"""),20763600)</f>
        <v>20763600</v>
      </c>
    </row>
    <row r="567" spans="1:6">
      <c r="A567" s="1">
        <f ca="1">IFERROR(__xludf.DUMMYFUNCTION("""COMPUTED_VALUE"""),42858.625)</f>
        <v>42858.625</v>
      </c>
      <c r="B567" s="2">
        <f ca="1">IFERROR(__xludf.DUMMYFUNCTION("""COMPUTED_VALUE"""),5825)</f>
        <v>5825</v>
      </c>
      <c r="C567" s="2">
        <f ca="1">IFERROR(__xludf.DUMMYFUNCTION("""COMPUTED_VALUE"""),5825)</f>
        <v>5825</v>
      </c>
      <c r="D567" s="2">
        <f ca="1">IFERROR(__xludf.DUMMYFUNCTION("""COMPUTED_VALUE"""),5750)</f>
        <v>5750</v>
      </c>
      <c r="E567" s="2">
        <f ca="1">IFERROR(__xludf.DUMMYFUNCTION("""COMPUTED_VALUE"""),5787.5)</f>
        <v>5787.5</v>
      </c>
      <c r="F567" s="2">
        <f ca="1">IFERROR(__xludf.DUMMYFUNCTION("""COMPUTED_VALUE"""),24954700)</f>
        <v>24954700</v>
      </c>
    </row>
    <row r="568" spans="1:6">
      <c r="A568" s="1">
        <f ca="1">IFERROR(__xludf.DUMMYFUNCTION("""COMPUTED_VALUE"""),42859.625)</f>
        <v>42859.625</v>
      </c>
      <c r="B568" s="2">
        <f ca="1">IFERROR(__xludf.DUMMYFUNCTION("""COMPUTED_VALUE"""),5812.5)</f>
        <v>5812.5</v>
      </c>
      <c r="C568" s="2">
        <f ca="1">IFERROR(__xludf.DUMMYFUNCTION("""COMPUTED_VALUE"""),5912.5)</f>
        <v>5912.5</v>
      </c>
      <c r="D568" s="2">
        <f ca="1">IFERROR(__xludf.DUMMYFUNCTION("""COMPUTED_VALUE"""),5812.5)</f>
        <v>5812.5</v>
      </c>
      <c r="E568" s="2">
        <f ca="1">IFERROR(__xludf.DUMMYFUNCTION("""COMPUTED_VALUE"""),5850)</f>
        <v>5850</v>
      </c>
      <c r="F568" s="2">
        <f ca="1">IFERROR(__xludf.DUMMYFUNCTION("""COMPUTED_VALUE"""),33517500)</f>
        <v>33517500</v>
      </c>
    </row>
    <row r="569" spans="1:6">
      <c r="A569" s="1">
        <f ca="1">IFERROR(__xludf.DUMMYFUNCTION("""COMPUTED_VALUE"""),42860.625)</f>
        <v>42860.625</v>
      </c>
      <c r="B569" s="2">
        <f ca="1">IFERROR(__xludf.DUMMYFUNCTION("""COMPUTED_VALUE"""),5875)</f>
        <v>5875</v>
      </c>
      <c r="C569" s="2">
        <f ca="1">IFERROR(__xludf.DUMMYFUNCTION("""COMPUTED_VALUE"""),6062.5)</f>
        <v>6062.5</v>
      </c>
      <c r="D569" s="2">
        <f ca="1">IFERROR(__xludf.DUMMYFUNCTION("""COMPUTED_VALUE"""),5875)</f>
        <v>5875</v>
      </c>
      <c r="E569" s="2">
        <f ca="1">IFERROR(__xludf.DUMMYFUNCTION("""COMPUTED_VALUE"""),5987.5)</f>
        <v>5987.5</v>
      </c>
      <c r="F569" s="2">
        <f ca="1">IFERROR(__xludf.DUMMYFUNCTION("""COMPUTED_VALUE"""),36712100)</f>
        <v>36712100</v>
      </c>
    </row>
    <row r="570" spans="1:6">
      <c r="A570" s="1">
        <f ca="1">IFERROR(__xludf.DUMMYFUNCTION("""COMPUTED_VALUE"""),42863.625)</f>
        <v>42863.625</v>
      </c>
      <c r="B570" s="2">
        <f ca="1">IFERROR(__xludf.DUMMYFUNCTION("""COMPUTED_VALUE"""),6050)</f>
        <v>6050</v>
      </c>
      <c r="C570" s="2">
        <f ca="1">IFERROR(__xludf.DUMMYFUNCTION("""COMPUTED_VALUE"""),6137.5)</f>
        <v>6137.5</v>
      </c>
      <c r="D570" s="2">
        <f ca="1">IFERROR(__xludf.DUMMYFUNCTION("""COMPUTED_VALUE"""),6025)</f>
        <v>6025</v>
      </c>
      <c r="E570" s="2">
        <f ca="1">IFERROR(__xludf.DUMMYFUNCTION("""COMPUTED_VALUE"""),6025)</f>
        <v>6025</v>
      </c>
      <c r="F570" s="2">
        <f ca="1">IFERROR(__xludf.DUMMYFUNCTION("""COMPUTED_VALUE"""),37643800)</f>
        <v>37643800</v>
      </c>
    </row>
    <row r="571" spans="1:6">
      <c r="A571" s="1">
        <f ca="1">IFERROR(__xludf.DUMMYFUNCTION("""COMPUTED_VALUE"""),42864.625)</f>
        <v>42864.625</v>
      </c>
      <c r="B571" s="2">
        <f ca="1">IFERROR(__xludf.DUMMYFUNCTION("""COMPUTED_VALUE"""),6025)</f>
        <v>6025</v>
      </c>
      <c r="C571" s="2">
        <f ca="1">IFERROR(__xludf.DUMMYFUNCTION("""COMPUTED_VALUE"""),6075)</f>
        <v>6075</v>
      </c>
      <c r="D571" s="2">
        <f ca="1">IFERROR(__xludf.DUMMYFUNCTION("""COMPUTED_VALUE"""),6000)</f>
        <v>6000</v>
      </c>
      <c r="E571" s="2">
        <f ca="1">IFERROR(__xludf.DUMMYFUNCTION("""COMPUTED_VALUE"""),6000)</f>
        <v>6000</v>
      </c>
      <c r="F571" s="2">
        <f ca="1">IFERROR(__xludf.DUMMYFUNCTION("""COMPUTED_VALUE"""),15245700)</f>
        <v>15245700</v>
      </c>
    </row>
    <row r="572" spans="1:6">
      <c r="A572" s="1">
        <f ca="1">IFERROR(__xludf.DUMMYFUNCTION("""COMPUTED_VALUE"""),42865.625)</f>
        <v>42865.625</v>
      </c>
      <c r="B572" s="2">
        <f ca="1">IFERROR(__xludf.DUMMYFUNCTION("""COMPUTED_VALUE"""),6050)</f>
        <v>6050</v>
      </c>
      <c r="C572" s="2">
        <f ca="1">IFERROR(__xludf.DUMMYFUNCTION("""COMPUTED_VALUE"""),6050)</f>
        <v>6050</v>
      </c>
      <c r="D572" s="2">
        <f ca="1">IFERROR(__xludf.DUMMYFUNCTION("""COMPUTED_VALUE"""),5962.5)</f>
        <v>5962.5</v>
      </c>
      <c r="E572" s="2">
        <f ca="1">IFERROR(__xludf.DUMMYFUNCTION("""COMPUTED_VALUE"""),6012.5)</f>
        <v>6012.5</v>
      </c>
      <c r="F572" s="2">
        <f ca="1">IFERROR(__xludf.DUMMYFUNCTION("""COMPUTED_VALUE"""),19605100)</f>
        <v>19605100</v>
      </c>
    </row>
    <row r="573" spans="1:6">
      <c r="A573" s="1">
        <f ca="1">IFERROR(__xludf.DUMMYFUNCTION("""COMPUTED_VALUE"""),42867.625)</f>
        <v>42867.625</v>
      </c>
      <c r="B573" s="2">
        <f ca="1">IFERROR(__xludf.DUMMYFUNCTION("""COMPUTED_VALUE"""),6087.5)</f>
        <v>6087.5</v>
      </c>
      <c r="C573" s="2">
        <f ca="1">IFERROR(__xludf.DUMMYFUNCTION("""COMPUTED_VALUE"""),6087.5)</f>
        <v>6087.5</v>
      </c>
      <c r="D573" s="2">
        <f ca="1">IFERROR(__xludf.DUMMYFUNCTION("""COMPUTED_VALUE"""),5975)</f>
        <v>5975</v>
      </c>
      <c r="E573" s="2">
        <f ca="1">IFERROR(__xludf.DUMMYFUNCTION("""COMPUTED_VALUE"""),6000)</f>
        <v>6000</v>
      </c>
      <c r="F573" s="2">
        <f ca="1">IFERROR(__xludf.DUMMYFUNCTION("""COMPUTED_VALUE"""),24316100)</f>
        <v>24316100</v>
      </c>
    </row>
    <row r="574" spans="1:6">
      <c r="A574" s="1">
        <f ca="1">IFERROR(__xludf.DUMMYFUNCTION("""COMPUTED_VALUE"""),42870.625)</f>
        <v>42870.625</v>
      </c>
      <c r="B574" s="2">
        <f ca="1">IFERROR(__xludf.DUMMYFUNCTION("""COMPUTED_VALUE"""),6050)</f>
        <v>6050</v>
      </c>
      <c r="C574" s="2">
        <f ca="1">IFERROR(__xludf.DUMMYFUNCTION("""COMPUTED_VALUE"""),6062.5)</f>
        <v>6062.5</v>
      </c>
      <c r="D574" s="2">
        <f ca="1">IFERROR(__xludf.DUMMYFUNCTION("""COMPUTED_VALUE"""),5975)</f>
        <v>5975</v>
      </c>
      <c r="E574" s="2">
        <f ca="1">IFERROR(__xludf.DUMMYFUNCTION("""COMPUTED_VALUE"""),6062.5)</f>
        <v>6062.5</v>
      </c>
      <c r="F574" s="2">
        <f ca="1">IFERROR(__xludf.DUMMYFUNCTION("""COMPUTED_VALUE"""),11426500)</f>
        <v>11426500</v>
      </c>
    </row>
    <row r="575" spans="1:6">
      <c r="A575" s="1">
        <f ca="1">IFERROR(__xludf.DUMMYFUNCTION("""COMPUTED_VALUE"""),42871.625)</f>
        <v>42871.625</v>
      </c>
      <c r="B575" s="2">
        <f ca="1">IFERROR(__xludf.DUMMYFUNCTION("""COMPUTED_VALUE"""),6062.5)</f>
        <v>6062.5</v>
      </c>
      <c r="C575" s="2">
        <f ca="1">IFERROR(__xludf.DUMMYFUNCTION("""COMPUTED_VALUE"""),6075)</f>
        <v>6075</v>
      </c>
      <c r="D575" s="2">
        <f ca="1">IFERROR(__xludf.DUMMYFUNCTION("""COMPUTED_VALUE"""),5975)</f>
        <v>5975</v>
      </c>
      <c r="E575" s="2">
        <f ca="1">IFERROR(__xludf.DUMMYFUNCTION("""COMPUTED_VALUE"""),5987.5)</f>
        <v>5987.5</v>
      </c>
      <c r="F575" s="2">
        <f ca="1">IFERROR(__xludf.DUMMYFUNCTION("""COMPUTED_VALUE"""),18979500)</f>
        <v>18979500</v>
      </c>
    </row>
    <row r="576" spans="1:6">
      <c r="A576" s="1">
        <f ca="1">IFERROR(__xludf.DUMMYFUNCTION("""COMPUTED_VALUE"""),42872.625)</f>
        <v>42872.625</v>
      </c>
      <c r="B576" s="2">
        <f ca="1">IFERROR(__xludf.DUMMYFUNCTION("""COMPUTED_VALUE"""),5987.5)</f>
        <v>5987.5</v>
      </c>
      <c r="C576" s="2">
        <f ca="1">IFERROR(__xludf.DUMMYFUNCTION("""COMPUTED_VALUE"""),6025)</f>
        <v>6025</v>
      </c>
      <c r="D576" s="2">
        <f ca="1">IFERROR(__xludf.DUMMYFUNCTION("""COMPUTED_VALUE"""),5900)</f>
        <v>5900</v>
      </c>
      <c r="E576" s="2">
        <f ca="1">IFERROR(__xludf.DUMMYFUNCTION("""COMPUTED_VALUE"""),6000)</f>
        <v>6000</v>
      </c>
      <c r="F576" s="2">
        <f ca="1">IFERROR(__xludf.DUMMYFUNCTION("""COMPUTED_VALUE"""),21221800)</f>
        <v>21221800</v>
      </c>
    </row>
    <row r="577" spans="1:6">
      <c r="A577" s="1">
        <f ca="1">IFERROR(__xludf.DUMMYFUNCTION("""COMPUTED_VALUE"""),42873.625)</f>
        <v>42873.625</v>
      </c>
      <c r="B577" s="2">
        <f ca="1">IFERROR(__xludf.DUMMYFUNCTION("""COMPUTED_VALUE"""),6000)</f>
        <v>6000</v>
      </c>
      <c r="C577" s="2">
        <f ca="1">IFERROR(__xludf.DUMMYFUNCTION("""COMPUTED_VALUE"""),6075)</f>
        <v>6075</v>
      </c>
      <c r="D577" s="2">
        <f ca="1">IFERROR(__xludf.DUMMYFUNCTION("""COMPUTED_VALUE"""),5925)</f>
        <v>5925</v>
      </c>
      <c r="E577" s="2">
        <f ca="1">IFERROR(__xludf.DUMMYFUNCTION("""COMPUTED_VALUE"""),6075)</f>
        <v>6075</v>
      </c>
      <c r="F577" s="2">
        <f ca="1">IFERROR(__xludf.DUMMYFUNCTION("""COMPUTED_VALUE"""),8891100)</f>
        <v>8891100</v>
      </c>
    </row>
    <row r="578" spans="1:6">
      <c r="A578" s="1">
        <f ca="1">IFERROR(__xludf.DUMMYFUNCTION("""COMPUTED_VALUE"""),42874.625)</f>
        <v>42874.625</v>
      </c>
      <c r="B578" s="2">
        <f ca="1">IFERROR(__xludf.DUMMYFUNCTION("""COMPUTED_VALUE"""),6075)</f>
        <v>6075</v>
      </c>
      <c r="C578" s="2">
        <f ca="1">IFERROR(__xludf.DUMMYFUNCTION("""COMPUTED_VALUE"""),6637.5)</f>
        <v>6637.5</v>
      </c>
      <c r="D578" s="2">
        <f ca="1">IFERROR(__xludf.DUMMYFUNCTION("""COMPUTED_VALUE"""),5987.5)</f>
        <v>5987.5</v>
      </c>
      <c r="E578" s="2">
        <f ca="1">IFERROR(__xludf.DUMMYFUNCTION("""COMPUTED_VALUE"""),6450)</f>
        <v>6450</v>
      </c>
      <c r="F578" s="2">
        <f ca="1">IFERROR(__xludf.DUMMYFUNCTION("""COMPUTED_VALUE"""),28273300)</f>
        <v>28273300</v>
      </c>
    </row>
    <row r="579" spans="1:6">
      <c r="A579" s="1">
        <f ca="1">IFERROR(__xludf.DUMMYFUNCTION("""COMPUTED_VALUE"""),42877.625)</f>
        <v>42877.625</v>
      </c>
      <c r="B579" s="2">
        <f ca="1">IFERROR(__xludf.DUMMYFUNCTION("""COMPUTED_VALUE"""),6600)</f>
        <v>6600</v>
      </c>
      <c r="C579" s="2">
        <f ca="1">IFERROR(__xludf.DUMMYFUNCTION("""COMPUTED_VALUE"""),6650)</f>
        <v>6650</v>
      </c>
      <c r="D579" s="2">
        <f ca="1">IFERROR(__xludf.DUMMYFUNCTION("""COMPUTED_VALUE"""),6200)</f>
        <v>6200</v>
      </c>
      <c r="E579" s="2">
        <f ca="1">IFERROR(__xludf.DUMMYFUNCTION("""COMPUTED_VALUE"""),6262.5)</f>
        <v>6262.5</v>
      </c>
      <c r="F579" s="2">
        <f ca="1">IFERROR(__xludf.DUMMYFUNCTION("""COMPUTED_VALUE"""),25707300)</f>
        <v>25707300</v>
      </c>
    </row>
    <row r="580" spans="1:6">
      <c r="A580" s="1">
        <f ca="1">IFERROR(__xludf.DUMMYFUNCTION("""COMPUTED_VALUE"""),42878.625)</f>
        <v>42878.625</v>
      </c>
      <c r="B580" s="2">
        <f ca="1">IFERROR(__xludf.DUMMYFUNCTION("""COMPUTED_VALUE"""),6262.5)</f>
        <v>6262.5</v>
      </c>
      <c r="C580" s="2">
        <f ca="1">IFERROR(__xludf.DUMMYFUNCTION("""COMPUTED_VALUE"""),6287.5)</f>
        <v>6287.5</v>
      </c>
      <c r="D580" s="2">
        <f ca="1">IFERROR(__xludf.DUMMYFUNCTION("""COMPUTED_VALUE"""),6050)</f>
        <v>6050</v>
      </c>
      <c r="E580" s="2">
        <f ca="1">IFERROR(__xludf.DUMMYFUNCTION("""COMPUTED_VALUE"""),6125)</f>
        <v>6125</v>
      </c>
      <c r="F580" s="2">
        <f ca="1">IFERROR(__xludf.DUMMYFUNCTION("""COMPUTED_VALUE"""),18404100)</f>
        <v>18404100</v>
      </c>
    </row>
    <row r="581" spans="1:6">
      <c r="A581" s="1">
        <f ca="1">IFERROR(__xludf.DUMMYFUNCTION("""COMPUTED_VALUE"""),42879.625)</f>
        <v>42879.625</v>
      </c>
      <c r="B581" s="2">
        <f ca="1">IFERROR(__xludf.DUMMYFUNCTION("""COMPUTED_VALUE"""),6025)</f>
        <v>6025</v>
      </c>
      <c r="C581" s="2">
        <f ca="1">IFERROR(__xludf.DUMMYFUNCTION("""COMPUTED_VALUE"""),6200)</f>
        <v>6200</v>
      </c>
      <c r="D581" s="2">
        <f ca="1">IFERROR(__xludf.DUMMYFUNCTION("""COMPUTED_VALUE"""),6000)</f>
        <v>6000</v>
      </c>
      <c r="E581" s="2">
        <f ca="1">IFERROR(__xludf.DUMMYFUNCTION("""COMPUTED_VALUE"""),6200)</f>
        <v>6200</v>
      </c>
      <c r="F581" s="2">
        <f ca="1">IFERROR(__xludf.DUMMYFUNCTION("""COMPUTED_VALUE"""),12625700)</f>
        <v>12625700</v>
      </c>
    </row>
    <row r="582" spans="1:6">
      <c r="A582" s="1">
        <f ca="1">IFERROR(__xludf.DUMMYFUNCTION("""COMPUTED_VALUE"""),42881.625)</f>
        <v>42881.625</v>
      </c>
      <c r="B582" s="2">
        <f ca="1">IFERROR(__xludf.DUMMYFUNCTION("""COMPUTED_VALUE"""),6237.5)</f>
        <v>6237.5</v>
      </c>
      <c r="C582" s="2">
        <f ca="1">IFERROR(__xludf.DUMMYFUNCTION("""COMPUTED_VALUE"""),6250)</f>
        <v>6250</v>
      </c>
      <c r="D582" s="2">
        <f ca="1">IFERROR(__xludf.DUMMYFUNCTION("""COMPUTED_VALUE"""),6050)</f>
        <v>6050</v>
      </c>
      <c r="E582" s="2">
        <f ca="1">IFERROR(__xludf.DUMMYFUNCTION("""COMPUTED_VALUE"""),6075)</f>
        <v>6075</v>
      </c>
      <c r="F582" s="2">
        <f ca="1">IFERROR(__xludf.DUMMYFUNCTION("""COMPUTED_VALUE"""),14394500)</f>
        <v>14394500</v>
      </c>
    </row>
    <row r="583" spans="1:6">
      <c r="A583" s="1">
        <f ca="1">IFERROR(__xludf.DUMMYFUNCTION("""COMPUTED_VALUE"""),42884.625)</f>
        <v>42884.625</v>
      </c>
      <c r="B583" s="2">
        <f ca="1">IFERROR(__xludf.DUMMYFUNCTION("""COMPUTED_VALUE"""),6150)</f>
        <v>6150</v>
      </c>
      <c r="C583" s="2">
        <f ca="1">IFERROR(__xludf.DUMMYFUNCTION("""COMPUTED_VALUE"""),6200)</f>
        <v>6200</v>
      </c>
      <c r="D583" s="2">
        <f ca="1">IFERROR(__xludf.DUMMYFUNCTION("""COMPUTED_VALUE"""),6075)</f>
        <v>6075</v>
      </c>
      <c r="E583" s="2">
        <f ca="1">IFERROR(__xludf.DUMMYFUNCTION("""COMPUTED_VALUE"""),6175)</f>
        <v>6175</v>
      </c>
      <c r="F583" s="2">
        <f ca="1">IFERROR(__xludf.DUMMYFUNCTION("""COMPUTED_VALUE"""),11642500)</f>
        <v>11642500</v>
      </c>
    </row>
    <row r="584" spans="1:6">
      <c r="A584" s="1">
        <f ca="1">IFERROR(__xludf.DUMMYFUNCTION("""COMPUTED_VALUE"""),42885.625)</f>
        <v>42885.625</v>
      </c>
      <c r="B584" s="2">
        <f ca="1">IFERROR(__xludf.DUMMYFUNCTION("""COMPUTED_VALUE"""),6125)</f>
        <v>6125</v>
      </c>
      <c r="C584" s="2">
        <f ca="1">IFERROR(__xludf.DUMMYFUNCTION("""COMPUTED_VALUE"""),6237.5)</f>
        <v>6237.5</v>
      </c>
      <c r="D584" s="2">
        <f ca="1">IFERROR(__xludf.DUMMYFUNCTION("""COMPUTED_VALUE"""),6125)</f>
        <v>6125</v>
      </c>
      <c r="E584" s="2">
        <f ca="1">IFERROR(__xludf.DUMMYFUNCTION("""COMPUTED_VALUE"""),6212.5)</f>
        <v>6212.5</v>
      </c>
      <c r="F584" s="2">
        <f ca="1">IFERROR(__xludf.DUMMYFUNCTION("""COMPUTED_VALUE"""),10054600)</f>
        <v>10054600</v>
      </c>
    </row>
    <row r="585" spans="1:6">
      <c r="A585" s="1">
        <f ca="1">IFERROR(__xludf.DUMMYFUNCTION("""COMPUTED_VALUE"""),42886.625)</f>
        <v>42886.625</v>
      </c>
      <c r="B585" s="2">
        <f ca="1">IFERROR(__xludf.DUMMYFUNCTION("""COMPUTED_VALUE"""),6250)</f>
        <v>6250</v>
      </c>
      <c r="C585" s="2">
        <f ca="1">IFERROR(__xludf.DUMMYFUNCTION("""COMPUTED_VALUE"""),6300)</f>
        <v>6300</v>
      </c>
      <c r="D585" s="2">
        <f ca="1">IFERROR(__xludf.DUMMYFUNCTION("""COMPUTED_VALUE"""),6175)</f>
        <v>6175</v>
      </c>
      <c r="E585" s="2">
        <f ca="1">IFERROR(__xludf.DUMMYFUNCTION("""COMPUTED_VALUE"""),6300)</f>
        <v>6300</v>
      </c>
      <c r="F585" s="2">
        <f ca="1">IFERROR(__xludf.DUMMYFUNCTION("""COMPUTED_VALUE"""),21310900)</f>
        <v>21310900</v>
      </c>
    </row>
    <row r="586" spans="1:6">
      <c r="A586" s="1">
        <f ca="1">IFERROR(__xludf.DUMMYFUNCTION("""COMPUTED_VALUE"""),42888.625)</f>
        <v>42888.625</v>
      </c>
      <c r="B586" s="2">
        <f ca="1">IFERROR(__xludf.DUMMYFUNCTION("""COMPUTED_VALUE"""),6425)</f>
        <v>6425</v>
      </c>
      <c r="C586" s="2">
        <f ca="1">IFERROR(__xludf.DUMMYFUNCTION("""COMPUTED_VALUE"""),6425)</f>
        <v>6425</v>
      </c>
      <c r="D586" s="2">
        <f ca="1">IFERROR(__xludf.DUMMYFUNCTION("""COMPUTED_VALUE"""),6250)</f>
        <v>6250</v>
      </c>
      <c r="E586" s="2">
        <f ca="1">IFERROR(__xludf.DUMMYFUNCTION("""COMPUTED_VALUE"""),6300)</f>
        <v>6300</v>
      </c>
      <c r="F586" s="2">
        <f ca="1">IFERROR(__xludf.DUMMYFUNCTION("""COMPUTED_VALUE"""),14957300)</f>
        <v>14957300</v>
      </c>
    </row>
    <row r="587" spans="1:6">
      <c r="A587" s="1">
        <f ca="1">IFERROR(__xludf.DUMMYFUNCTION("""COMPUTED_VALUE"""),42891.625)</f>
        <v>42891.625</v>
      </c>
      <c r="B587" s="2">
        <f ca="1">IFERROR(__xludf.DUMMYFUNCTION("""COMPUTED_VALUE"""),6300)</f>
        <v>6300</v>
      </c>
      <c r="C587" s="2">
        <f ca="1">IFERROR(__xludf.DUMMYFUNCTION("""COMPUTED_VALUE"""),6387.5)</f>
        <v>6387.5</v>
      </c>
      <c r="D587" s="2">
        <f ca="1">IFERROR(__xludf.DUMMYFUNCTION("""COMPUTED_VALUE"""),6287.5)</f>
        <v>6287.5</v>
      </c>
      <c r="E587" s="2">
        <f ca="1">IFERROR(__xludf.DUMMYFUNCTION("""COMPUTED_VALUE"""),6337.5)</f>
        <v>6337.5</v>
      </c>
      <c r="F587" s="2">
        <f ca="1">IFERROR(__xludf.DUMMYFUNCTION("""COMPUTED_VALUE"""),11761400)</f>
        <v>11761400</v>
      </c>
    </row>
    <row r="588" spans="1:6">
      <c r="A588" s="1">
        <f ca="1">IFERROR(__xludf.DUMMYFUNCTION("""COMPUTED_VALUE"""),42892.625)</f>
        <v>42892.625</v>
      </c>
      <c r="B588" s="2">
        <f ca="1">IFERROR(__xludf.DUMMYFUNCTION("""COMPUTED_VALUE"""),6287.5)</f>
        <v>6287.5</v>
      </c>
      <c r="C588" s="2">
        <f ca="1">IFERROR(__xludf.DUMMYFUNCTION("""COMPUTED_VALUE"""),6362.5)</f>
        <v>6362.5</v>
      </c>
      <c r="D588" s="2">
        <f ca="1">IFERROR(__xludf.DUMMYFUNCTION("""COMPUTED_VALUE"""),6187.5)</f>
        <v>6187.5</v>
      </c>
      <c r="E588" s="2">
        <f ca="1">IFERROR(__xludf.DUMMYFUNCTION("""COMPUTED_VALUE"""),6250)</f>
        <v>6250</v>
      </c>
      <c r="F588" s="2">
        <f ca="1">IFERROR(__xludf.DUMMYFUNCTION("""COMPUTED_VALUE"""),7180300)</f>
        <v>7180300</v>
      </c>
    </row>
    <row r="589" spans="1:6">
      <c r="A589" s="1">
        <f ca="1">IFERROR(__xludf.DUMMYFUNCTION("""COMPUTED_VALUE"""),42893.625)</f>
        <v>42893.625</v>
      </c>
      <c r="B589" s="2">
        <f ca="1">IFERROR(__xludf.DUMMYFUNCTION("""COMPUTED_VALUE"""),6175)</f>
        <v>6175</v>
      </c>
      <c r="C589" s="2">
        <f ca="1">IFERROR(__xludf.DUMMYFUNCTION("""COMPUTED_VALUE"""),6250)</f>
        <v>6250</v>
      </c>
      <c r="D589" s="2">
        <f ca="1">IFERROR(__xludf.DUMMYFUNCTION("""COMPUTED_VALUE"""),6175)</f>
        <v>6175</v>
      </c>
      <c r="E589" s="2">
        <f ca="1">IFERROR(__xludf.DUMMYFUNCTION("""COMPUTED_VALUE"""),6200)</f>
        <v>6200</v>
      </c>
      <c r="F589" s="2">
        <f ca="1">IFERROR(__xludf.DUMMYFUNCTION("""COMPUTED_VALUE"""),12343000)</f>
        <v>12343000</v>
      </c>
    </row>
    <row r="590" spans="1:6">
      <c r="A590" s="1">
        <f ca="1">IFERROR(__xludf.DUMMYFUNCTION("""COMPUTED_VALUE"""),42894.625)</f>
        <v>42894.625</v>
      </c>
      <c r="B590" s="2">
        <f ca="1">IFERROR(__xludf.DUMMYFUNCTION("""COMPUTED_VALUE"""),6175)</f>
        <v>6175</v>
      </c>
      <c r="C590" s="2">
        <f ca="1">IFERROR(__xludf.DUMMYFUNCTION("""COMPUTED_VALUE"""),6200)</f>
        <v>6200</v>
      </c>
      <c r="D590" s="2">
        <f ca="1">IFERROR(__xludf.DUMMYFUNCTION("""COMPUTED_VALUE"""),6100)</f>
        <v>6100</v>
      </c>
      <c r="E590" s="2">
        <f ca="1">IFERROR(__xludf.DUMMYFUNCTION("""COMPUTED_VALUE"""),6162.5)</f>
        <v>6162.5</v>
      </c>
      <c r="F590" s="2">
        <f ca="1">IFERROR(__xludf.DUMMYFUNCTION("""COMPUTED_VALUE"""),17800700)</f>
        <v>17800700</v>
      </c>
    </row>
    <row r="591" spans="1:6">
      <c r="A591" s="1">
        <f ca="1">IFERROR(__xludf.DUMMYFUNCTION("""COMPUTED_VALUE"""),42895.625)</f>
        <v>42895.625</v>
      </c>
      <c r="B591" s="2">
        <f ca="1">IFERROR(__xludf.DUMMYFUNCTION("""COMPUTED_VALUE"""),6150)</f>
        <v>6150</v>
      </c>
      <c r="C591" s="2">
        <f ca="1">IFERROR(__xludf.DUMMYFUNCTION("""COMPUTED_VALUE"""),6225)</f>
        <v>6225</v>
      </c>
      <c r="D591" s="2">
        <f ca="1">IFERROR(__xludf.DUMMYFUNCTION("""COMPUTED_VALUE"""),6100)</f>
        <v>6100</v>
      </c>
      <c r="E591" s="2">
        <f ca="1">IFERROR(__xludf.DUMMYFUNCTION("""COMPUTED_VALUE"""),6112.5)</f>
        <v>6112.5</v>
      </c>
      <c r="F591" s="2">
        <f ca="1">IFERROR(__xludf.DUMMYFUNCTION("""COMPUTED_VALUE"""),8063500)</f>
        <v>8063500</v>
      </c>
    </row>
    <row r="592" spans="1:6">
      <c r="A592" s="1">
        <f ca="1">IFERROR(__xludf.DUMMYFUNCTION("""COMPUTED_VALUE"""),42898.625)</f>
        <v>42898.625</v>
      </c>
      <c r="B592" s="2">
        <f ca="1">IFERROR(__xludf.DUMMYFUNCTION("""COMPUTED_VALUE"""),6137.5)</f>
        <v>6137.5</v>
      </c>
      <c r="C592" s="2">
        <f ca="1">IFERROR(__xludf.DUMMYFUNCTION("""COMPUTED_VALUE"""),6162.5)</f>
        <v>6162.5</v>
      </c>
      <c r="D592" s="2">
        <f ca="1">IFERROR(__xludf.DUMMYFUNCTION("""COMPUTED_VALUE"""),6112.5)</f>
        <v>6112.5</v>
      </c>
      <c r="E592" s="2">
        <f ca="1">IFERROR(__xludf.DUMMYFUNCTION("""COMPUTED_VALUE"""),6112.5)</f>
        <v>6112.5</v>
      </c>
      <c r="F592" s="2">
        <f ca="1">IFERROR(__xludf.DUMMYFUNCTION("""COMPUTED_VALUE"""),6430100)</f>
        <v>6430100</v>
      </c>
    </row>
    <row r="593" spans="1:6">
      <c r="A593" s="1">
        <f ca="1">IFERROR(__xludf.DUMMYFUNCTION("""COMPUTED_VALUE"""),42899.625)</f>
        <v>42899.625</v>
      </c>
      <c r="B593" s="2">
        <f ca="1">IFERROR(__xludf.DUMMYFUNCTION("""COMPUTED_VALUE"""),6075)</f>
        <v>6075</v>
      </c>
      <c r="C593" s="2">
        <f ca="1">IFERROR(__xludf.DUMMYFUNCTION("""COMPUTED_VALUE"""),6212.5)</f>
        <v>6212.5</v>
      </c>
      <c r="D593" s="2">
        <f ca="1">IFERROR(__xludf.DUMMYFUNCTION("""COMPUTED_VALUE"""),6075)</f>
        <v>6075</v>
      </c>
      <c r="E593" s="2">
        <f ca="1">IFERROR(__xludf.DUMMYFUNCTION("""COMPUTED_VALUE"""),6125)</f>
        <v>6125</v>
      </c>
      <c r="F593" s="2">
        <f ca="1">IFERROR(__xludf.DUMMYFUNCTION("""COMPUTED_VALUE"""),8488100)</f>
        <v>8488100</v>
      </c>
    </row>
    <row r="594" spans="1:6">
      <c r="A594" s="1">
        <f ca="1">IFERROR(__xludf.DUMMYFUNCTION("""COMPUTED_VALUE"""),42900.625)</f>
        <v>42900.625</v>
      </c>
      <c r="B594" s="2">
        <f ca="1">IFERROR(__xludf.DUMMYFUNCTION("""COMPUTED_VALUE"""),6162.5)</f>
        <v>6162.5</v>
      </c>
      <c r="C594" s="2">
        <f ca="1">IFERROR(__xludf.DUMMYFUNCTION("""COMPUTED_VALUE"""),6275)</f>
        <v>6275</v>
      </c>
      <c r="D594" s="2">
        <f ca="1">IFERROR(__xludf.DUMMYFUNCTION("""COMPUTED_VALUE"""),6150)</f>
        <v>6150</v>
      </c>
      <c r="E594" s="2">
        <f ca="1">IFERROR(__xludf.DUMMYFUNCTION("""COMPUTED_VALUE"""),6250)</f>
        <v>6250</v>
      </c>
      <c r="F594" s="2">
        <f ca="1">IFERROR(__xludf.DUMMYFUNCTION("""COMPUTED_VALUE"""),11800600)</f>
        <v>11800600</v>
      </c>
    </row>
    <row r="595" spans="1:6">
      <c r="A595" s="1">
        <f ca="1">IFERROR(__xludf.DUMMYFUNCTION("""COMPUTED_VALUE"""),42901.625)</f>
        <v>42901.625</v>
      </c>
      <c r="B595" s="2">
        <f ca="1">IFERROR(__xludf.DUMMYFUNCTION("""COMPUTED_VALUE"""),6250)</f>
        <v>6250</v>
      </c>
      <c r="C595" s="2">
        <f ca="1">IFERROR(__xludf.DUMMYFUNCTION("""COMPUTED_VALUE"""),6375)</f>
        <v>6375</v>
      </c>
      <c r="D595" s="2">
        <f ca="1">IFERROR(__xludf.DUMMYFUNCTION("""COMPUTED_VALUE"""),6225)</f>
        <v>6225</v>
      </c>
      <c r="E595" s="2">
        <f ca="1">IFERROR(__xludf.DUMMYFUNCTION("""COMPUTED_VALUE"""),6250)</f>
        <v>6250</v>
      </c>
      <c r="F595" s="2">
        <f ca="1">IFERROR(__xludf.DUMMYFUNCTION("""COMPUTED_VALUE"""),23446700)</f>
        <v>23446700</v>
      </c>
    </row>
    <row r="596" spans="1:6">
      <c r="A596" s="1">
        <f ca="1">IFERROR(__xludf.DUMMYFUNCTION("""COMPUTED_VALUE"""),42902.625)</f>
        <v>42902.625</v>
      </c>
      <c r="B596" s="2">
        <f ca="1">IFERROR(__xludf.DUMMYFUNCTION("""COMPUTED_VALUE"""),6225)</f>
        <v>6225</v>
      </c>
      <c r="C596" s="2">
        <f ca="1">IFERROR(__xludf.DUMMYFUNCTION("""COMPUTED_VALUE"""),6250)</f>
        <v>6250</v>
      </c>
      <c r="D596" s="2">
        <f ca="1">IFERROR(__xludf.DUMMYFUNCTION("""COMPUTED_VALUE"""),6162.5)</f>
        <v>6162.5</v>
      </c>
      <c r="E596" s="2">
        <f ca="1">IFERROR(__xludf.DUMMYFUNCTION("""COMPUTED_VALUE"""),6237.5)</f>
        <v>6237.5</v>
      </c>
      <c r="F596" s="2">
        <f ca="1">IFERROR(__xludf.DUMMYFUNCTION("""COMPUTED_VALUE"""),21878000)</f>
        <v>21878000</v>
      </c>
    </row>
    <row r="597" spans="1:6">
      <c r="A597" s="1">
        <f ca="1">IFERROR(__xludf.DUMMYFUNCTION("""COMPUTED_VALUE"""),42905.625)</f>
        <v>42905.625</v>
      </c>
      <c r="B597" s="2">
        <f ca="1">IFERROR(__xludf.DUMMYFUNCTION("""COMPUTED_VALUE"""),6237.5)</f>
        <v>6237.5</v>
      </c>
      <c r="C597" s="2">
        <f ca="1">IFERROR(__xludf.DUMMYFUNCTION("""COMPUTED_VALUE"""),6262.5)</f>
        <v>6262.5</v>
      </c>
      <c r="D597" s="2">
        <f ca="1">IFERROR(__xludf.DUMMYFUNCTION("""COMPUTED_VALUE"""),6200)</f>
        <v>6200</v>
      </c>
      <c r="E597" s="2">
        <f ca="1">IFERROR(__xludf.DUMMYFUNCTION("""COMPUTED_VALUE"""),6237.5)</f>
        <v>6237.5</v>
      </c>
      <c r="F597" s="2">
        <f ca="1">IFERROR(__xludf.DUMMYFUNCTION("""COMPUTED_VALUE"""),7669400)</f>
        <v>7669400</v>
      </c>
    </row>
    <row r="598" spans="1:6">
      <c r="A598" s="1">
        <f ca="1">IFERROR(__xludf.DUMMYFUNCTION("""COMPUTED_VALUE"""),42906.625)</f>
        <v>42906.625</v>
      </c>
      <c r="B598" s="2">
        <f ca="1">IFERROR(__xludf.DUMMYFUNCTION("""COMPUTED_VALUE"""),6225)</f>
        <v>6225</v>
      </c>
      <c r="C598" s="2">
        <f ca="1">IFERROR(__xludf.DUMMYFUNCTION("""COMPUTED_VALUE"""),6262.5)</f>
        <v>6262.5</v>
      </c>
      <c r="D598" s="2">
        <f ca="1">IFERROR(__xludf.DUMMYFUNCTION("""COMPUTED_VALUE"""),6137.5)</f>
        <v>6137.5</v>
      </c>
      <c r="E598" s="2">
        <f ca="1">IFERROR(__xludf.DUMMYFUNCTION("""COMPUTED_VALUE"""),6262.5)</f>
        <v>6262.5</v>
      </c>
      <c r="F598" s="2">
        <f ca="1">IFERROR(__xludf.DUMMYFUNCTION("""COMPUTED_VALUE"""),17422000)</f>
        <v>17422000</v>
      </c>
    </row>
    <row r="599" spans="1:6">
      <c r="A599" s="1">
        <f ca="1">IFERROR(__xludf.DUMMYFUNCTION("""COMPUTED_VALUE"""),42907.625)</f>
        <v>42907.625</v>
      </c>
      <c r="B599" s="2">
        <f ca="1">IFERROR(__xludf.DUMMYFUNCTION("""COMPUTED_VALUE"""),6225)</f>
        <v>6225</v>
      </c>
      <c r="C599" s="2">
        <f ca="1">IFERROR(__xludf.DUMMYFUNCTION("""COMPUTED_VALUE"""),6350)</f>
        <v>6350</v>
      </c>
      <c r="D599" s="2">
        <f ca="1">IFERROR(__xludf.DUMMYFUNCTION("""COMPUTED_VALUE"""),6212.5)</f>
        <v>6212.5</v>
      </c>
      <c r="E599" s="2">
        <f ca="1">IFERROR(__xludf.DUMMYFUNCTION("""COMPUTED_VALUE"""),6350)</f>
        <v>6350</v>
      </c>
      <c r="F599" s="2">
        <f ca="1">IFERROR(__xludf.DUMMYFUNCTION("""COMPUTED_VALUE"""),48658600)</f>
        <v>48658600</v>
      </c>
    </row>
    <row r="600" spans="1:6">
      <c r="A600" s="1">
        <f ca="1">IFERROR(__xludf.DUMMYFUNCTION("""COMPUTED_VALUE"""),42908.625)</f>
        <v>42908.625</v>
      </c>
      <c r="B600" s="2">
        <f ca="1">IFERROR(__xludf.DUMMYFUNCTION("""COMPUTED_VALUE"""),6350)</f>
        <v>6350</v>
      </c>
      <c r="C600" s="2">
        <f ca="1">IFERROR(__xludf.DUMMYFUNCTION("""COMPUTED_VALUE"""),6375)</f>
        <v>6375</v>
      </c>
      <c r="D600" s="2">
        <f ca="1">IFERROR(__xludf.DUMMYFUNCTION("""COMPUTED_VALUE"""),6275)</f>
        <v>6275</v>
      </c>
      <c r="E600" s="2">
        <f ca="1">IFERROR(__xludf.DUMMYFUNCTION("""COMPUTED_VALUE"""),6375)</f>
        <v>6375</v>
      </c>
      <c r="F600" s="2">
        <f ca="1">IFERROR(__xludf.DUMMYFUNCTION("""COMPUTED_VALUE"""),35161100)</f>
        <v>35161100</v>
      </c>
    </row>
    <row r="601" spans="1:6">
      <c r="A601" s="1">
        <f ca="1">IFERROR(__xludf.DUMMYFUNCTION("""COMPUTED_VALUE"""),42919.625)</f>
        <v>42919.625</v>
      </c>
      <c r="B601" s="2">
        <f ca="1">IFERROR(__xludf.DUMMYFUNCTION("""COMPUTED_VALUE"""),6387.5)</f>
        <v>6387.5</v>
      </c>
      <c r="C601" s="2">
        <f ca="1">IFERROR(__xludf.DUMMYFUNCTION("""COMPUTED_VALUE"""),6750)</f>
        <v>6750</v>
      </c>
      <c r="D601" s="2">
        <f ca="1">IFERROR(__xludf.DUMMYFUNCTION("""COMPUTED_VALUE"""),6337.5)</f>
        <v>6337.5</v>
      </c>
      <c r="E601" s="2">
        <f ca="1">IFERROR(__xludf.DUMMYFUNCTION("""COMPUTED_VALUE"""),6750)</f>
        <v>6750</v>
      </c>
      <c r="F601" s="2">
        <f ca="1">IFERROR(__xludf.DUMMYFUNCTION("""COMPUTED_VALUE"""),29085100)</f>
        <v>29085100</v>
      </c>
    </row>
    <row r="602" spans="1:6">
      <c r="A602" s="1">
        <f ca="1">IFERROR(__xludf.DUMMYFUNCTION("""COMPUTED_VALUE"""),42920.625)</f>
        <v>42920.625</v>
      </c>
      <c r="B602" s="2">
        <f ca="1">IFERROR(__xludf.DUMMYFUNCTION("""COMPUTED_VALUE"""),6662.5)</f>
        <v>6662.5</v>
      </c>
      <c r="C602" s="2">
        <f ca="1">IFERROR(__xludf.DUMMYFUNCTION("""COMPUTED_VALUE"""),6750)</f>
        <v>6750</v>
      </c>
      <c r="D602" s="2">
        <f ca="1">IFERROR(__xludf.DUMMYFUNCTION("""COMPUTED_VALUE"""),6600)</f>
        <v>6600</v>
      </c>
      <c r="E602" s="2">
        <f ca="1">IFERROR(__xludf.DUMMYFUNCTION("""COMPUTED_VALUE"""),6750)</f>
        <v>6750</v>
      </c>
      <c r="F602" s="2">
        <f ca="1">IFERROR(__xludf.DUMMYFUNCTION("""COMPUTED_VALUE"""),16396400)</f>
        <v>16396400</v>
      </c>
    </row>
    <row r="603" spans="1:6">
      <c r="A603" s="1">
        <f ca="1">IFERROR(__xludf.DUMMYFUNCTION("""COMPUTED_VALUE"""),42921.625)</f>
        <v>42921.625</v>
      </c>
      <c r="B603" s="2">
        <f ca="1">IFERROR(__xludf.DUMMYFUNCTION("""COMPUTED_VALUE"""),6737.5)</f>
        <v>6737.5</v>
      </c>
      <c r="C603" s="2">
        <f ca="1">IFERROR(__xludf.DUMMYFUNCTION("""COMPUTED_VALUE"""),6737.5)</f>
        <v>6737.5</v>
      </c>
      <c r="D603" s="2">
        <f ca="1">IFERROR(__xludf.DUMMYFUNCTION("""COMPUTED_VALUE"""),6612.5)</f>
        <v>6612.5</v>
      </c>
      <c r="E603" s="2">
        <f ca="1">IFERROR(__xludf.DUMMYFUNCTION("""COMPUTED_VALUE"""),6662.5)</f>
        <v>6662.5</v>
      </c>
      <c r="F603" s="2">
        <f ca="1">IFERROR(__xludf.DUMMYFUNCTION("""COMPUTED_VALUE"""),39201800)</f>
        <v>39201800</v>
      </c>
    </row>
    <row r="604" spans="1:6">
      <c r="A604" s="1">
        <f ca="1">IFERROR(__xludf.DUMMYFUNCTION("""COMPUTED_VALUE"""),42922.625)</f>
        <v>42922.625</v>
      </c>
      <c r="B604" s="2">
        <f ca="1">IFERROR(__xludf.DUMMYFUNCTION("""COMPUTED_VALUE"""),6662.5)</f>
        <v>6662.5</v>
      </c>
      <c r="C604" s="2">
        <f ca="1">IFERROR(__xludf.DUMMYFUNCTION("""COMPUTED_VALUE"""),6725)</f>
        <v>6725</v>
      </c>
      <c r="D604" s="2">
        <f ca="1">IFERROR(__xludf.DUMMYFUNCTION("""COMPUTED_VALUE"""),6650)</f>
        <v>6650</v>
      </c>
      <c r="E604" s="2">
        <f ca="1">IFERROR(__xludf.DUMMYFUNCTION("""COMPUTED_VALUE"""),6662.5)</f>
        <v>6662.5</v>
      </c>
      <c r="F604" s="2">
        <f ca="1">IFERROR(__xludf.DUMMYFUNCTION("""COMPUTED_VALUE"""),17128000)</f>
        <v>17128000</v>
      </c>
    </row>
    <row r="605" spans="1:6">
      <c r="A605" s="1">
        <f ca="1">IFERROR(__xludf.DUMMYFUNCTION("""COMPUTED_VALUE"""),42923.625)</f>
        <v>42923.625</v>
      </c>
      <c r="B605" s="2">
        <f ca="1">IFERROR(__xludf.DUMMYFUNCTION("""COMPUTED_VALUE"""),6550)</f>
        <v>6550</v>
      </c>
      <c r="C605" s="2">
        <f ca="1">IFERROR(__xludf.DUMMYFUNCTION("""COMPUTED_VALUE"""),6687.5)</f>
        <v>6687.5</v>
      </c>
      <c r="D605" s="2">
        <f ca="1">IFERROR(__xludf.DUMMYFUNCTION("""COMPUTED_VALUE"""),6550)</f>
        <v>6550</v>
      </c>
      <c r="E605" s="2">
        <f ca="1">IFERROR(__xludf.DUMMYFUNCTION("""COMPUTED_VALUE"""),6625)</f>
        <v>6625</v>
      </c>
      <c r="F605" s="2">
        <f ca="1">IFERROR(__xludf.DUMMYFUNCTION("""COMPUTED_VALUE"""),23599000)</f>
        <v>23599000</v>
      </c>
    </row>
    <row r="606" spans="1:6">
      <c r="A606" s="1">
        <f ca="1">IFERROR(__xludf.DUMMYFUNCTION("""COMPUTED_VALUE"""),42926.625)</f>
        <v>42926.625</v>
      </c>
      <c r="B606" s="2">
        <f ca="1">IFERROR(__xludf.DUMMYFUNCTION("""COMPUTED_VALUE"""),6500)</f>
        <v>6500</v>
      </c>
      <c r="C606" s="2">
        <f ca="1">IFERROR(__xludf.DUMMYFUNCTION("""COMPUTED_VALUE"""),6650)</f>
        <v>6650</v>
      </c>
      <c r="D606" s="2">
        <f ca="1">IFERROR(__xludf.DUMMYFUNCTION("""COMPUTED_VALUE"""),6500)</f>
        <v>6500</v>
      </c>
      <c r="E606" s="2">
        <f ca="1">IFERROR(__xludf.DUMMYFUNCTION("""COMPUTED_VALUE"""),6550)</f>
        <v>6550</v>
      </c>
      <c r="F606" s="2">
        <f ca="1">IFERROR(__xludf.DUMMYFUNCTION("""COMPUTED_VALUE"""),11095400)</f>
        <v>11095400</v>
      </c>
    </row>
    <row r="607" spans="1:6">
      <c r="A607" s="1">
        <f ca="1">IFERROR(__xludf.DUMMYFUNCTION("""COMPUTED_VALUE"""),42927.625)</f>
        <v>42927.625</v>
      </c>
      <c r="B607" s="2">
        <f ca="1">IFERROR(__xludf.DUMMYFUNCTION("""COMPUTED_VALUE"""),6500)</f>
        <v>6500</v>
      </c>
      <c r="C607" s="2">
        <f ca="1">IFERROR(__xludf.DUMMYFUNCTION("""COMPUTED_VALUE"""),6525)</f>
        <v>6525</v>
      </c>
      <c r="D607" s="2">
        <f ca="1">IFERROR(__xludf.DUMMYFUNCTION("""COMPUTED_VALUE"""),6437.5)</f>
        <v>6437.5</v>
      </c>
      <c r="E607" s="2">
        <f ca="1">IFERROR(__xludf.DUMMYFUNCTION("""COMPUTED_VALUE"""),6487.5)</f>
        <v>6487.5</v>
      </c>
      <c r="F607" s="2">
        <f ca="1">IFERROR(__xludf.DUMMYFUNCTION("""COMPUTED_VALUE"""),12355600)</f>
        <v>12355600</v>
      </c>
    </row>
    <row r="608" spans="1:6">
      <c r="A608" s="1">
        <f ca="1">IFERROR(__xludf.DUMMYFUNCTION("""COMPUTED_VALUE"""),42928.625)</f>
        <v>42928.625</v>
      </c>
      <c r="B608" s="2">
        <f ca="1">IFERROR(__xludf.DUMMYFUNCTION("""COMPUTED_VALUE"""),6425)</f>
        <v>6425</v>
      </c>
      <c r="C608" s="2">
        <f ca="1">IFERROR(__xludf.DUMMYFUNCTION("""COMPUTED_VALUE"""),6625)</f>
        <v>6625</v>
      </c>
      <c r="D608" s="2">
        <f ca="1">IFERROR(__xludf.DUMMYFUNCTION("""COMPUTED_VALUE"""),6425)</f>
        <v>6425</v>
      </c>
      <c r="E608" s="2">
        <f ca="1">IFERROR(__xludf.DUMMYFUNCTION("""COMPUTED_VALUE"""),6612.5)</f>
        <v>6612.5</v>
      </c>
      <c r="F608" s="2">
        <f ca="1">IFERROR(__xludf.DUMMYFUNCTION("""COMPUTED_VALUE"""),8278100)</f>
        <v>8278100</v>
      </c>
    </row>
    <row r="609" spans="1:6">
      <c r="A609" s="1">
        <f ca="1">IFERROR(__xludf.DUMMYFUNCTION("""COMPUTED_VALUE"""),42929.625)</f>
        <v>42929.625</v>
      </c>
      <c r="B609" s="2">
        <f ca="1">IFERROR(__xludf.DUMMYFUNCTION("""COMPUTED_VALUE"""),6650)</f>
        <v>6650</v>
      </c>
      <c r="C609" s="2">
        <f ca="1">IFERROR(__xludf.DUMMYFUNCTION("""COMPUTED_VALUE"""),6700)</f>
        <v>6700</v>
      </c>
      <c r="D609" s="2">
        <f ca="1">IFERROR(__xludf.DUMMYFUNCTION("""COMPUTED_VALUE"""),6525)</f>
        <v>6525</v>
      </c>
      <c r="E609" s="2">
        <f ca="1">IFERROR(__xludf.DUMMYFUNCTION("""COMPUTED_VALUE"""),6700)</f>
        <v>6700</v>
      </c>
      <c r="F609" s="2">
        <f ca="1">IFERROR(__xludf.DUMMYFUNCTION("""COMPUTED_VALUE"""),25718000)</f>
        <v>25718000</v>
      </c>
    </row>
    <row r="610" spans="1:6">
      <c r="A610" s="1">
        <f ca="1">IFERROR(__xludf.DUMMYFUNCTION("""COMPUTED_VALUE"""),42930.625)</f>
        <v>42930.625</v>
      </c>
      <c r="B610" s="2">
        <f ca="1">IFERROR(__xludf.DUMMYFUNCTION("""COMPUTED_VALUE"""),6725)</f>
        <v>6725</v>
      </c>
      <c r="C610" s="2">
        <f ca="1">IFERROR(__xludf.DUMMYFUNCTION("""COMPUTED_VALUE"""),6775)</f>
        <v>6775</v>
      </c>
      <c r="D610" s="2">
        <f ca="1">IFERROR(__xludf.DUMMYFUNCTION("""COMPUTED_VALUE"""),6600)</f>
        <v>6600</v>
      </c>
      <c r="E610" s="2">
        <f ca="1">IFERROR(__xludf.DUMMYFUNCTION("""COMPUTED_VALUE"""),6775)</f>
        <v>6775</v>
      </c>
      <c r="F610" s="2">
        <f ca="1">IFERROR(__xludf.DUMMYFUNCTION("""COMPUTED_VALUE"""),5886800)</f>
        <v>5886800</v>
      </c>
    </row>
    <row r="611" spans="1:6">
      <c r="A611" s="1">
        <f ca="1">IFERROR(__xludf.DUMMYFUNCTION("""COMPUTED_VALUE"""),42933.625)</f>
        <v>42933.625</v>
      </c>
      <c r="B611" s="2">
        <f ca="1">IFERROR(__xludf.DUMMYFUNCTION("""COMPUTED_VALUE"""),6775)</f>
        <v>6775</v>
      </c>
      <c r="C611" s="2">
        <f ca="1">IFERROR(__xludf.DUMMYFUNCTION("""COMPUTED_VALUE"""),6787.5)</f>
        <v>6787.5</v>
      </c>
      <c r="D611" s="2">
        <f ca="1">IFERROR(__xludf.DUMMYFUNCTION("""COMPUTED_VALUE"""),6725)</f>
        <v>6725</v>
      </c>
      <c r="E611" s="2">
        <f ca="1">IFERROR(__xludf.DUMMYFUNCTION("""COMPUTED_VALUE"""),6787.5)</f>
        <v>6787.5</v>
      </c>
      <c r="F611" s="2">
        <f ca="1">IFERROR(__xludf.DUMMYFUNCTION("""COMPUTED_VALUE"""),7020800)</f>
        <v>7020800</v>
      </c>
    </row>
    <row r="612" spans="1:6">
      <c r="A612" s="1">
        <f ca="1">IFERROR(__xludf.DUMMYFUNCTION("""COMPUTED_VALUE"""),42934.625)</f>
        <v>42934.625</v>
      </c>
      <c r="B612" s="2">
        <f ca="1">IFERROR(__xludf.DUMMYFUNCTION("""COMPUTED_VALUE"""),6750)</f>
        <v>6750</v>
      </c>
      <c r="C612" s="2">
        <f ca="1">IFERROR(__xludf.DUMMYFUNCTION("""COMPUTED_VALUE"""),6762.5)</f>
        <v>6762.5</v>
      </c>
      <c r="D612" s="2">
        <f ca="1">IFERROR(__xludf.DUMMYFUNCTION("""COMPUTED_VALUE"""),6712.5)</f>
        <v>6712.5</v>
      </c>
      <c r="E612" s="2">
        <f ca="1">IFERROR(__xludf.DUMMYFUNCTION("""COMPUTED_VALUE"""),6762.5)</f>
        <v>6762.5</v>
      </c>
      <c r="F612" s="2">
        <f ca="1">IFERROR(__xludf.DUMMYFUNCTION("""COMPUTED_VALUE"""),4277600)</f>
        <v>4277600</v>
      </c>
    </row>
    <row r="613" spans="1:6">
      <c r="A613" s="1">
        <f ca="1">IFERROR(__xludf.DUMMYFUNCTION("""COMPUTED_VALUE"""),42935.625)</f>
        <v>42935.625</v>
      </c>
      <c r="B613" s="2">
        <f ca="1">IFERROR(__xludf.DUMMYFUNCTION("""COMPUTED_VALUE"""),6787.5)</f>
        <v>6787.5</v>
      </c>
      <c r="C613" s="2">
        <f ca="1">IFERROR(__xludf.DUMMYFUNCTION("""COMPUTED_VALUE"""),6787.5)</f>
        <v>6787.5</v>
      </c>
      <c r="D613" s="2">
        <f ca="1">IFERROR(__xludf.DUMMYFUNCTION("""COMPUTED_VALUE"""),6625)</f>
        <v>6625</v>
      </c>
      <c r="E613" s="2">
        <f ca="1">IFERROR(__xludf.DUMMYFUNCTION("""COMPUTED_VALUE"""),6662.5)</f>
        <v>6662.5</v>
      </c>
      <c r="F613" s="2">
        <f ca="1">IFERROR(__xludf.DUMMYFUNCTION("""COMPUTED_VALUE"""),11995600)</f>
        <v>11995600</v>
      </c>
    </row>
    <row r="614" spans="1:6">
      <c r="A614" s="1">
        <f ca="1">IFERROR(__xludf.DUMMYFUNCTION("""COMPUTED_VALUE"""),42936.625)</f>
        <v>42936.625</v>
      </c>
      <c r="B614" s="2">
        <f ca="1">IFERROR(__xludf.DUMMYFUNCTION("""COMPUTED_VALUE"""),6662.5)</f>
        <v>6662.5</v>
      </c>
      <c r="C614" s="2">
        <f ca="1">IFERROR(__xludf.DUMMYFUNCTION("""COMPUTED_VALUE"""),6750)</f>
        <v>6750</v>
      </c>
      <c r="D614" s="2">
        <f ca="1">IFERROR(__xludf.DUMMYFUNCTION("""COMPUTED_VALUE"""),6650)</f>
        <v>6650</v>
      </c>
      <c r="E614" s="2">
        <f ca="1">IFERROR(__xludf.DUMMYFUNCTION("""COMPUTED_VALUE"""),6750)</f>
        <v>6750</v>
      </c>
      <c r="F614" s="2">
        <f ca="1">IFERROR(__xludf.DUMMYFUNCTION("""COMPUTED_VALUE"""),7889200)</f>
        <v>7889200</v>
      </c>
    </row>
    <row r="615" spans="1:6">
      <c r="A615" s="1">
        <f ca="1">IFERROR(__xludf.DUMMYFUNCTION("""COMPUTED_VALUE"""),42937.625)</f>
        <v>42937.625</v>
      </c>
      <c r="B615" s="2">
        <f ca="1">IFERROR(__xludf.DUMMYFUNCTION("""COMPUTED_VALUE"""),6662.5)</f>
        <v>6662.5</v>
      </c>
      <c r="C615" s="2">
        <f ca="1">IFERROR(__xludf.DUMMYFUNCTION("""COMPUTED_VALUE"""),6750)</f>
        <v>6750</v>
      </c>
      <c r="D615" s="2">
        <f ca="1">IFERROR(__xludf.DUMMYFUNCTION("""COMPUTED_VALUE"""),6525)</f>
        <v>6525</v>
      </c>
      <c r="E615" s="2">
        <f ca="1">IFERROR(__xludf.DUMMYFUNCTION("""COMPUTED_VALUE"""),6525)</f>
        <v>6525</v>
      </c>
      <c r="F615" s="2">
        <f ca="1">IFERROR(__xludf.DUMMYFUNCTION("""COMPUTED_VALUE"""),15739200)</f>
        <v>15739200</v>
      </c>
    </row>
    <row r="616" spans="1:6">
      <c r="A616" s="1">
        <f ca="1">IFERROR(__xludf.DUMMYFUNCTION("""COMPUTED_VALUE"""),42940.625)</f>
        <v>42940.625</v>
      </c>
      <c r="B616" s="2">
        <f ca="1">IFERROR(__xludf.DUMMYFUNCTION("""COMPUTED_VALUE"""),6512.5)</f>
        <v>6512.5</v>
      </c>
      <c r="C616" s="2">
        <f ca="1">IFERROR(__xludf.DUMMYFUNCTION("""COMPUTED_VALUE"""),6637.5)</f>
        <v>6637.5</v>
      </c>
      <c r="D616" s="2">
        <f ca="1">IFERROR(__xludf.DUMMYFUNCTION("""COMPUTED_VALUE"""),6500)</f>
        <v>6500</v>
      </c>
      <c r="E616" s="2">
        <f ca="1">IFERROR(__xludf.DUMMYFUNCTION("""COMPUTED_VALUE"""),6637.5)</f>
        <v>6637.5</v>
      </c>
      <c r="F616" s="2">
        <f ca="1">IFERROR(__xludf.DUMMYFUNCTION("""COMPUTED_VALUE"""),17157400)</f>
        <v>17157400</v>
      </c>
    </row>
    <row r="617" spans="1:6">
      <c r="A617" s="1">
        <f ca="1">IFERROR(__xludf.DUMMYFUNCTION("""COMPUTED_VALUE"""),42941.625)</f>
        <v>42941.625</v>
      </c>
      <c r="B617" s="2">
        <f ca="1">IFERROR(__xludf.DUMMYFUNCTION("""COMPUTED_VALUE"""),6550)</f>
        <v>6550</v>
      </c>
      <c r="C617" s="2">
        <f ca="1">IFERROR(__xludf.DUMMYFUNCTION("""COMPUTED_VALUE"""),6675)</f>
        <v>6675</v>
      </c>
      <c r="D617" s="2">
        <f ca="1">IFERROR(__xludf.DUMMYFUNCTION("""COMPUTED_VALUE"""),6550)</f>
        <v>6550</v>
      </c>
      <c r="E617" s="2">
        <f ca="1">IFERROR(__xludf.DUMMYFUNCTION("""COMPUTED_VALUE"""),6675)</f>
        <v>6675</v>
      </c>
      <c r="F617" s="2">
        <f ca="1">IFERROR(__xludf.DUMMYFUNCTION("""COMPUTED_VALUE"""),14189300)</f>
        <v>14189300</v>
      </c>
    </row>
    <row r="618" spans="1:6">
      <c r="A618" s="1">
        <f ca="1">IFERROR(__xludf.DUMMYFUNCTION("""COMPUTED_VALUE"""),42942.625)</f>
        <v>42942.625</v>
      </c>
      <c r="B618" s="2">
        <f ca="1">IFERROR(__xludf.DUMMYFUNCTION("""COMPUTED_VALUE"""),6600)</f>
        <v>6600</v>
      </c>
      <c r="C618" s="2">
        <f ca="1">IFERROR(__xludf.DUMMYFUNCTION("""COMPUTED_VALUE"""),6725)</f>
        <v>6725</v>
      </c>
      <c r="D618" s="2">
        <f ca="1">IFERROR(__xludf.DUMMYFUNCTION("""COMPUTED_VALUE"""),6600)</f>
        <v>6600</v>
      </c>
      <c r="E618" s="2">
        <f ca="1">IFERROR(__xludf.DUMMYFUNCTION("""COMPUTED_VALUE"""),6675)</f>
        <v>6675</v>
      </c>
      <c r="F618" s="2">
        <f ca="1">IFERROR(__xludf.DUMMYFUNCTION("""COMPUTED_VALUE"""),28518900)</f>
        <v>28518900</v>
      </c>
    </row>
    <row r="619" spans="1:6">
      <c r="A619" s="1">
        <f ca="1">IFERROR(__xludf.DUMMYFUNCTION("""COMPUTED_VALUE"""),42943.625)</f>
        <v>42943.625</v>
      </c>
      <c r="B619" s="2">
        <f ca="1">IFERROR(__xludf.DUMMYFUNCTION("""COMPUTED_VALUE"""),6675)</f>
        <v>6675</v>
      </c>
      <c r="C619" s="2">
        <f ca="1">IFERROR(__xludf.DUMMYFUNCTION("""COMPUTED_VALUE"""),6725)</f>
        <v>6725</v>
      </c>
      <c r="D619" s="2">
        <f ca="1">IFERROR(__xludf.DUMMYFUNCTION("""COMPUTED_VALUE"""),6650)</f>
        <v>6650</v>
      </c>
      <c r="E619" s="2">
        <f ca="1">IFERROR(__xludf.DUMMYFUNCTION("""COMPUTED_VALUE"""),6687.5)</f>
        <v>6687.5</v>
      </c>
      <c r="F619" s="2">
        <f ca="1">IFERROR(__xludf.DUMMYFUNCTION("""COMPUTED_VALUE"""),18682900)</f>
        <v>18682900</v>
      </c>
    </row>
    <row r="620" spans="1:6">
      <c r="A620" s="1">
        <f ca="1">IFERROR(__xludf.DUMMYFUNCTION("""COMPUTED_VALUE"""),42944.625)</f>
        <v>42944.625</v>
      </c>
      <c r="B620" s="2">
        <f ca="1">IFERROR(__xludf.DUMMYFUNCTION("""COMPUTED_VALUE"""),6725)</f>
        <v>6725</v>
      </c>
      <c r="C620" s="2">
        <f ca="1">IFERROR(__xludf.DUMMYFUNCTION("""COMPUTED_VALUE"""),6725)</f>
        <v>6725</v>
      </c>
      <c r="D620" s="2">
        <f ca="1">IFERROR(__xludf.DUMMYFUNCTION("""COMPUTED_VALUE"""),6612.5)</f>
        <v>6612.5</v>
      </c>
      <c r="E620" s="2">
        <f ca="1">IFERROR(__xludf.DUMMYFUNCTION("""COMPUTED_VALUE"""),6687.5)</f>
        <v>6687.5</v>
      </c>
      <c r="F620" s="2">
        <f ca="1">IFERROR(__xludf.DUMMYFUNCTION("""COMPUTED_VALUE"""),21848200)</f>
        <v>21848200</v>
      </c>
    </row>
    <row r="621" spans="1:6">
      <c r="A621" s="1">
        <f ca="1">IFERROR(__xludf.DUMMYFUNCTION("""COMPUTED_VALUE"""),42947.625)</f>
        <v>42947.625</v>
      </c>
      <c r="B621" s="2">
        <f ca="1">IFERROR(__xludf.DUMMYFUNCTION("""COMPUTED_VALUE"""),6700)</f>
        <v>6700</v>
      </c>
      <c r="C621" s="2">
        <f ca="1">IFERROR(__xludf.DUMMYFUNCTION("""COMPUTED_VALUE"""),6825)</f>
        <v>6825</v>
      </c>
      <c r="D621" s="2">
        <f ca="1">IFERROR(__xludf.DUMMYFUNCTION("""COMPUTED_VALUE"""),6650)</f>
        <v>6650</v>
      </c>
      <c r="E621" s="2">
        <f ca="1">IFERROR(__xludf.DUMMYFUNCTION("""COMPUTED_VALUE"""),6825)</f>
        <v>6825</v>
      </c>
      <c r="F621" s="2">
        <f ca="1">IFERROR(__xludf.DUMMYFUNCTION("""COMPUTED_VALUE"""),21354400)</f>
        <v>21354400</v>
      </c>
    </row>
    <row r="622" spans="1:6">
      <c r="A622" s="1">
        <f ca="1">IFERROR(__xludf.DUMMYFUNCTION("""COMPUTED_VALUE"""),42948.625)</f>
        <v>42948.625</v>
      </c>
      <c r="B622" s="2">
        <f ca="1">IFERROR(__xludf.DUMMYFUNCTION("""COMPUTED_VALUE"""),6837.5)</f>
        <v>6837.5</v>
      </c>
      <c r="C622" s="2">
        <f ca="1">IFERROR(__xludf.DUMMYFUNCTION("""COMPUTED_VALUE"""),6837.5)</f>
        <v>6837.5</v>
      </c>
      <c r="D622" s="2">
        <f ca="1">IFERROR(__xludf.DUMMYFUNCTION("""COMPUTED_VALUE"""),6700)</f>
        <v>6700</v>
      </c>
      <c r="E622" s="2">
        <f ca="1">IFERROR(__xludf.DUMMYFUNCTION("""COMPUTED_VALUE"""),6700)</f>
        <v>6700</v>
      </c>
      <c r="F622" s="2">
        <f ca="1">IFERROR(__xludf.DUMMYFUNCTION("""COMPUTED_VALUE"""),7494800)</f>
        <v>7494800</v>
      </c>
    </row>
    <row r="623" spans="1:6">
      <c r="A623" s="1">
        <f ca="1">IFERROR(__xludf.DUMMYFUNCTION("""COMPUTED_VALUE"""),42949.625)</f>
        <v>42949.625</v>
      </c>
      <c r="B623" s="2">
        <f ca="1">IFERROR(__xludf.DUMMYFUNCTION("""COMPUTED_VALUE"""),6750)</f>
        <v>6750</v>
      </c>
      <c r="C623" s="2">
        <f ca="1">IFERROR(__xludf.DUMMYFUNCTION("""COMPUTED_VALUE"""),6750)</f>
        <v>6750</v>
      </c>
      <c r="D623" s="2">
        <f ca="1">IFERROR(__xludf.DUMMYFUNCTION("""COMPUTED_VALUE"""),6625)</f>
        <v>6625</v>
      </c>
      <c r="E623" s="2">
        <f ca="1">IFERROR(__xludf.DUMMYFUNCTION("""COMPUTED_VALUE"""),6637.5)</f>
        <v>6637.5</v>
      </c>
      <c r="F623" s="2">
        <f ca="1">IFERROR(__xludf.DUMMYFUNCTION("""COMPUTED_VALUE"""),16324900)</f>
        <v>16324900</v>
      </c>
    </row>
    <row r="624" spans="1:6">
      <c r="A624" s="1">
        <f ca="1">IFERROR(__xludf.DUMMYFUNCTION("""COMPUTED_VALUE"""),42950.625)</f>
        <v>42950.625</v>
      </c>
      <c r="B624" s="2">
        <f ca="1">IFERROR(__xludf.DUMMYFUNCTION("""COMPUTED_VALUE"""),6600)</f>
        <v>6600</v>
      </c>
      <c r="C624" s="2">
        <f ca="1">IFERROR(__xludf.DUMMYFUNCTION("""COMPUTED_VALUE"""),6650)</f>
        <v>6650</v>
      </c>
      <c r="D624" s="2">
        <f ca="1">IFERROR(__xludf.DUMMYFUNCTION("""COMPUTED_VALUE"""),6550)</f>
        <v>6550</v>
      </c>
      <c r="E624" s="2">
        <f ca="1">IFERROR(__xludf.DUMMYFUNCTION("""COMPUTED_VALUE"""),6562.5)</f>
        <v>6562.5</v>
      </c>
      <c r="F624" s="2">
        <f ca="1">IFERROR(__xludf.DUMMYFUNCTION("""COMPUTED_VALUE"""),18843800)</f>
        <v>18843800</v>
      </c>
    </row>
    <row r="625" spans="1:6">
      <c r="A625" s="1">
        <f ca="1">IFERROR(__xludf.DUMMYFUNCTION("""COMPUTED_VALUE"""),42951.625)</f>
        <v>42951.625</v>
      </c>
      <c r="B625" s="2">
        <f ca="1">IFERROR(__xludf.DUMMYFUNCTION("""COMPUTED_VALUE"""),6525)</f>
        <v>6525</v>
      </c>
      <c r="C625" s="2">
        <f ca="1">IFERROR(__xludf.DUMMYFUNCTION("""COMPUTED_VALUE"""),6662.5)</f>
        <v>6662.5</v>
      </c>
      <c r="D625" s="2">
        <f ca="1">IFERROR(__xludf.DUMMYFUNCTION("""COMPUTED_VALUE"""),6525)</f>
        <v>6525</v>
      </c>
      <c r="E625" s="2">
        <f ca="1">IFERROR(__xludf.DUMMYFUNCTION("""COMPUTED_VALUE"""),6537.5)</f>
        <v>6537.5</v>
      </c>
      <c r="F625" s="2">
        <f ca="1">IFERROR(__xludf.DUMMYFUNCTION("""COMPUTED_VALUE"""),15692400)</f>
        <v>15692400</v>
      </c>
    </row>
    <row r="626" spans="1:6">
      <c r="A626" s="1">
        <f ca="1">IFERROR(__xludf.DUMMYFUNCTION("""COMPUTED_VALUE"""),42954.625)</f>
        <v>42954.625</v>
      </c>
      <c r="B626" s="2">
        <f ca="1">IFERROR(__xludf.DUMMYFUNCTION("""COMPUTED_VALUE"""),6525)</f>
        <v>6525</v>
      </c>
      <c r="C626" s="2">
        <f ca="1">IFERROR(__xludf.DUMMYFUNCTION("""COMPUTED_VALUE"""),6612.5)</f>
        <v>6612.5</v>
      </c>
      <c r="D626" s="2">
        <f ca="1">IFERROR(__xludf.DUMMYFUNCTION("""COMPUTED_VALUE"""),6525)</f>
        <v>6525</v>
      </c>
      <c r="E626" s="2">
        <f ca="1">IFERROR(__xludf.DUMMYFUNCTION("""COMPUTED_VALUE"""),6587.5)</f>
        <v>6587.5</v>
      </c>
      <c r="F626" s="2">
        <f ca="1">IFERROR(__xludf.DUMMYFUNCTION("""COMPUTED_VALUE"""),17941700)</f>
        <v>17941700</v>
      </c>
    </row>
    <row r="627" spans="1:6">
      <c r="A627" s="1">
        <f ca="1">IFERROR(__xludf.DUMMYFUNCTION("""COMPUTED_VALUE"""),42955.625)</f>
        <v>42955.625</v>
      </c>
      <c r="B627" s="2">
        <f ca="1">IFERROR(__xludf.DUMMYFUNCTION("""COMPUTED_VALUE"""),6587.5)</f>
        <v>6587.5</v>
      </c>
      <c r="C627" s="2">
        <f ca="1">IFERROR(__xludf.DUMMYFUNCTION("""COMPUTED_VALUE"""),6712.5)</f>
        <v>6712.5</v>
      </c>
      <c r="D627" s="2">
        <f ca="1">IFERROR(__xludf.DUMMYFUNCTION("""COMPUTED_VALUE"""),6575)</f>
        <v>6575</v>
      </c>
      <c r="E627" s="2">
        <f ca="1">IFERROR(__xludf.DUMMYFUNCTION("""COMPUTED_VALUE"""),6712.5)</f>
        <v>6712.5</v>
      </c>
      <c r="F627" s="2">
        <f ca="1">IFERROR(__xludf.DUMMYFUNCTION("""COMPUTED_VALUE"""),14516400)</f>
        <v>14516400</v>
      </c>
    </row>
    <row r="628" spans="1:6">
      <c r="A628" s="1">
        <f ca="1">IFERROR(__xludf.DUMMYFUNCTION("""COMPUTED_VALUE"""),42956.625)</f>
        <v>42956.625</v>
      </c>
      <c r="B628" s="2">
        <f ca="1">IFERROR(__xludf.DUMMYFUNCTION("""COMPUTED_VALUE"""),6725)</f>
        <v>6725</v>
      </c>
      <c r="C628" s="2">
        <f ca="1">IFERROR(__xludf.DUMMYFUNCTION("""COMPUTED_VALUE"""),6750)</f>
        <v>6750</v>
      </c>
      <c r="D628" s="2">
        <f ca="1">IFERROR(__xludf.DUMMYFUNCTION("""COMPUTED_VALUE"""),6625)</f>
        <v>6625</v>
      </c>
      <c r="E628" s="2">
        <f ca="1">IFERROR(__xludf.DUMMYFUNCTION("""COMPUTED_VALUE"""),6700)</f>
        <v>6700</v>
      </c>
      <c r="F628" s="2">
        <f ca="1">IFERROR(__xludf.DUMMYFUNCTION("""COMPUTED_VALUE"""),12364700)</f>
        <v>12364700</v>
      </c>
    </row>
    <row r="629" spans="1:6">
      <c r="A629" s="1">
        <f ca="1">IFERROR(__xludf.DUMMYFUNCTION("""COMPUTED_VALUE"""),42957.625)</f>
        <v>42957.625</v>
      </c>
      <c r="B629" s="2">
        <f ca="1">IFERROR(__xludf.DUMMYFUNCTION("""COMPUTED_VALUE"""),6750)</f>
        <v>6750</v>
      </c>
      <c r="C629" s="2">
        <f ca="1">IFERROR(__xludf.DUMMYFUNCTION("""COMPUTED_VALUE"""),6750)</f>
        <v>6750</v>
      </c>
      <c r="D629" s="2">
        <f ca="1">IFERROR(__xludf.DUMMYFUNCTION("""COMPUTED_VALUE"""),6637.5)</f>
        <v>6637.5</v>
      </c>
      <c r="E629" s="2">
        <f ca="1">IFERROR(__xludf.DUMMYFUNCTION("""COMPUTED_VALUE"""),6662.5)</f>
        <v>6662.5</v>
      </c>
      <c r="F629" s="2">
        <f ca="1">IFERROR(__xludf.DUMMYFUNCTION("""COMPUTED_VALUE"""),10371600)</f>
        <v>10371600</v>
      </c>
    </row>
    <row r="630" spans="1:6">
      <c r="A630" s="1">
        <f ca="1">IFERROR(__xludf.DUMMYFUNCTION("""COMPUTED_VALUE"""),42958.625)</f>
        <v>42958.625</v>
      </c>
      <c r="B630" s="2">
        <f ca="1">IFERROR(__xludf.DUMMYFUNCTION("""COMPUTED_VALUE"""),6625)</f>
        <v>6625</v>
      </c>
      <c r="C630" s="2">
        <f ca="1">IFERROR(__xludf.DUMMYFUNCTION("""COMPUTED_VALUE"""),6650)</f>
        <v>6650</v>
      </c>
      <c r="D630" s="2">
        <f ca="1">IFERROR(__xludf.DUMMYFUNCTION("""COMPUTED_VALUE"""),6575)</f>
        <v>6575</v>
      </c>
      <c r="E630" s="2">
        <f ca="1">IFERROR(__xludf.DUMMYFUNCTION("""COMPUTED_VALUE"""),6600)</f>
        <v>6600</v>
      </c>
      <c r="F630" s="2">
        <f ca="1">IFERROR(__xludf.DUMMYFUNCTION("""COMPUTED_VALUE"""),27762300)</f>
        <v>27762300</v>
      </c>
    </row>
    <row r="631" spans="1:6">
      <c r="A631" s="1">
        <f ca="1">IFERROR(__xludf.DUMMYFUNCTION("""COMPUTED_VALUE"""),42961.625)</f>
        <v>42961.625</v>
      </c>
      <c r="B631" s="2">
        <f ca="1">IFERROR(__xludf.DUMMYFUNCTION("""COMPUTED_VALUE"""),6600)</f>
        <v>6600</v>
      </c>
      <c r="C631" s="2">
        <f ca="1">IFERROR(__xludf.DUMMYFUNCTION("""COMPUTED_VALUE"""),6650)</f>
        <v>6650</v>
      </c>
      <c r="D631" s="2">
        <f ca="1">IFERROR(__xludf.DUMMYFUNCTION("""COMPUTED_VALUE"""),6600)</f>
        <v>6600</v>
      </c>
      <c r="E631" s="2">
        <f ca="1">IFERROR(__xludf.DUMMYFUNCTION("""COMPUTED_VALUE"""),6625)</f>
        <v>6625</v>
      </c>
      <c r="F631" s="2">
        <f ca="1">IFERROR(__xludf.DUMMYFUNCTION("""COMPUTED_VALUE"""),19487900)</f>
        <v>19487900</v>
      </c>
    </row>
    <row r="632" spans="1:6">
      <c r="A632" s="1">
        <f ca="1">IFERROR(__xludf.DUMMYFUNCTION("""COMPUTED_VALUE"""),42962.625)</f>
        <v>42962.625</v>
      </c>
      <c r="B632" s="2">
        <f ca="1">IFERROR(__xludf.DUMMYFUNCTION("""COMPUTED_VALUE"""),6662.5)</f>
        <v>6662.5</v>
      </c>
      <c r="C632" s="2">
        <f ca="1">IFERROR(__xludf.DUMMYFUNCTION("""COMPUTED_VALUE"""),6662.5)</f>
        <v>6662.5</v>
      </c>
      <c r="D632" s="2">
        <f ca="1">IFERROR(__xludf.DUMMYFUNCTION("""COMPUTED_VALUE"""),6637.5)</f>
        <v>6637.5</v>
      </c>
      <c r="E632" s="2">
        <f ca="1">IFERROR(__xludf.DUMMYFUNCTION("""COMPUTED_VALUE"""),6650)</f>
        <v>6650</v>
      </c>
      <c r="F632" s="2">
        <f ca="1">IFERROR(__xludf.DUMMYFUNCTION("""COMPUTED_VALUE"""),11802200)</f>
        <v>11802200</v>
      </c>
    </row>
    <row r="633" spans="1:6">
      <c r="A633" s="1">
        <f ca="1">IFERROR(__xludf.DUMMYFUNCTION("""COMPUTED_VALUE"""),42963.625)</f>
        <v>42963.625</v>
      </c>
      <c r="B633" s="2">
        <f ca="1">IFERROR(__xludf.DUMMYFUNCTION("""COMPUTED_VALUE"""),6662.5)</f>
        <v>6662.5</v>
      </c>
      <c r="C633" s="2">
        <f ca="1">IFERROR(__xludf.DUMMYFUNCTION("""COMPUTED_VALUE"""),6662.5)</f>
        <v>6662.5</v>
      </c>
      <c r="D633" s="2">
        <f ca="1">IFERROR(__xludf.DUMMYFUNCTION("""COMPUTED_VALUE"""),6625)</f>
        <v>6625</v>
      </c>
      <c r="E633" s="2">
        <f ca="1">IFERROR(__xludf.DUMMYFUNCTION("""COMPUTED_VALUE"""),6662.5)</f>
        <v>6662.5</v>
      </c>
      <c r="F633" s="2">
        <f ca="1">IFERROR(__xludf.DUMMYFUNCTION("""COMPUTED_VALUE"""),10084300)</f>
        <v>10084300</v>
      </c>
    </row>
    <row r="634" spans="1:6">
      <c r="A634" s="1">
        <f ca="1">IFERROR(__xludf.DUMMYFUNCTION("""COMPUTED_VALUE"""),42965.625)</f>
        <v>42965.625</v>
      </c>
      <c r="B634" s="2">
        <f ca="1">IFERROR(__xludf.DUMMYFUNCTION("""COMPUTED_VALUE"""),6600)</f>
        <v>6600</v>
      </c>
      <c r="C634" s="2">
        <f ca="1">IFERROR(__xludf.DUMMYFUNCTION("""COMPUTED_VALUE"""),6600)</f>
        <v>6600</v>
      </c>
      <c r="D634" s="2">
        <f ca="1">IFERROR(__xludf.DUMMYFUNCTION("""COMPUTED_VALUE"""),6537.5)</f>
        <v>6537.5</v>
      </c>
      <c r="E634" s="2">
        <f ca="1">IFERROR(__xludf.DUMMYFUNCTION("""COMPUTED_VALUE"""),6550)</f>
        <v>6550</v>
      </c>
      <c r="F634" s="2">
        <f ca="1">IFERROR(__xludf.DUMMYFUNCTION("""COMPUTED_VALUE"""),35853600)</f>
        <v>35853600</v>
      </c>
    </row>
    <row r="635" spans="1:6">
      <c r="A635" s="1">
        <f ca="1">IFERROR(__xludf.DUMMYFUNCTION("""COMPUTED_VALUE"""),42968.625)</f>
        <v>42968.625</v>
      </c>
      <c r="B635" s="2">
        <f ca="1">IFERROR(__xludf.DUMMYFUNCTION("""COMPUTED_VALUE"""),6525)</f>
        <v>6525</v>
      </c>
      <c r="C635" s="2">
        <f ca="1">IFERROR(__xludf.DUMMYFUNCTION("""COMPUTED_VALUE"""),6625)</f>
        <v>6625</v>
      </c>
      <c r="D635" s="2">
        <f ca="1">IFERROR(__xludf.DUMMYFUNCTION("""COMPUTED_VALUE"""),6525)</f>
        <v>6525</v>
      </c>
      <c r="E635" s="2">
        <f ca="1">IFERROR(__xludf.DUMMYFUNCTION("""COMPUTED_VALUE"""),6600)</f>
        <v>6600</v>
      </c>
      <c r="F635" s="2">
        <f ca="1">IFERROR(__xludf.DUMMYFUNCTION("""COMPUTED_VALUE"""),14183200)</f>
        <v>14183200</v>
      </c>
    </row>
    <row r="636" spans="1:6">
      <c r="A636" s="1">
        <f ca="1">IFERROR(__xludf.DUMMYFUNCTION("""COMPUTED_VALUE"""),42969.625)</f>
        <v>42969.625</v>
      </c>
      <c r="B636" s="2">
        <f ca="1">IFERROR(__xludf.DUMMYFUNCTION("""COMPUTED_VALUE"""),6650)</f>
        <v>6650</v>
      </c>
      <c r="C636" s="2">
        <f ca="1">IFERROR(__xludf.DUMMYFUNCTION("""COMPUTED_VALUE"""),6650)</f>
        <v>6650</v>
      </c>
      <c r="D636" s="2">
        <f ca="1">IFERROR(__xludf.DUMMYFUNCTION("""COMPUTED_VALUE"""),6625)</f>
        <v>6625</v>
      </c>
      <c r="E636" s="2">
        <f ca="1">IFERROR(__xludf.DUMMYFUNCTION("""COMPUTED_VALUE"""),6625)</f>
        <v>6625</v>
      </c>
      <c r="F636" s="2">
        <f ca="1">IFERROR(__xludf.DUMMYFUNCTION("""COMPUTED_VALUE"""),9270100)</f>
        <v>9270100</v>
      </c>
    </row>
    <row r="637" spans="1:6">
      <c r="A637" s="1">
        <f ca="1">IFERROR(__xludf.DUMMYFUNCTION("""COMPUTED_VALUE"""),42970.625)</f>
        <v>42970.625</v>
      </c>
      <c r="B637" s="2">
        <f ca="1">IFERROR(__xludf.DUMMYFUNCTION("""COMPUTED_VALUE"""),6675)</f>
        <v>6675</v>
      </c>
      <c r="C637" s="2">
        <f ca="1">IFERROR(__xludf.DUMMYFUNCTION("""COMPUTED_VALUE"""),6687.5)</f>
        <v>6687.5</v>
      </c>
      <c r="D637" s="2">
        <f ca="1">IFERROR(__xludf.DUMMYFUNCTION("""COMPUTED_VALUE"""),6600)</f>
        <v>6600</v>
      </c>
      <c r="E637" s="2">
        <f ca="1">IFERROR(__xludf.DUMMYFUNCTION("""COMPUTED_VALUE"""),6637.5)</f>
        <v>6637.5</v>
      </c>
      <c r="F637" s="2">
        <f ca="1">IFERROR(__xludf.DUMMYFUNCTION("""COMPUTED_VALUE"""),11542800)</f>
        <v>11542800</v>
      </c>
    </row>
    <row r="638" spans="1:6">
      <c r="A638" s="1">
        <f ca="1">IFERROR(__xludf.DUMMYFUNCTION("""COMPUTED_VALUE"""),42971.625)</f>
        <v>42971.625</v>
      </c>
      <c r="B638" s="2">
        <f ca="1">IFERROR(__xludf.DUMMYFUNCTION("""COMPUTED_VALUE"""),6650)</f>
        <v>6650</v>
      </c>
      <c r="C638" s="2">
        <f ca="1">IFERROR(__xludf.DUMMYFUNCTION("""COMPUTED_VALUE"""),6650)</f>
        <v>6650</v>
      </c>
      <c r="D638" s="2">
        <f ca="1">IFERROR(__xludf.DUMMYFUNCTION("""COMPUTED_VALUE"""),6600)</f>
        <v>6600</v>
      </c>
      <c r="E638" s="2">
        <f ca="1">IFERROR(__xludf.DUMMYFUNCTION("""COMPUTED_VALUE"""),6600)</f>
        <v>6600</v>
      </c>
      <c r="F638" s="2">
        <f ca="1">IFERROR(__xludf.DUMMYFUNCTION("""COMPUTED_VALUE"""),21177900)</f>
        <v>21177900</v>
      </c>
    </row>
    <row r="639" spans="1:6">
      <c r="A639" s="1">
        <f ca="1">IFERROR(__xludf.DUMMYFUNCTION("""COMPUTED_VALUE"""),42972.625)</f>
        <v>42972.625</v>
      </c>
      <c r="B639" s="2">
        <f ca="1">IFERROR(__xludf.DUMMYFUNCTION("""COMPUTED_VALUE"""),6675)</f>
        <v>6675</v>
      </c>
      <c r="C639" s="2">
        <f ca="1">IFERROR(__xludf.DUMMYFUNCTION("""COMPUTED_VALUE"""),6675)</f>
        <v>6675</v>
      </c>
      <c r="D639" s="2">
        <f ca="1">IFERROR(__xludf.DUMMYFUNCTION("""COMPUTED_VALUE"""),6587.5)</f>
        <v>6587.5</v>
      </c>
      <c r="E639" s="2">
        <f ca="1">IFERROR(__xludf.DUMMYFUNCTION("""COMPUTED_VALUE"""),6587.5)</f>
        <v>6587.5</v>
      </c>
      <c r="F639" s="2">
        <f ca="1">IFERROR(__xludf.DUMMYFUNCTION("""COMPUTED_VALUE"""),11256600)</f>
        <v>11256600</v>
      </c>
    </row>
    <row r="640" spans="1:6">
      <c r="A640" s="1">
        <f ca="1">IFERROR(__xludf.DUMMYFUNCTION("""COMPUTED_VALUE"""),42975.625)</f>
        <v>42975.625</v>
      </c>
      <c r="B640" s="2">
        <f ca="1">IFERROR(__xludf.DUMMYFUNCTION("""COMPUTED_VALUE"""),6625)</f>
        <v>6625</v>
      </c>
      <c r="C640" s="2">
        <f ca="1">IFERROR(__xludf.DUMMYFUNCTION("""COMPUTED_VALUE"""),6637.5)</f>
        <v>6637.5</v>
      </c>
      <c r="D640" s="2">
        <f ca="1">IFERROR(__xludf.DUMMYFUNCTION("""COMPUTED_VALUE"""),6600)</f>
        <v>6600</v>
      </c>
      <c r="E640" s="2">
        <f ca="1">IFERROR(__xludf.DUMMYFUNCTION("""COMPUTED_VALUE"""),6612.5)</f>
        <v>6612.5</v>
      </c>
      <c r="F640" s="2">
        <f ca="1">IFERROR(__xludf.DUMMYFUNCTION("""COMPUTED_VALUE"""),3851900)</f>
        <v>3851900</v>
      </c>
    </row>
    <row r="641" spans="1:6">
      <c r="A641" s="1">
        <f ca="1">IFERROR(__xludf.DUMMYFUNCTION("""COMPUTED_VALUE"""),42976.625)</f>
        <v>42976.625</v>
      </c>
      <c r="B641" s="2">
        <f ca="1">IFERROR(__xludf.DUMMYFUNCTION("""COMPUTED_VALUE"""),6587.5)</f>
        <v>6587.5</v>
      </c>
      <c r="C641" s="2">
        <f ca="1">IFERROR(__xludf.DUMMYFUNCTION("""COMPUTED_VALUE"""),6612.5)</f>
        <v>6612.5</v>
      </c>
      <c r="D641" s="2">
        <f ca="1">IFERROR(__xludf.DUMMYFUNCTION("""COMPUTED_VALUE"""),6550)</f>
        <v>6550</v>
      </c>
      <c r="E641" s="2">
        <f ca="1">IFERROR(__xludf.DUMMYFUNCTION("""COMPUTED_VALUE"""),6550)</f>
        <v>6550</v>
      </c>
      <c r="F641" s="2">
        <f ca="1">IFERROR(__xludf.DUMMYFUNCTION("""COMPUTED_VALUE"""),20846600)</f>
        <v>20846600</v>
      </c>
    </row>
    <row r="642" spans="1:6">
      <c r="A642" s="1">
        <f ca="1">IFERROR(__xludf.DUMMYFUNCTION("""COMPUTED_VALUE"""),42977.625)</f>
        <v>42977.625</v>
      </c>
      <c r="B642" s="2">
        <f ca="1">IFERROR(__xludf.DUMMYFUNCTION("""COMPUTED_VALUE"""),6550)</f>
        <v>6550</v>
      </c>
      <c r="C642" s="2">
        <f ca="1">IFERROR(__xludf.DUMMYFUNCTION("""COMPUTED_VALUE"""),6587.5)</f>
        <v>6587.5</v>
      </c>
      <c r="D642" s="2">
        <f ca="1">IFERROR(__xludf.DUMMYFUNCTION("""COMPUTED_VALUE"""),6537.5)</f>
        <v>6537.5</v>
      </c>
      <c r="E642" s="2">
        <f ca="1">IFERROR(__xludf.DUMMYFUNCTION("""COMPUTED_VALUE"""),6550)</f>
        <v>6550</v>
      </c>
      <c r="F642" s="2">
        <f ca="1">IFERROR(__xludf.DUMMYFUNCTION("""COMPUTED_VALUE"""),12057100)</f>
        <v>12057100</v>
      </c>
    </row>
    <row r="643" spans="1:6">
      <c r="A643" s="1">
        <f ca="1">IFERROR(__xludf.DUMMYFUNCTION("""COMPUTED_VALUE"""),42978.625)</f>
        <v>42978.625</v>
      </c>
      <c r="B643" s="2">
        <f ca="1">IFERROR(__xludf.DUMMYFUNCTION("""COMPUTED_VALUE"""),6537.5)</f>
        <v>6537.5</v>
      </c>
      <c r="C643" s="2">
        <f ca="1">IFERROR(__xludf.DUMMYFUNCTION("""COMPUTED_VALUE"""),6587.5)</f>
        <v>6587.5</v>
      </c>
      <c r="D643" s="2">
        <f ca="1">IFERROR(__xludf.DUMMYFUNCTION("""COMPUTED_VALUE"""),6537.5)</f>
        <v>6537.5</v>
      </c>
      <c r="E643" s="2">
        <f ca="1">IFERROR(__xludf.DUMMYFUNCTION("""COMPUTED_VALUE"""),6550)</f>
        <v>6550</v>
      </c>
      <c r="F643" s="2">
        <f ca="1">IFERROR(__xludf.DUMMYFUNCTION("""COMPUTED_VALUE"""),17275200)</f>
        <v>17275200</v>
      </c>
    </row>
    <row r="644" spans="1:6">
      <c r="A644" s="1">
        <f ca="1">IFERROR(__xludf.DUMMYFUNCTION("""COMPUTED_VALUE"""),42982.625)</f>
        <v>42982.625</v>
      </c>
      <c r="B644" s="2">
        <f ca="1">IFERROR(__xludf.DUMMYFUNCTION("""COMPUTED_VALUE"""),6525)</f>
        <v>6525</v>
      </c>
      <c r="C644" s="2">
        <f ca="1">IFERROR(__xludf.DUMMYFUNCTION("""COMPUTED_VALUE"""),6562.5)</f>
        <v>6562.5</v>
      </c>
      <c r="D644" s="2">
        <f ca="1">IFERROR(__xludf.DUMMYFUNCTION("""COMPUTED_VALUE"""),6487.5)</f>
        <v>6487.5</v>
      </c>
      <c r="E644" s="2">
        <f ca="1">IFERROR(__xludf.DUMMYFUNCTION("""COMPUTED_VALUE"""),6525)</f>
        <v>6525</v>
      </c>
      <c r="F644" s="2">
        <f ca="1">IFERROR(__xludf.DUMMYFUNCTION("""COMPUTED_VALUE"""),17317100)</f>
        <v>17317100</v>
      </c>
    </row>
    <row r="645" spans="1:6">
      <c r="A645" s="1">
        <f ca="1">IFERROR(__xludf.DUMMYFUNCTION("""COMPUTED_VALUE"""),42983.625)</f>
        <v>42983.625</v>
      </c>
      <c r="B645" s="2">
        <f ca="1">IFERROR(__xludf.DUMMYFUNCTION("""COMPUTED_VALUE"""),6500)</f>
        <v>6500</v>
      </c>
      <c r="C645" s="2">
        <f ca="1">IFERROR(__xludf.DUMMYFUNCTION("""COMPUTED_VALUE"""),6537.5)</f>
        <v>6537.5</v>
      </c>
      <c r="D645" s="2">
        <f ca="1">IFERROR(__xludf.DUMMYFUNCTION("""COMPUTED_VALUE"""),6437.5)</f>
        <v>6437.5</v>
      </c>
      <c r="E645" s="2">
        <f ca="1">IFERROR(__xludf.DUMMYFUNCTION("""COMPUTED_VALUE"""),6537.5)</f>
        <v>6537.5</v>
      </c>
      <c r="F645" s="2">
        <f ca="1">IFERROR(__xludf.DUMMYFUNCTION("""COMPUTED_VALUE"""),13355800)</f>
        <v>13355800</v>
      </c>
    </row>
    <row r="646" spans="1:6">
      <c r="A646" s="1">
        <f ca="1">IFERROR(__xludf.DUMMYFUNCTION("""COMPUTED_VALUE"""),42984.625)</f>
        <v>42984.625</v>
      </c>
      <c r="B646" s="2">
        <f ca="1">IFERROR(__xludf.DUMMYFUNCTION("""COMPUTED_VALUE"""),6450)</f>
        <v>6450</v>
      </c>
      <c r="C646" s="2">
        <f ca="1">IFERROR(__xludf.DUMMYFUNCTION("""COMPUTED_VALUE"""),6512.5)</f>
        <v>6512.5</v>
      </c>
      <c r="D646" s="2">
        <f ca="1">IFERROR(__xludf.DUMMYFUNCTION("""COMPUTED_VALUE"""),6400)</f>
        <v>6400</v>
      </c>
      <c r="E646" s="2">
        <f ca="1">IFERROR(__xludf.DUMMYFUNCTION("""COMPUTED_VALUE"""),6475)</f>
        <v>6475</v>
      </c>
      <c r="F646" s="2">
        <f ca="1">IFERROR(__xludf.DUMMYFUNCTION("""COMPUTED_VALUE"""),31592100)</f>
        <v>31592100</v>
      </c>
    </row>
    <row r="647" spans="1:6">
      <c r="A647" s="1">
        <f ca="1">IFERROR(__xludf.DUMMYFUNCTION("""COMPUTED_VALUE"""),42985.625)</f>
        <v>42985.625</v>
      </c>
      <c r="B647" s="2">
        <f ca="1">IFERROR(__xludf.DUMMYFUNCTION("""COMPUTED_VALUE"""),6525)</f>
        <v>6525</v>
      </c>
      <c r="C647" s="2">
        <f ca="1">IFERROR(__xludf.DUMMYFUNCTION("""COMPUTED_VALUE"""),6525)</f>
        <v>6525</v>
      </c>
      <c r="D647" s="2">
        <f ca="1">IFERROR(__xludf.DUMMYFUNCTION("""COMPUTED_VALUE"""),6450)</f>
        <v>6450</v>
      </c>
      <c r="E647" s="2">
        <f ca="1">IFERROR(__xludf.DUMMYFUNCTION("""COMPUTED_VALUE"""),6512.5)</f>
        <v>6512.5</v>
      </c>
      <c r="F647" s="2">
        <f ca="1">IFERROR(__xludf.DUMMYFUNCTION("""COMPUTED_VALUE"""),11386100)</f>
        <v>11386100</v>
      </c>
    </row>
    <row r="648" spans="1:6">
      <c r="A648" s="1">
        <f ca="1">IFERROR(__xludf.DUMMYFUNCTION("""COMPUTED_VALUE"""),42986.625)</f>
        <v>42986.625</v>
      </c>
      <c r="B648" s="2">
        <f ca="1">IFERROR(__xludf.DUMMYFUNCTION("""COMPUTED_VALUE"""),6537.5)</f>
        <v>6537.5</v>
      </c>
      <c r="C648" s="2">
        <f ca="1">IFERROR(__xludf.DUMMYFUNCTION("""COMPUTED_VALUE"""),6662.5)</f>
        <v>6662.5</v>
      </c>
      <c r="D648" s="2">
        <f ca="1">IFERROR(__xludf.DUMMYFUNCTION("""COMPUTED_VALUE"""),6500)</f>
        <v>6500</v>
      </c>
      <c r="E648" s="2">
        <f ca="1">IFERROR(__xludf.DUMMYFUNCTION("""COMPUTED_VALUE"""),6637.5)</f>
        <v>6637.5</v>
      </c>
      <c r="F648" s="2">
        <f ca="1">IFERROR(__xludf.DUMMYFUNCTION("""COMPUTED_VALUE"""),23197000)</f>
        <v>23197000</v>
      </c>
    </row>
    <row r="649" spans="1:6">
      <c r="A649" s="1">
        <f ca="1">IFERROR(__xludf.DUMMYFUNCTION("""COMPUTED_VALUE"""),42989.625)</f>
        <v>42989.625</v>
      </c>
      <c r="B649" s="2">
        <f ca="1">IFERROR(__xludf.DUMMYFUNCTION("""COMPUTED_VALUE"""),6637.5)</f>
        <v>6637.5</v>
      </c>
      <c r="C649" s="2">
        <f ca="1">IFERROR(__xludf.DUMMYFUNCTION("""COMPUTED_VALUE"""),6650)</f>
        <v>6650</v>
      </c>
      <c r="D649" s="2">
        <f ca="1">IFERROR(__xludf.DUMMYFUNCTION("""COMPUTED_VALUE"""),6600)</f>
        <v>6600</v>
      </c>
      <c r="E649" s="2">
        <f ca="1">IFERROR(__xludf.DUMMYFUNCTION("""COMPUTED_VALUE"""),6600)</f>
        <v>6600</v>
      </c>
      <c r="F649" s="2">
        <f ca="1">IFERROR(__xludf.DUMMYFUNCTION("""COMPUTED_VALUE"""),12761600)</f>
        <v>12761600</v>
      </c>
    </row>
    <row r="650" spans="1:6">
      <c r="A650" s="1">
        <f ca="1">IFERROR(__xludf.DUMMYFUNCTION("""COMPUTED_VALUE"""),42990.625)</f>
        <v>42990.625</v>
      </c>
      <c r="B650" s="2">
        <f ca="1">IFERROR(__xludf.DUMMYFUNCTION("""COMPUTED_VALUE"""),6650)</f>
        <v>6650</v>
      </c>
      <c r="C650" s="2">
        <f ca="1">IFERROR(__xludf.DUMMYFUNCTION("""COMPUTED_VALUE"""),6662.5)</f>
        <v>6662.5</v>
      </c>
      <c r="D650" s="2">
        <f ca="1">IFERROR(__xludf.DUMMYFUNCTION("""COMPUTED_VALUE"""),6587.5)</f>
        <v>6587.5</v>
      </c>
      <c r="E650" s="2">
        <f ca="1">IFERROR(__xludf.DUMMYFUNCTION("""COMPUTED_VALUE"""),6600)</f>
        <v>6600</v>
      </c>
      <c r="F650" s="2">
        <f ca="1">IFERROR(__xludf.DUMMYFUNCTION("""COMPUTED_VALUE"""),12870500)</f>
        <v>12870500</v>
      </c>
    </row>
    <row r="651" spans="1:6">
      <c r="A651" s="1">
        <f ca="1">IFERROR(__xludf.DUMMYFUNCTION("""COMPUTED_VALUE"""),42991.625)</f>
        <v>42991.625</v>
      </c>
      <c r="B651" s="2">
        <f ca="1">IFERROR(__xludf.DUMMYFUNCTION("""COMPUTED_VALUE"""),6700)</f>
        <v>6700</v>
      </c>
      <c r="C651" s="2">
        <f ca="1">IFERROR(__xludf.DUMMYFUNCTION("""COMPUTED_VALUE"""),6700)</f>
        <v>6700</v>
      </c>
      <c r="D651" s="2">
        <f ca="1">IFERROR(__xludf.DUMMYFUNCTION("""COMPUTED_VALUE"""),6550)</f>
        <v>6550</v>
      </c>
      <c r="E651" s="2">
        <f ca="1">IFERROR(__xludf.DUMMYFUNCTION("""COMPUTED_VALUE"""),6575)</f>
        <v>6575</v>
      </c>
      <c r="F651" s="2">
        <f ca="1">IFERROR(__xludf.DUMMYFUNCTION("""COMPUTED_VALUE"""),11134900)</f>
        <v>11134900</v>
      </c>
    </row>
    <row r="652" spans="1:6">
      <c r="A652" s="1">
        <f ca="1">IFERROR(__xludf.DUMMYFUNCTION("""COMPUTED_VALUE"""),42992.625)</f>
        <v>42992.625</v>
      </c>
      <c r="B652" s="2">
        <f ca="1">IFERROR(__xludf.DUMMYFUNCTION("""COMPUTED_VALUE"""),6625)</f>
        <v>6625</v>
      </c>
      <c r="C652" s="2">
        <f ca="1">IFERROR(__xludf.DUMMYFUNCTION("""COMPUTED_VALUE"""),6650)</f>
        <v>6650</v>
      </c>
      <c r="D652" s="2">
        <f ca="1">IFERROR(__xludf.DUMMYFUNCTION("""COMPUTED_VALUE"""),6550)</f>
        <v>6550</v>
      </c>
      <c r="E652" s="2">
        <f ca="1">IFERROR(__xludf.DUMMYFUNCTION("""COMPUTED_VALUE"""),6550)</f>
        <v>6550</v>
      </c>
      <c r="F652" s="2">
        <f ca="1">IFERROR(__xludf.DUMMYFUNCTION("""COMPUTED_VALUE"""),16193500)</f>
        <v>16193500</v>
      </c>
    </row>
    <row r="653" spans="1:6">
      <c r="A653" s="1">
        <f ca="1">IFERROR(__xludf.DUMMYFUNCTION("""COMPUTED_VALUE"""),42993.625)</f>
        <v>42993.625</v>
      </c>
      <c r="B653" s="2">
        <f ca="1">IFERROR(__xludf.DUMMYFUNCTION("""COMPUTED_VALUE"""),6550)</f>
        <v>6550</v>
      </c>
      <c r="C653" s="2">
        <f ca="1">IFERROR(__xludf.DUMMYFUNCTION("""COMPUTED_VALUE"""),6675)</f>
        <v>6675</v>
      </c>
      <c r="D653" s="2">
        <f ca="1">IFERROR(__xludf.DUMMYFUNCTION("""COMPUTED_VALUE"""),6525)</f>
        <v>6525</v>
      </c>
      <c r="E653" s="2">
        <f ca="1">IFERROR(__xludf.DUMMYFUNCTION("""COMPUTED_VALUE"""),6625)</f>
        <v>6625</v>
      </c>
      <c r="F653" s="2">
        <f ca="1">IFERROR(__xludf.DUMMYFUNCTION("""COMPUTED_VALUE"""),48288500)</f>
        <v>48288500</v>
      </c>
    </row>
    <row r="654" spans="1:6">
      <c r="A654" s="1">
        <f ca="1">IFERROR(__xludf.DUMMYFUNCTION("""COMPUTED_VALUE"""),42996.625)</f>
        <v>42996.625</v>
      </c>
      <c r="B654" s="2">
        <f ca="1">IFERROR(__xludf.DUMMYFUNCTION("""COMPUTED_VALUE"""),6550)</f>
        <v>6550</v>
      </c>
      <c r="C654" s="2">
        <f ca="1">IFERROR(__xludf.DUMMYFUNCTION("""COMPUTED_VALUE"""),6625)</f>
        <v>6625</v>
      </c>
      <c r="D654" s="2">
        <f ca="1">IFERROR(__xludf.DUMMYFUNCTION("""COMPUTED_VALUE"""),6500)</f>
        <v>6500</v>
      </c>
      <c r="E654" s="2">
        <f ca="1">IFERROR(__xludf.DUMMYFUNCTION("""COMPUTED_VALUE"""),6575)</f>
        <v>6575</v>
      </c>
      <c r="F654" s="2">
        <f ca="1">IFERROR(__xludf.DUMMYFUNCTION("""COMPUTED_VALUE"""),15601500)</f>
        <v>15601500</v>
      </c>
    </row>
    <row r="655" spans="1:6">
      <c r="A655" s="1">
        <f ca="1">IFERROR(__xludf.DUMMYFUNCTION("""COMPUTED_VALUE"""),42997.625)</f>
        <v>42997.625</v>
      </c>
      <c r="B655" s="2">
        <f ca="1">IFERROR(__xludf.DUMMYFUNCTION("""COMPUTED_VALUE"""),6600)</f>
        <v>6600</v>
      </c>
      <c r="C655" s="2">
        <f ca="1">IFERROR(__xludf.DUMMYFUNCTION("""COMPUTED_VALUE"""),6625)</f>
        <v>6625</v>
      </c>
      <c r="D655" s="2">
        <f ca="1">IFERROR(__xludf.DUMMYFUNCTION("""COMPUTED_VALUE"""),6525)</f>
        <v>6525</v>
      </c>
      <c r="E655" s="2">
        <f ca="1">IFERROR(__xludf.DUMMYFUNCTION("""COMPUTED_VALUE"""),6600)</f>
        <v>6600</v>
      </c>
      <c r="F655" s="2">
        <f ca="1">IFERROR(__xludf.DUMMYFUNCTION("""COMPUTED_VALUE"""),32813800)</f>
        <v>32813800</v>
      </c>
    </row>
    <row r="656" spans="1:6">
      <c r="A656" s="1">
        <f ca="1">IFERROR(__xludf.DUMMYFUNCTION("""COMPUTED_VALUE"""),42998.625)</f>
        <v>42998.625</v>
      </c>
      <c r="B656" s="2">
        <f ca="1">IFERROR(__xludf.DUMMYFUNCTION("""COMPUTED_VALUE"""),6575)</f>
        <v>6575</v>
      </c>
      <c r="C656" s="2">
        <f ca="1">IFERROR(__xludf.DUMMYFUNCTION("""COMPUTED_VALUE"""),6625)</f>
        <v>6625</v>
      </c>
      <c r="D656" s="2">
        <f ca="1">IFERROR(__xludf.DUMMYFUNCTION("""COMPUTED_VALUE"""),6550)</f>
        <v>6550</v>
      </c>
      <c r="E656" s="2">
        <f ca="1">IFERROR(__xludf.DUMMYFUNCTION("""COMPUTED_VALUE"""),6600)</f>
        <v>6600</v>
      </c>
      <c r="F656" s="2">
        <f ca="1">IFERROR(__xludf.DUMMYFUNCTION("""COMPUTED_VALUE"""),76154100)</f>
        <v>76154100</v>
      </c>
    </row>
    <row r="657" spans="1:6">
      <c r="A657" s="1">
        <f ca="1">IFERROR(__xludf.DUMMYFUNCTION("""COMPUTED_VALUE"""),43000.625)</f>
        <v>43000.625</v>
      </c>
      <c r="B657" s="2">
        <f ca="1">IFERROR(__xludf.DUMMYFUNCTION("""COMPUTED_VALUE"""),6600)</f>
        <v>6600</v>
      </c>
      <c r="C657" s="2">
        <f ca="1">IFERROR(__xludf.DUMMYFUNCTION("""COMPUTED_VALUE"""),6650)</f>
        <v>6650</v>
      </c>
      <c r="D657" s="2">
        <f ca="1">IFERROR(__xludf.DUMMYFUNCTION("""COMPUTED_VALUE"""),6550)</f>
        <v>6550</v>
      </c>
      <c r="E657" s="2">
        <f ca="1">IFERROR(__xludf.DUMMYFUNCTION("""COMPUTED_VALUE"""),6600)</f>
        <v>6600</v>
      </c>
      <c r="F657" s="2">
        <f ca="1">IFERROR(__xludf.DUMMYFUNCTION("""COMPUTED_VALUE"""),44165800)</f>
        <v>44165800</v>
      </c>
    </row>
    <row r="658" spans="1:6">
      <c r="A658" s="1">
        <f ca="1">IFERROR(__xludf.DUMMYFUNCTION("""COMPUTED_VALUE"""),43003.625)</f>
        <v>43003.625</v>
      </c>
      <c r="B658" s="2">
        <f ca="1">IFERROR(__xludf.DUMMYFUNCTION("""COMPUTED_VALUE"""),6600)</f>
        <v>6600</v>
      </c>
      <c r="C658" s="2">
        <f ca="1">IFERROR(__xludf.DUMMYFUNCTION("""COMPUTED_VALUE"""),6650)</f>
        <v>6650</v>
      </c>
      <c r="D658" s="2">
        <f ca="1">IFERROR(__xludf.DUMMYFUNCTION("""COMPUTED_VALUE"""),6550)</f>
        <v>6550</v>
      </c>
      <c r="E658" s="2">
        <f ca="1">IFERROR(__xludf.DUMMYFUNCTION("""COMPUTED_VALUE"""),6575)</f>
        <v>6575</v>
      </c>
      <c r="F658" s="2">
        <f ca="1">IFERROR(__xludf.DUMMYFUNCTION("""COMPUTED_VALUE"""),27522900)</f>
        <v>27522900</v>
      </c>
    </row>
    <row r="659" spans="1:6">
      <c r="A659" s="1">
        <f ca="1">IFERROR(__xludf.DUMMYFUNCTION("""COMPUTED_VALUE"""),43004.625)</f>
        <v>43004.625</v>
      </c>
      <c r="B659" s="2">
        <f ca="1">IFERROR(__xludf.DUMMYFUNCTION("""COMPUTED_VALUE"""),6600)</f>
        <v>6600</v>
      </c>
      <c r="C659" s="2">
        <f ca="1">IFERROR(__xludf.DUMMYFUNCTION("""COMPUTED_VALUE"""),6600)</f>
        <v>6600</v>
      </c>
      <c r="D659" s="2">
        <f ca="1">IFERROR(__xludf.DUMMYFUNCTION("""COMPUTED_VALUE"""),6550)</f>
        <v>6550</v>
      </c>
      <c r="E659" s="2">
        <f ca="1">IFERROR(__xludf.DUMMYFUNCTION("""COMPUTED_VALUE"""),6550)</f>
        <v>6550</v>
      </c>
      <c r="F659" s="2">
        <f ca="1">IFERROR(__xludf.DUMMYFUNCTION("""COMPUTED_VALUE"""),47042700)</f>
        <v>47042700</v>
      </c>
    </row>
    <row r="660" spans="1:6">
      <c r="A660" s="1">
        <f ca="1">IFERROR(__xludf.DUMMYFUNCTION("""COMPUTED_VALUE"""),43005.625)</f>
        <v>43005.625</v>
      </c>
      <c r="B660" s="2">
        <f ca="1">IFERROR(__xludf.DUMMYFUNCTION("""COMPUTED_VALUE"""),6575)</f>
        <v>6575</v>
      </c>
      <c r="C660" s="2">
        <f ca="1">IFERROR(__xludf.DUMMYFUNCTION("""COMPUTED_VALUE"""),6600)</f>
        <v>6600</v>
      </c>
      <c r="D660" s="2">
        <f ca="1">IFERROR(__xludf.DUMMYFUNCTION("""COMPUTED_VALUE"""),6525)</f>
        <v>6525</v>
      </c>
      <c r="E660" s="2">
        <f ca="1">IFERROR(__xludf.DUMMYFUNCTION("""COMPUTED_VALUE"""),6600)</f>
        <v>6600</v>
      </c>
      <c r="F660" s="2">
        <f ca="1">IFERROR(__xludf.DUMMYFUNCTION("""COMPUTED_VALUE"""),60907100)</f>
        <v>60907100</v>
      </c>
    </row>
    <row r="661" spans="1:6">
      <c r="A661" s="1">
        <f ca="1">IFERROR(__xludf.DUMMYFUNCTION("""COMPUTED_VALUE"""),43006.625)</f>
        <v>43006.625</v>
      </c>
      <c r="B661" s="2">
        <f ca="1">IFERROR(__xludf.DUMMYFUNCTION("""COMPUTED_VALUE"""),6600)</f>
        <v>6600</v>
      </c>
      <c r="C661" s="2">
        <f ca="1">IFERROR(__xludf.DUMMYFUNCTION("""COMPUTED_VALUE"""),6625)</f>
        <v>6625</v>
      </c>
      <c r="D661" s="2">
        <f ca="1">IFERROR(__xludf.DUMMYFUNCTION("""COMPUTED_VALUE"""),6575)</f>
        <v>6575</v>
      </c>
      <c r="E661" s="2">
        <f ca="1">IFERROR(__xludf.DUMMYFUNCTION("""COMPUTED_VALUE"""),6575)</f>
        <v>6575</v>
      </c>
      <c r="F661" s="2">
        <f ca="1">IFERROR(__xludf.DUMMYFUNCTION("""COMPUTED_VALUE"""),28024800)</f>
        <v>28024800</v>
      </c>
    </row>
    <row r="662" spans="1:6">
      <c r="A662" s="1">
        <f ca="1">IFERROR(__xludf.DUMMYFUNCTION("""COMPUTED_VALUE"""),43007.625)</f>
        <v>43007.625</v>
      </c>
      <c r="B662" s="2">
        <f ca="1">IFERROR(__xludf.DUMMYFUNCTION("""COMPUTED_VALUE"""),6575)</f>
        <v>6575</v>
      </c>
      <c r="C662" s="2">
        <f ca="1">IFERROR(__xludf.DUMMYFUNCTION("""COMPUTED_VALUE"""),6775)</f>
        <v>6775</v>
      </c>
      <c r="D662" s="2">
        <f ca="1">IFERROR(__xludf.DUMMYFUNCTION("""COMPUTED_VALUE"""),6575)</f>
        <v>6575</v>
      </c>
      <c r="E662" s="2">
        <f ca="1">IFERROR(__xludf.DUMMYFUNCTION("""COMPUTED_VALUE"""),6725)</f>
        <v>6725</v>
      </c>
      <c r="F662" s="2">
        <f ca="1">IFERROR(__xludf.DUMMYFUNCTION("""COMPUTED_VALUE"""),87859600)</f>
        <v>87859600</v>
      </c>
    </row>
    <row r="663" spans="1:6">
      <c r="A663" s="1">
        <f ca="1">IFERROR(__xludf.DUMMYFUNCTION("""COMPUTED_VALUE"""),43010.625)</f>
        <v>43010.625</v>
      </c>
      <c r="B663" s="2">
        <f ca="1">IFERROR(__xludf.DUMMYFUNCTION("""COMPUTED_VALUE"""),6725)</f>
        <v>6725</v>
      </c>
      <c r="C663" s="2">
        <f ca="1">IFERROR(__xludf.DUMMYFUNCTION("""COMPUTED_VALUE"""),6750)</f>
        <v>6750</v>
      </c>
      <c r="D663" s="2">
        <f ca="1">IFERROR(__xludf.DUMMYFUNCTION("""COMPUTED_VALUE"""),6625)</f>
        <v>6625</v>
      </c>
      <c r="E663" s="2">
        <f ca="1">IFERROR(__xludf.DUMMYFUNCTION("""COMPUTED_VALUE"""),6700)</f>
        <v>6700</v>
      </c>
      <c r="F663" s="2">
        <f ca="1">IFERROR(__xludf.DUMMYFUNCTION("""COMPUTED_VALUE"""),20795400)</f>
        <v>20795400</v>
      </c>
    </row>
    <row r="664" spans="1:6">
      <c r="A664" s="1">
        <f ca="1">IFERROR(__xludf.DUMMYFUNCTION("""COMPUTED_VALUE"""),43011.625)</f>
        <v>43011.625</v>
      </c>
      <c r="B664" s="2">
        <f ca="1">IFERROR(__xludf.DUMMYFUNCTION("""COMPUTED_VALUE"""),6700)</f>
        <v>6700</v>
      </c>
      <c r="C664" s="2">
        <f ca="1">IFERROR(__xludf.DUMMYFUNCTION("""COMPUTED_VALUE"""),6750)</f>
        <v>6750</v>
      </c>
      <c r="D664" s="2">
        <f ca="1">IFERROR(__xludf.DUMMYFUNCTION("""COMPUTED_VALUE"""),6650)</f>
        <v>6650</v>
      </c>
      <c r="E664" s="2">
        <f ca="1">IFERROR(__xludf.DUMMYFUNCTION("""COMPUTED_VALUE"""),6700)</f>
        <v>6700</v>
      </c>
      <c r="F664" s="2">
        <f ca="1">IFERROR(__xludf.DUMMYFUNCTION("""COMPUTED_VALUE"""),29826700)</f>
        <v>29826700</v>
      </c>
    </row>
    <row r="665" spans="1:6">
      <c r="A665" s="1">
        <f ca="1">IFERROR(__xludf.DUMMYFUNCTION("""COMPUTED_VALUE"""),43012.625)</f>
        <v>43012.625</v>
      </c>
      <c r="B665" s="2">
        <f ca="1">IFERROR(__xludf.DUMMYFUNCTION("""COMPUTED_VALUE"""),6725)</f>
        <v>6725</v>
      </c>
      <c r="C665" s="2">
        <f ca="1">IFERROR(__xludf.DUMMYFUNCTION("""COMPUTED_VALUE"""),6725)</f>
        <v>6725</v>
      </c>
      <c r="D665" s="2">
        <f ca="1">IFERROR(__xludf.DUMMYFUNCTION("""COMPUTED_VALUE"""),6650)</f>
        <v>6650</v>
      </c>
      <c r="E665" s="2">
        <f ca="1">IFERROR(__xludf.DUMMYFUNCTION("""COMPUTED_VALUE"""),6650)</f>
        <v>6650</v>
      </c>
      <c r="F665" s="2">
        <f ca="1">IFERROR(__xludf.DUMMYFUNCTION("""COMPUTED_VALUE"""),21820900)</f>
        <v>21820900</v>
      </c>
    </row>
    <row r="666" spans="1:6">
      <c r="A666" s="1">
        <f ca="1">IFERROR(__xludf.DUMMYFUNCTION("""COMPUTED_VALUE"""),43013.625)</f>
        <v>43013.625</v>
      </c>
      <c r="B666" s="2">
        <f ca="1">IFERROR(__xludf.DUMMYFUNCTION("""COMPUTED_VALUE"""),6675)</f>
        <v>6675</v>
      </c>
      <c r="C666" s="2">
        <f ca="1">IFERROR(__xludf.DUMMYFUNCTION("""COMPUTED_VALUE"""),6700)</f>
        <v>6700</v>
      </c>
      <c r="D666" s="2">
        <f ca="1">IFERROR(__xludf.DUMMYFUNCTION("""COMPUTED_VALUE"""),6575)</f>
        <v>6575</v>
      </c>
      <c r="E666" s="2">
        <f ca="1">IFERROR(__xludf.DUMMYFUNCTION("""COMPUTED_VALUE"""),6600)</f>
        <v>6600</v>
      </c>
      <c r="F666" s="2">
        <f ca="1">IFERROR(__xludf.DUMMYFUNCTION("""COMPUTED_VALUE"""),38959000)</f>
        <v>38959000</v>
      </c>
    </row>
    <row r="667" spans="1:6">
      <c r="A667" s="1">
        <f ca="1">IFERROR(__xludf.DUMMYFUNCTION("""COMPUTED_VALUE"""),43014.625)</f>
        <v>43014.625</v>
      </c>
      <c r="B667" s="2">
        <f ca="1">IFERROR(__xludf.DUMMYFUNCTION("""COMPUTED_VALUE"""),6600)</f>
        <v>6600</v>
      </c>
      <c r="C667" s="2">
        <f ca="1">IFERROR(__xludf.DUMMYFUNCTION("""COMPUTED_VALUE"""),6625)</f>
        <v>6625</v>
      </c>
      <c r="D667" s="2">
        <f ca="1">IFERROR(__xludf.DUMMYFUNCTION("""COMPUTED_VALUE"""),6575)</f>
        <v>6575</v>
      </c>
      <c r="E667" s="2">
        <f ca="1">IFERROR(__xludf.DUMMYFUNCTION("""COMPUTED_VALUE"""),6600)</f>
        <v>6600</v>
      </c>
      <c r="F667" s="2">
        <f ca="1">IFERROR(__xludf.DUMMYFUNCTION("""COMPUTED_VALUE"""),11235600)</f>
        <v>11235600</v>
      </c>
    </row>
    <row r="668" spans="1:6">
      <c r="A668" s="1">
        <f ca="1">IFERROR(__xludf.DUMMYFUNCTION("""COMPUTED_VALUE"""),43017.625)</f>
        <v>43017.625</v>
      </c>
      <c r="B668" s="2">
        <f ca="1">IFERROR(__xludf.DUMMYFUNCTION("""COMPUTED_VALUE"""),6650)</f>
        <v>6650</v>
      </c>
      <c r="C668" s="2">
        <f ca="1">IFERROR(__xludf.DUMMYFUNCTION("""COMPUTED_VALUE"""),6650)</f>
        <v>6650</v>
      </c>
      <c r="D668" s="2">
        <f ca="1">IFERROR(__xludf.DUMMYFUNCTION("""COMPUTED_VALUE"""),6575)</f>
        <v>6575</v>
      </c>
      <c r="E668" s="2">
        <f ca="1">IFERROR(__xludf.DUMMYFUNCTION("""COMPUTED_VALUE"""),6600)</f>
        <v>6600</v>
      </c>
      <c r="F668" s="2">
        <f ca="1">IFERROR(__xludf.DUMMYFUNCTION("""COMPUTED_VALUE"""),10514300)</f>
        <v>10514300</v>
      </c>
    </row>
    <row r="669" spans="1:6">
      <c r="A669" s="1">
        <f ca="1">IFERROR(__xludf.DUMMYFUNCTION("""COMPUTED_VALUE"""),43018.625)</f>
        <v>43018.625</v>
      </c>
      <c r="B669" s="2">
        <f ca="1">IFERROR(__xludf.DUMMYFUNCTION("""COMPUTED_VALUE"""),6650)</f>
        <v>6650</v>
      </c>
      <c r="C669" s="2">
        <f ca="1">IFERROR(__xludf.DUMMYFUNCTION("""COMPUTED_VALUE"""),6725)</f>
        <v>6725</v>
      </c>
      <c r="D669" s="2">
        <f ca="1">IFERROR(__xludf.DUMMYFUNCTION("""COMPUTED_VALUE"""),6600)</f>
        <v>6600</v>
      </c>
      <c r="E669" s="2">
        <f ca="1">IFERROR(__xludf.DUMMYFUNCTION("""COMPUTED_VALUE"""),6700)</f>
        <v>6700</v>
      </c>
      <c r="F669" s="2">
        <f ca="1">IFERROR(__xludf.DUMMYFUNCTION("""COMPUTED_VALUE"""),26580600)</f>
        <v>26580600</v>
      </c>
    </row>
    <row r="670" spans="1:6">
      <c r="A670" s="1">
        <f ca="1">IFERROR(__xludf.DUMMYFUNCTION("""COMPUTED_VALUE"""),43019.625)</f>
        <v>43019.625</v>
      </c>
      <c r="B670" s="2">
        <f ca="1">IFERROR(__xludf.DUMMYFUNCTION("""COMPUTED_VALUE"""),6725)</f>
        <v>6725</v>
      </c>
      <c r="C670" s="2">
        <f ca="1">IFERROR(__xludf.DUMMYFUNCTION("""COMPUTED_VALUE"""),6775)</f>
        <v>6775</v>
      </c>
      <c r="D670" s="2">
        <f ca="1">IFERROR(__xludf.DUMMYFUNCTION("""COMPUTED_VALUE"""),6675)</f>
        <v>6675</v>
      </c>
      <c r="E670" s="2">
        <f ca="1">IFERROR(__xludf.DUMMYFUNCTION("""COMPUTED_VALUE"""),6725)</f>
        <v>6725</v>
      </c>
      <c r="F670" s="2">
        <f ca="1">IFERROR(__xludf.DUMMYFUNCTION("""COMPUTED_VALUE"""),58794200)</f>
        <v>58794200</v>
      </c>
    </row>
    <row r="671" spans="1:6">
      <c r="A671" s="1">
        <f ca="1">IFERROR(__xludf.DUMMYFUNCTION("""COMPUTED_VALUE"""),43020.625)</f>
        <v>43020.625</v>
      </c>
      <c r="B671" s="2">
        <f ca="1">IFERROR(__xludf.DUMMYFUNCTION("""COMPUTED_VALUE"""),6750)</f>
        <v>6750</v>
      </c>
      <c r="C671" s="2">
        <f ca="1">IFERROR(__xludf.DUMMYFUNCTION("""COMPUTED_VALUE"""),6875)</f>
        <v>6875</v>
      </c>
      <c r="D671" s="2">
        <f ca="1">IFERROR(__xludf.DUMMYFUNCTION("""COMPUTED_VALUE"""),6675)</f>
        <v>6675</v>
      </c>
      <c r="E671" s="2">
        <f ca="1">IFERROR(__xludf.DUMMYFUNCTION("""COMPUTED_VALUE"""),6825)</f>
        <v>6825</v>
      </c>
      <c r="F671" s="2">
        <f ca="1">IFERROR(__xludf.DUMMYFUNCTION("""COMPUTED_VALUE"""),83789200)</f>
        <v>83789200</v>
      </c>
    </row>
    <row r="672" spans="1:6">
      <c r="A672" s="1">
        <f ca="1">IFERROR(__xludf.DUMMYFUNCTION("""COMPUTED_VALUE"""),43021.625)</f>
        <v>43021.625</v>
      </c>
      <c r="B672" s="2">
        <f ca="1">IFERROR(__xludf.DUMMYFUNCTION("""COMPUTED_VALUE"""),6850)</f>
        <v>6850</v>
      </c>
      <c r="C672" s="2">
        <f ca="1">IFERROR(__xludf.DUMMYFUNCTION("""COMPUTED_VALUE"""),7000)</f>
        <v>7000</v>
      </c>
      <c r="D672" s="2">
        <f ca="1">IFERROR(__xludf.DUMMYFUNCTION("""COMPUTED_VALUE"""),6775)</f>
        <v>6775</v>
      </c>
      <c r="E672" s="2">
        <f ca="1">IFERROR(__xludf.DUMMYFUNCTION("""COMPUTED_VALUE"""),6775)</f>
        <v>6775</v>
      </c>
      <c r="F672" s="2">
        <f ca="1">IFERROR(__xludf.DUMMYFUNCTION("""COMPUTED_VALUE"""),49330500)</f>
        <v>49330500</v>
      </c>
    </row>
    <row r="673" spans="1:6">
      <c r="A673" s="1">
        <f ca="1">IFERROR(__xludf.DUMMYFUNCTION("""COMPUTED_VALUE"""),43024.625)</f>
        <v>43024.625</v>
      </c>
      <c r="B673" s="2">
        <f ca="1">IFERROR(__xludf.DUMMYFUNCTION("""COMPUTED_VALUE"""),6875)</f>
        <v>6875</v>
      </c>
      <c r="C673" s="2">
        <f ca="1">IFERROR(__xludf.DUMMYFUNCTION("""COMPUTED_VALUE"""),7125)</f>
        <v>7125</v>
      </c>
      <c r="D673" s="2">
        <f ca="1">IFERROR(__xludf.DUMMYFUNCTION("""COMPUTED_VALUE"""),6875)</f>
        <v>6875</v>
      </c>
      <c r="E673" s="2">
        <f ca="1">IFERROR(__xludf.DUMMYFUNCTION("""COMPUTED_VALUE"""),6925)</f>
        <v>6925</v>
      </c>
      <c r="F673" s="2">
        <f ca="1">IFERROR(__xludf.DUMMYFUNCTION("""COMPUTED_VALUE"""),88646000)</f>
        <v>88646000</v>
      </c>
    </row>
    <row r="674" spans="1:6">
      <c r="A674" s="1">
        <f ca="1">IFERROR(__xludf.DUMMYFUNCTION("""COMPUTED_VALUE"""),43025.625)</f>
        <v>43025.625</v>
      </c>
      <c r="B674" s="2">
        <f ca="1">IFERROR(__xludf.DUMMYFUNCTION("""COMPUTED_VALUE"""),7075)</f>
        <v>7075</v>
      </c>
      <c r="C674" s="2">
        <f ca="1">IFERROR(__xludf.DUMMYFUNCTION("""COMPUTED_VALUE"""),7075)</f>
        <v>7075</v>
      </c>
      <c r="D674" s="2">
        <f ca="1">IFERROR(__xludf.DUMMYFUNCTION("""COMPUTED_VALUE"""),6950)</f>
        <v>6950</v>
      </c>
      <c r="E674" s="2">
        <f ca="1">IFERROR(__xludf.DUMMYFUNCTION("""COMPUTED_VALUE"""),7025)</f>
        <v>7025</v>
      </c>
      <c r="F674" s="2">
        <f ca="1">IFERROR(__xludf.DUMMYFUNCTION("""COMPUTED_VALUE"""),56477500)</f>
        <v>56477500</v>
      </c>
    </row>
    <row r="675" spans="1:6">
      <c r="A675" s="1">
        <f ca="1">IFERROR(__xludf.DUMMYFUNCTION("""COMPUTED_VALUE"""),43026.625)</f>
        <v>43026.625</v>
      </c>
      <c r="B675" s="2">
        <f ca="1">IFERROR(__xludf.DUMMYFUNCTION("""COMPUTED_VALUE"""),7100)</f>
        <v>7100</v>
      </c>
      <c r="C675" s="2">
        <f ca="1">IFERROR(__xludf.DUMMYFUNCTION("""COMPUTED_VALUE"""),7100)</f>
        <v>7100</v>
      </c>
      <c r="D675" s="2">
        <f ca="1">IFERROR(__xludf.DUMMYFUNCTION("""COMPUTED_VALUE"""),7025)</f>
        <v>7025</v>
      </c>
      <c r="E675" s="2">
        <f ca="1">IFERROR(__xludf.DUMMYFUNCTION("""COMPUTED_VALUE"""),7075)</f>
        <v>7075</v>
      </c>
      <c r="F675" s="2">
        <f ca="1">IFERROR(__xludf.DUMMYFUNCTION("""COMPUTED_VALUE"""),76227200)</f>
        <v>76227200</v>
      </c>
    </row>
    <row r="676" spans="1:6">
      <c r="A676" s="1">
        <f ca="1">IFERROR(__xludf.DUMMYFUNCTION("""COMPUTED_VALUE"""),43027.625)</f>
        <v>43027.625</v>
      </c>
      <c r="B676" s="2">
        <f ca="1">IFERROR(__xludf.DUMMYFUNCTION("""COMPUTED_VALUE"""),7075)</f>
        <v>7075</v>
      </c>
      <c r="C676" s="2">
        <f ca="1">IFERROR(__xludf.DUMMYFUNCTION("""COMPUTED_VALUE"""),7075)</f>
        <v>7075</v>
      </c>
      <c r="D676" s="2">
        <f ca="1">IFERROR(__xludf.DUMMYFUNCTION("""COMPUTED_VALUE"""),6925)</f>
        <v>6925</v>
      </c>
      <c r="E676" s="2">
        <f ca="1">IFERROR(__xludf.DUMMYFUNCTION("""COMPUTED_VALUE"""),6975)</f>
        <v>6975</v>
      </c>
      <c r="F676" s="2">
        <f ca="1">IFERROR(__xludf.DUMMYFUNCTION("""COMPUTED_VALUE"""),39439200)</f>
        <v>39439200</v>
      </c>
    </row>
    <row r="677" spans="1:6">
      <c r="A677" s="1">
        <f ca="1">IFERROR(__xludf.DUMMYFUNCTION("""COMPUTED_VALUE"""),43028.625)</f>
        <v>43028.625</v>
      </c>
      <c r="B677" s="2">
        <f ca="1">IFERROR(__xludf.DUMMYFUNCTION("""COMPUTED_VALUE"""),6975)</f>
        <v>6975</v>
      </c>
      <c r="C677" s="2">
        <f ca="1">IFERROR(__xludf.DUMMYFUNCTION("""COMPUTED_VALUE"""),7125)</f>
        <v>7125</v>
      </c>
      <c r="D677" s="2">
        <f ca="1">IFERROR(__xludf.DUMMYFUNCTION("""COMPUTED_VALUE"""),6950)</f>
        <v>6950</v>
      </c>
      <c r="E677" s="2">
        <f ca="1">IFERROR(__xludf.DUMMYFUNCTION("""COMPUTED_VALUE"""),7100)</f>
        <v>7100</v>
      </c>
      <c r="F677" s="2">
        <f ca="1">IFERROR(__xludf.DUMMYFUNCTION("""COMPUTED_VALUE"""),27778600)</f>
        <v>27778600</v>
      </c>
    </row>
    <row r="678" spans="1:6">
      <c r="A678" s="1">
        <f ca="1">IFERROR(__xludf.DUMMYFUNCTION("""COMPUTED_VALUE"""),43031.625)</f>
        <v>43031.625</v>
      </c>
      <c r="B678" s="2">
        <f ca="1">IFERROR(__xludf.DUMMYFUNCTION("""COMPUTED_VALUE"""),7075)</f>
        <v>7075</v>
      </c>
      <c r="C678" s="2">
        <f ca="1">IFERROR(__xludf.DUMMYFUNCTION("""COMPUTED_VALUE"""),7100)</f>
        <v>7100</v>
      </c>
      <c r="D678" s="2">
        <f ca="1">IFERROR(__xludf.DUMMYFUNCTION("""COMPUTED_VALUE"""),6900)</f>
        <v>6900</v>
      </c>
      <c r="E678" s="2">
        <f ca="1">IFERROR(__xludf.DUMMYFUNCTION("""COMPUTED_VALUE"""),6950)</f>
        <v>6950</v>
      </c>
      <c r="F678" s="2">
        <f ca="1">IFERROR(__xludf.DUMMYFUNCTION("""COMPUTED_VALUE"""),32954300)</f>
        <v>32954300</v>
      </c>
    </row>
    <row r="679" spans="1:6">
      <c r="A679" s="1">
        <f ca="1">IFERROR(__xludf.DUMMYFUNCTION("""COMPUTED_VALUE"""),43032.625)</f>
        <v>43032.625</v>
      </c>
      <c r="B679" s="2">
        <f ca="1">IFERROR(__xludf.DUMMYFUNCTION("""COMPUTED_VALUE"""),6900)</f>
        <v>6900</v>
      </c>
      <c r="C679" s="2">
        <f ca="1">IFERROR(__xludf.DUMMYFUNCTION("""COMPUTED_VALUE"""),7000)</f>
        <v>7000</v>
      </c>
      <c r="D679" s="2">
        <f ca="1">IFERROR(__xludf.DUMMYFUNCTION("""COMPUTED_VALUE"""),6825)</f>
        <v>6825</v>
      </c>
      <c r="E679" s="2">
        <f ca="1">IFERROR(__xludf.DUMMYFUNCTION("""COMPUTED_VALUE"""),6825)</f>
        <v>6825</v>
      </c>
      <c r="F679" s="2">
        <f ca="1">IFERROR(__xludf.DUMMYFUNCTION("""COMPUTED_VALUE"""),22491100)</f>
        <v>22491100</v>
      </c>
    </row>
    <row r="680" spans="1:6">
      <c r="A680" s="1">
        <f ca="1">IFERROR(__xludf.DUMMYFUNCTION("""COMPUTED_VALUE"""),43033.625)</f>
        <v>43033.625</v>
      </c>
      <c r="B680" s="2">
        <f ca="1">IFERROR(__xludf.DUMMYFUNCTION("""COMPUTED_VALUE"""),6950)</f>
        <v>6950</v>
      </c>
      <c r="C680" s="2">
        <f ca="1">IFERROR(__xludf.DUMMYFUNCTION("""COMPUTED_VALUE"""),7050)</f>
        <v>7050</v>
      </c>
      <c r="D680" s="2">
        <f ca="1">IFERROR(__xludf.DUMMYFUNCTION("""COMPUTED_VALUE"""),6950)</f>
        <v>6950</v>
      </c>
      <c r="E680" s="2">
        <f ca="1">IFERROR(__xludf.DUMMYFUNCTION("""COMPUTED_VALUE"""),7000)</f>
        <v>7000</v>
      </c>
      <c r="F680" s="2">
        <f ca="1">IFERROR(__xludf.DUMMYFUNCTION("""COMPUTED_VALUE"""),83341700)</f>
        <v>83341700</v>
      </c>
    </row>
    <row r="681" spans="1:6">
      <c r="A681" s="1">
        <f ca="1">IFERROR(__xludf.DUMMYFUNCTION("""COMPUTED_VALUE"""),43034.625)</f>
        <v>43034.625</v>
      </c>
      <c r="B681" s="2">
        <f ca="1">IFERROR(__xludf.DUMMYFUNCTION("""COMPUTED_VALUE"""),7050)</f>
        <v>7050</v>
      </c>
      <c r="C681" s="2">
        <f ca="1">IFERROR(__xludf.DUMMYFUNCTION("""COMPUTED_VALUE"""),7100)</f>
        <v>7100</v>
      </c>
      <c r="D681" s="2">
        <f ca="1">IFERROR(__xludf.DUMMYFUNCTION("""COMPUTED_VALUE"""),6975)</f>
        <v>6975</v>
      </c>
      <c r="E681" s="2">
        <f ca="1">IFERROR(__xludf.DUMMYFUNCTION("""COMPUTED_VALUE"""),7025)</f>
        <v>7025</v>
      </c>
      <c r="F681" s="2">
        <f ca="1">IFERROR(__xludf.DUMMYFUNCTION("""COMPUTED_VALUE"""),45577600)</f>
        <v>45577600</v>
      </c>
    </row>
    <row r="682" spans="1:6">
      <c r="A682" s="1">
        <f ca="1">IFERROR(__xludf.DUMMYFUNCTION("""COMPUTED_VALUE"""),43035.625)</f>
        <v>43035.625</v>
      </c>
      <c r="B682" s="2">
        <f ca="1">IFERROR(__xludf.DUMMYFUNCTION("""COMPUTED_VALUE"""),7000)</f>
        <v>7000</v>
      </c>
      <c r="C682" s="2">
        <f ca="1">IFERROR(__xludf.DUMMYFUNCTION("""COMPUTED_VALUE"""),7125)</f>
        <v>7125</v>
      </c>
      <c r="D682" s="2">
        <f ca="1">IFERROR(__xludf.DUMMYFUNCTION("""COMPUTED_VALUE"""),6950)</f>
        <v>6950</v>
      </c>
      <c r="E682" s="2">
        <f ca="1">IFERROR(__xludf.DUMMYFUNCTION("""COMPUTED_VALUE"""),6950)</f>
        <v>6950</v>
      </c>
      <c r="F682" s="2">
        <f ca="1">IFERROR(__xludf.DUMMYFUNCTION("""COMPUTED_VALUE"""),31682200)</f>
        <v>31682200</v>
      </c>
    </row>
    <row r="683" spans="1:6">
      <c r="A683" s="1">
        <f ca="1">IFERROR(__xludf.DUMMYFUNCTION("""COMPUTED_VALUE"""),43038.625)</f>
        <v>43038.625</v>
      </c>
      <c r="B683" s="2">
        <f ca="1">IFERROR(__xludf.DUMMYFUNCTION("""COMPUTED_VALUE"""),7100)</f>
        <v>7100</v>
      </c>
      <c r="C683" s="2">
        <f ca="1">IFERROR(__xludf.DUMMYFUNCTION("""COMPUTED_VALUE"""),7125)</f>
        <v>7125</v>
      </c>
      <c r="D683" s="2">
        <f ca="1">IFERROR(__xludf.DUMMYFUNCTION("""COMPUTED_VALUE"""),6975)</f>
        <v>6975</v>
      </c>
      <c r="E683" s="2">
        <f ca="1">IFERROR(__xludf.DUMMYFUNCTION("""COMPUTED_VALUE"""),7075)</f>
        <v>7075</v>
      </c>
      <c r="F683" s="2">
        <f ca="1">IFERROR(__xludf.DUMMYFUNCTION("""COMPUTED_VALUE"""),53521500)</f>
        <v>53521500</v>
      </c>
    </row>
    <row r="684" spans="1:6">
      <c r="A684" s="1">
        <f ca="1">IFERROR(__xludf.DUMMYFUNCTION("""COMPUTED_VALUE"""),43039.625)</f>
        <v>43039.625</v>
      </c>
      <c r="B684" s="2">
        <f ca="1">IFERROR(__xludf.DUMMYFUNCTION("""COMPUTED_VALUE"""),7125)</f>
        <v>7125</v>
      </c>
      <c r="C684" s="2">
        <f ca="1">IFERROR(__xludf.DUMMYFUNCTION("""COMPUTED_VALUE"""),7150)</f>
        <v>7150</v>
      </c>
      <c r="D684" s="2">
        <f ca="1">IFERROR(__xludf.DUMMYFUNCTION("""COMPUTED_VALUE"""),7000)</f>
        <v>7000</v>
      </c>
      <c r="E684" s="2">
        <f ca="1">IFERROR(__xludf.DUMMYFUNCTION("""COMPUTED_VALUE"""),7050)</f>
        <v>7050</v>
      </c>
      <c r="F684" s="2">
        <f ca="1">IFERROR(__xludf.DUMMYFUNCTION("""COMPUTED_VALUE"""),39465200)</f>
        <v>39465200</v>
      </c>
    </row>
    <row r="685" spans="1:6">
      <c r="A685" s="1">
        <f ca="1">IFERROR(__xludf.DUMMYFUNCTION("""COMPUTED_VALUE"""),43040.625)</f>
        <v>43040.625</v>
      </c>
      <c r="B685" s="2">
        <f ca="1">IFERROR(__xludf.DUMMYFUNCTION("""COMPUTED_VALUE"""),7100)</f>
        <v>7100</v>
      </c>
      <c r="C685" s="2">
        <f ca="1">IFERROR(__xludf.DUMMYFUNCTION("""COMPUTED_VALUE"""),7100)</f>
        <v>7100</v>
      </c>
      <c r="D685" s="2">
        <f ca="1">IFERROR(__xludf.DUMMYFUNCTION("""COMPUTED_VALUE"""),7025)</f>
        <v>7025</v>
      </c>
      <c r="E685" s="2">
        <f ca="1">IFERROR(__xludf.DUMMYFUNCTION("""COMPUTED_VALUE"""),7100)</f>
        <v>7100</v>
      </c>
      <c r="F685" s="2">
        <f ca="1">IFERROR(__xludf.DUMMYFUNCTION("""COMPUTED_VALUE"""),21655200)</f>
        <v>21655200</v>
      </c>
    </row>
    <row r="686" spans="1:6">
      <c r="A686" s="1">
        <f ca="1">IFERROR(__xludf.DUMMYFUNCTION("""COMPUTED_VALUE"""),43041.625)</f>
        <v>43041.625</v>
      </c>
      <c r="B686" s="2">
        <f ca="1">IFERROR(__xludf.DUMMYFUNCTION("""COMPUTED_VALUE"""),7150)</f>
        <v>7150</v>
      </c>
      <c r="C686" s="2">
        <f ca="1">IFERROR(__xludf.DUMMYFUNCTION("""COMPUTED_VALUE"""),7425)</f>
        <v>7425</v>
      </c>
      <c r="D686" s="2">
        <f ca="1">IFERROR(__xludf.DUMMYFUNCTION("""COMPUTED_VALUE"""),7125)</f>
        <v>7125</v>
      </c>
      <c r="E686" s="2">
        <f ca="1">IFERROR(__xludf.DUMMYFUNCTION("""COMPUTED_VALUE"""),7275)</f>
        <v>7275</v>
      </c>
      <c r="F686" s="2">
        <f ca="1">IFERROR(__xludf.DUMMYFUNCTION("""COMPUTED_VALUE"""),34312900)</f>
        <v>34312900</v>
      </c>
    </row>
    <row r="687" spans="1:6">
      <c r="A687" s="1">
        <f ca="1">IFERROR(__xludf.DUMMYFUNCTION("""COMPUTED_VALUE"""),43042.625)</f>
        <v>43042.625</v>
      </c>
      <c r="B687" s="2">
        <f ca="1">IFERROR(__xludf.DUMMYFUNCTION("""COMPUTED_VALUE"""),7350)</f>
        <v>7350</v>
      </c>
      <c r="C687" s="2">
        <f ca="1">IFERROR(__xludf.DUMMYFUNCTION("""COMPUTED_VALUE"""),7375)</f>
        <v>7375</v>
      </c>
      <c r="D687" s="2">
        <f ca="1">IFERROR(__xludf.DUMMYFUNCTION("""COMPUTED_VALUE"""),7125)</f>
        <v>7125</v>
      </c>
      <c r="E687" s="2">
        <f ca="1">IFERROR(__xludf.DUMMYFUNCTION("""COMPUTED_VALUE"""),7250)</f>
        <v>7250</v>
      </c>
      <c r="F687" s="2">
        <f ca="1">IFERROR(__xludf.DUMMYFUNCTION("""COMPUTED_VALUE"""),39365100)</f>
        <v>39365100</v>
      </c>
    </row>
    <row r="688" spans="1:6">
      <c r="A688" s="1">
        <f ca="1">IFERROR(__xludf.DUMMYFUNCTION("""COMPUTED_VALUE"""),43045.625)</f>
        <v>43045.625</v>
      </c>
      <c r="B688" s="2">
        <f ca="1">IFERROR(__xludf.DUMMYFUNCTION("""COMPUTED_VALUE"""),7150)</f>
        <v>7150</v>
      </c>
      <c r="C688" s="2">
        <f ca="1">IFERROR(__xludf.DUMMYFUNCTION("""COMPUTED_VALUE"""),7350)</f>
        <v>7350</v>
      </c>
      <c r="D688" s="2">
        <f ca="1">IFERROR(__xludf.DUMMYFUNCTION("""COMPUTED_VALUE"""),7150)</f>
        <v>7150</v>
      </c>
      <c r="E688" s="2">
        <f ca="1">IFERROR(__xludf.DUMMYFUNCTION("""COMPUTED_VALUE"""),7225)</f>
        <v>7225</v>
      </c>
      <c r="F688" s="2">
        <f ca="1">IFERROR(__xludf.DUMMYFUNCTION("""COMPUTED_VALUE"""),29775900)</f>
        <v>29775900</v>
      </c>
    </row>
    <row r="689" spans="1:6">
      <c r="A689" s="1">
        <f ca="1">IFERROR(__xludf.DUMMYFUNCTION("""COMPUTED_VALUE"""),43046.625)</f>
        <v>43046.625</v>
      </c>
      <c r="B689" s="2">
        <f ca="1">IFERROR(__xludf.DUMMYFUNCTION("""COMPUTED_VALUE"""),7225)</f>
        <v>7225</v>
      </c>
      <c r="C689" s="2">
        <f ca="1">IFERROR(__xludf.DUMMYFUNCTION("""COMPUTED_VALUE"""),7275)</f>
        <v>7275</v>
      </c>
      <c r="D689" s="2">
        <f ca="1">IFERROR(__xludf.DUMMYFUNCTION("""COMPUTED_VALUE"""),7075)</f>
        <v>7075</v>
      </c>
      <c r="E689" s="2">
        <f ca="1">IFERROR(__xludf.DUMMYFUNCTION("""COMPUTED_VALUE"""),7125)</f>
        <v>7125</v>
      </c>
      <c r="F689" s="2">
        <f ca="1">IFERROR(__xludf.DUMMYFUNCTION("""COMPUTED_VALUE"""),28240200)</f>
        <v>28240200</v>
      </c>
    </row>
    <row r="690" spans="1:6">
      <c r="A690" s="1">
        <f ca="1">IFERROR(__xludf.DUMMYFUNCTION("""COMPUTED_VALUE"""),43047.625)</f>
        <v>43047.625</v>
      </c>
      <c r="B690" s="2">
        <f ca="1">IFERROR(__xludf.DUMMYFUNCTION("""COMPUTED_VALUE"""),7150)</f>
        <v>7150</v>
      </c>
      <c r="C690" s="2">
        <f ca="1">IFERROR(__xludf.DUMMYFUNCTION("""COMPUTED_VALUE"""),7200)</f>
        <v>7200</v>
      </c>
      <c r="D690" s="2">
        <f ca="1">IFERROR(__xludf.DUMMYFUNCTION("""COMPUTED_VALUE"""),7100)</f>
        <v>7100</v>
      </c>
      <c r="E690" s="2">
        <f ca="1">IFERROR(__xludf.DUMMYFUNCTION("""COMPUTED_VALUE"""),7175)</f>
        <v>7175</v>
      </c>
      <c r="F690" s="2">
        <f ca="1">IFERROR(__xludf.DUMMYFUNCTION("""COMPUTED_VALUE"""),40298800)</f>
        <v>40298800</v>
      </c>
    </row>
    <row r="691" spans="1:6">
      <c r="A691" s="1">
        <f ca="1">IFERROR(__xludf.DUMMYFUNCTION("""COMPUTED_VALUE"""),43048.625)</f>
        <v>43048.625</v>
      </c>
      <c r="B691" s="2">
        <f ca="1">IFERROR(__xludf.DUMMYFUNCTION("""COMPUTED_VALUE"""),7175)</f>
        <v>7175</v>
      </c>
      <c r="C691" s="2">
        <f ca="1">IFERROR(__xludf.DUMMYFUNCTION("""COMPUTED_VALUE"""),7200)</f>
        <v>7200</v>
      </c>
      <c r="D691" s="2">
        <f ca="1">IFERROR(__xludf.DUMMYFUNCTION("""COMPUTED_VALUE"""),7075)</f>
        <v>7075</v>
      </c>
      <c r="E691" s="2">
        <f ca="1">IFERROR(__xludf.DUMMYFUNCTION("""COMPUTED_VALUE"""),7075)</f>
        <v>7075</v>
      </c>
      <c r="F691" s="2">
        <f ca="1">IFERROR(__xludf.DUMMYFUNCTION("""COMPUTED_VALUE"""),85485900)</f>
        <v>85485900</v>
      </c>
    </row>
    <row r="692" spans="1:6">
      <c r="A692" s="1">
        <f ca="1">IFERROR(__xludf.DUMMYFUNCTION("""COMPUTED_VALUE"""),43049.625)</f>
        <v>43049.625</v>
      </c>
      <c r="B692" s="2">
        <f ca="1">IFERROR(__xludf.DUMMYFUNCTION("""COMPUTED_VALUE"""),7100)</f>
        <v>7100</v>
      </c>
      <c r="C692" s="2">
        <f ca="1">IFERROR(__xludf.DUMMYFUNCTION("""COMPUTED_VALUE"""),7125)</f>
        <v>7125</v>
      </c>
      <c r="D692" s="2">
        <f ca="1">IFERROR(__xludf.DUMMYFUNCTION("""COMPUTED_VALUE"""),7025)</f>
        <v>7025</v>
      </c>
      <c r="E692" s="2">
        <f ca="1">IFERROR(__xludf.DUMMYFUNCTION("""COMPUTED_VALUE"""),7050)</f>
        <v>7050</v>
      </c>
      <c r="F692" s="2">
        <f ca="1">IFERROR(__xludf.DUMMYFUNCTION("""COMPUTED_VALUE"""),42055600)</f>
        <v>42055600</v>
      </c>
    </row>
    <row r="693" spans="1:6">
      <c r="A693" s="1">
        <f ca="1">IFERROR(__xludf.DUMMYFUNCTION("""COMPUTED_VALUE"""),43052.625)</f>
        <v>43052.625</v>
      </c>
      <c r="B693" s="2">
        <f ca="1">IFERROR(__xludf.DUMMYFUNCTION("""COMPUTED_VALUE"""),7100)</f>
        <v>7100</v>
      </c>
      <c r="C693" s="2">
        <f ca="1">IFERROR(__xludf.DUMMYFUNCTION("""COMPUTED_VALUE"""),7100)</f>
        <v>7100</v>
      </c>
      <c r="D693" s="2">
        <f ca="1">IFERROR(__xludf.DUMMYFUNCTION("""COMPUTED_VALUE"""),6950)</f>
        <v>6950</v>
      </c>
      <c r="E693" s="2">
        <f ca="1">IFERROR(__xludf.DUMMYFUNCTION("""COMPUTED_VALUE"""),7050)</f>
        <v>7050</v>
      </c>
      <c r="F693" s="2">
        <f ca="1">IFERROR(__xludf.DUMMYFUNCTION("""COMPUTED_VALUE"""),16854500)</f>
        <v>16854500</v>
      </c>
    </row>
    <row r="694" spans="1:6">
      <c r="A694" s="1">
        <f ca="1">IFERROR(__xludf.DUMMYFUNCTION("""COMPUTED_VALUE"""),43053.625)</f>
        <v>43053.625</v>
      </c>
      <c r="B694" s="2">
        <f ca="1">IFERROR(__xludf.DUMMYFUNCTION("""COMPUTED_VALUE"""),7000)</f>
        <v>7000</v>
      </c>
      <c r="C694" s="2">
        <f ca="1">IFERROR(__xludf.DUMMYFUNCTION("""COMPUTED_VALUE"""),7100)</f>
        <v>7100</v>
      </c>
      <c r="D694" s="2">
        <f ca="1">IFERROR(__xludf.DUMMYFUNCTION("""COMPUTED_VALUE"""),6950)</f>
        <v>6950</v>
      </c>
      <c r="E694" s="2">
        <f ca="1">IFERROR(__xludf.DUMMYFUNCTION("""COMPUTED_VALUE"""),6950)</f>
        <v>6950</v>
      </c>
      <c r="F694" s="2">
        <f ca="1">IFERROR(__xludf.DUMMYFUNCTION("""COMPUTED_VALUE"""),29667000)</f>
        <v>29667000</v>
      </c>
    </row>
    <row r="695" spans="1:6">
      <c r="A695" s="1">
        <f ca="1">IFERROR(__xludf.DUMMYFUNCTION("""COMPUTED_VALUE"""),43054.625)</f>
        <v>43054.625</v>
      </c>
      <c r="B695" s="2">
        <f ca="1">IFERROR(__xludf.DUMMYFUNCTION("""COMPUTED_VALUE"""),7050)</f>
        <v>7050</v>
      </c>
      <c r="C695" s="2">
        <f ca="1">IFERROR(__xludf.DUMMYFUNCTION("""COMPUTED_VALUE"""),7050)</f>
        <v>7050</v>
      </c>
      <c r="D695" s="2">
        <f ca="1">IFERROR(__xludf.DUMMYFUNCTION("""COMPUTED_VALUE"""),6925)</f>
        <v>6925</v>
      </c>
      <c r="E695" s="2">
        <f ca="1">IFERROR(__xludf.DUMMYFUNCTION("""COMPUTED_VALUE"""),6975)</f>
        <v>6975</v>
      </c>
      <c r="F695" s="2">
        <f ca="1">IFERROR(__xludf.DUMMYFUNCTION("""COMPUTED_VALUE"""),40730600)</f>
        <v>40730600</v>
      </c>
    </row>
    <row r="696" spans="1:6">
      <c r="A696" s="1">
        <f ca="1">IFERROR(__xludf.DUMMYFUNCTION("""COMPUTED_VALUE"""),43055.625)</f>
        <v>43055.625</v>
      </c>
      <c r="B696" s="2">
        <f ca="1">IFERROR(__xludf.DUMMYFUNCTION("""COMPUTED_VALUE"""),6925)</f>
        <v>6925</v>
      </c>
      <c r="C696" s="2">
        <f ca="1">IFERROR(__xludf.DUMMYFUNCTION("""COMPUTED_VALUE"""),7125)</f>
        <v>7125</v>
      </c>
      <c r="D696" s="2">
        <f ca="1">IFERROR(__xludf.DUMMYFUNCTION("""COMPUTED_VALUE"""),6925)</f>
        <v>6925</v>
      </c>
      <c r="E696" s="2">
        <f ca="1">IFERROR(__xludf.DUMMYFUNCTION("""COMPUTED_VALUE"""),7100)</f>
        <v>7100</v>
      </c>
      <c r="F696" s="2">
        <f ca="1">IFERROR(__xludf.DUMMYFUNCTION("""COMPUTED_VALUE"""),39510700)</f>
        <v>39510700</v>
      </c>
    </row>
    <row r="697" spans="1:6">
      <c r="A697" s="1">
        <f ca="1">IFERROR(__xludf.DUMMYFUNCTION("""COMPUTED_VALUE"""),43056.625)</f>
        <v>43056.625</v>
      </c>
      <c r="B697" s="2">
        <f ca="1">IFERROR(__xludf.DUMMYFUNCTION("""COMPUTED_VALUE"""),7175)</f>
        <v>7175</v>
      </c>
      <c r="C697" s="2">
        <f ca="1">IFERROR(__xludf.DUMMYFUNCTION("""COMPUTED_VALUE"""),7400)</f>
        <v>7400</v>
      </c>
      <c r="D697" s="2">
        <f ca="1">IFERROR(__xludf.DUMMYFUNCTION("""COMPUTED_VALUE"""),7125)</f>
        <v>7125</v>
      </c>
      <c r="E697" s="2">
        <f ca="1">IFERROR(__xludf.DUMMYFUNCTION("""COMPUTED_VALUE"""),7325)</f>
        <v>7325</v>
      </c>
      <c r="F697" s="2">
        <f ca="1">IFERROR(__xludf.DUMMYFUNCTION("""COMPUTED_VALUE"""),48289100)</f>
        <v>48289100</v>
      </c>
    </row>
    <row r="698" spans="1:6">
      <c r="A698" s="1">
        <f ca="1">IFERROR(__xludf.DUMMYFUNCTION("""COMPUTED_VALUE"""),43059.625)</f>
        <v>43059.625</v>
      </c>
      <c r="B698" s="2">
        <f ca="1">IFERROR(__xludf.DUMMYFUNCTION("""COMPUTED_VALUE"""),7375)</f>
        <v>7375</v>
      </c>
      <c r="C698" s="2">
        <f ca="1">IFERROR(__xludf.DUMMYFUNCTION("""COMPUTED_VALUE"""),7475)</f>
        <v>7475</v>
      </c>
      <c r="D698" s="2">
        <f ca="1">IFERROR(__xludf.DUMMYFUNCTION("""COMPUTED_VALUE"""),7300)</f>
        <v>7300</v>
      </c>
      <c r="E698" s="2">
        <f ca="1">IFERROR(__xludf.DUMMYFUNCTION("""COMPUTED_VALUE"""),7425)</f>
        <v>7425</v>
      </c>
      <c r="F698" s="2">
        <f ca="1">IFERROR(__xludf.DUMMYFUNCTION("""COMPUTED_VALUE"""),26705000)</f>
        <v>26705000</v>
      </c>
    </row>
    <row r="699" spans="1:6">
      <c r="A699" s="1">
        <f ca="1">IFERROR(__xludf.DUMMYFUNCTION("""COMPUTED_VALUE"""),43060.625)</f>
        <v>43060.625</v>
      </c>
      <c r="B699" s="2">
        <f ca="1">IFERROR(__xludf.DUMMYFUNCTION("""COMPUTED_VALUE"""),7450)</f>
        <v>7450</v>
      </c>
      <c r="C699" s="2">
        <f ca="1">IFERROR(__xludf.DUMMYFUNCTION("""COMPUTED_VALUE"""),7450)</f>
        <v>7450</v>
      </c>
      <c r="D699" s="2">
        <f ca="1">IFERROR(__xludf.DUMMYFUNCTION("""COMPUTED_VALUE"""),7325)</f>
        <v>7325</v>
      </c>
      <c r="E699" s="2">
        <f ca="1">IFERROR(__xludf.DUMMYFUNCTION("""COMPUTED_VALUE"""),7400)</f>
        <v>7400</v>
      </c>
      <c r="F699" s="2">
        <f ca="1">IFERROR(__xludf.DUMMYFUNCTION("""COMPUTED_VALUE"""),95858400)</f>
        <v>95858400</v>
      </c>
    </row>
    <row r="700" spans="1:6">
      <c r="A700" s="1">
        <f ca="1">IFERROR(__xludf.DUMMYFUNCTION("""COMPUTED_VALUE"""),43061.625)</f>
        <v>43061.625</v>
      </c>
      <c r="B700" s="2">
        <f ca="1">IFERROR(__xludf.DUMMYFUNCTION("""COMPUTED_VALUE"""),7500)</f>
        <v>7500</v>
      </c>
      <c r="C700" s="2">
        <f ca="1">IFERROR(__xludf.DUMMYFUNCTION("""COMPUTED_VALUE"""),7600)</f>
        <v>7600</v>
      </c>
      <c r="D700" s="2">
        <f ca="1">IFERROR(__xludf.DUMMYFUNCTION("""COMPUTED_VALUE"""),7375)</f>
        <v>7375</v>
      </c>
      <c r="E700" s="2">
        <f ca="1">IFERROR(__xludf.DUMMYFUNCTION("""COMPUTED_VALUE"""),7375)</f>
        <v>7375</v>
      </c>
      <c r="F700" s="2">
        <f ca="1">IFERROR(__xludf.DUMMYFUNCTION("""COMPUTED_VALUE"""),36329800)</f>
        <v>36329800</v>
      </c>
    </row>
    <row r="701" spans="1:6">
      <c r="A701" s="1">
        <f ca="1">IFERROR(__xludf.DUMMYFUNCTION("""COMPUTED_VALUE"""),43062.625)</f>
        <v>43062.625</v>
      </c>
      <c r="B701" s="2">
        <f ca="1">IFERROR(__xludf.DUMMYFUNCTION("""COMPUTED_VALUE"""),7525)</f>
        <v>7525</v>
      </c>
      <c r="C701" s="2">
        <f ca="1">IFERROR(__xludf.DUMMYFUNCTION("""COMPUTED_VALUE"""),7525)</f>
        <v>7525</v>
      </c>
      <c r="D701" s="2">
        <f ca="1">IFERROR(__xludf.DUMMYFUNCTION("""COMPUTED_VALUE"""),7375)</f>
        <v>7375</v>
      </c>
      <c r="E701" s="2">
        <f ca="1">IFERROR(__xludf.DUMMYFUNCTION("""COMPUTED_VALUE"""),7450)</f>
        <v>7450</v>
      </c>
      <c r="F701" s="2">
        <f ca="1">IFERROR(__xludf.DUMMYFUNCTION("""COMPUTED_VALUE"""),27869800)</f>
        <v>27869800</v>
      </c>
    </row>
    <row r="702" spans="1:6">
      <c r="A702" s="1">
        <f ca="1">IFERROR(__xludf.DUMMYFUNCTION("""COMPUTED_VALUE"""),43063.625)</f>
        <v>43063.625</v>
      </c>
      <c r="B702" s="2">
        <f ca="1">IFERROR(__xludf.DUMMYFUNCTION("""COMPUTED_VALUE"""),7500)</f>
        <v>7500</v>
      </c>
      <c r="C702" s="2">
        <f ca="1">IFERROR(__xludf.DUMMYFUNCTION("""COMPUTED_VALUE"""),7500)</f>
        <v>7500</v>
      </c>
      <c r="D702" s="2">
        <f ca="1">IFERROR(__xludf.DUMMYFUNCTION("""COMPUTED_VALUE"""),7375)</f>
        <v>7375</v>
      </c>
      <c r="E702" s="2">
        <f ca="1">IFERROR(__xludf.DUMMYFUNCTION("""COMPUTED_VALUE"""),7450)</f>
        <v>7450</v>
      </c>
      <c r="F702" s="2">
        <f ca="1">IFERROR(__xludf.DUMMYFUNCTION("""COMPUTED_VALUE"""),18029200)</f>
        <v>18029200</v>
      </c>
    </row>
    <row r="703" spans="1:6">
      <c r="A703" s="1">
        <f ca="1">IFERROR(__xludf.DUMMYFUNCTION("""COMPUTED_VALUE"""),43066.625)</f>
        <v>43066.625</v>
      </c>
      <c r="B703" s="2">
        <f ca="1">IFERROR(__xludf.DUMMYFUNCTION("""COMPUTED_VALUE"""),7450)</f>
        <v>7450</v>
      </c>
      <c r="C703" s="2">
        <f ca="1">IFERROR(__xludf.DUMMYFUNCTION("""COMPUTED_VALUE"""),7475)</f>
        <v>7475</v>
      </c>
      <c r="D703" s="2">
        <f ca="1">IFERROR(__xludf.DUMMYFUNCTION("""COMPUTED_VALUE"""),7375)</f>
        <v>7375</v>
      </c>
      <c r="E703" s="2">
        <f ca="1">IFERROR(__xludf.DUMMYFUNCTION("""COMPUTED_VALUE"""),7425)</f>
        <v>7425</v>
      </c>
      <c r="F703" s="2">
        <f ca="1">IFERROR(__xludf.DUMMYFUNCTION("""COMPUTED_VALUE"""),61405100)</f>
        <v>61405100</v>
      </c>
    </row>
    <row r="704" spans="1:6">
      <c r="A704" s="1">
        <f ca="1">IFERROR(__xludf.DUMMYFUNCTION("""COMPUTED_VALUE"""),43067.625)</f>
        <v>43067.625</v>
      </c>
      <c r="B704" s="2">
        <f ca="1">IFERROR(__xludf.DUMMYFUNCTION("""COMPUTED_VALUE"""),7400)</f>
        <v>7400</v>
      </c>
      <c r="C704" s="2">
        <f ca="1">IFERROR(__xludf.DUMMYFUNCTION("""COMPUTED_VALUE"""),7450)</f>
        <v>7450</v>
      </c>
      <c r="D704" s="2">
        <f ca="1">IFERROR(__xludf.DUMMYFUNCTION("""COMPUTED_VALUE"""),7400)</f>
        <v>7400</v>
      </c>
      <c r="E704" s="2">
        <f ca="1">IFERROR(__xludf.DUMMYFUNCTION("""COMPUTED_VALUE"""),7425)</f>
        <v>7425</v>
      </c>
      <c r="F704" s="2">
        <f ca="1">IFERROR(__xludf.DUMMYFUNCTION("""COMPUTED_VALUE"""),34243300)</f>
        <v>34243300</v>
      </c>
    </row>
    <row r="705" spans="1:6">
      <c r="A705" s="1">
        <f ca="1">IFERROR(__xludf.DUMMYFUNCTION("""COMPUTED_VALUE"""),43068.625)</f>
        <v>43068.625</v>
      </c>
      <c r="B705" s="2">
        <f ca="1">IFERROR(__xludf.DUMMYFUNCTION("""COMPUTED_VALUE"""),7475)</f>
        <v>7475</v>
      </c>
      <c r="C705" s="2">
        <f ca="1">IFERROR(__xludf.DUMMYFUNCTION("""COMPUTED_VALUE"""),7475)</f>
        <v>7475</v>
      </c>
      <c r="D705" s="2">
        <f ca="1">IFERROR(__xludf.DUMMYFUNCTION("""COMPUTED_VALUE"""),7400)</f>
        <v>7400</v>
      </c>
      <c r="E705" s="2">
        <f ca="1">IFERROR(__xludf.DUMMYFUNCTION("""COMPUTED_VALUE"""),7400)</f>
        <v>7400</v>
      </c>
      <c r="F705" s="2">
        <f ca="1">IFERROR(__xludf.DUMMYFUNCTION("""COMPUTED_VALUE"""),69636900)</f>
        <v>69636900</v>
      </c>
    </row>
    <row r="706" spans="1:6">
      <c r="A706" s="1">
        <f ca="1">IFERROR(__xludf.DUMMYFUNCTION("""COMPUTED_VALUE"""),43073.625)</f>
        <v>43073.625</v>
      </c>
      <c r="B706" s="2">
        <f ca="1">IFERROR(__xludf.DUMMYFUNCTION("""COMPUTED_VALUE"""),7500)</f>
        <v>7500</v>
      </c>
      <c r="C706" s="2">
        <f ca="1">IFERROR(__xludf.DUMMYFUNCTION("""COMPUTED_VALUE"""),7500)</f>
        <v>7500</v>
      </c>
      <c r="D706" s="2">
        <f ca="1">IFERROR(__xludf.DUMMYFUNCTION("""COMPUTED_VALUE"""),7400)</f>
        <v>7400</v>
      </c>
      <c r="E706" s="2">
        <f ca="1">IFERROR(__xludf.DUMMYFUNCTION("""COMPUTED_VALUE"""),7450)</f>
        <v>7450</v>
      </c>
      <c r="F706" s="2">
        <f ca="1">IFERROR(__xludf.DUMMYFUNCTION("""COMPUTED_VALUE"""),36629000)</f>
        <v>36629000</v>
      </c>
    </row>
    <row r="707" spans="1:6">
      <c r="A707" s="1">
        <f ca="1">IFERROR(__xludf.DUMMYFUNCTION("""COMPUTED_VALUE"""),43074.625)</f>
        <v>43074.625</v>
      </c>
      <c r="B707" s="2">
        <f ca="1">IFERROR(__xludf.DUMMYFUNCTION("""COMPUTED_VALUE"""),7475)</f>
        <v>7475</v>
      </c>
      <c r="C707" s="2">
        <f ca="1">IFERROR(__xludf.DUMMYFUNCTION("""COMPUTED_VALUE"""),7525)</f>
        <v>7525</v>
      </c>
      <c r="D707" s="2">
        <f ca="1">IFERROR(__xludf.DUMMYFUNCTION("""COMPUTED_VALUE"""),7425)</f>
        <v>7425</v>
      </c>
      <c r="E707" s="2">
        <f ca="1">IFERROR(__xludf.DUMMYFUNCTION("""COMPUTED_VALUE"""),7475)</f>
        <v>7475</v>
      </c>
      <c r="F707" s="2">
        <f ca="1">IFERROR(__xludf.DUMMYFUNCTION("""COMPUTED_VALUE"""),32836700)</f>
        <v>32836700</v>
      </c>
    </row>
    <row r="708" spans="1:6">
      <c r="A708" s="1">
        <f ca="1">IFERROR(__xludf.DUMMYFUNCTION("""COMPUTED_VALUE"""),43075.625)</f>
        <v>43075.625</v>
      </c>
      <c r="B708" s="2">
        <f ca="1">IFERROR(__xludf.DUMMYFUNCTION("""COMPUTED_VALUE"""),7500)</f>
        <v>7500</v>
      </c>
      <c r="C708" s="2">
        <f ca="1">IFERROR(__xludf.DUMMYFUNCTION("""COMPUTED_VALUE"""),7525)</f>
        <v>7525</v>
      </c>
      <c r="D708" s="2">
        <f ca="1">IFERROR(__xludf.DUMMYFUNCTION("""COMPUTED_VALUE"""),7450)</f>
        <v>7450</v>
      </c>
      <c r="E708" s="2">
        <f ca="1">IFERROR(__xludf.DUMMYFUNCTION("""COMPUTED_VALUE"""),7475)</f>
        <v>7475</v>
      </c>
      <c r="F708" s="2">
        <f ca="1">IFERROR(__xludf.DUMMYFUNCTION("""COMPUTED_VALUE"""),23852000)</f>
        <v>23852000</v>
      </c>
    </row>
    <row r="709" spans="1:6">
      <c r="A709" s="1">
        <f ca="1">IFERROR(__xludf.DUMMYFUNCTION("""COMPUTED_VALUE"""),43076.625)</f>
        <v>43076.625</v>
      </c>
      <c r="B709" s="2">
        <f ca="1">IFERROR(__xludf.DUMMYFUNCTION("""COMPUTED_VALUE"""),7450)</f>
        <v>7450</v>
      </c>
      <c r="C709" s="2">
        <f ca="1">IFERROR(__xludf.DUMMYFUNCTION("""COMPUTED_VALUE"""),7475)</f>
        <v>7475</v>
      </c>
      <c r="D709" s="2">
        <f ca="1">IFERROR(__xludf.DUMMYFUNCTION("""COMPUTED_VALUE"""),7350)</f>
        <v>7350</v>
      </c>
      <c r="E709" s="2">
        <f ca="1">IFERROR(__xludf.DUMMYFUNCTION("""COMPUTED_VALUE"""),7350)</f>
        <v>7350</v>
      </c>
      <c r="F709" s="2">
        <f ca="1">IFERROR(__xludf.DUMMYFUNCTION("""COMPUTED_VALUE"""),25290000)</f>
        <v>25290000</v>
      </c>
    </row>
    <row r="710" spans="1:6">
      <c r="A710" s="1">
        <f ca="1">IFERROR(__xludf.DUMMYFUNCTION("""COMPUTED_VALUE"""),43077.625)</f>
        <v>43077.625</v>
      </c>
      <c r="B710" s="2">
        <f ca="1">IFERROR(__xludf.DUMMYFUNCTION("""COMPUTED_VALUE"""),7500)</f>
        <v>7500</v>
      </c>
      <c r="C710" s="2">
        <f ca="1">IFERROR(__xludf.DUMMYFUNCTION("""COMPUTED_VALUE"""),7525)</f>
        <v>7525</v>
      </c>
      <c r="D710" s="2">
        <f ca="1">IFERROR(__xludf.DUMMYFUNCTION("""COMPUTED_VALUE"""),7375)</f>
        <v>7375</v>
      </c>
      <c r="E710" s="2">
        <f ca="1">IFERROR(__xludf.DUMMYFUNCTION("""COMPUTED_VALUE"""),7475)</f>
        <v>7475</v>
      </c>
      <c r="F710" s="2">
        <f ca="1">IFERROR(__xludf.DUMMYFUNCTION("""COMPUTED_VALUE"""),16583200)</f>
        <v>16583200</v>
      </c>
    </row>
    <row r="711" spans="1:6">
      <c r="A711" s="1">
        <f ca="1">IFERROR(__xludf.DUMMYFUNCTION("""COMPUTED_VALUE"""),43080.625)</f>
        <v>43080.625</v>
      </c>
      <c r="B711" s="2">
        <f ca="1">IFERROR(__xludf.DUMMYFUNCTION("""COMPUTED_VALUE"""),7525)</f>
        <v>7525</v>
      </c>
      <c r="C711" s="2">
        <f ca="1">IFERROR(__xludf.DUMMYFUNCTION("""COMPUTED_VALUE"""),7550)</f>
        <v>7550</v>
      </c>
      <c r="D711" s="2">
        <f ca="1">IFERROR(__xludf.DUMMYFUNCTION("""COMPUTED_VALUE"""),7450)</f>
        <v>7450</v>
      </c>
      <c r="E711" s="2">
        <f ca="1">IFERROR(__xludf.DUMMYFUNCTION("""COMPUTED_VALUE"""),7475)</f>
        <v>7475</v>
      </c>
      <c r="F711" s="2">
        <f ca="1">IFERROR(__xludf.DUMMYFUNCTION("""COMPUTED_VALUE"""),8515200)</f>
        <v>8515200</v>
      </c>
    </row>
    <row r="712" spans="1:6">
      <c r="A712" s="1">
        <f ca="1">IFERROR(__xludf.DUMMYFUNCTION("""COMPUTED_VALUE"""),43081.625)</f>
        <v>43081.625</v>
      </c>
      <c r="B712" s="2">
        <f ca="1">IFERROR(__xludf.DUMMYFUNCTION("""COMPUTED_VALUE"""),7550)</f>
        <v>7550</v>
      </c>
      <c r="C712" s="2">
        <f ca="1">IFERROR(__xludf.DUMMYFUNCTION("""COMPUTED_VALUE"""),7550)</f>
        <v>7550</v>
      </c>
      <c r="D712" s="2">
        <f ca="1">IFERROR(__xludf.DUMMYFUNCTION("""COMPUTED_VALUE"""),7400)</f>
        <v>7400</v>
      </c>
      <c r="E712" s="2">
        <f ca="1">IFERROR(__xludf.DUMMYFUNCTION("""COMPUTED_VALUE"""),7450)</f>
        <v>7450</v>
      </c>
      <c r="F712" s="2">
        <f ca="1">IFERROR(__xludf.DUMMYFUNCTION("""COMPUTED_VALUE"""),25544400)</f>
        <v>25544400</v>
      </c>
    </row>
    <row r="713" spans="1:6">
      <c r="A713" s="1">
        <f ca="1">IFERROR(__xludf.DUMMYFUNCTION("""COMPUTED_VALUE"""),43082.625)</f>
        <v>43082.625</v>
      </c>
      <c r="B713" s="2">
        <f ca="1">IFERROR(__xludf.DUMMYFUNCTION("""COMPUTED_VALUE"""),7400)</f>
        <v>7400</v>
      </c>
      <c r="C713" s="2">
        <f ca="1">IFERROR(__xludf.DUMMYFUNCTION("""COMPUTED_VALUE"""),7500)</f>
        <v>7500</v>
      </c>
      <c r="D713" s="2">
        <f ca="1">IFERROR(__xludf.DUMMYFUNCTION("""COMPUTED_VALUE"""),7400)</f>
        <v>7400</v>
      </c>
      <c r="E713" s="2">
        <f ca="1">IFERROR(__xludf.DUMMYFUNCTION("""COMPUTED_VALUE"""),7475)</f>
        <v>7475</v>
      </c>
      <c r="F713" s="2">
        <f ca="1">IFERROR(__xludf.DUMMYFUNCTION("""COMPUTED_VALUE"""),27038900)</f>
        <v>27038900</v>
      </c>
    </row>
    <row r="714" spans="1:6">
      <c r="A714" s="1">
        <f ca="1">IFERROR(__xludf.DUMMYFUNCTION("""COMPUTED_VALUE"""),43083.625)</f>
        <v>43083.625</v>
      </c>
      <c r="B714" s="2">
        <f ca="1">IFERROR(__xludf.DUMMYFUNCTION("""COMPUTED_VALUE"""),7500)</f>
        <v>7500</v>
      </c>
      <c r="C714" s="2">
        <f ca="1">IFERROR(__xludf.DUMMYFUNCTION("""COMPUTED_VALUE"""),7550)</f>
        <v>7550</v>
      </c>
      <c r="D714" s="2">
        <f ca="1">IFERROR(__xludf.DUMMYFUNCTION("""COMPUTED_VALUE"""),7425)</f>
        <v>7425</v>
      </c>
      <c r="E714" s="2">
        <f ca="1">IFERROR(__xludf.DUMMYFUNCTION("""COMPUTED_VALUE"""),7475)</f>
        <v>7475</v>
      </c>
      <c r="F714" s="2">
        <f ca="1">IFERROR(__xludf.DUMMYFUNCTION("""COMPUTED_VALUE"""),61262200)</f>
        <v>61262200</v>
      </c>
    </row>
    <row r="715" spans="1:6">
      <c r="A715" s="1">
        <f ca="1">IFERROR(__xludf.DUMMYFUNCTION("""COMPUTED_VALUE"""),43084.625)</f>
        <v>43084.625</v>
      </c>
      <c r="B715" s="2">
        <f ca="1">IFERROR(__xludf.DUMMYFUNCTION("""COMPUTED_VALUE"""),7400)</f>
        <v>7400</v>
      </c>
      <c r="C715" s="2">
        <f ca="1">IFERROR(__xludf.DUMMYFUNCTION("""COMPUTED_VALUE"""),7475)</f>
        <v>7475</v>
      </c>
      <c r="D715" s="2">
        <f ca="1">IFERROR(__xludf.DUMMYFUNCTION("""COMPUTED_VALUE"""),7300)</f>
        <v>7300</v>
      </c>
      <c r="E715" s="2">
        <f ca="1">IFERROR(__xludf.DUMMYFUNCTION("""COMPUTED_VALUE"""),7425)</f>
        <v>7425</v>
      </c>
      <c r="F715" s="2">
        <f ca="1">IFERROR(__xludf.DUMMYFUNCTION("""COMPUTED_VALUE"""),47436100)</f>
        <v>47436100</v>
      </c>
    </row>
    <row r="716" spans="1:6">
      <c r="A716" s="1">
        <f ca="1">IFERROR(__xludf.DUMMYFUNCTION("""COMPUTED_VALUE"""),43087.625)</f>
        <v>43087.625</v>
      </c>
      <c r="B716" s="2">
        <f ca="1">IFERROR(__xludf.DUMMYFUNCTION("""COMPUTED_VALUE"""),7325)</f>
        <v>7325</v>
      </c>
      <c r="C716" s="2">
        <f ca="1">IFERROR(__xludf.DUMMYFUNCTION("""COMPUTED_VALUE"""),7500)</f>
        <v>7500</v>
      </c>
      <c r="D716" s="2">
        <f ca="1">IFERROR(__xludf.DUMMYFUNCTION("""COMPUTED_VALUE"""),7300)</f>
        <v>7300</v>
      </c>
      <c r="E716" s="2">
        <f ca="1">IFERROR(__xludf.DUMMYFUNCTION("""COMPUTED_VALUE"""),7500)</f>
        <v>7500</v>
      </c>
      <c r="F716" s="2">
        <f ca="1">IFERROR(__xludf.DUMMYFUNCTION("""COMPUTED_VALUE"""),16583000)</f>
        <v>16583000</v>
      </c>
    </row>
    <row r="717" spans="1:6">
      <c r="A717" s="1">
        <f ca="1">IFERROR(__xludf.DUMMYFUNCTION("""COMPUTED_VALUE"""),43088.625)</f>
        <v>43088.625</v>
      </c>
      <c r="B717" s="2">
        <f ca="1">IFERROR(__xludf.DUMMYFUNCTION("""COMPUTED_VALUE"""),7375)</f>
        <v>7375</v>
      </c>
      <c r="C717" s="2">
        <f ca="1">IFERROR(__xludf.DUMMYFUNCTION("""COMPUTED_VALUE"""),7525)</f>
        <v>7525</v>
      </c>
      <c r="D717" s="2">
        <f ca="1">IFERROR(__xludf.DUMMYFUNCTION("""COMPUTED_VALUE"""),7350)</f>
        <v>7350</v>
      </c>
      <c r="E717" s="2">
        <f ca="1">IFERROR(__xludf.DUMMYFUNCTION("""COMPUTED_VALUE"""),7475)</f>
        <v>7475</v>
      </c>
      <c r="F717" s="2">
        <f ca="1">IFERROR(__xludf.DUMMYFUNCTION("""COMPUTED_VALUE"""),35463200)</f>
        <v>35463200</v>
      </c>
    </row>
    <row r="718" spans="1:6">
      <c r="A718" s="1">
        <f ca="1">IFERROR(__xludf.DUMMYFUNCTION("""COMPUTED_VALUE"""),43089.625)</f>
        <v>43089.625</v>
      </c>
      <c r="B718" s="2">
        <f ca="1">IFERROR(__xludf.DUMMYFUNCTION("""COMPUTED_VALUE"""),7525)</f>
        <v>7525</v>
      </c>
      <c r="C718" s="2">
        <f ca="1">IFERROR(__xludf.DUMMYFUNCTION("""COMPUTED_VALUE"""),7525)</f>
        <v>7525</v>
      </c>
      <c r="D718" s="2">
        <f ca="1">IFERROR(__xludf.DUMMYFUNCTION("""COMPUTED_VALUE"""),7375)</f>
        <v>7375</v>
      </c>
      <c r="E718" s="2">
        <f ca="1">IFERROR(__xludf.DUMMYFUNCTION("""COMPUTED_VALUE"""),7450)</f>
        <v>7450</v>
      </c>
      <c r="F718" s="2">
        <f ca="1">IFERROR(__xludf.DUMMYFUNCTION("""COMPUTED_VALUE"""),39537900)</f>
        <v>39537900</v>
      </c>
    </row>
    <row r="719" spans="1:6">
      <c r="A719" s="1">
        <f ca="1">IFERROR(__xludf.DUMMYFUNCTION("""COMPUTED_VALUE"""),43090.625)</f>
        <v>43090.625</v>
      </c>
      <c r="B719" s="2">
        <f ca="1">IFERROR(__xludf.DUMMYFUNCTION("""COMPUTED_VALUE"""),7550)</f>
        <v>7550</v>
      </c>
      <c r="C719" s="2">
        <f ca="1">IFERROR(__xludf.DUMMYFUNCTION("""COMPUTED_VALUE"""),7700)</f>
        <v>7700</v>
      </c>
      <c r="D719" s="2">
        <f ca="1">IFERROR(__xludf.DUMMYFUNCTION("""COMPUTED_VALUE"""),7500)</f>
        <v>7500</v>
      </c>
      <c r="E719" s="2">
        <f ca="1">IFERROR(__xludf.DUMMYFUNCTION("""COMPUTED_VALUE"""),7625)</f>
        <v>7625</v>
      </c>
      <c r="F719" s="2">
        <f ca="1">IFERROR(__xludf.DUMMYFUNCTION("""COMPUTED_VALUE"""),44244500)</f>
        <v>44244500</v>
      </c>
    </row>
    <row r="720" spans="1:6">
      <c r="A720" s="1">
        <f ca="1">IFERROR(__xludf.DUMMYFUNCTION("""COMPUTED_VALUE"""),43091.625)</f>
        <v>43091.625</v>
      </c>
      <c r="B720" s="2">
        <f ca="1">IFERROR(__xludf.DUMMYFUNCTION("""COMPUTED_VALUE"""),7625)</f>
        <v>7625</v>
      </c>
      <c r="C720" s="2">
        <f ca="1">IFERROR(__xludf.DUMMYFUNCTION("""COMPUTED_VALUE"""),7700)</f>
        <v>7700</v>
      </c>
      <c r="D720" s="2">
        <f ca="1">IFERROR(__xludf.DUMMYFUNCTION("""COMPUTED_VALUE"""),7550)</f>
        <v>7550</v>
      </c>
      <c r="E720" s="2">
        <f ca="1">IFERROR(__xludf.DUMMYFUNCTION("""COMPUTED_VALUE"""),7675)</f>
        <v>7675</v>
      </c>
      <c r="F720" s="2">
        <f ca="1">IFERROR(__xludf.DUMMYFUNCTION("""COMPUTED_VALUE"""),79256700)</f>
        <v>79256700</v>
      </c>
    </row>
    <row r="721" spans="1:6">
      <c r="A721" s="1">
        <f ca="1">IFERROR(__xludf.DUMMYFUNCTION("""COMPUTED_VALUE"""),43096.625)</f>
        <v>43096.625</v>
      </c>
      <c r="B721" s="2">
        <f ca="1">IFERROR(__xludf.DUMMYFUNCTION("""COMPUTED_VALUE"""),7675)</f>
        <v>7675</v>
      </c>
      <c r="C721" s="2">
        <f ca="1">IFERROR(__xludf.DUMMYFUNCTION("""COMPUTED_VALUE"""),8050)</f>
        <v>8050</v>
      </c>
      <c r="D721" s="2">
        <f ca="1">IFERROR(__xludf.DUMMYFUNCTION("""COMPUTED_VALUE"""),7675)</f>
        <v>7675</v>
      </c>
      <c r="E721" s="2">
        <f ca="1">IFERROR(__xludf.DUMMYFUNCTION("""COMPUTED_VALUE"""),8000)</f>
        <v>8000</v>
      </c>
      <c r="F721" s="2">
        <f ca="1">IFERROR(__xludf.DUMMYFUNCTION("""COMPUTED_VALUE"""),26984100)</f>
        <v>26984100</v>
      </c>
    </row>
    <row r="722" spans="1:6">
      <c r="A722" s="1">
        <f ca="1">IFERROR(__xludf.DUMMYFUNCTION("""COMPUTED_VALUE"""),43097.625)</f>
        <v>43097.625</v>
      </c>
      <c r="B722" s="2">
        <f ca="1">IFERROR(__xludf.DUMMYFUNCTION("""COMPUTED_VALUE"""),7975)</f>
        <v>7975</v>
      </c>
      <c r="C722" s="2">
        <f ca="1">IFERROR(__xludf.DUMMYFUNCTION("""COMPUTED_VALUE"""),8100)</f>
        <v>8100</v>
      </c>
      <c r="D722" s="2">
        <f ca="1">IFERROR(__xludf.DUMMYFUNCTION("""COMPUTED_VALUE"""),7850)</f>
        <v>7850</v>
      </c>
      <c r="E722" s="2">
        <f ca="1">IFERROR(__xludf.DUMMYFUNCTION("""COMPUTED_VALUE"""),7950)</f>
        <v>7950</v>
      </c>
      <c r="F722" s="2">
        <f ca="1">IFERROR(__xludf.DUMMYFUNCTION("""COMPUTED_VALUE"""),125524800)</f>
        <v>125524800</v>
      </c>
    </row>
    <row r="723" spans="1:6">
      <c r="A723" s="1">
        <f ca="1">IFERROR(__xludf.DUMMYFUNCTION("""COMPUTED_VALUE"""),43098.625)</f>
        <v>43098.625</v>
      </c>
      <c r="B723" s="2">
        <f ca="1">IFERROR(__xludf.DUMMYFUNCTION("""COMPUTED_VALUE"""),8050)</f>
        <v>8050</v>
      </c>
      <c r="C723" s="2">
        <f ca="1">IFERROR(__xludf.DUMMYFUNCTION("""COMPUTED_VALUE"""),8075)</f>
        <v>8075</v>
      </c>
      <c r="D723" s="2">
        <f ca="1">IFERROR(__xludf.DUMMYFUNCTION("""COMPUTED_VALUE"""),7800)</f>
        <v>7800</v>
      </c>
      <c r="E723" s="2">
        <f ca="1">IFERROR(__xludf.DUMMYFUNCTION("""COMPUTED_VALUE"""),8000)</f>
        <v>8000</v>
      </c>
      <c r="F723" s="2">
        <f ca="1">IFERROR(__xludf.DUMMYFUNCTION("""COMPUTED_VALUE"""),39157300)</f>
        <v>39157300</v>
      </c>
    </row>
    <row r="724" spans="1:6">
      <c r="A724" s="1">
        <f ca="1">IFERROR(__xludf.DUMMYFUNCTION("""COMPUTED_VALUE"""),43102.625)</f>
        <v>43102.625</v>
      </c>
      <c r="B724" s="2">
        <f ca="1">IFERROR(__xludf.DUMMYFUNCTION("""COMPUTED_VALUE"""),7975)</f>
        <v>7975</v>
      </c>
      <c r="C724" s="2">
        <f ca="1">IFERROR(__xludf.DUMMYFUNCTION("""COMPUTED_VALUE"""),8050)</f>
        <v>8050</v>
      </c>
      <c r="D724" s="2">
        <f ca="1">IFERROR(__xludf.DUMMYFUNCTION("""COMPUTED_VALUE"""),7825)</f>
        <v>7825</v>
      </c>
      <c r="E724" s="2">
        <f ca="1">IFERROR(__xludf.DUMMYFUNCTION("""COMPUTED_VALUE"""),7850)</f>
        <v>7850</v>
      </c>
      <c r="F724" s="2">
        <f ca="1">IFERROR(__xludf.DUMMYFUNCTION("""COMPUTED_VALUE"""),29675800)</f>
        <v>29675800</v>
      </c>
    </row>
    <row r="725" spans="1:6">
      <c r="A725" s="1">
        <f ca="1">IFERROR(__xludf.DUMMYFUNCTION("""COMPUTED_VALUE"""),43103.625)</f>
        <v>43103.625</v>
      </c>
      <c r="B725" s="2">
        <f ca="1">IFERROR(__xludf.DUMMYFUNCTION("""COMPUTED_VALUE"""),7850)</f>
        <v>7850</v>
      </c>
      <c r="C725" s="2">
        <f ca="1">IFERROR(__xludf.DUMMYFUNCTION("""COMPUTED_VALUE"""),7850)</f>
        <v>7850</v>
      </c>
      <c r="D725" s="2">
        <f ca="1">IFERROR(__xludf.DUMMYFUNCTION("""COMPUTED_VALUE"""),7650)</f>
        <v>7650</v>
      </c>
      <c r="E725" s="2">
        <f ca="1">IFERROR(__xludf.DUMMYFUNCTION("""COMPUTED_VALUE"""),7700)</f>
        <v>7700</v>
      </c>
      <c r="F725" s="2">
        <f ca="1">IFERROR(__xludf.DUMMYFUNCTION("""COMPUTED_VALUE"""),42139000)</f>
        <v>42139000</v>
      </c>
    </row>
    <row r="726" spans="1:6">
      <c r="A726" s="1">
        <f ca="1">IFERROR(__xludf.DUMMYFUNCTION("""COMPUTED_VALUE"""),43104.625)</f>
        <v>43104.625</v>
      </c>
      <c r="B726" s="2">
        <f ca="1">IFERROR(__xludf.DUMMYFUNCTION("""COMPUTED_VALUE"""),7750)</f>
        <v>7750</v>
      </c>
      <c r="C726" s="2">
        <f ca="1">IFERROR(__xludf.DUMMYFUNCTION("""COMPUTED_VALUE"""),7825)</f>
        <v>7825</v>
      </c>
      <c r="D726" s="2">
        <f ca="1">IFERROR(__xludf.DUMMYFUNCTION("""COMPUTED_VALUE"""),7725)</f>
        <v>7725</v>
      </c>
      <c r="E726" s="2">
        <f ca="1">IFERROR(__xludf.DUMMYFUNCTION("""COMPUTED_VALUE"""),7825)</f>
        <v>7825</v>
      </c>
      <c r="F726" s="2">
        <f ca="1">IFERROR(__xludf.DUMMYFUNCTION("""COMPUTED_VALUE"""),45061500)</f>
        <v>45061500</v>
      </c>
    </row>
    <row r="727" spans="1:6">
      <c r="A727" s="1">
        <f ca="1">IFERROR(__xludf.DUMMYFUNCTION("""COMPUTED_VALUE"""),43105.625)</f>
        <v>43105.625</v>
      </c>
      <c r="B727" s="2">
        <f ca="1">IFERROR(__xludf.DUMMYFUNCTION("""COMPUTED_VALUE"""),7725)</f>
        <v>7725</v>
      </c>
      <c r="C727" s="2">
        <f ca="1">IFERROR(__xludf.DUMMYFUNCTION("""COMPUTED_VALUE"""),7850)</f>
        <v>7850</v>
      </c>
      <c r="D727" s="2">
        <f ca="1">IFERROR(__xludf.DUMMYFUNCTION("""COMPUTED_VALUE"""),7725)</f>
        <v>7725</v>
      </c>
      <c r="E727" s="2">
        <f ca="1">IFERROR(__xludf.DUMMYFUNCTION("""COMPUTED_VALUE"""),7825)</f>
        <v>7825</v>
      </c>
      <c r="F727" s="2">
        <f ca="1">IFERROR(__xludf.DUMMYFUNCTION("""COMPUTED_VALUE"""),37689300)</f>
        <v>37689300</v>
      </c>
    </row>
    <row r="728" spans="1:6">
      <c r="A728" s="1">
        <f ca="1">IFERROR(__xludf.DUMMYFUNCTION("""COMPUTED_VALUE"""),43108.625)</f>
        <v>43108.625</v>
      </c>
      <c r="B728" s="2">
        <f ca="1">IFERROR(__xludf.DUMMYFUNCTION("""COMPUTED_VALUE"""),7875)</f>
        <v>7875</v>
      </c>
      <c r="C728" s="2">
        <f ca="1">IFERROR(__xludf.DUMMYFUNCTION("""COMPUTED_VALUE"""),7950)</f>
        <v>7950</v>
      </c>
      <c r="D728" s="2">
        <f ca="1">IFERROR(__xludf.DUMMYFUNCTION("""COMPUTED_VALUE"""),7825)</f>
        <v>7825</v>
      </c>
      <c r="E728" s="2">
        <f ca="1">IFERROR(__xludf.DUMMYFUNCTION("""COMPUTED_VALUE"""),7925)</f>
        <v>7925</v>
      </c>
      <c r="F728" s="2">
        <f ca="1">IFERROR(__xludf.DUMMYFUNCTION("""COMPUTED_VALUE"""),36892000)</f>
        <v>36892000</v>
      </c>
    </row>
    <row r="729" spans="1:6">
      <c r="A729" s="1">
        <f ca="1">IFERROR(__xludf.DUMMYFUNCTION("""COMPUTED_VALUE"""),43109.625)</f>
        <v>43109.625</v>
      </c>
      <c r="B729" s="2">
        <f ca="1">IFERROR(__xludf.DUMMYFUNCTION("""COMPUTED_VALUE"""),7975)</f>
        <v>7975</v>
      </c>
      <c r="C729" s="2">
        <f ca="1">IFERROR(__xludf.DUMMYFUNCTION("""COMPUTED_VALUE"""),8000)</f>
        <v>8000</v>
      </c>
      <c r="D729" s="2">
        <f ca="1">IFERROR(__xludf.DUMMYFUNCTION("""COMPUTED_VALUE"""),7775)</f>
        <v>7775</v>
      </c>
      <c r="E729" s="2">
        <f ca="1">IFERROR(__xludf.DUMMYFUNCTION("""COMPUTED_VALUE"""),7900)</f>
        <v>7900</v>
      </c>
      <c r="F729" s="2">
        <f ca="1">IFERROR(__xludf.DUMMYFUNCTION("""COMPUTED_VALUE"""),33676000)</f>
        <v>33676000</v>
      </c>
    </row>
    <row r="730" spans="1:6">
      <c r="A730" s="1">
        <f ca="1">IFERROR(__xludf.DUMMYFUNCTION("""COMPUTED_VALUE"""),43110.625)</f>
        <v>43110.625</v>
      </c>
      <c r="B730" s="2">
        <f ca="1">IFERROR(__xludf.DUMMYFUNCTION("""COMPUTED_VALUE"""),7925)</f>
        <v>7925</v>
      </c>
      <c r="C730" s="2">
        <f ca="1">IFERROR(__xludf.DUMMYFUNCTION("""COMPUTED_VALUE"""),7925)</f>
        <v>7925</v>
      </c>
      <c r="D730" s="2">
        <f ca="1">IFERROR(__xludf.DUMMYFUNCTION("""COMPUTED_VALUE"""),7800)</f>
        <v>7800</v>
      </c>
      <c r="E730" s="2">
        <f ca="1">IFERROR(__xludf.DUMMYFUNCTION("""COMPUTED_VALUE"""),7900)</f>
        <v>7900</v>
      </c>
      <c r="F730" s="2">
        <f ca="1">IFERROR(__xludf.DUMMYFUNCTION("""COMPUTED_VALUE"""),34373200)</f>
        <v>34373200</v>
      </c>
    </row>
    <row r="731" spans="1:6">
      <c r="A731" s="1">
        <f ca="1">IFERROR(__xludf.DUMMYFUNCTION("""COMPUTED_VALUE"""),43111.625)</f>
        <v>43111.625</v>
      </c>
      <c r="B731" s="2">
        <f ca="1">IFERROR(__xludf.DUMMYFUNCTION("""COMPUTED_VALUE"""),7925)</f>
        <v>7925</v>
      </c>
      <c r="C731" s="2">
        <f ca="1">IFERROR(__xludf.DUMMYFUNCTION("""COMPUTED_VALUE"""),8075)</f>
        <v>8075</v>
      </c>
      <c r="D731" s="2">
        <f ca="1">IFERROR(__xludf.DUMMYFUNCTION("""COMPUTED_VALUE"""),7925)</f>
        <v>7925</v>
      </c>
      <c r="E731" s="2">
        <f ca="1">IFERROR(__xludf.DUMMYFUNCTION("""COMPUTED_VALUE"""),8075)</f>
        <v>8075</v>
      </c>
      <c r="F731" s="2">
        <f ca="1">IFERROR(__xludf.DUMMYFUNCTION("""COMPUTED_VALUE"""),44673100)</f>
        <v>44673100</v>
      </c>
    </row>
    <row r="732" spans="1:6">
      <c r="A732" s="1">
        <f ca="1">IFERROR(__xludf.DUMMYFUNCTION("""COMPUTED_VALUE"""),43112.625)</f>
        <v>43112.625</v>
      </c>
      <c r="B732" s="2">
        <f ca="1">IFERROR(__xludf.DUMMYFUNCTION("""COMPUTED_VALUE"""),8075)</f>
        <v>8075</v>
      </c>
      <c r="C732" s="2">
        <f ca="1">IFERROR(__xludf.DUMMYFUNCTION("""COMPUTED_VALUE"""),8250)</f>
        <v>8250</v>
      </c>
      <c r="D732" s="2">
        <f ca="1">IFERROR(__xludf.DUMMYFUNCTION("""COMPUTED_VALUE"""),8000)</f>
        <v>8000</v>
      </c>
      <c r="E732" s="2">
        <f ca="1">IFERROR(__xludf.DUMMYFUNCTION("""COMPUTED_VALUE"""),8100)</f>
        <v>8100</v>
      </c>
      <c r="F732" s="2">
        <f ca="1">IFERROR(__xludf.DUMMYFUNCTION("""COMPUTED_VALUE"""),42153200)</f>
        <v>42153200</v>
      </c>
    </row>
    <row r="733" spans="1:6">
      <c r="A733" s="1">
        <f ca="1">IFERROR(__xludf.DUMMYFUNCTION("""COMPUTED_VALUE"""),43115.625)</f>
        <v>43115.625</v>
      </c>
      <c r="B733" s="2">
        <f ca="1">IFERROR(__xludf.DUMMYFUNCTION("""COMPUTED_VALUE"""),8150)</f>
        <v>8150</v>
      </c>
      <c r="C733" s="2">
        <f ca="1">IFERROR(__xludf.DUMMYFUNCTION("""COMPUTED_VALUE"""),8200)</f>
        <v>8200</v>
      </c>
      <c r="D733" s="2">
        <f ca="1">IFERROR(__xludf.DUMMYFUNCTION("""COMPUTED_VALUE"""),8050)</f>
        <v>8050</v>
      </c>
      <c r="E733" s="2">
        <f ca="1">IFERROR(__xludf.DUMMYFUNCTION("""COMPUTED_VALUE"""),8200)</f>
        <v>8200</v>
      </c>
      <c r="F733" s="2">
        <f ca="1">IFERROR(__xludf.DUMMYFUNCTION("""COMPUTED_VALUE"""),19206100)</f>
        <v>19206100</v>
      </c>
    </row>
    <row r="734" spans="1:6">
      <c r="A734" s="1">
        <f ca="1">IFERROR(__xludf.DUMMYFUNCTION("""COMPUTED_VALUE"""),43116.625)</f>
        <v>43116.625</v>
      </c>
      <c r="B734" s="2">
        <f ca="1">IFERROR(__xludf.DUMMYFUNCTION("""COMPUTED_VALUE"""),8150)</f>
        <v>8150</v>
      </c>
      <c r="C734" s="2">
        <f ca="1">IFERROR(__xludf.DUMMYFUNCTION("""COMPUTED_VALUE"""),8300)</f>
        <v>8300</v>
      </c>
      <c r="D734" s="2">
        <f ca="1">IFERROR(__xludf.DUMMYFUNCTION("""COMPUTED_VALUE"""),8150)</f>
        <v>8150</v>
      </c>
      <c r="E734" s="2">
        <f ca="1">IFERROR(__xludf.DUMMYFUNCTION("""COMPUTED_VALUE"""),8225)</f>
        <v>8225</v>
      </c>
      <c r="F734" s="2">
        <f ca="1">IFERROR(__xludf.DUMMYFUNCTION("""COMPUTED_VALUE"""),23360000)</f>
        <v>23360000</v>
      </c>
    </row>
    <row r="735" spans="1:6">
      <c r="A735" s="1">
        <f ca="1">IFERROR(__xludf.DUMMYFUNCTION("""COMPUTED_VALUE"""),43117.625)</f>
        <v>43117.625</v>
      </c>
      <c r="B735" s="2">
        <f ca="1">IFERROR(__xludf.DUMMYFUNCTION("""COMPUTED_VALUE"""),8225)</f>
        <v>8225</v>
      </c>
      <c r="C735" s="2">
        <f ca="1">IFERROR(__xludf.DUMMYFUNCTION("""COMPUTED_VALUE"""),8225)</f>
        <v>8225</v>
      </c>
      <c r="D735" s="2">
        <f ca="1">IFERROR(__xludf.DUMMYFUNCTION("""COMPUTED_VALUE"""),8025)</f>
        <v>8025</v>
      </c>
      <c r="E735" s="2">
        <f ca="1">IFERROR(__xludf.DUMMYFUNCTION("""COMPUTED_VALUE"""),8100)</f>
        <v>8100</v>
      </c>
      <c r="F735" s="2">
        <f ca="1">IFERROR(__xludf.DUMMYFUNCTION("""COMPUTED_VALUE"""),28472700)</f>
        <v>28472700</v>
      </c>
    </row>
    <row r="736" spans="1:6">
      <c r="A736" s="1">
        <f ca="1">IFERROR(__xludf.DUMMYFUNCTION("""COMPUTED_VALUE"""),43118.625)</f>
        <v>43118.625</v>
      </c>
      <c r="B736" s="2">
        <f ca="1">IFERROR(__xludf.DUMMYFUNCTION("""COMPUTED_VALUE"""),8150)</f>
        <v>8150</v>
      </c>
      <c r="C736" s="2">
        <f ca="1">IFERROR(__xludf.DUMMYFUNCTION("""COMPUTED_VALUE"""),8175)</f>
        <v>8175</v>
      </c>
      <c r="D736" s="2">
        <f ca="1">IFERROR(__xludf.DUMMYFUNCTION("""COMPUTED_VALUE"""),8050)</f>
        <v>8050</v>
      </c>
      <c r="E736" s="2">
        <f ca="1">IFERROR(__xludf.DUMMYFUNCTION("""COMPUTED_VALUE"""),8125)</f>
        <v>8125</v>
      </c>
      <c r="F736" s="2">
        <f ca="1">IFERROR(__xludf.DUMMYFUNCTION("""COMPUTED_VALUE"""),26842900)</f>
        <v>26842900</v>
      </c>
    </row>
    <row r="737" spans="1:6">
      <c r="A737" s="1">
        <f ca="1">IFERROR(__xludf.DUMMYFUNCTION("""COMPUTED_VALUE"""),43119.625)</f>
        <v>43119.625</v>
      </c>
      <c r="B737" s="2">
        <f ca="1">IFERROR(__xludf.DUMMYFUNCTION("""COMPUTED_VALUE"""),8175)</f>
        <v>8175</v>
      </c>
      <c r="C737" s="2">
        <f ca="1">IFERROR(__xludf.DUMMYFUNCTION("""COMPUTED_VALUE"""),8175)</f>
        <v>8175</v>
      </c>
      <c r="D737" s="2">
        <f ca="1">IFERROR(__xludf.DUMMYFUNCTION("""COMPUTED_VALUE"""),8050)</f>
        <v>8050</v>
      </c>
      <c r="E737" s="2">
        <f ca="1">IFERROR(__xludf.DUMMYFUNCTION("""COMPUTED_VALUE"""),8075)</f>
        <v>8075</v>
      </c>
      <c r="F737" s="2">
        <f ca="1">IFERROR(__xludf.DUMMYFUNCTION("""COMPUTED_VALUE"""),25079300)</f>
        <v>25079300</v>
      </c>
    </row>
    <row r="738" spans="1:6">
      <c r="A738" s="1">
        <f ca="1">IFERROR(__xludf.DUMMYFUNCTION("""COMPUTED_VALUE"""),43122.625)</f>
        <v>43122.625</v>
      </c>
      <c r="B738" s="2">
        <f ca="1">IFERROR(__xludf.DUMMYFUNCTION("""COMPUTED_VALUE"""),8150)</f>
        <v>8150</v>
      </c>
      <c r="C738" s="2">
        <f ca="1">IFERROR(__xludf.DUMMYFUNCTION("""COMPUTED_VALUE"""),8150)</f>
        <v>8150</v>
      </c>
      <c r="D738" s="2">
        <f ca="1">IFERROR(__xludf.DUMMYFUNCTION("""COMPUTED_VALUE"""),8050)</f>
        <v>8050</v>
      </c>
      <c r="E738" s="2">
        <f ca="1">IFERROR(__xludf.DUMMYFUNCTION("""COMPUTED_VALUE"""),8075)</f>
        <v>8075</v>
      </c>
      <c r="F738" s="2">
        <f ca="1">IFERROR(__xludf.DUMMYFUNCTION("""COMPUTED_VALUE"""),45621900)</f>
        <v>45621900</v>
      </c>
    </row>
    <row r="739" spans="1:6">
      <c r="A739" s="1">
        <f ca="1">IFERROR(__xludf.DUMMYFUNCTION("""COMPUTED_VALUE"""),43123.625)</f>
        <v>43123.625</v>
      </c>
      <c r="B739" s="2">
        <f ca="1">IFERROR(__xludf.DUMMYFUNCTION("""COMPUTED_VALUE"""),8175)</f>
        <v>8175</v>
      </c>
      <c r="C739" s="2">
        <f ca="1">IFERROR(__xludf.DUMMYFUNCTION("""COMPUTED_VALUE"""),8175)</f>
        <v>8175</v>
      </c>
      <c r="D739" s="2">
        <f ca="1">IFERROR(__xludf.DUMMYFUNCTION("""COMPUTED_VALUE"""),8075)</f>
        <v>8075</v>
      </c>
      <c r="E739" s="2">
        <f ca="1">IFERROR(__xludf.DUMMYFUNCTION("""COMPUTED_VALUE"""),8175)</f>
        <v>8175</v>
      </c>
      <c r="F739" s="2">
        <f ca="1">IFERROR(__xludf.DUMMYFUNCTION("""COMPUTED_VALUE"""),55596300)</f>
        <v>55596300</v>
      </c>
    </row>
    <row r="740" spans="1:6">
      <c r="A740" s="1">
        <f ca="1">IFERROR(__xludf.DUMMYFUNCTION("""COMPUTED_VALUE"""),43124.625)</f>
        <v>43124.625</v>
      </c>
      <c r="B740" s="2">
        <f ca="1">IFERROR(__xludf.DUMMYFUNCTION("""COMPUTED_VALUE"""),8200)</f>
        <v>8200</v>
      </c>
      <c r="C740" s="2">
        <f ca="1">IFERROR(__xludf.DUMMYFUNCTION("""COMPUTED_VALUE"""),8250)</f>
        <v>8250</v>
      </c>
      <c r="D740" s="2">
        <f ca="1">IFERROR(__xludf.DUMMYFUNCTION("""COMPUTED_VALUE"""),8150)</f>
        <v>8150</v>
      </c>
      <c r="E740" s="2">
        <f ca="1">IFERROR(__xludf.DUMMYFUNCTION("""COMPUTED_VALUE"""),8250)</f>
        <v>8250</v>
      </c>
      <c r="F740" s="2">
        <f ca="1">IFERROR(__xludf.DUMMYFUNCTION("""COMPUTED_VALUE"""),42316600)</f>
        <v>42316600</v>
      </c>
    </row>
    <row r="741" spans="1:6">
      <c r="A741" s="1">
        <f ca="1">IFERROR(__xludf.DUMMYFUNCTION("""COMPUTED_VALUE"""),43125.625)</f>
        <v>43125.625</v>
      </c>
      <c r="B741" s="2">
        <f ca="1">IFERROR(__xludf.DUMMYFUNCTION("""COMPUTED_VALUE"""),8250)</f>
        <v>8250</v>
      </c>
      <c r="C741" s="2">
        <f ca="1">IFERROR(__xludf.DUMMYFUNCTION("""COMPUTED_VALUE"""),8275)</f>
        <v>8275</v>
      </c>
      <c r="D741" s="2">
        <f ca="1">IFERROR(__xludf.DUMMYFUNCTION("""COMPUTED_VALUE"""),8075)</f>
        <v>8075</v>
      </c>
      <c r="E741" s="2">
        <f ca="1">IFERROR(__xludf.DUMMYFUNCTION("""COMPUTED_VALUE"""),8150)</f>
        <v>8150</v>
      </c>
      <c r="F741" s="2">
        <f ca="1">IFERROR(__xludf.DUMMYFUNCTION("""COMPUTED_VALUE"""),32577900)</f>
        <v>32577900</v>
      </c>
    </row>
    <row r="742" spans="1:6">
      <c r="A742" s="1">
        <f ca="1">IFERROR(__xludf.DUMMYFUNCTION("""COMPUTED_VALUE"""),43126.625)</f>
        <v>43126.625</v>
      </c>
      <c r="B742" s="2">
        <f ca="1">IFERROR(__xludf.DUMMYFUNCTION("""COMPUTED_VALUE"""),8200)</f>
        <v>8200</v>
      </c>
      <c r="C742" s="2">
        <f ca="1">IFERROR(__xludf.DUMMYFUNCTION("""COMPUTED_VALUE"""),8250)</f>
        <v>8250</v>
      </c>
      <c r="D742" s="2">
        <f ca="1">IFERROR(__xludf.DUMMYFUNCTION("""COMPUTED_VALUE"""),8125)</f>
        <v>8125</v>
      </c>
      <c r="E742" s="2">
        <f ca="1">IFERROR(__xludf.DUMMYFUNCTION("""COMPUTED_VALUE"""),8200)</f>
        <v>8200</v>
      </c>
      <c r="F742" s="2">
        <f ca="1">IFERROR(__xludf.DUMMYFUNCTION("""COMPUTED_VALUE"""),34799900)</f>
        <v>34799900</v>
      </c>
    </row>
    <row r="743" spans="1:6">
      <c r="A743" s="1">
        <f ca="1">IFERROR(__xludf.DUMMYFUNCTION("""COMPUTED_VALUE"""),43129.625)</f>
        <v>43129.625</v>
      </c>
      <c r="B743" s="2">
        <f ca="1">IFERROR(__xludf.DUMMYFUNCTION("""COMPUTED_VALUE"""),8225)</f>
        <v>8225</v>
      </c>
      <c r="C743" s="2">
        <f ca="1">IFERROR(__xludf.DUMMYFUNCTION("""COMPUTED_VALUE"""),8250)</f>
        <v>8250</v>
      </c>
      <c r="D743" s="2">
        <f ca="1">IFERROR(__xludf.DUMMYFUNCTION("""COMPUTED_VALUE"""),7900)</f>
        <v>7900</v>
      </c>
      <c r="E743" s="2">
        <f ca="1">IFERROR(__xludf.DUMMYFUNCTION("""COMPUTED_VALUE"""),8175)</f>
        <v>8175</v>
      </c>
      <c r="F743" s="2">
        <f ca="1">IFERROR(__xludf.DUMMYFUNCTION("""COMPUTED_VALUE"""),50706800)</f>
        <v>50706800</v>
      </c>
    </row>
    <row r="744" spans="1:6">
      <c r="A744" s="1">
        <f ca="1">IFERROR(__xludf.DUMMYFUNCTION("""COMPUTED_VALUE"""),43130.625)</f>
        <v>43130.625</v>
      </c>
      <c r="B744" s="2">
        <f ca="1">IFERROR(__xludf.DUMMYFUNCTION("""COMPUTED_VALUE"""),8075)</f>
        <v>8075</v>
      </c>
      <c r="C744" s="2">
        <f ca="1">IFERROR(__xludf.DUMMYFUNCTION("""COMPUTED_VALUE"""),8100)</f>
        <v>8100</v>
      </c>
      <c r="D744" s="2">
        <f ca="1">IFERROR(__xludf.DUMMYFUNCTION("""COMPUTED_VALUE"""),7975)</f>
        <v>7975</v>
      </c>
      <c r="E744" s="2">
        <f ca="1">IFERROR(__xludf.DUMMYFUNCTION("""COMPUTED_VALUE"""),8050)</f>
        <v>8050</v>
      </c>
      <c r="F744" s="2">
        <f ca="1">IFERROR(__xludf.DUMMYFUNCTION("""COMPUTED_VALUE"""),51077100)</f>
        <v>51077100</v>
      </c>
    </row>
    <row r="745" spans="1:6">
      <c r="A745" s="1">
        <f ca="1">IFERROR(__xludf.DUMMYFUNCTION("""COMPUTED_VALUE"""),43131.625)</f>
        <v>43131.625</v>
      </c>
      <c r="B745" s="2">
        <f ca="1">IFERROR(__xludf.DUMMYFUNCTION("""COMPUTED_VALUE"""),7975)</f>
        <v>7975</v>
      </c>
      <c r="C745" s="2">
        <f ca="1">IFERROR(__xludf.DUMMYFUNCTION("""COMPUTED_VALUE"""),8175)</f>
        <v>8175</v>
      </c>
      <c r="D745" s="2">
        <f ca="1">IFERROR(__xludf.DUMMYFUNCTION("""COMPUTED_VALUE"""),7950)</f>
        <v>7950</v>
      </c>
      <c r="E745" s="2">
        <f ca="1">IFERROR(__xludf.DUMMYFUNCTION("""COMPUTED_VALUE"""),8150)</f>
        <v>8150</v>
      </c>
      <c r="F745" s="2">
        <f ca="1">IFERROR(__xludf.DUMMYFUNCTION("""COMPUTED_VALUE"""),39894200)</f>
        <v>39894200</v>
      </c>
    </row>
    <row r="746" spans="1:6">
      <c r="A746" s="1">
        <f ca="1">IFERROR(__xludf.DUMMYFUNCTION("""COMPUTED_VALUE"""),43132.625)</f>
        <v>43132.625</v>
      </c>
      <c r="B746" s="2">
        <f ca="1">IFERROR(__xludf.DUMMYFUNCTION("""COMPUTED_VALUE"""),8200)</f>
        <v>8200</v>
      </c>
      <c r="C746" s="2">
        <f ca="1">IFERROR(__xludf.DUMMYFUNCTION("""COMPUTED_VALUE"""),8250)</f>
        <v>8250</v>
      </c>
      <c r="D746" s="2">
        <f ca="1">IFERROR(__xludf.DUMMYFUNCTION("""COMPUTED_VALUE"""),8125)</f>
        <v>8125</v>
      </c>
      <c r="E746" s="2">
        <f ca="1">IFERROR(__xludf.DUMMYFUNCTION("""COMPUTED_VALUE"""),8200)</f>
        <v>8200</v>
      </c>
      <c r="F746" s="2">
        <f ca="1">IFERROR(__xludf.DUMMYFUNCTION("""COMPUTED_VALUE"""),36137200)</f>
        <v>36137200</v>
      </c>
    </row>
    <row r="747" spans="1:6">
      <c r="A747" s="1">
        <f ca="1">IFERROR(__xludf.DUMMYFUNCTION("""COMPUTED_VALUE"""),43133.625)</f>
        <v>43133.625</v>
      </c>
      <c r="B747" s="2">
        <f ca="1">IFERROR(__xludf.DUMMYFUNCTION("""COMPUTED_VALUE"""),8200)</f>
        <v>8200</v>
      </c>
      <c r="C747" s="2">
        <f ca="1">IFERROR(__xludf.DUMMYFUNCTION("""COMPUTED_VALUE"""),8225)</f>
        <v>8225</v>
      </c>
      <c r="D747" s="2">
        <f ca="1">IFERROR(__xludf.DUMMYFUNCTION("""COMPUTED_VALUE"""),8125)</f>
        <v>8125</v>
      </c>
      <c r="E747" s="2">
        <f ca="1">IFERROR(__xludf.DUMMYFUNCTION("""COMPUTED_VALUE"""),8125)</f>
        <v>8125</v>
      </c>
      <c r="F747" s="2">
        <f ca="1">IFERROR(__xludf.DUMMYFUNCTION("""COMPUTED_VALUE"""),30021400)</f>
        <v>30021400</v>
      </c>
    </row>
    <row r="748" spans="1:6">
      <c r="A748" s="1">
        <f ca="1">IFERROR(__xludf.DUMMYFUNCTION("""COMPUTED_VALUE"""),43136.625)</f>
        <v>43136.625</v>
      </c>
      <c r="B748" s="2">
        <f ca="1">IFERROR(__xludf.DUMMYFUNCTION("""COMPUTED_VALUE"""),8050)</f>
        <v>8050</v>
      </c>
      <c r="C748" s="2">
        <f ca="1">IFERROR(__xludf.DUMMYFUNCTION("""COMPUTED_VALUE"""),8150)</f>
        <v>8150</v>
      </c>
      <c r="D748" s="2">
        <f ca="1">IFERROR(__xludf.DUMMYFUNCTION("""COMPUTED_VALUE"""),7975)</f>
        <v>7975</v>
      </c>
      <c r="E748" s="2">
        <f ca="1">IFERROR(__xludf.DUMMYFUNCTION("""COMPUTED_VALUE"""),8125)</f>
        <v>8125</v>
      </c>
      <c r="F748" s="2">
        <f ca="1">IFERROR(__xludf.DUMMYFUNCTION("""COMPUTED_VALUE"""),31810300)</f>
        <v>31810300</v>
      </c>
    </row>
    <row r="749" spans="1:6">
      <c r="A749" s="1">
        <f ca="1">IFERROR(__xludf.DUMMYFUNCTION("""COMPUTED_VALUE"""),43137.625)</f>
        <v>43137.625</v>
      </c>
      <c r="B749" s="2">
        <f ca="1">IFERROR(__xludf.DUMMYFUNCTION("""COMPUTED_VALUE"""),8000)</f>
        <v>8000</v>
      </c>
      <c r="C749" s="2">
        <f ca="1">IFERROR(__xludf.DUMMYFUNCTION("""COMPUTED_VALUE"""),8100)</f>
        <v>8100</v>
      </c>
      <c r="D749" s="2">
        <f ca="1">IFERROR(__xludf.DUMMYFUNCTION("""COMPUTED_VALUE"""),7925)</f>
        <v>7925</v>
      </c>
      <c r="E749" s="2">
        <f ca="1">IFERROR(__xludf.DUMMYFUNCTION("""COMPUTED_VALUE"""),8025)</f>
        <v>8025</v>
      </c>
      <c r="F749" s="2">
        <f ca="1">IFERROR(__xludf.DUMMYFUNCTION("""COMPUTED_VALUE"""),46207800)</f>
        <v>46207800</v>
      </c>
    </row>
    <row r="750" spans="1:6">
      <c r="A750" s="1">
        <f ca="1">IFERROR(__xludf.DUMMYFUNCTION("""COMPUTED_VALUE"""),43138.625)</f>
        <v>43138.625</v>
      </c>
      <c r="B750" s="2">
        <f ca="1">IFERROR(__xludf.DUMMYFUNCTION("""COMPUTED_VALUE"""),8100)</f>
        <v>8100</v>
      </c>
      <c r="C750" s="2">
        <f ca="1">IFERROR(__xludf.DUMMYFUNCTION("""COMPUTED_VALUE"""),8150)</f>
        <v>8150</v>
      </c>
      <c r="D750" s="2">
        <f ca="1">IFERROR(__xludf.DUMMYFUNCTION("""COMPUTED_VALUE"""),8075)</f>
        <v>8075</v>
      </c>
      <c r="E750" s="2">
        <f ca="1">IFERROR(__xludf.DUMMYFUNCTION("""COMPUTED_VALUE"""),8125)</f>
        <v>8125</v>
      </c>
      <c r="F750" s="2">
        <f ca="1">IFERROR(__xludf.DUMMYFUNCTION("""COMPUTED_VALUE"""),28713700)</f>
        <v>28713700</v>
      </c>
    </row>
    <row r="751" spans="1:6">
      <c r="A751" s="1">
        <f ca="1">IFERROR(__xludf.DUMMYFUNCTION("""COMPUTED_VALUE"""),43139.625)</f>
        <v>43139.625</v>
      </c>
      <c r="B751" s="2">
        <f ca="1">IFERROR(__xludf.DUMMYFUNCTION("""COMPUTED_VALUE"""),8200)</f>
        <v>8200</v>
      </c>
      <c r="C751" s="2">
        <f ca="1">IFERROR(__xludf.DUMMYFUNCTION("""COMPUTED_VALUE"""),8250)</f>
        <v>8250</v>
      </c>
      <c r="D751" s="2">
        <f ca="1">IFERROR(__xludf.DUMMYFUNCTION("""COMPUTED_VALUE"""),8050)</f>
        <v>8050</v>
      </c>
      <c r="E751" s="2">
        <f ca="1">IFERROR(__xludf.DUMMYFUNCTION("""COMPUTED_VALUE"""),8175)</f>
        <v>8175</v>
      </c>
      <c r="F751" s="2">
        <f ca="1">IFERROR(__xludf.DUMMYFUNCTION("""COMPUTED_VALUE"""),39533600)</f>
        <v>39533600</v>
      </c>
    </row>
    <row r="752" spans="1:6">
      <c r="A752" s="1">
        <f ca="1">IFERROR(__xludf.DUMMYFUNCTION("""COMPUTED_VALUE"""),43140.625)</f>
        <v>43140.625</v>
      </c>
      <c r="B752" s="2">
        <f ca="1">IFERROR(__xludf.DUMMYFUNCTION("""COMPUTED_VALUE"""),8075)</f>
        <v>8075</v>
      </c>
      <c r="C752" s="2">
        <f ca="1">IFERROR(__xludf.DUMMYFUNCTION("""COMPUTED_VALUE"""),8225)</f>
        <v>8225</v>
      </c>
      <c r="D752" s="2">
        <f ca="1">IFERROR(__xludf.DUMMYFUNCTION("""COMPUTED_VALUE"""),8050)</f>
        <v>8050</v>
      </c>
      <c r="E752" s="2">
        <f ca="1">IFERROR(__xludf.DUMMYFUNCTION("""COMPUTED_VALUE"""),8225)</f>
        <v>8225</v>
      </c>
      <c r="F752" s="2">
        <f ca="1">IFERROR(__xludf.DUMMYFUNCTION("""COMPUTED_VALUE"""),105976800)</f>
        <v>105976800</v>
      </c>
    </row>
    <row r="753" spans="1:6">
      <c r="A753" s="1">
        <f ca="1">IFERROR(__xludf.DUMMYFUNCTION("""COMPUTED_VALUE"""),43143.625)</f>
        <v>43143.625</v>
      </c>
      <c r="B753" s="2">
        <f ca="1">IFERROR(__xludf.DUMMYFUNCTION("""COMPUTED_VALUE"""),8225)</f>
        <v>8225</v>
      </c>
      <c r="C753" s="2">
        <f ca="1">IFERROR(__xludf.DUMMYFUNCTION("""COMPUTED_VALUE"""),8250)</f>
        <v>8250</v>
      </c>
      <c r="D753" s="2">
        <f ca="1">IFERROR(__xludf.DUMMYFUNCTION("""COMPUTED_VALUE"""),8075)</f>
        <v>8075</v>
      </c>
      <c r="E753" s="2">
        <f ca="1">IFERROR(__xludf.DUMMYFUNCTION("""COMPUTED_VALUE"""),8200)</f>
        <v>8200</v>
      </c>
      <c r="F753" s="2">
        <f ca="1">IFERROR(__xludf.DUMMYFUNCTION("""COMPUTED_VALUE"""),36258500)</f>
        <v>36258500</v>
      </c>
    </row>
    <row r="754" spans="1:6">
      <c r="A754" s="1">
        <f ca="1">IFERROR(__xludf.DUMMYFUNCTION("""COMPUTED_VALUE"""),43144.625)</f>
        <v>43144.625</v>
      </c>
      <c r="B754" s="2">
        <f ca="1">IFERROR(__xludf.DUMMYFUNCTION("""COMPUTED_VALUE"""),8200)</f>
        <v>8200</v>
      </c>
      <c r="C754" s="2">
        <f ca="1">IFERROR(__xludf.DUMMYFUNCTION("""COMPUTED_VALUE"""),8300)</f>
        <v>8300</v>
      </c>
      <c r="D754" s="2">
        <f ca="1">IFERROR(__xludf.DUMMYFUNCTION("""COMPUTED_VALUE"""),8200)</f>
        <v>8200</v>
      </c>
      <c r="E754" s="2">
        <f ca="1">IFERROR(__xludf.DUMMYFUNCTION("""COMPUTED_VALUE"""),8275)</f>
        <v>8275</v>
      </c>
      <c r="F754" s="2">
        <f ca="1">IFERROR(__xludf.DUMMYFUNCTION("""COMPUTED_VALUE"""),37935300)</f>
        <v>37935300</v>
      </c>
    </row>
    <row r="755" spans="1:6">
      <c r="A755" s="1">
        <f ca="1">IFERROR(__xludf.DUMMYFUNCTION("""COMPUTED_VALUE"""),43145.625)</f>
        <v>43145.625</v>
      </c>
      <c r="B755" s="2">
        <f ca="1">IFERROR(__xludf.DUMMYFUNCTION("""COMPUTED_VALUE"""),8300)</f>
        <v>8300</v>
      </c>
      <c r="C755" s="2">
        <f ca="1">IFERROR(__xludf.DUMMYFUNCTION("""COMPUTED_VALUE"""),8325)</f>
        <v>8325</v>
      </c>
      <c r="D755" s="2">
        <f ca="1">IFERROR(__xludf.DUMMYFUNCTION("""COMPUTED_VALUE"""),8225)</f>
        <v>8225</v>
      </c>
      <c r="E755" s="2">
        <f ca="1">IFERROR(__xludf.DUMMYFUNCTION("""COMPUTED_VALUE"""),8300)</f>
        <v>8300</v>
      </c>
      <c r="F755" s="2">
        <f ca="1">IFERROR(__xludf.DUMMYFUNCTION("""COMPUTED_VALUE"""),13365400)</f>
        <v>13365400</v>
      </c>
    </row>
    <row r="756" spans="1:6">
      <c r="A756" s="1">
        <f ca="1">IFERROR(__xludf.DUMMYFUNCTION("""COMPUTED_VALUE"""),43146.5416666666)</f>
        <v>43146.541666666599</v>
      </c>
      <c r="B756" s="2">
        <f ca="1">IFERROR(__xludf.DUMMYFUNCTION("""COMPUTED_VALUE"""),8375)</f>
        <v>8375</v>
      </c>
      <c r="C756" s="2">
        <f ca="1">IFERROR(__xludf.DUMMYFUNCTION("""COMPUTED_VALUE"""),8375)</f>
        <v>8375</v>
      </c>
      <c r="D756" s="2">
        <f ca="1">IFERROR(__xludf.DUMMYFUNCTION("""COMPUTED_VALUE"""),8150)</f>
        <v>8150</v>
      </c>
      <c r="E756" s="2">
        <f ca="1">IFERROR(__xludf.DUMMYFUNCTION("""COMPUTED_VALUE"""),8300)</f>
        <v>8300</v>
      </c>
      <c r="F756" s="2">
        <f ca="1">IFERROR(__xludf.DUMMYFUNCTION("""COMPUTED_VALUE"""),32778500)</f>
        <v>32778500</v>
      </c>
    </row>
    <row r="757" spans="1:6">
      <c r="A757" s="1">
        <f ca="1">IFERROR(__xludf.DUMMYFUNCTION("""COMPUTED_VALUE"""),43150.625)</f>
        <v>43150.625</v>
      </c>
      <c r="B757" s="2">
        <f ca="1">IFERROR(__xludf.DUMMYFUNCTION("""COMPUTED_VALUE"""),8350)</f>
        <v>8350</v>
      </c>
      <c r="C757" s="2">
        <f ca="1">IFERROR(__xludf.DUMMYFUNCTION("""COMPUTED_VALUE"""),8475)</f>
        <v>8475</v>
      </c>
      <c r="D757" s="2">
        <f ca="1">IFERROR(__xludf.DUMMYFUNCTION("""COMPUTED_VALUE"""),8275)</f>
        <v>8275</v>
      </c>
      <c r="E757" s="2">
        <f ca="1">IFERROR(__xludf.DUMMYFUNCTION("""COMPUTED_VALUE"""),8475)</f>
        <v>8475</v>
      </c>
      <c r="F757" s="2">
        <f ca="1">IFERROR(__xludf.DUMMYFUNCTION("""COMPUTED_VALUE"""),24671100)</f>
        <v>24671100</v>
      </c>
    </row>
    <row r="758" spans="1:6">
      <c r="A758" s="1">
        <f ca="1">IFERROR(__xludf.DUMMYFUNCTION("""COMPUTED_VALUE"""),43151.625)</f>
        <v>43151.625</v>
      </c>
      <c r="B758" s="2">
        <f ca="1">IFERROR(__xludf.DUMMYFUNCTION("""COMPUTED_VALUE"""),8525)</f>
        <v>8525</v>
      </c>
      <c r="C758" s="2">
        <f ca="1">IFERROR(__xludf.DUMMYFUNCTION("""COMPUTED_VALUE"""),9050)</f>
        <v>9050</v>
      </c>
      <c r="D758" s="2">
        <f ca="1">IFERROR(__xludf.DUMMYFUNCTION("""COMPUTED_VALUE"""),8425)</f>
        <v>8425</v>
      </c>
      <c r="E758" s="2">
        <f ca="1">IFERROR(__xludf.DUMMYFUNCTION("""COMPUTED_VALUE"""),9050)</f>
        <v>9050</v>
      </c>
      <c r="F758" s="2">
        <f ca="1">IFERROR(__xludf.DUMMYFUNCTION("""COMPUTED_VALUE"""),39649200)</f>
        <v>39649200</v>
      </c>
    </row>
    <row r="759" spans="1:6">
      <c r="A759" s="1">
        <f ca="1">IFERROR(__xludf.DUMMYFUNCTION("""COMPUTED_VALUE"""),43152.625)</f>
        <v>43152.625</v>
      </c>
      <c r="B759" s="2">
        <f ca="1">IFERROR(__xludf.DUMMYFUNCTION("""COMPUTED_VALUE"""),8900)</f>
        <v>8900</v>
      </c>
      <c r="C759" s="2">
        <f ca="1">IFERROR(__xludf.DUMMYFUNCTION("""COMPUTED_VALUE"""),8925)</f>
        <v>8925</v>
      </c>
      <c r="D759" s="2">
        <f ca="1">IFERROR(__xludf.DUMMYFUNCTION("""COMPUTED_VALUE"""),8750)</f>
        <v>8750</v>
      </c>
      <c r="E759" s="2">
        <f ca="1">IFERROR(__xludf.DUMMYFUNCTION("""COMPUTED_VALUE"""),8800)</f>
        <v>8800</v>
      </c>
      <c r="F759" s="2">
        <f ca="1">IFERROR(__xludf.DUMMYFUNCTION("""COMPUTED_VALUE"""),41922800)</f>
        <v>41922800</v>
      </c>
    </row>
    <row r="760" spans="1:6">
      <c r="A760" s="1">
        <f ca="1">IFERROR(__xludf.DUMMYFUNCTION("""COMPUTED_VALUE"""),43153.625)</f>
        <v>43153.625</v>
      </c>
      <c r="B760" s="2">
        <f ca="1">IFERROR(__xludf.DUMMYFUNCTION("""COMPUTED_VALUE"""),8875)</f>
        <v>8875</v>
      </c>
      <c r="C760" s="2">
        <f ca="1">IFERROR(__xludf.DUMMYFUNCTION("""COMPUTED_VALUE"""),8875)</f>
        <v>8875</v>
      </c>
      <c r="D760" s="2">
        <f ca="1">IFERROR(__xludf.DUMMYFUNCTION("""COMPUTED_VALUE"""),8575)</f>
        <v>8575</v>
      </c>
      <c r="E760" s="2">
        <f ca="1">IFERROR(__xludf.DUMMYFUNCTION("""COMPUTED_VALUE"""),8625)</f>
        <v>8625</v>
      </c>
      <c r="F760" s="2">
        <f ca="1">IFERROR(__xludf.DUMMYFUNCTION("""COMPUTED_VALUE"""),19650700)</f>
        <v>19650700</v>
      </c>
    </row>
    <row r="761" spans="1:6">
      <c r="A761" s="1">
        <f ca="1">IFERROR(__xludf.DUMMYFUNCTION("""COMPUTED_VALUE"""),43154.625)</f>
        <v>43154.625</v>
      </c>
      <c r="B761" s="2">
        <f ca="1">IFERROR(__xludf.DUMMYFUNCTION("""COMPUTED_VALUE"""),8575)</f>
        <v>8575</v>
      </c>
      <c r="C761" s="2">
        <f ca="1">IFERROR(__xludf.DUMMYFUNCTION("""COMPUTED_VALUE"""),8700)</f>
        <v>8700</v>
      </c>
      <c r="D761" s="2">
        <f ca="1">IFERROR(__xludf.DUMMYFUNCTION("""COMPUTED_VALUE"""),8500)</f>
        <v>8500</v>
      </c>
      <c r="E761" s="2">
        <f ca="1">IFERROR(__xludf.DUMMYFUNCTION("""COMPUTED_VALUE"""),8550)</f>
        <v>8550</v>
      </c>
      <c r="F761" s="2">
        <f ca="1">IFERROR(__xludf.DUMMYFUNCTION("""COMPUTED_VALUE"""),31355900)</f>
        <v>31355900</v>
      </c>
    </row>
    <row r="762" spans="1:6">
      <c r="A762" s="1">
        <f ca="1">IFERROR(__xludf.DUMMYFUNCTION("""COMPUTED_VALUE"""),43157.625)</f>
        <v>43157.625</v>
      </c>
      <c r="B762" s="2">
        <f ca="1">IFERROR(__xludf.DUMMYFUNCTION("""COMPUTED_VALUE"""),8600)</f>
        <v>8600</v>
      </c>
      <c r="C762" s="2">
        <f ca="1">IFERROR(__xludf.DUMMYFUNCTION("""COMPUTED_VALUE"""),8600)</f>
        <v>8600</v>
      </c>
      <c r="D762" s="2">
        <f ca="1">IFERROR(__xludf.DUMMYFUNCTION("""COMPUTED_VALUE"""),8300)</f>
        <v>8300</v>
      </c>
      <c r="E762" s="2">
        <f ca="1">IFERROR(__xludf.DUMMYFUNCTION("""COMPUTED_VALUE"""),8300)</f>
        <v>8300</v>
      </c>
      <c r="F762" s="2">
        <f ca="1">IFERROR(__xludf.DUMMYFUNCTION("""COMPUTED_VALUE"""),33270700)</f>
        <v>33270700</v>
      </c>
    </row>
    <row r="763" spans="1:6">
      <c r="A763" s="1">
        <f ca="1">IFERROR(__xludf.DUMMYFUNCTION("""COMPUTED_VALUE"""),43158.625)</f>
        <v>43158.625</v>
      </c>
      <c r="B763" s="2">
        <f ca="1">IFERROR(__xludf.DUMMYFUNCTION("""COMPUTED_VALUE"""),8425)</f>
        <v>8425</v>
      </c>
      <c r="C763" s="2">
        <f ca="1">IFERROR(__xludf.DUMMYFUNCTION("""COMPUTED_VALUE"""),8525)</f>
        <v>8525</v>
      </c>
      <c r="D763" s="2">
        <f ca="1">IFERROR(__xludf.DUMMYFUNCTION("""COMPUTED_VALUE"""),8325)</f>
        <v>8325</v>
      </c>
      <c r="E763" s="2">
        <f ca="1">IFERROR(__xludf.DUMMYFUNCTION("""COMPUTED_VALUE"""),8425)</f>
        <v>8425</v>
      </c>
      <c r="F763" s="2">
        <f ca="1">IFERROR(__xludf.DUMMYFUNCTION("""COMPUTED_VALUE"""),46497200)</f>
        <v>46497200</v>
      </c>
    </row>
    <row r="764" spans="1:6">
      <c r="A764" s="1">
        <f ca="1">IFERROR(__xludf.DUMMYFUNCTION("""COMPUTED_VALUE"""),43159.625)</f>
        <v>43159.625</v>
      </c>
      <c r="B764" s="2">
        <f ca="1">IFERROR(__xludf.DUMMYFUNCTION("""COMPUTED_VALUE"""),8475)</f>
        <v>8475</v>
      </c>
      <c r="C764" s="2">
        <f ca="1">IFERROR(__xludf.DUMMYFUNCTION("""COMPUTED_VALUE"""),8475)</f>
        <v>8475</v>
      </c>
      <c r="D764" s="2">
        <f ca="1">IFERROR(__xludf.DUMMYFUNCTION("""COMPUTED_VALUE"""),8300)</f>
        <v>8300</v>
      </c>
      <c r="E764" s="2">
        <f ca="1">IFERROR(__xludf.DUMMYFUNCTION("""COMPUTED_VALUE"""),8300)</f>
        <v>8300</v>
      </c>
      <c r="F764" s="2">
        <f ca="1">IFERROR(__xludf.DUMMYFUNCTION("""COMPUTED_VALUE"""),40678300)</f>
        <v>40678300</v>
      </c>
    </row>
    <row r="765" spans="1:6">
      <c r="A765" s="1">
        <f ca="1">IFERROR(__xludf.DUMMYFUNCTION("""COMPUTED_VALUE"""),43160.625)</f>
        <v>43160.625</v>
      </c>
      <c r="B765" s="2">
        <f ca="1">IFERROR(__xludf.DUMMYFUNCTION("""COMPUTED_VALUE"""),8400)</f>
        <v>8400</v>
      </c>
      <c r="C765" s="2">
        <f ca="1">IFERROR(__xludf.DUMMYFUNCTION("""COMPUTED_VALUE"""),8450)</f>
        <v>8450</v>
      </c>
      <c r="D765" s="2">
        <f ca="1">IFERROR(__xludf.DUMMYFUNCTION("""COMPUTED_VALUE"""),8325)</f>
        <v>8325</v>
      </c>
      <c r="E765" s="2">
        <f ca="1">IFERROR(__xludf.DUMMYFUNCTION("""COMPUTED_VALUE"""),8375)</f>
        <v>8375</v>
      </c>
      <c r="F765" s="2">
        <f ca="1">IFERROR(__xludf.DUMMYFUNCTION("""COMPUTED_VALUE"""),25341100)</f>
        <v>25341100</v>
      </c>
    </row>
    <row r="766" spans="1:6">
      <c r="A766" s="1">
        <f ca="1">IFERROR(__xludf.DUMMYFUNCTION("""COMPUTED_VALUE"""),43161.625)</f>
        <v>43161.625</v>
      </c>
      <c r="B766" s="2">
        <f ca="1">IFERROR(__xludf.DUMMYFUNCTION("""COMPUTED_VALUE"""),8325)</f>
        <v>8325</v>
      </c>
      <c r="C766" s="2">
        <f ca="1">IFERROR(__xludf.DUMMYFUNCTION("""COMPUTED_VALUE"""),8475)</f>
        <v>8475</v>
      </c>
      <c r="D766" s="2">
        <f ca="1">IFERROR(__xludf.DUMMYFUNCTION("""COMPUTED_VALUE"""),8225)</f>
        <v>8225</v>
      </c>
      <c r="E766" s="2">
        <f ca="1">IFERROR(__xludf.DUMMYFUNCTION("""COMPUTED_VALUE"""),8475)</f>
        <v>8475</v>
      </c>
      <c r="F766" s="2">
        <f ca="1">IFERROR(__xludf.DUMMYFUNCTION("""COMPUTED_VALUE"""),24880700)</f>
        <v>24880700</v>
      </c>
    </row>
    <row r="767" spans="1:6">
      <c r="A767" s="1">
        <f ca="1">IFERROR(__xludf.DUMMYFUNCTION("""COMPUTED_VALUE"""),43164.625)</f>
        <v>43164.625</v>
      </c>
      <c r="B767" s="2">
        <f ca="1">IFERROR(__xludf.DUMMYFUNCTION("""COMPUTED_VALUE"""),8375)</f>
        <v>8375</v>
      </c>
      <c r="C767" s="2">
        <f ca="1">IFERROR(__xludf.DUMMYFUNCTION("""COMPUTED_VALUE"""),8425)</f>
        <v>8425</v>
      </c>
      <c r="D767" s="2">
        <f ca="1">IFERROR(__xludf.DUMMYFUNCTION("""COMPUTED_VALUE"""),8200)</f>
        <v>8200</v>
      </c>
      <c r="E767" s="2">
        <f ca="1">IFERROR(__xludf.DUMMYFUNCTION("""COMPUTED_VALUE"""),8225)</f>
        <v>8225</v>
      </c>
      <c r="F767" s="2">
        <f ca="1">IFERROR(__xludf.DUMMYFUNCTION("""COMPUTED_VALUE"""),22188300)</f>
        <v>22188300</v>
      </c>
    </row>
    <row r="768" spans="1:6">
      <c r="A768" s="1">
        <f ca="1">IFERROR(__xludf.DUMMYFUNCTION("""COMPUTED_VALUE"""),43165.625)</f>
        <v>43165.625</v>
      </c>
      <c r="B768" s="2">
        <f ca="1">IFERROR(__xludf.DUMMYFUNCTION("""COMPUTED_VALUE"""),8275)</f>
        <v>8275</v>
      </c>
      <c r="C768" s="2">
        <f ca="1">IFERROR(__xludf.DUMMYFUNCTION("""COMPUTED_VALUE"""),8300)</f>
        <v>8300</v>
      </c>
      <c r="D768" s="2">
        <f ca="1">IFERROR(__xludf.DUMMYFUNCTION("""COMPUTED_VALUE"""),8000)</f>
        <v>8000</v>
      </c>
      <c r="E768" s="2">
        <f ca="1">IFERROR(__xludf.DUMMYFUNCTION("""COMPUTED_VALUE"""),8050)</f>
        <v>8050</v>
      </c>
      <c r="F768" s="2">
        <f ca="1">IFERROR(__xludf.DUMMYFUNCTION("""COMPUTED_VALUE"""),38668500)</f>
        <v>38668500</v>
      </c>
    </row>
    <row r="769" spans="1:6">
      <c r="A769" s="1">
        <f ca="1">IFERROR(__xludf.DUMMYFUNCTION("""COMPUTED_VALUE"""),43166.625)</f>
        <v>43166.625</v>
      </c>
      <c r="B769" s="2">
        <f ca="1">IFERROR(__xludf.DUMMYFUNCTION("""COMPUTED_VALUE"""),8025)</f>
        <v>8025</v>
      </c>
      <c r="C769" s="2">
        <f ca="1">IFERROR(__xludf.DUMMYFUNCTION("""COMPUTED_VALUE"""),8125)</f>
        <v>8125</v>
      </c>
      <c r="D769" s="2">
        <f ca="1">IFERROR(__xludf.DUMMYFUNCTION("""COMPUTED_VALUE"""),7700)</f>
        <v>7700</v>
      </c>
      <c r="E769" s="2">
        <f ca="1">IFERROR(__xludf.DUMMYFUNCTION("""COMPUTED_VALUE"""),7925)</f>
        <v>7925</v>
      </c>
      <c r="F769" s="2">
        <f ca="1">IFERROR(__xludf.DUMMYFUNCTION("""COMPUTED_VALUE"""),58498800)</f>
        <v>58498800</v>
      </c>
    </row>
    <row r="770" spans="1:6">
      <c r="A770" s="1">
        <f ca="1">IFERROR(__xludf.DUMMYFUNCTION("""COMPUTED_VALUE"""),43167.625)</f>
        <v>43167.625</v>
      </c>
      <c r="B770" s="2">
        <f ca="1">IFERROR(__xludf.DUMMYFUNCTION("""COMPUTED_VALUE"""),8000)</f>
        <v>8000</v>
      </c>
      <c r="C770" s="2">
        <f ca="1">IFERROR(__xludf.DUMMYFUNCTION("""COMPUTED_VALUE"""),8175)</f>
        <v>8175</v>
      </c>
      <c r="D770" s="2">
        <f ca="1">IFERROR(__xludf.DUMMYFUNCTION("""COMPUTED_VALUE"""),8000)</f>
        <v>8000</v>
      </c>
      <c r="E770" s="2">
        <f ca="1">IFERROR(__xludf.DUMMYFUNCTION("""COMPUTED_VALUE"""),8100)</f>
        <v>8100</v>
      </c>
      <c r="F770" s="2">
        <f ca="1">IFERROR(__xludf.DUMMYFUNCTION("""COMPUTED_VALUE"""),43317800)</f>
        <v>43317800</v>
      </c>
    </row>
    <row r="771" spans="1:6">
      <c r="A771" s="1">
        <f ca="1">IFERROR(__xludf.DUMMYFUNCTION("""COMPUTED_VALUE"""),43168.625)</f>
        <v>43168.625</v>
      </c>
      <c r="B771" s="2">
        <f ca="1">IFERROR(__xludf.DUMMYFUNCTION("""COMPUTED_VALUE"""),8050)</f>
        <v>8050</v>
      </c>
      <c r="C771" s="2">
        <f ca="1">IFERROR(__xludf.DUMMYFUNCTION("""COMPUTED_VALUE"""),8175)</f>
        <v>8175</v>
      </c>
      <c r="D771" s="2">
        <f ca="1">IFERROR(__xludf.DUMMYFUNCTION("""COMPUTED_VALUE"""),8000)</f>
        <v>8000</v>
      </c>
      <c r="E771" s="2">
        <f ca="1">IFERROR(__xludf.DUMMYFUNCTION("""COMPUTED_VALUE"""),8100)</f>
        <v>8100</v>
      </c>
      <c r="F771" s="2">
        <f ca="1">IFERROR(__xludf.DUMMYFUNCTION("""COMPUTED_VALUE"""),23195500)</f>
        <v>23195500</v>
      </c>
    </row>
    <row r="772" spans="1:6">
      <c r="A772" s="1">
        <f ca="1">IFERROR(__xludf.DUMMYFUNCTION("""COMPUTED_VALUE"""),43171.625)</f>
        <v>43171.625</v>
      </c>
      <c r="B772" s="2">
        <f ca="1">IFERROR(__xludf.DUMMYFUNCTION("""COMPUTED_VALUE"""),8200)</f>
        <v>8200</v>
      </c>
      <c r="C772" s="2">
        <f ca="1">IFERROR(__xludf.DUMMYFUNCTION("""COMPUTED_VALUE"""),8325)</f>
        <v>8325</v>
      </c>
      <c r="D772" s="2">
        <f ca="1">IFERROR(__xludf.DUMMYFUNCTION("""COMPUTED_VALUE"""),8150)</f>
        <v>8150</v>
      </c>
      <c r="E772" s="2">
        <f ca="1">IFERROR(__xludf.DUMMYFUNCTION("""COMPUTED_VALUE"""),8325)</f>
        <v>8325</v>
      </c>
      <c r="F772" s="2">
        <f ca="1">IFERROR(__xludf.DUMMYFUNCTION("""COMPUTED_VALUE"""),39155300)</f>
        <v>39155300</v>
      </c>
    </row>
    <row r="773" spans="1:6">
      <c r="A773" s="1">
        <f ca="1">IFERROR(__xludf.DUMMYFUNCTION("""COMPUTED_VALUE"""),43172.625)</f>
        <v>43172.625</v>
      </c>
      <c r="B773" s="2">
        <f ca="1">IFERROR(__xludf.DUMMYFUNCTION("""COMPUTED_VALUE"""),8225)</f>
        <v>8225</v>
      </c>
      <c r="C773" s="2">
        <f ca="1">IFERROR(__xludf.DUMMYFUNCTION("""COMPUTED_VALUE"""),8275)</f>
        <v>8275</v>
      </c>
      <c r="D773" s="2">
        <f ca="1">IFERROR(__xludf.DUMMYFUNCTION("""COMPUTED_VALUE"""),8050)</f>
        <v>8050</v>
      </c>
      <c r="E773" s="2">
        <f ca="1">IFERROR(__xludf.DUMMYFUNCTION("""COMPUTED_VALUE"""),8175)</f>
        <v>8175</v>
      </c>
      <c r="F773" s="2">
        <f ca="1">IFERROR(__xludf.DUMMYFUNCTION("""COMPUTED_VALUE"""),39811300)</f>
        <v>39811300</v>
      </c>
    </row>
    <row r="774" spans="1:6">
      <c r="A774" s="1">
        <f ca="1">IFERROR(__xludf.DUMMYFUNCTION("""COMPUTED_VALUE"""),43173.625)</f>
        <v>43173.625</v>
      </c>
      <c r="B774" s="2">
        <f ca="1">IFERROR(__xludf.DUMMYFUNCTION("""COMPUTED_VALUE"""),8225)</f>
        <v>8225</v>
      </c>
      <c r="C774" s="2">
        <f ca="1">IFERROR(__xludf.DUMMYFUNCTION("""COMPUTED_VALUE"""),8225)</f>
        <v>8225</v>
      </c>
      <c r="D774" s="2">
        <f ca="1">IFERROR(__xludf.DUMMYFUNCTION("""COMPUTED_VALUE"""),7975)</f>
        <v>7975</v>
      </c>
      <c r="E774" s="2">
        <f ca="1">IFERROR(__xludf.DUMMYFUNCTION("""COMPUTED_VALUE"""),8200)</f>
        <v>8200</v>
      </c>
      <c r="F774" s="2">
        <f ca="1">IFERROR(__xludf.DUMMYFUNCTION("""COMPUTED_VALUE"""),20998500)</f>
        <v>20998500</v>
      </c>
    </row>
    <row r="775" spans="1:6">
      <c r="A775" s="1">
        <f ca="1">IFERROR(__xludf.DUMMYFUNCTION("""COMPUTED_VALUE"""),43174.625)</f>
        <v>43174.625</v>
      </c>
      <c r="B775" s="2">
        <f ca="1">IFERROR(__xludf.DUMMYFUNCTION("""COMPUTED_VALUE"""),8175)</f>
        <v>8175</v>
      </c>
      <c r="C775" s="2">
        <f ca="1">IFERROR(__xludf.DUMMYFUNCTION("""COMPUTED_VALUE"""),8175)</f>
        <v>8175</v>
      </c>
      <c r="D775" s="2">
        <f ca="1">IFERROR(__xludf.DUMMYFUNCTION("""COMPUTED_VALUE"""),8000)</f>
        <v>8000</v>
      </c>
      <c r="E775" s="2">
        <f ca="1">IFERROR(__xludf.DUMMYFUNCTION("""COMPUTED_VALUE"""),8000)</f>
        <v>8000</v>
      </c>
      <c r="F775" s="2">
        <f ca="1">IFERROR(__xludf.DUMMYFUNCTION("""COMPUTED_VALUE"""),33253500)</f>
        <v>33253500</v>
      </c>
    </row>
    <row r="776" spans="1:6">
      <c r="A776" s="1">
        <f ca="1">IFERROR(__xludf.DUMMYFUNCTION("""COMPUTED_VALUE"""),43175.625)</f>
        <v>43175.625</v>
      </c>
      <c r="B776" s="2">
        <f ca="1">IFERROR(__xludf.DUMMYFUNCTION("""COMPUTED_VALUE"""),7900)</f>
        <v>7900</v>
      </c>
      <c r="C776" s="2">
        <f ca="1">IFERROR(__xludf.DUMMYFUNCTION("""COMPUTED_VALUE"""),7950)</f>
        <v>7950</v>
      </c>
      <c r="D776" s="2">
        <f ca="1">IFERROR(__xludf.DUMMYFUNCTION("""COMPUTED_VALUE"""),7700)</f>
        <v>7700</v>
      </c>
      <c r="E776" s="2">
        <f ca="1">IFERROR(__xludf.DUMMYFUNCTION("""COMPUTED_VALUE"""),7925)</f>
        <v>7925</v>
      </c>
      <c r="F776" s="2">
        <f ca="1">IFERROR(__xludf.DUMMYFUNCTION("""COMPUTED_VALUE"""),77786000)</f>
        <v>77786000</v>
      </c>
    </row>
    <row r="777" spans="1:6">
      <c r="A777" s="1">
        <f ca="1">IFERROR(__xludf.DUMMYFUNCTION("""COMPUTED_VALUE"""),43178.625)</f>
        <v>43178.625</v>
      </c>
      <c r="B777" s="2">
        <f ca="1">IFERROR(__xludf.DUMMYFUNCTION("""COMPUTED_VALUE"""),8025)</f>
        <v>8025</v>
      </c>
      <c r="C777" s="2">
        <f ca="1">IFERROR(__xludf.DUMMYFUNCTION("""COMPUTED_VALUE"""),8125)</f>
        <v>8125</v>
      </c>
      <c r="D777" s="2">
        <f ca="1">IFERROR(__xludf.DUMMYFUNCTION("""COMPUTED_VALUE"""),7925)</f>
        <v>7925</v>
      </c>
      <c r="E777" s="2">
        <f ca="1">IFERROR(__xludf.DUMMYFUNCTION("""COMPUTED_VALUE"""),8075)</f>
        <v>8075</v>
      </c>
      <c r="F777" s="2">
        <f ca="1">IFERROR(__xludf.DUMMYFUNCTION("""COMPUTED_VALUE"""),47579200)</f>
        <v>47579200</v>
      </c>
    </row>
    <row r="778" spans="1:6">
      <c r="A778" s="1">
        <f ca="1">IFERROR(__xludf.DUMMYFUNCTION("""COMPUTED_VALUE"""),43179.625)</f>
        <v>43179.625</v>
      </c>
      <c r="B778" s="2">
        <f ca="1">IFERROR(__xludf.DUMMYFUNCTION("""COMPUTED_VALUE"""),7950)</f>
        <v>7950</v>
      </c>
      <c r="C778" s="2">
        <f ca="1">IFERROR(__xludf.DUMMYFUNCTION("""COMPUTED_VALUE"""),8150)</f>
        <v>8150</v>
      </c>
      <c r="D778" s="2">
        <f ca="1">IFERROR(__xludf.DUMMYFUNCTION("""COMPUTED_VALUE"""),7850)</f>
        <v>7850</v>
      </c>
      <c r="E778" s="2">
        <f ca="1">IFERROR(__xludf.DUMMYFUNCTION("""COMPUTED_VALUE"""),8100)</f>
        <v>8100</v>
      </c>
      <c r="F778" s="2">
        <f ca="1">IFERROR(__xludf.DUMMYFUNCTION("""COMPUTED_VALUE"""),38932400)</f>
        <v>38932400</v>
      </c>
    </row>
    <row r="779" spans="1:6">
      <c r="A779" s="1">
        <f ca="1">IFERROR(__xludf.DUMMYFUNCTION("""COMPUTED_VALUE"""),43180.625)</f>
        <v>43180.625</v>
      </c>
      <c r="B779" s="2">
        <f ca="1">IFERROR(__xludf.DUMMYFUNCTION("""COMPUTED_VALUE"""),8200)</f>
        <v>8200</v>
      </c>
      <c r="C779" s="2">
        <f ca="1">IFERROR(__xludf.DUMMYFUNCTION("""COMPUTED_VALUE"""),8225)</f>
        <v>8225</v>
      </c>
      <c r="D779" s="2">
        <f ca="1">IFERROR(__xludf.DUMMYFUNCTION("""COMPUTED_VALUE"""),8100)</f>
        <v>8100</v>
      </c>
      <c r="E779" s="2">
        <f ca="1">IFERROR(__xludf.DUMMYFUNCTION("""COMPUTED_VALUE"""),8200)</f>
        <v>8200</v>
      </c>
      <c r="F779" s="2">
        <f ca="1">IFERROR(__xludf.DUMMYFUNCTION("""COMPUTED_VALUE"""),56648700)</f>
        <v>56648700</v>
      </c>
    </row>
    <row r="780" spans="1:6">
      <c r="A780" s="1">
        <f ca="1">IFERROR(__xludf.DUMMYFUNCTION("""COMPUTED_VALUE"""),43181.625)</f>
        <v>43181.625</v>
      </c>
      <c r="B780" s="2">
        <f ca="1">IFERROR(__xludf.DUMMYFUNCTION("""COMPUTED_VALUE"""),8250)</f>
        <v>8250</v>
      </c>
      <c r="C780" s="2">
        <f ca="1">IFERROR(__xludf.DUMMYFUNCTION("""COMPUTED_VALUE"""),8250)</f>
        <v>8250</v>
      </c>
      <c r="D780" s="2">
        <f ca="1">IFERROR(__xludf.DUMMYFUNCTION("""COMPUTED_VALUE"""),7950)</f>
        <v>7950</v>
      </c>
      <c r="E780" s="2">
        <f ca="1">IFERROR(__xludf.DUMMYFUNCTION("""COMPUTED_VALUE"""),8000)</f>
        <v>8000</v>
      </c>
      <c r="F780" s="2">
        <f ca="1">IFERROR(__xludf.DUMMYFUNCTION("""COMPUTED_VALUE"""),91686000)</f>
        <v>91686000</v>
      </c>
    </row>
    <row r="781" spans="1:6">
      <c r="A781" s="1">
        <f ca="1">IFERROR(__xludf.DUMMYFUNCTION("""COMPUTED_VALUE"""),43182.625)</f>
        <v>43182.625</v>
      </c>
      <c r="B781" s="2">
        <f ca="1">IFERROR(__xludf.DUMMYFUNCTION("""COMPUTED_VALUE"""),7800)</f>
        <v>7800</v>
      </c>
      <c r="C781" s="2">
        <f ca="1">IFERROR(__xludf.DUMMYFUNCTION("""COMPUTED_VALUE"""),8050)</f>
        <v>8050</v>
      </c>
      <c r="D781" s="2">
        <f ca="1">IFERROR(__xludf.DUMMYFUNCTION("""COMPUTED_VALUE"""),7700)</f>
        <v>7700</v>
      </c>
      <c r="E781" s="2">
        <f ca="1">IFERROR(__xludf.DUMMYFUNCTION("""COMPUTED_VALUE"""),8050)</f>
        <v>8050</v>
      </c>
      <c r="F781" s="2">
        <f ca="1">IFERROR(__xludf.DUMMYFUNCTION("""COMPUTED_VALUE"""),45331300)</f>
        <v>45331300</v>
      </c>
    </row>
    <row r="782" spans="1:6">
      <c r="A782" s="1">
        <f ca="1">IFERROR(__xludf.DUMMYFUNCTION("""COMPUTED_VALUE"""),43185.625)</f>
        <v>43185.625</v>
      </c>
      <c r="B782" s="2">
        <f ca="1">IFERROR(__xludf.DUMMYFUNCTION("""COMPUTED_VALUE"""),7850)</f>
        <v>7850</v>
      </c>
      <c r="C782" s="2">
        <f ca="1">IFERROR(__xludf.DUMMYFUNCTION("""COMPUTED_VALUE"""),8075)</f>
        <v>8075</v>
      </c>
      <c r="D782" s="2">
        <f ca="1">IFERROR(__xludf.DUMMYFUNCTION("""COMPUTED_VALUE"""),7850)</f>
        <v>7850</v>
      </c>
      <c r="E782" s="2">
        <f ca="1">IFERROR(__xludf.DUMMYFUNCTION("""COMPUTED_VALUE"""),8075)</f>
        <v>8075</v>
      </c>
      <c r="F782" s="2">
        <f ca="1">IFERROR(__xludf.DUMMYFUNCTION("""COMPUTED_VALUE"""),21336700)</f>
        <v>21336700</v>
      </c>
    </row>
    <row r="783" spans="1:6">
      <c r="A783" s="1">
        <f ca="1">IFERROR(__xludf.DUMMYFUNCTION("""COMPUTED_VALUE"""),43186.625)</f>
        <v>43186.625</v>
      </c>
      <c r="B783" s="2">
        <f ca="1">IFERROR(__xludf.DUMMYFUNCTION("""COMPUTED_VALUE"""),8125)</f>
        <v>8125</v>
      </c>
      <c r="C783" s="2">
        <f ca="1">IFERROR(__xludf.DUMMYFUNCTION("""COMPUTED_VALUE"""),8150)</f>
        <v>8150</v>
      </c>
      <c r="D783" s="2">
        <f ca="1">IFERROR(__xludf.DUMMYFUNCTION("""COMPUTED_VALUE"""),7950)</f>
        <v>7950</v>
      </c>
      <c r="E783" s="2">
        <f ca="1">IFERROR(__xludf.DUMMYFUNCTION("""COMPUTED_VALUE"""),8000)</f>
        <v>8000</v>
      </c>
      <c r="F783" s="2">
        <f ca="1">IFERROR(__xludf.DUMMYFUNCTION("""COMPUTED_VALUE"""),27725100)</f>
        <v>27725100</v>
      </c>
    </row>
    <row r="784" spans="1:6">
      <c r="A784" s="1">
        <f ca="1">IFERROR(__xludf.DUMMYFUNCTION("""COMPUTED_VALUE"""),43187.625)</f>
        <v>43187.625</v>
      </c>
      <c r="B784" s="2">
        <f ca="1">IFERROR(__xludf.DUMMYFUNCTION("""COMPUTED_VALUE"""),7950)</f>
        <v>7950</v>
      </c>
      <c r="C784" s="2">
        <f ca="1">IFERROR(__xludf.DUMMYFUNCTION("""COMPUTED_VALUE"""),7975)</f>
        <v>7975</v>
      </c>
      <c r="D784" s="2">
        <f ca="1">IFERROR(__xludf.DUMMYFUNCTION("""COMPUTED_VALUE"""),7725)</f>
        <v>7725</v>
      </c>
      <c r="E784" s="2">
        <f ca="1">IFERROR(__xludf.DUMMYFUNCTION("""COMPUTED_VALUE"""),7800)</f>
        <v>7800</v>
      </c>
      <c r="F784" s="2">
        <f ca="1">IFERROR(__xludf.DUMMYFUNCTION("""COMPUTED_VALUE"""),38101600)</f>
        <v>38101600</v>
      </c>
    </row>
    <row r="785" spans="1:6">
      <c r="A785" s="1">
        <f ca="1">IFERROR(__xludf.DUMMYFUNCTION("""COMPUTED_VALUE"""),43188.625)</f>
        <v>43188.625</v>
      </c>
      <c r="B785" s="2">
        <f ca="1">IFERROR(__xludf.DUMMYFUNCTION("""COMPUTED_VALUE"""),7650)</f>
        <v>7650</v>
      </c>
      <c r="C785" s="2">
        <f ca="1">IFERROR(__xludf.DUMMYFUNCTION("""COMPUTED_VALUE"""),7675)</f>
        <v>7675</v>
      </c>
      <c r="D785" s="2">
        <f ca="1">IFERROR(__xludf.DUMMYFUNCTION("""COMPUTED_VALUE"""),7525)</f>
        <v>7525</v>
      </c>
      <c r="E785" s="2">
        <f ca="1">IFERROR(__xludf.DUMMYFUNCTION("""COMPUTED_VALUE"""),7675)</f>
        <v>7675</v>
      </c>
      <c r="F785" s="2">
        <f ca="1">IFERROR(__xludf.DUMMYFUNCTION("""COMPUTED_VALUE"""),39238800)</f>
        <v>39238800</v>
      </c>
    </row>
    <row r="786" spans="1:6">
      <c r="A786" s="1">
        <f ca="1">IFERROR(__xludf.DUMMYFUNCTION("""COMPUTED_VALUE"""),43192.625)</f>
        <v>43192.625</v>
      </c>
      <c r="B786" s="2">
        <f ca="1">IFERROR(__xludf.DUMMYFUNCTION("""COMPUTED_VALUE"""),7575)</f>
        <v>7575</v>
      </c>
      <c r="C786" s="2">
        <f ca="1">IFERROR(__xludf.DUMMYFUNCTION("""COMPUTED_VALUE"""),7825)</f>
        <v>7825</v>
      </c>
      <c r="D786" s="2">
        <f ca="1">IFERROR(__xludf.DUMMYFUNCTION("""COMPUTED_VALUE"""),7575)</f>
        <v>7575</v>
      </c>
      <c r="E786" s="2">
        <f ca="1">IFERROR(__xludf.DUMMYFUNCTION("""COMPUTED_VALUE"""),7825)</f>
        <v>7825</v>
      </c>
      <c r="F786" s="2">
        <f ca="1">IFERROR(__xludf.DUMMYFUNCTION("""COMPUTED_VALUE"""),15717600)</f>
        <v>15717600</v>
      </c>
    </row>
    <row r="787" spans="1:6">
      <c r="A787" s="1">
        <f ca="1">IFERROR(__xludf.DUMMYFUNCTION("""COMPUTED_VALUE"""),43193.625)</f>
        <v>43193.625</v>
      </c>
      <c r="B787" s="2">
        <f ca="1">IFERROR(__xludf.DUMMYFUNCTION("""COMPUTED_VALUE"""),7725)</f>
        <v>7725</v>
      </c>
      <c r="C787" s="2">
        <f ca="1">IFERROR(__xludf.DUMMYFUNCTION("""COMPUTED_VALUE"""),7800)</f>
        <v>7800</v>
      </c>
      <c r="D787" s="2">
        <f ca="1">IFERROR(__xludf.DUMMYFUNCTION("""COMPUTED_VALUE"""),7675)</f>
        <v>7675</v>
      </c>
      <c r="E787" s="2">
        <f ca="1">IFERROR(__xludf.DUMMYFUNCTION("""COMPUTED_VALUE"""),7800)</f>
        <v>7800</v>
      </c>
      <c r="F787" s="2">
        <f ca="1">IFERROR(__xludf.DUMMYFUNCTION("""COMPUTED_VALUE"""),23983600)</f>
        <v>23983600</v>
      </c>
    </row>
    <row r="788" spans="1:6">
      <c r="A788" s="1">
        <f ca="1">IFERROR(__xludf.DUMMYFUNCTION("""COMPUTED_VALUE"""),43194.625)</f>
        <v>43194.625</v>
      </c>
      <c r="B788" s="2">
        <f ca="1">IFERROR(__xludf.DUMMYFUNCTION("""COMPUTED_VALUE"""),7825)</f>
        <v>7825</v>
      </c>
      <c r="C788" s="2">
        <f ca="1">IFERROR(__xludf.DUMMYFUNCTION("""COMPUTED_VALUE"""),7825)</f>
        <v>7825</v>
      </c>
      <c r="D788" s="2">
        <f ca="1">IFERROR(__xludf.DUMMYFUNCTION("""COMPUTED_VALUE"""),7550)</f>
        <v>7550</v>
      </c>
      <c r="E788" s="2">
        <f ca="1">IFERROR(__xludf.DUMMYFUNCTION("""COMPUTED_VALUE"""),7600)</f>
        <v>7600</v>
      </c>
      <c r="F788" s="2">
        <f ca="1">IFERROR(__xludf.DUMMYFUNCTION("""COMPUTED_VALUE"""),19143600)</f>
        <v>19143600</v>
      </c>
    </row>
    <row r="789" spans="1:6">
      <c r="A789" s="1">
        <f ca="1">IFERROR(__xludf.DUMMYFUNCTION("""COMPUTED_VALUE"""),43195.625)</f>
        <v>43195.625</v>
      </c>
      <c r="B789" s="2">
        <f ca="1">IFERROR(__xludf.DUMMYFUNCTION("""COMPUTED_VALUE"""),7750)</f>
        <v>7750</v>
      </c>
      <c r="C789" s="2">
        <f ca="1">IFERROR(__xludf.DUMMYFUNCTION("""COMPUTED_VALUE"""),7750)</f>
        <v>7750</v>
      </c>
      <c r="D789" s="2">
        <f ca="1">IFERROR(__xludf.DUMMYFUNCTION("""COMPUTED_VALUE"""),7525)</f>
        <v>7525</v>
      </c>
      <c r="E789" s="2">
        <f ca="1">IFERROR(__xludf.DUMMYFUNCTION("""COMPUTED_VALUE"""),7650)</f>
        <v>7650</v>
      </c>
      <c r="F789" s="2">
        <f ca="1">IFERROR(__xludf.DUMMYFUNCTION("""COMPUTED_VALUE"""),27354500)</f>
        <v>27354500</v>
      </c>
    </row>
    <row r="790" spans="1:6">
      <c r="A790" s="1">
        <f ca="1">IFERROR(__xludf.DUMMYFUNCTION("""COMPUTED_VALUE"""),43196.625)</f>
        <v>43196.625</v>
      </c>
      <c r="B790" s="2">
        <f ca="1">IFERROR(__xludf.DUMMYFUNCTION("""COMPUTED_VALUE"""),7550)</f>
        <v>7550</v>
      </c>
      <c r="C790" s="2">
        <f ca="1">IFERROR(__xludf.DUMMYFUNCTION("""COMPUTED_VALUE"""),7625)</f>
        <v>7625</v>
      </c>
      <c r="D790" s="2">
        <f ca="1">IFERROR(__xludf.DUMMYFUNCTION("""COMPUTED_VALUE"""),7500)</f>
        <v>7500</v>
      </c>
      <c r="E790" s="2">
        <f ca="1">IFERROR(__xludf.DUMMYFUNCTION("""COMPUTED_VALUE"""),7550)</f>
        <v>7550</v>
      </c>
      <c r="F790" s="2">
        <f ca="1">IFERROR(__xludf.DUMMYFUNCTION("""COMPUTED_VALUE"""),22915600)</f>
        <v>22915600</v>
      </c>
    </row>
    <row r="791" spans="1:6">
      <c r="A791" s="1">
        <f ca="1">IFERROR(__xludf.DUMMYFUNCTION("""COMPUTED_VALUE"""),43199.625)</f>
        <v>43199.625</v>
      </c>
      <c r="B791" s="2">
        <f ca="1">IFERROR(__xludf.DUMMYFUNCTION("""COMPUTED_VALUE"""),7650)</f>
        <v>7650</v>
      </c>
      <c r="C791" s="2">
        <f ca="1">IFERROR(__xludf.DUMMYFUNCTION("""COMPUTED_VALUE"""),7650)</f>
        <v>7650</v>
      </c>
      <c r="D791" s="2">
        <f ca="1">IFERROR(__xludf.DUMMYFUNCTION("""COMPUTED_VALUE"""),7500)</f>
        <v>7500</v>
      </c>
      <c r="E791" s="2">
        <f ca="1">IFERROR(__xludf.DUMMYFUNCTION("""COMPUTED_VALUE"""),7575)</f>
        <v>7575</v>
      </c>
      <c r="F791" s="2">
        <f ca="1">IFERROR(__xludf.DUMMYFUNCTION("""COMPUTED_VALUE"""),16252900)</f>
        <v>16252900</v>
      </c>
    </row>
    <row r="792" spans="1:6">
      <c r="A792" s="1">
        <f ca="1">IFERROR(__xludf.DUMMYFUNCTION("""COMPUTED_VALUE"""),43200.625)</f>
        <v>43200.625</v>
      </c>
      <c r="B792" s="2">
        <f ca="1">IFERROR(__xludf.DUMMYFUNCTION("""COMPUTED_VALUE"""),7550)</f>
        <v>7550</v>
      </c>
      <c r="C792" s="2">
        <f ca="1">IFERROR(__xludf.DUMMYFUNCTION("""COMPUTED_VALUE"""),7875)</f>
        <v>7875</v>
      </c>
      <c r="D792" s="2">
        <f ca="1">IFERROR(__xludf.DUMMYFUNCTION("""COMPUTED_VALUE"""),7550)</f>
        <v>7550</v>
      </c>
      <c r="E792" s="2">
        <f ca="1">IFERROR(__xludf.DUMMYFUNCTION("""COMPUTED_VALUE"""),7875)</f>
        <v>7875</v>
      </c>
      <c r="F792" s="2">
        <f ca="1">IFERROR(__xludf.DUMMYFUNCTION("""COMPUTED_VALUE"""),43743500)</f>
        <v>43743500</v>
      </c>
    </row>
    <row r="793" spans="1:6">
      <c r="A793" s="1">
        <f ca="1">IFERROR(__xludf.DUMMYFUNCTION("""COMPUTED_VALUE"""),43201.625)</f>
        <v>43201.625</v>
      </c>
      <c r="B793" s="2">
        <f ca="1">IFERROR(__xludf.DUMMYFUNCTION("""COMPUTED_VALUE"""),7950)</f>
        <v>7950</v>
      </c>
      <c r="C793" s="2">
        <f ca="1">IFERROR(__xludf.DUMMYFUNCTION("""COMPUTED_VALUE"""),8075)</f>
        <v>8075</v>
      </c>
      <c r="D793" s="2">
        <f ca="1">IFERROR(__xludf.DUMMYFUNCTION("""COMPUTED_VALUE"""),7925)</f>
        <v>7925</v>
      </c>
      <c r="E793" s="2">
        <f ca="1">IFERROR(__xludf.DUMMYFUNCTION("""COMPUTED_VALUE"""),8050)</f>
        <v>8050</v>
      </c>
      <c r="F793" s="2">
        <f ca="1">IFERROR(__xludf.DUMMYFUNCTION("""COMPUTED_VALUE"""),29289200)</f>
        <v>29289200</v>
      </c>
    </row>
    <row r="794" spans="1:6">
      <c r="A794" s="1">
        <f ca="1">IFERROR(__xludf.DUMMYFUNCTION("""COMPUTED_VALUE"""),43202.625)</f>
        <v>43202.625</v>
      </c>
      <c r="B794" s="2">
        <f ca="1">IFERROR(__xludf.DUMMYFUNCTION("""COMPUTED_VALUE"""),8000)</f>
        <v>8000</v>
      </c>
      <c r="C794" s="2">
        <f ca="1">IFERROR(__xludf.DUMMYFUNCTION("""COMPUTED_VALUE"""),8025)</f>
        <v>8025</v>
      </c>
      <c r="D794" s="2">
        <f ca="1">IFERROR(__xludf.DUMMYFUNCTION("""COMPUTED_VALUE"""),7850)</f>
        <v>7850</v>
      </c>
      <c r="E794" s="2">
        <f ca="1">IFERROR(__xludf.DUMMYFUNCTION("""COMPUTED_VALUE"""),8025)</f>
        <v>8025</v>
      </c>
      <c r="F794" s="2">
        <f ca="1">IFERROR(__xludf.DUMMYFUNCTION("""COMPUTED_VALUE"""),28026800)</f>
        <v>28026800</v>
      </c>
    </row>
    <row r="795" spans="1:6">
      <c r="A795" s="1">
        <f ca="1">IFERROR(__xludf.DUMMYFUNCTION("""COMPUTED_VALUE"""),43203.625)</f>
        <v>43203.625</v>
      </c>
      <c r="B795" s="2">
        <f ca="1">IFERROR(__xludf.DUMMYFUNCTION("""COMPUTED_VALUE"""),8100)</f>
        <v>8100</v>
      </c>
      <c r="C795" s="2">
        <f ca="1">IFERROR(__xludf.DUMMYFUNCTION("""COMPUTED_VALUE"""),8100)</f>
        <v>8100</v>
      </c>
      <c r="D795" s="2">
        <f ca="1">IFERROR(__xludf.DUMMYFUNCTION("""COMPUTED_VALUE"""),7925)</f>
        <v>7925</v>
      </c>
      <c r="E795" s="2">
        <f ca="1">IFERROR(__xludf.DUMMYFUNCTION("""COMPUTED_VALUE"""),8025)</f>
        <v>8025</v>
      </c>
      <c r="F795" s="2">
        <f ca="1">IFERROR(__xludf.DUMMYFUNCTION("""COMPUTED_VALUE"""),16948100)</f>
        <v>16948100</v>
      </c>
    </row>
    <row r="796" spans="1:6">
      <c r="A796" s="1">
        <f ca="1">IFERROR(__xludf.DUMMYFUNCTION("""COMPUTED_VALUE"""),43206.625)</f>
        <v>43206.625</v>
      </c>
      <c r="B796" s="2">
        <f ca="1">IFERROR(__xludf.DUMMYFUNCTION("""COMPUTED_VALUE"""),8000)</f>
        <v>8000</v>
      </c>
      <c r="C796" s="2">
        <f ca="1">IFERROR(__xludf.DUMMYFUNCTION("""COMPUTED_VALUE"""),8075)</f>
        <v>8075</v>
      </c>
      <c r="D796" s="2">
        <f ca="1">IFERROR(__xludf.DUMMYFUNCTION("""COMPUTED_VALUE"""),7925)</f>
        <v>7925</v>
      </c>
      <c r="E796" s="2">
        <f ca="1">IFERROR(__xludf.DUMMYFUNCTION("""COMPUTED_VALUE"""),8075)</f>
        <v>8075</v>
      </c>
      <c r="F796" s="2">
        <f ca="1">IFERROR(__xludf.DUMMYFUNCTION("""COMPUTED_VALUE"""),15597600)</f>
        <v>15597600</v>
      </c>
    </row>
    <row r="797" spans="1:6">
      <c r="A797" s="1">
        <f ca="1">IFERROR(__xludf.DUMMYFUNCTION("""COMPUTED_VALUE"""),43207.625)</f>
        <v>43207.625</v>
      </c>
      <c r="B797" s="2">
        <f ca="1">IFERROR(__xludf.DUMMYFUNCTION("""COMPUTED_VALUE"""),8125)</f>
        <v>8125</v>
      </c>
      <c r="C797" s="2">
        <f ca="1">IFERROR(__xludf.DUMMYFUNCTION("""COMPUTED_VALUE"""),8125)</f>
        <v>8125</v>
      </c>
      <c r="D797" s="2">
        <f ca="1">IFERROR(__xludf.DUMMYFUNCTION("""COMPUTED_VALUE"""),7800)</f>
        <v>7800</v>
      </c>
      <c r="E797" s="2">
        <f ca="1">IFERROR(__xludf.DUMMYFUNCTION("""COMPUTED_VALUE"""),7900)</f>
        <v>7900</v>
      </c>
      <c r="F797" s="2">
        <f ca="1">IFERROR(__xludf.DUMMYFUNCTION("""COMPUTED_VALUE"""),39972300)</f>
        <v>39972300</v>
      </c>
    </row>
    <row r="798" spans="1:6">
      <c r="A798" s="1">
        <f ca="1">IFERROR(__xludf.DUMMYFUNCTION("""COMPUTED_VALUE"""),43208.625)</f>
        <v>43208.625</v>
      </c>
      <c r="B798" s="2">
        <f ca="1">IFERROR(__xludf.DUMMYFUNCTION("""COMPUTED_VALUE"""),7950)</f>
        <v>7950</v>
      </c>
      <c r="C798" s="2">
        <f ca="1">IFERROR(__xludf.DUMMYFUNCTION("""COMPUTED_VALUE"""),8050)</f>
        <v>8050</v>
      </c>
      <c r="D798" s="2">
        <f ca="1">IFERROR(__xludf.DUMMYFUNCTION("""COMPUTED_VALUE"""),7900)</f>
        <v>7900</v>
      </c>
      <c r="E798" s="2">
        <f ca="1">IFERROR(__xludf.DUMMYFUNCTION("""COMPUTED_VALUE"""),8050)</f>
        <v>8050</v>
      </c>
      <c r="F798" s="2">
        <f ca="1">IFERROR(__xludf.DUMMYFUNCTION("""COMPUTED_VALUE"""),14297600)</f>
        <v>14297600</v>
      </c>
    </row>
    <row r="799" spans="1:6">
      <c r="A799" s="1">
        <f ca="1">IFERROR(__xludf.DUMMYFUNCTION("""COMPUTED_VALUE"""),43209.625)</f>
        <v>43209.625</v>
      </c>
      <c r="B799" s="2">
        <f ca="1">IFERROR(__xludf.DUMMYFUNCTION("""COMPUTED_VALUE"""),8050)</f>
        <v>8050</v>
      </c>
      <c r="C799" s="2">
        <f ca="1">IFERROR(__xludf.DUMMYFUNCTION("""COMPUTED_VALUE"""),8075)</f>
        <v>8075</v>
      </c>
      <c r="D799" s="2">
        <f ca="1">IFERROR(__xludf.DUMMYFUNCTION("""COMPUTED_VALUE"""),7975)</f>
        <v>7975</v>
      </c>
      <c r="E799" s="2">
        <f ca="1">IFERROR(__xludf.DUMMYFUNCTION("""COMPUTED_VALUE"""),8050)</f>
        <v>8050</v>
      </c>
      <c r="F799" s="2">
        <f ca="1">IFERROR(__xludf.DUMMYFUNCTION("""COMPUTED_VALUE"""),18036600)</f>
        <v>18036600</v>
      </c>
    </row>
    <row r="800" spans="1:6">
      <c r="A800" s="1">
        <f ca="1">IFERROR(__xludf.DUMMYFUNCTION("""COMPUTED_VALUE"""),43210.625)</f>
        <v>43210.625</v>
      </c>
      <c r="B800" s="2">
        <f ca="1">IFERROR(__xludf.DUMMYFUNCTION("""COMPUTED_VALUE"""),8075)</f>
        <v>8075</v>
      </c>
      <c r="C800" s="2">
        <f ca="1">IFERROR(__xludf.DUMMYFUNCTION("""COMPUTED_VALUE"""),8075)</f>
        <v>8075</v>
      </c>
      <c r="D800" s="2">
        <f ca="1">IFERROR(__xludf.DUMMYFUNCTION("""COMPUTED_VALUE"""),7950)</f>
        <v>7950</v>
      </c>
      <c r="E800" s="2">
        <f ca="1">IFERROR(__xludf.DUMMYFUNCTION("""COMPUTED_VALUE"""),8000)</f>
        <v>8000</v>
      </c>
      <c r="F800" s="2">
        <f ca="1">IFERROR(__xludf.DUMMYFUNCTION("""COMPUTED_VALUE"""),25508800)</f>
        <v>25508800</v>
      </c>
    </row>
    <row r="801" spans="1:6">
      <c r="A801" s="1">
        <f ca="1">IFERROR(__xludf.DUMMYFUNCTION("""COMPUTED_VALUE"""),43213.625)</f>
        <v>43213.625</v>
      </c>
      <c r="B801" s="2">
        <f ca="1">IFERROR(__xludf.DUMMYFUNCTION("""COMPUTED_VALUE"""),7875)</f>
        <v>7875</v>
      </c>
      <c r="C801" s="2">
        <f ca="1">IFERROR(__xludf.DUMMYFUNCTION("""COMPUTED_VALUE"""),8000)</f>
        <v>8000</v>
      </c>
      <c r="D801" s="2">
        <f ca="1">IFERROR(__xludf.DUMMYFUNCTION("""COMPUTED_VALUE"""),7850)</f>
        <v>7850</v>
      </c>
      <c r="E801" s="2">
        <f ca="1">IFERROR(__xludf.DUMMYFUNCTION("""COMPUTED_VALUE"""),8000)</f>
        <v>8000</v>
      </c>
      <c r="F801" s="2">
        <f ca="1">IFERROR(__xludf.DUMMYFUNCTION("""COMPUTED_VALUE"""),31396500)</f>
        <v>31396500</v>
      </c>
    </row>
    <row r="802" spans="1:6">
      <c r="A802" s="1">
        <f ca="1">IFERROR(__xludf.DUMMYFUNCTION("""COMPUTED_VALUE"""),43214.625)</f>
        <v>43214.625</v>
      </c>
      <c r="B802" s="2">
        <f ca="1">IFERROR(__xludf.DUMMYFUNCTION("""COMPUTED_VALUE"""),8000)</f>
        <v>8000</v>
      </c>
      <c r="C802" s="2">
        <f ca="1">IFERROR(__xludf.DUMMYFUNCTION("""COMPUTED_VALUE"""),8000)</f>
        <v>8000</v>
      </c>
      <c r="D802" s="2">
        <f ca="1">IFERROR(__xludf.DUMMYFUNCTION("""COMPUTED_VALUE"""),7725)</f>
        <v>7725</v>
      </c>
      <c r="E802" s="2">
        <f ca="1">IFERROR(__xludf.DUMMYFUNCTION("""COMPUTED_VALUE"""),7725)</f>
        <v>7725</v>
      </c>
      <c r="F802" s="2">
        <f ca="1">IFERROR(__xludf.DUMMYFUNCTION("""COMPUTED_VALUE"""),24596700)</f>
        <v>24596700</v>
      </c>
    </row>
    <row r="803" spans="1:6">
      <c r="A803" s="1">
        <f ca="1">IFERROR(__xludf.DUMMYFUNCTION("""COMPUTED_VALUE"""),43215.625)</f>
        <v>43215.625</v>
      </c>
      <c r="B803" s="2">
        <f ca="1">IFERROR(__xludf.DUMMYFUNCTION("""COMPUTED_VALUE"""),7725)</f>
        <v>7725</v>
      </c>
      <c r="C803" s="2">
        <f ca="1">IFERROR(__xludf.DUMMYFUNCTION("""COMPUTED_VALUE"""),7725)</f>
        <v>7725</v>
      </c>
      <c r="D803" s="2">
        <f ca="1">IFERROR(__xludf.DUMMYFUNCTION("""COMPUTED_VALUE"""),7075)</f>
        <v>7075</v>
      </c>
      <c r="E803" s="2">
        <f ca="1">IFERROR(__xludf.DUMMYFUNCTION("""COMPUTED_VALUE"""),7150)</f>
        <v>7150</v>
      </c>
      <c r="F803" s="2">
        <f ca="1">IFERROR(__xludf.DUMMYFUNCTION("""COMPUTED_VALUE"""),99334600)</f>
        <v>99334600</v>
      </c>
    </row>
    <row r="804" spans="1:6">
      <c r="A804" s="1">
        <f ca="1">IFERROR(__xludf.DUMMYFUNCTION("""COMPUTED_VALUE"""),43216.625)</f>
        <v>43216.625</v>
      </c>
      <c r="B804" s="2">
        <f ca="1">IFERROR(__xludf.DUMMYFUNCTION("""COMPUTED_VALUE"""),7025)</f>
        <v>7025</v>
      </c>
      <c r="C804" s="2">
        <f ca="1">IFERROR(__xludf.DUMMYFUNCTION("""COMPUTED_VALUE"""),7125)</f>
        <v>7125</v>
      </c>
      <c r="D804" s="2">
        <f ca="1">IFERROR(__xludf.DUMMYFUNCTION("""COMPUTED_VALUE"""),6500)</f>
        <v>6500</v>
      </c>
      <c r="E804" s="2">
        <f ca="1">IFERROR(__xludf.DUMMYFUNCTION("""COMPUTED_VALUE"""),6775)</f>
        <v>6775</v>
      </c>
      <c r="F804" s="2">
        <f ca="1">IFERROR(__xludf.DUMMYFUNCTION("""COMPUTED_VALUE"""),180993500)</f>
        <v>180993500</v>
      </c>
    </row>
    <row r="805" spans="1:6">
      <c r="A805" s="1">
        <f ca="1">IFERROR(__xludf.DUMMYFUNCTION("""COMPUTED_VALUE"""),43217.625)</f>
        <v>43217.625</v>
      </c>
      <c r="B805" s="2">
        <f ca="1">IFERROR(__xludf.DUMMYFUNCTION("""COMPUTED_VALUE"""),6900)</f>
        <v>6900</v>
      </c>
      <c r="C805" s="2">
        <f ca="1">IFERROR(__xludf.DUMMYFUNCTION("""COMPUTED_VALUE"""),7050)</f>
        <v>7050</v>
      </c>
      <c r="D805" s="2">
        <f ca="1">IFERROR(__xludf.DUMMYFUNCTION("""COMPUTED_VALUE"""),6850)</f>
        <v>6850</v>
      </c>
      <c r="E805" s="2">
        <f ca="1">IFERROR(__xludf.DUMMYFUNCTION("""COMPUTED_VALUE"""),6925)</f>
        <v>6925</v>
      </c>
      <c r="F805" s="2">
        <f ca="1">IFERROR(__xludf.DUMMYFUNCTION("""COMPUTED_VALUE"""),93434900)</f>
        <v>93434900</v>
      </c>
    </row>
    <row r="806" spans="1:6">
      <c r="A806" s="1">
        <f ca="1">IFERROR(__xludf.DUMMYFUNCTION("""COMPUTED_VALUE"""),43220.625)</f>
        <v>43220.625</v>
      </c>
      <c r="B806" s="2">
        <f ca="1">IFERROR(__xludf.DUMMYFUNCTION("""COMPUTED_VALUE"""),7000)</f>
        <v>7000</v>
      </c>
      <c r="C806" s="2">
        <f ca="1">IFERROR(__xludf.DUMMYFUNCTION("""COMPUTED_VALUE"""),7150)</f>
        <v>7150</v>
      </c>
      <c r="D806" s="2">
        <f ca="1">IFERROR(__xludf.DUMMYFUNCTION("""COMPUTED_VALUE"""),6875)</f>
        <v>6875</v>
      </c>
      <c r="E806" s="2">
        <f ca="1">IFERROR(__xludf.DUMMYFUNCTION("""COMPUTED_VALUE"""),7125)</f>
        <v>7125</v>
      </c>
      <c r="F806" s="2">
        <f ca="1">IFERROR(__xludf.DUMMYFUNCTION("""COMPUTED_VALUE"""),47333200)</f>
        <v>47333200</v>
      </c>
    </row>
    <row r="807" spans="1:6">
      <c r="A807" s="1">
        <f ca="1">IFERROR(__xludf.DUMMYFUNCTION("""COMPUTED_VALUE"""),43222.625)</f>
        <v>43222.625</v>
      </c>
      <c r="B807" s="2">
        <f ca="1">IFERROR(__xludf.DUMMYFUNCTION("""COMPUTED_VALUE"""),7125)</f>
        <v>7125</v>
      </c>
      <c r="C807" s="2">
        <f ca="1">IFERROR(__xludf.DUMMYFUNCTION("""COMPUTED_VALUE"""),7225)</f>
        <v>7225</v>
      </c>
      <c r="D807" s="2">
        <f ca="1">IFERROR(__xludf.DUMMYFUNCTION("""COMPUTED_VALUE"""),6975)</f>
        <v>6975</v>
      </c>
      <c r="E807" s="2">
        <f ca="1">IFERROR(__xludf.DUMMYFUNCTION("""COMPUTED_VALUE"""),7200)</f>
        <v>7200</v>
      </c>
      <c r="F807" s="2">
        <f ca="1">IFERROR(__xludf.DUMMYFUNCTION("""COMPUTED_VALUE"""),26795000)</f>
        <v>26795000</v>
      </c>
    </row>
    <row r="808" spans="1:6">
      <c r="A808" s="1">
        <f ca="1">IFERROR(__xludf.DUMMYFUNCTION("""COMPUTED_VALUE"""),43223.625)</f>
        <v>43223.625</v>
      </c>
      <c r="B808" s="2">
        <f ca="1">IFERROR(__xludf.DUMMYFUNCTION("""COMPUTED_VALUE"""),7150)</f>
        <v>7150</v>
      </c>
      <c r="C808" s="2">
        <f ca="1">IFERROR(__xludf.DUMMYFUNCTION("""COMPUTED_VALUE"""),7175)</f>
        <v>7175</v>
      </c>
      <c r="D808" s="2">
        <f ca="1">IFERROR(__xludf.DUMMYFUNCTION("""COMPUTED_VALUE"""),6850)</f>
        <v>6850</v>
      </c>
      <c r="E808" s="2">
        <f ca="1">IFERROR(__xludf.DUMMYFUNCTION("""COMPUTED_VALUE"""),6850)</f>
        <v>6850</v>
      </c>
      <c r="F808" s="2">
        <f ca="1">IFERROR(__xludf.DUMMYFUNCTION("""COMPUTED_VALUE"""),52190200)</f>
        <v>52190200</v>
      </c>
    </row>
    <row r="809" spans="1:6">
      <c r="A809" s="1">
        <f ca="1">IFERROR(__xludf.DUMMYFUNCTION("""COMPUTED_VALUE"""),43224.625)</f>
        <v>43224.625</v>
      </c>
      <c r="B809" s="2">
        <f ca="1">IFERROR(__xludf.DUMMYFUNCTION("""COMPUTED_VALUE"""),6850)</f>
        <v>6850</v>
      </c>
      <c r="C809" s="2">
        <f ca="1">IFERROR(__xludf.DUMMYFUNCTION("""COMPUTED_VALUE"""),6900)</f>
        <v>6900</v>
      </c>
      <c r="D809" s="2">
        <f ca="1">IFERROR(__xludf.DUMMYFUNCTION("""COMPUTED_VALUE"""),6600)</f>
        <v>6600</v>
      </c>
      <c r="E809" s="2">
        <f ca="1">IFERROR(__xludf.DUMMYFUNCTION("""COMPUTED_VALUE"""),6625)</f>
        <v>6625</v>
      </c>
      <c r="F809" s="2">
        <f ca="1">IFERROR(__xludf.DUMMYFUNCTION("""COMPUTED_VALUE"""),27497800)</f>
        <v>27497800</v>
      </c>
    </row>
    <row r="810" spans="1:6">
      <c r="A810" s="1">
        <f ca="1">IFERROR(__xludf.DUMMYFUNCTION("""COMPUTED_VALUE"""),43227.625)</f>
        <v>43227.625</v>
      </c>
      <c r="B810" s="2">
        <f ca="1">IFERROR(__xludf.DUMMYFUNCTION("""COMPUTED_VALUE"""),6600)</f>
        <v>6600</v>
      </c>
      <c r="C810" s="2">
        <f ca="1">IFERROR(__xludf.DUMMYFUNCTION("""COMPUTED_VALUE"""),6875)</f>
        <v>6875</v>
      </c>
      <c r="D810" s="2">
        <f ca="1">IFERROR(__xludf.DUMMYFUNCTION("""COMPUTED_VALUE"""),6600)</f>
        <v>6600</v>
      </c>
      <c r="E810" s="2">
        <f ca="1">IFERROR(__xludf.DUMMYFUNCTION("""COMPUTED_VALUE"""),6800)</f>
        <v>6800</v>
      </c>
      <c r="F810" s="2">
        <f ca="1">IFERROR(__xludf.DUMMYFUNCTION("""COMPUTED_VALUE"""),33410400)</f>
        <v>33410400</v>
      </c>
    </row>
    <row r="811" spans="1:6">
      <c r="A811" s="1">
        <f ca="1">IFERROR(__xludf.DUMMYFUNCTION("""COMPUTED_VALUE"""),43228.625)</f>
        <v>43228.625</v>
      </c>
      <c r="B811" s="2">
        <f ca="1">IFERROR(__xludf.DUMMYFUNCTION("""COMPUTED_VALUE"""),6800)</f>
        <v>6800</v>
      </c>
      <c r="C811" s="2">
        <f ca="1">IFERROR(__xludf.DUMMYFUNCTION("""COMPUTED_VALUE"""),6825)</f>
        <v>6825</v>
      </c>
      <c r="D811" s="2">
        <f ca="1">IFERROR(__xludf.DUMMYFUNCTION("""COMPUTED_VALUE"""),6675)</f>
        <v>6675</v>
      </c>
      <c r="E811" s="2">
        <f ca="1">IFERROR(__xludf.DUMMYFUNCTION("""COMPUTED_VALUE"""),6800)</f>
        <v>6800</v>
      </c>
      <c r="F811" s="2">
        <f ca="1">IFERROR(__xludf.DUMMYFUNCTION("""COMPUTED_VALUE"""),53228700)</f>
        <v>53228700</v>
      </c>
    </row>
    <row r="812" spans="1:6">
      <c r="A812" s="1">
        <f ca="1">IFERROR(__xludf.DUMMYFUNCTION("""COMPUTED_VALUE"""),43229.625)</f>
        <v>43229.625</v>
      </c>
      <c r="B812" s="2">
        <f ca="1">IFERROR(__xludf.DUMMYFUNCTION("""COMPUTED_VALUE"""),6725)</f>
        <v>6725</v>
      </c>
      <c r="C812" s="2">
        <f ca="1">IFERROR(__xludf.DUMMYFUNCTION("""COMPUTED_VALUE"""),7175)</f>
        <v>7175</v>
      </c>
      <c r="D812" s="2">
        <f ca="1">IFERROR(__xludf.DUMMYFUNCTION("""COMPUTED_VALUE"""),6725)</f>
        <v>6725</v>
      </c>
      <c r="E812" s="2">
        <f ca="1">IFERROR(__xludf.DUMMYFUNCTION("""COMPUTED_VALUE"""),7175)</f>
        <v>7175</v>
      </c>
      <c r="F812" s="2">
        <f ca="1">IFERROR(__xludf.DUMMYFUNCTION("""COMPUTED_VALUE"""),55988800)</f>
        <v>55988800</v>
      </c>
    </row>
    <row r="813" spans="1:6">
      <c r="A813" s="1">
        <f ca="1">IFERROR(__xludf.DUMMYFUNCTION("""COMPUTED_VALUE"""),43231.625)</f>
        <v>43231.625</v>
      </c>
      <c r="B813" s="2">
        <f ca="1">IFERROR(__xludf.DUMMYFUNCTION("""COMPUTED_VALUE"""),7250)</f>
        <v>7250</v>
      </c>
      <c r="C813" s="2">
        <f ca="1">IFERROR(__xludf.DUMMYFUNCTION("""COMPUTED_VALUE"""),7475)</f>
        <v>7475</v>
      </c>
      <c r="D813" s="2">
        <f ca="1">IFERROR(__xludf.DUMMYFUNCTION("""COMPUTED_VALUE"""),7150)</f>
        <v>7150</v>
      </c>
      <c r="E813" s="2">
        <f ca="1">IFERROR(__xludf.DUMMYFUNCTION("""COMPUTED_VALUE"""),7200)</f>
        <v>7200</v>
      </c>
      <c r="F813" s="2">
        <f ca="1">IFERROR(__xludf.DUMMYFUNCTION("""COMPUTED_VALUE"""),51782000)</f>
        <v>51782000</v>
      </c>
    </row>
    <row r="814" spans="1:6">
      <c r="A814" s="1">
        <f ca="1">IFERROR(__xludf.DUMMYFUNCTION("""COMPUTED_VALUE"""),43234.625)</f>
        <v>43234.625</v>
      </c>
      <c r="B814" s="2">
        <f ca="1">IFERROR(__xludf.DUMMYFUNCTION("""COMPUTED_VALUE"""),7300)</f>
        <v>7300</v>
      </c>
      <c r="C814" s="2">
        <f ca="1">IFERROR(__xludf.DUMMYFUNCTION("""COMPUTED_VALUE"""),7300)</f>
        <v>7300</v>
      </c>
      <c r="D814" s="2">
        <f ca="1">IFERROR(__xludf.DUMMYFUNCTION("""COMPUTED_VALUE"""),6950)</f>
        <v>6950</v>
      </c>
      <c r="E814" s="2">
        <f ca="1">IFERROR(__xludf.DUMMYFUNCTION("""COMPUTED_VALUE"""),7200)</f>
        <v>7200</v>
      </c>
      <c r="F814" s="2">
        <f ca="1">IFERROR(__xludf.DUMMYFUNCTION("""COMPUTED_VALUE"""),36628300)</f>
        <v>36628300</v>
      </c>
    </row>
    <row r="815" spans="1:6">
      <c r="A815" s="1">
        <f ca="1">IFERROR(__xludf.DUMMYFUNCTION("""COMPUTED_VALUE"""),43235.625)</f>
        <v>43235.625</v>
      </c>
      <c r="B815" s="2">
        <f ca="1">IFERROR(__xludf.DUMMYFUNCTION("""COMPUTED_VALUE"""),7000)</f>
        <v>7000</v>
      </c>
      <c r="C815" s="2">
        <f ca="1">IFERROR(__xludf.DUMMYFUNCTION("""COMPUTED_VALUE"""),7200)</f>
        <v>7200</v>
      </c>
      <c r="D815" s="2">
        <f ca="1">IFERROR(__xludf.DUMMYFUNCTION("""COMPUTED_VALUE"""),6800)</f>
        <v>6800</v>
      </c>
      <c r="E815" s="2">
        <f ca="1">IFERROR(__xludf.DUMMYFUNCTION("""COMPUTED_VALUE"""),6850)</f>
        <v>6850</v>
      </c>
      <c r="F815" s="2">
        <f ca="1">IFERROR(__xludf.DUMMYFUNCTION("""COMPUTED_VALUE"""),58971000)</f>
        <v>58971000</v>
      </c>
    </row>
    <row r="816" spans="1:6">
      <c r="A816" s="1">
        <f ca="1">IFERROR(__xludf.DUMMYFUNCTION("""COMPUTED_VALUE"""),43236.625)</f>
        <v>43236.625</v>
      </c>
      <c r="B816" s="2">
        <f ca="1">IFERROR(__xludf.DUMMYFUNCTION("""COMPUTED_VALUE"""),6700)</f>
        <v>6700</v>
      </c>
      <c r="C816" s="2">
        <f ca="1">IFERROR(__xludf.DUMMYFUNCTION("""COMPUTED_VALUE"""),6875)</f>
        <v>6875</v>
      </c>
      <c r="D816" s="2">
        <f ca="1">IFERROR(__xludf.DUMMYFUNCTION("""COMPUTED_VALUE"""),6600)</f>
        <v>6600</v>
      </c>
      <c r="E816" s="2">
        <f ca="1">IFERROR(__xludf.DUMMYFUNCTION("""COMPUTED_VALUE"""),6850)</f>
        <v>6850</v>
      </c>
      <c r="F816" s="2">
        <f ca="1">IFERROR(__xludf.DUMMYFUNCTION("""COMPUTED_VALUE"""),85871500)</f>
        <v>85871500</v>
      </c>
    </row>
    <row r="817" spans="1:6">
      <c r="A817" s="1">
        <f ca="1">IFERROR(__xludf.DUMMYFUNCTION("""COMPUTED_VALUE"""),43237.625)</f>
        <v>43237.625</v>
      </c>
      <c r="B817" s="2">
        <f ca="1">IFERROR(__xludf.DUMMYFUNCTION("""COMPUTED_VALUE"""),6950)</f>
        <v>6950</v>
      </c>
      <c r="C817" s="2">
        <f ca="1">IFERROR(__xludf.DUMMYFUNCTION("""COMPUTED_VALUE"""),7000)</f>
        <v>7000</v>
      </c>
      <c r="D817" s="2">
        <f ca="1">IFERROR(__xludf.DUMMYFUNCTION("""COMPUTED_VALUE"""),6700)</f>
        <v>6700</v>
      </c>
      <c r="E817" s="2">
        <f ca="1">IFERROR(__xludf.DUMMYFUNCTION("""COMPUTED_VALUE"""),6700)</f>
        <v>6700</v>
      </c>
      <c r="F817" s="2">
        <f ca="1">IFERROR(__xludf.DUMMYFUNCTION("""COMPUTED_VALUE"""),54017900)</f>
        <v>54017900</v>
      </c>
    </row>
    <row r="818" spans="1:6">
      <c r="A818" s="1">
        <f ca="1">IFERROR(__xludf.DUMMYFUNCTION("""COMPUTED_VALUE"""),43238.625)</f>
        <v>43238.625</v>
      </c>
      <c r="B818" s="2">
        <f ca="1">IFERROR(__xludf.DUMMYFUNCTION("""COMPUTED_VALUE"""),6775)</f>
        <v>6775</v>
      </c>
      <c r="C818" s="2">
        <f ca="1">IFERROR(__xludf.DUMMYFUNCTION("""COMPUTED_VALUE"""),6900)</f>
        <v>6900</v>
      </c>
      <c r="D818" s="2">
        <f ca="1">IFERROR(__xludf.DUMMYFUNCTION("""COMPUTED_VALUE"""),6650)</f>
        <v>6650</v>
      </c>
      <c r="E818" s="2">
        <f ca="1">IFERROR(__xludf.DUMMYFUNCTION("""COMPUTED_VALUE"""),6800)</f>
        <v>6800</v>
      </c>
      <c r="F818" s="2">
        <f ca="1">IFERROR(__xludf.DUMMYFUNCTION("""COMPUTED_VALUE"""),36589800)</f>
        <v>36589800</v>
      </c>
    </row>
    <row r="819" spans="1:6">
      <c r="A819" s="1">
        <f ca="1">IFERROR(__xludf.DUMMYFUNCTION("""COMPUTED_VALUE"""),43241.625)</f>
        <v>43241.625</v>
      </c>
      <c r="B819" s="2">
        <f ca="1">IFERROR(__xludf.DUMMYFUNCTION("""COMPUTED_VALUE"""),6725)</f>
        <v>6725</v>
      </c>
      <c r="C819" s="2">
        <f ca="1">IFERROR(__xludf.DUMMYFUNCTION("""COMPUTED_VALUE"""),6775)</f>
        <v>6775</v>
      </c>
      <c r="D819" s="2">
        <f ca="1">IFERROR(__xludf.DUMMYFUNCTION("""COMPUTED_VALUE"""),6600)</f>
        <v>6600</v>
      </c>
      <c r="E819" s="2">
        <f ca="1">IFERROR(__xludf.DUMMYFUNCTION("""COMPUTED_VALUE"""),6675)</f>
        <v>6675</v>
      </c>
      <c r="F819" s="2">
        <f ca="1">IFERROR(__xludf.DUMMYFUNCTION("""COMPUTED_VALUE"""),46517600)</f>
        <v>46517600</v>
      </c>
    </row>
    <row r="820" spans="1:6">
      <c r="A820" s="1">
        <f ca="1">IFERROR(__xludf.DUMMYFUNCTION("""COMPUTED_VALUE"""),43242.625)</f>
        <v>43242.625</v>
      </c>
      <c r="B820" s="2">
        <f ca="1">IFERROR(__xludf.DUMMYFUNCTION("""COMPUTED_VALUE"""),6750)</f>
        <v>6750</v>
      </c>
      <c r="C820" s="2">
        <f ca="1">IFERROR(__xludf.DUMMYFUNCTION("""COMPUTED_VALUE"""),6775)</f>
        <v>6775</v>
      </c>
      <c r="D820" s="2">
        <f ca="1">IFERROR(__xludf.DUMMYFUNCTION("""COMPUTED_VALUE"""),6525)</f>
        <v>6525</v>
      </c>
      <c r="E820" s="2">
        <f ca="1">IFERROR(__xludf.DUMMYFUNCTION("""COMPUTED_VALUE"""),6525)</f>
        <v>6525</v>
      </c>
      <c r="F820" s="2">
        <f ca="1">IFERROR(__xludf.DUMMYFUNCTION("""COMPUTED_VALUE"""),47622300)</f>
        <v>47622300</v>
      </c>
    </row>
    <row r="821" spans="1:6">
      <c r="A821" s="1">
        <f ca="1">IFERROR(__xludf.DUMMYFUNCTION("""COMPUTED_VALUE"""),43243.625)</f>
        <v>43243.625</v>
      </c>
      <c r="B821" s="2">
        <f ca="1">IFERROR(__xludf.DUMMYFUNCTION("""COMPUTED_VALUE"""),6600)</f>
        <v>6600</v>
      </c>
      <c r="C821" s="2">
        <f ca="1">IFERROR(__xludf.DUMMYFUNCTION("""COMPUTED_VALUE"""),6875)</f>
        <v>6875</v>
      </c>
      <c r="D821" s="2">
        <f ca="1">IFERROR(__xludf.DUMMYFUNCTION("""COMPUTED_VALUE"""),6600)</f>
        <v>6600</v>
      </c>
      <c r="E821" s="2">
        <f ca="1">IFERROR(__xludf.DUMMYFUNCTION("""COMPUTED_VALUE"""),6775)</f>
        <v>6775</v>
      </c>
      <c r="F821" s="2">
        <f ca="1">IFERROR(__xludf.DUMMYFUNCTION("""COMPUTED_VALUE"""),49238900)</f>
        <v>49238900</v>
      </c>
    </row>
    <row r="822" spans="1:6">
      <c r="A822" s="1">
        <f ca="1">IFERROR(__xludf.DUMMYFUNCTION("""COMPUTED_VALUE"""),43244.625)</f>
        <v>43244.625</v>
      </c>
      <c r="B822" s="2">
        <f ca="1">IFERROR(__xludf.DUMMYFUNCTION("""COMPUTED_VALUE"""),7000)</f>
        <v>7000</v>
      </c>
      <c r="C822" s="2">
        <f ca="1">IFERROR(__xludf.DUMMYFUNCTION("""COMPUTED_VALUE"""),7075)</f>
        <v>7075</v>
      </c>
      <c r="D822" s="2">
        <f ca="1">IFERROR(__xludf.DUMMYFUNCTION("""COMPUTED_VALUE"""),6850)</f>
        <v>6850</v>
      </c>
      <c r="E822" s="2">
        <f ca="1">IFERROR(__xludf.DUMMYFUNCTION("""COMPUTED_VALUE"""),7000)</f>
        <v>7000</v>
      </c>
      <c r="F822" s="2">
        <f ca="1">IFERROR(__xludf.DUMMYFUNCTION("""COMPUTED_VALUE"""),52756100)</f>
        <v>52756100</v>
      </c>
    </row>
    <row r="823" spans="1:6">
      <c r="A823" s="1">
        <f ca="1">IFERROR(__xludf.DUMMYFUNCTION("""COMPUTED_VALUE"""),43245.625)</f>
        <v>43245.625</v>
      </c>
      <c r="B823" s="2">
        <f ca="1">IFERROR(__xludf.DUMMYFUNCTION("""COMPUTED_VALUE"""),7050)</f>
        <v>7050</v>
      </c>
      <c r="C823" s="2">
        <f ca="1">IFERROR(__xludf.DUMMYFUNCTION("""COMPUTED_VALUE"""),7075)</f>
        <v>7075</v>
      </c>
      <c r="D823" s="2">
        <f ca="1">IFERROR(__xludf.DUMMYFUNCTION("""COMPUTED_VALUE"""),6950)</f>
        <v>6950</v>
      </c>
      <c r="E823" s="2">
        <f ca="1">IFERROR(__xludf.DUMMYFUNCTION("""COMPUTED_VALUE"""),7000)</f>
        <v>7000</v>
      </c>
      <c r="F823" s="2">
        <f ca="1">IFERROR(__xludf.DUMMYFUNCTION("""COMPUTED_VALUE"""),43641500)</f>
        <v>43641500</v>
      </c>
    </row>
    <row r="824" spans="1:6">
      <c r="A824" s="1">
        <f ca="1">IFERROR(__xludf.DUMMYFUNCTION("""COMPUTED_VALUE"""),43248.625)</f>
        <v>43248.625</v>
      </c>
      <c r="B824" s="2">
        <f ca="1">IFERROR(__xludf.DUMMYFUNCTION("""COMPUTED_VALUE"""),7150)</f>
        <v>7150</v>
      </c>
      <c r="C824" s="2">
        <f ca="1">IFERROR(__xludf.DUMMYFUNCTION("""COMPUTED_VALUE"""),7425)</f>
        <v>7425</v>
      </c>
      <c r="D824" s="2">
        <f ca="1">IFERROR(__xludf.DUMMYFUNCTION("""COMPUTED_VALUE"""),7100)</f>
        <v>7100</v>
      </c>
      <c r="E824" s="2">
        <f ca="1">IFERROR(__xludf.DUMMYFUNCTION("""COMPUTED_VALUE"""),7375)</f>
        <v>7375</v>
      </c>
      <c r="F824" s="2">
        <f ca="1">IFERROR(__xludf.DUMMYFUNCTION("""COMPUTED_VALUE"""),64626700)</f>
        <v>64626700</v>
      </c>
    </row>
    <row r="825" spans="1:6">
      <c r="A825" s="1">
        <f ca="1">IFERROR(__xludf.DUMMYFUNCTION("""COMPUTED_VALUE"""),43250.625)</f>
        <v>43250.625</v>
      </c>
      <c r="B825" s="2">
        <f ca="1">IFERROR(__xludf.DUMMYFUNCTION("""COMPUTED_VALUE"""),7225)</f>
        <v>7225</v>
      </c>
      <c r="C825" s="2">
        <f ca="1">IFERROR(__xludf.DUMMYFUNCTION("""COMPUTED_VALUE"""),7625)</f>
        <v>7625</v>
      </c>
      <c r="D825" s="2">
        <f ca="1">IFERROR(__xludf.DUMMYFUNCTION("""COMPUTED_VALUE"""),7150)</f>
        <v>7150</v>
      </c>
      <c r="E825" s="2">
        <f ca="1">IFERROR(__xludf.DUMMYFUNCTION("""COMPUTED_VALUE"""),7250)</f>
        <v>7250</v>
      </c>
      <c r="F825" s="2">
        <f ca="1">IFERROR(__xludf.DUMMYFUNCTION("""COMPUTED_VALUE"""),85314400)</f>
        <v>85314400</v>
      </c>
    </row>
    <row r="826" spans="1:6">
      <c r="A826" s="1">
        <f ca="1">IFERROR(__xludf.DUMMYFUNCTION("""COMPUTED_VALUE"""),43251.625)</f>
        <v>43251.625</v>
      </c>
      <c r="B826" s="2">
        <f ca="1">IFERROR(__xludf.DUMMYFUNCTION("""COMPUTED_VALUE"""),7400)</f>
        <v>7400</v>
      </c>
      <c r="C826" s="2">
        <f ca="1">IFERROR(__xludf.DUMMYFUNCTION("""COMPUTED_VALUE"""),7400)</f>
        <v>7400</v>
      </c>
      <c r="D826" s="2">
        <f ca="1">IFERROR(__xludf.DUMMYFUNCTION("""COMPUTED_VALUE"""),7025)</f>
        <v>7025</v>
      </c>
      <c r="E826" s="2">
        <f ca="1">IFERROR(__xludf.DUMMYFUNCTION("""COMPUTED_VALUE"""),7050)</f>
        <v>7050</v>
      </c>
      <c r="F826" s="2">
        <f ca="1">IFERROR(__xludf.DUMMYFUNCTION("""COMPUTED_VALUE"""),105510400)</f>
        <v>105510400</v>
      </c>
    </row>
    <row r="827" spans="1:6">
      <c r="A827" s="1">
        <f ca="1">IFERROR(__xludf.DUMMYFUNCTION("""COMPUTED_VALUE"""),43255.625)</f>
        <v>43255.625</v>
      </c>
      <c r="B827" s="2">
        <f ca="1">IFERROR(__xludf.DUMMYFUNCTION("""COMPUTED_VALUE"""),7100)</f>
        <v>7100</v>
      </c>
      <c r="C827" s="2">
        <f ca="1">IFERROR(__xludf.DUMMYFUNCTION("""COMPUTED_VALUE"""),7425)</f>
        <v>7425</v>
      </c>
      <c r="D827" s="2">
        <f ca="1">IFERROR(__xludf.DUMMYFUNCTION("""COMPUTED_VALUE"""),7100)</f>
        <v>7100</v>
      </c>
      <c r="E827" s="2">
        <f ca="1">IFERROR(__xludf.DUMMYFUNCTION("""COMPUTED_VALUE"""),7375)</f>
        <v>7375</v>
      </c>
      <c r="F827" s="2">
        <f ca="1">IFERROR(__xludf.DUMMYFUNCTION("""COMPUTED_VALUE"""),40110500)</f>
        <v>40110500</v>
      </c>
    </row>
    <row r="828" spans="1:6">
      <c r="A828" s="1">
        <f ca="1">IFERROR(__xludf.DUMMYFUNCTION("""COMPUTED_VALUE"""),43256.625)</f>
        <v>43256.625</v>
      </c>
      <c r="B828" s="2">
        <f ca="1">IFERROR(__xludf.DUMMYFUNCTION("""COMPUTED_VALUE"""),7450)</f>
        <v>7450</v>
      </c>
      <c r="C828" s="2">
        <f ca="1">IFERROR(__xludf.DUMMYFUNCTION("""COMPUTED_VALUE"""),7450)</f>
        <v>7450</v>
      </c>
      <c r="D828" s="2">
        <f ca="1">IFERROR(__xludf.DUMMYFUNCTION("""COMPUTED_VALUE"""),7275)</f>
        <v>7275</v>
      </c>
      <c r="E828" s="2">
        <f ca="1">IFERROR(__xludf.DUMMYFUNCTION("""COMPUTED_VALUE"""),7350)</f>
        <v>7350</v>
      </c>
      <c r="F828" s="2">
        <f ca="1">IFERROR(__xludf.DUMMYFUNCTION("""COMPUTED_VALUE"""),36760100)</f>
        <v>36760100</v>
      </c>
    </row>
    <row r="829" spans="1:6">
      <c r="A829" s="1">
        <f ca="1">IFERROR(__xludf.DUMMYFUNCTION("""COMPUTED_VALUE"""),43257.625)</f>
        <v>43257.625</v>
      </c>
      <c r="B829" s="2">
        <f ca="1">IFERROR(__xludf.DUMMYFUNCTION("""COMPUTED_VALUE"""),7300)</f>
        <v>7300</v>
      </c>
      <c r="C829" s="2">
        <f ca="1">IFERROR(__xludf.DUMMYFUNCTION("""COMPUTED_VALUE"""),7375)</f>
        <v>7375</v>
      </c>
      <c r="D829" s="2">
        <f ca="1">IFERROR(__xludf.DUMMYFUNCTION("""COMPUTED_VALUE"""),7300)</f>
        <v>7300</v>
      </c>
      <c r="E829" s="2">
        <f ca="1">IFERROR(__xludf.DUMMYFUNCTION("""COMPUTED_VALUE"""),7325)</f>
        <v>7325</v>
      </c>
      <c r="F829" s="2">
        <f ca="1">IFERROR(__xludf.DUMMYFUNCTION("""COMPUTED_VALUE"""),36079300)</f>
        <v>36079300</v>
      </c>
    </row>
    <row r="830" spans="1:6">
      <c r="A830" s="1">
        <f ca="1">IFERROR(__xludf.DUMMYFUNCTION("""COMPUTED_VALUE"""),43258.625)</f>
        <v>43258.625</v>
      </c>
      <c r="B830" s="2">
        <f ca="1">IFERROR(__xludf.DUMMYFUNCTION("""COMPUTED_VALUE"""),7375)</f>
        <v>7375</v>
      </c>
      <c r="C830" s="2">
        <f ca="1">IFERROR(__xludf.DUMMYFUNCTION("""COMPUTED_VALUE"""),7400)</f>
        <v>7400</v>
      </c>
      <c r="D830" s="2">
        <f ca="1">IFERROR(__xludf.DUMMYFUNCTION("""COMPUTED_VALUE"""),7325)</f>
        <v>7325</v>
      </c>
      <c r="E830" s="2">
        <f ca="1">IFERROR(__xludf.DUMMYFUNCTION("""COMPUTED_VALUE"""),7375)</f>
        <v>7375</v>
      </c>
      <c r="F830" s="2">
        <f ca="1">IFERROR(__xludf.DUMMYFUNCTION("""COMPUTED_VALUE"""),24893800)</f>
        <v>24893800</v>
      </c>
    </row>
    <row r="831" spans="1:6">
      <c r="A831" s="1">
        <f ca="1">IFERROR(__xludf.DUMMYFUNCTION("""COMPUTED_VALUE"""),43259.625)</f>
        <v>43259.625</v>
      </c>
      <c r="B831" s="2">
        <f ca="1">IFERROR(__xludf.DUMMYFUNCTION("""COMPUTED_VALUE"""),7400)</f>
        <v>7400</v>
      </c>
      <c r="C831" s="2">
        <f ca="1">IFERROR(__xludf.DUMMYFUNCTION("""COMPUTED_VALUE"""),7400)</f>
        <v>7400</v>
      </c>
      <c r="D831" s="2">
        <f ca="1">IFERROR(__xludf.DUMMYFUNCTION("""COMPUTED_VALUE"""),6950)</f>
        <v>6950</v>
      </c>
      <c r="E831" s="2">
        <f ca="1">IFERROR(__xludf.DUMMYFUNCTION("""COMPUTED_VALUE"""),6950)</f>
        <v>6950</v>
      </c>
      <c r="F831" s="2">
        <f ca="1">IFERROR(__xludf.DUMMYFUNCTION("""COMPUTED_VALUE"""),67209400)</f>
        <v>67209400</v>
      </c>
    </row>
    <row r="832" spans="1:6">
      <c r="A832" s="1">
        <f ca="1">IFERROR(__xludf.DUMMYFUNCTION("""COMPUTED_VALUE"""),43271.625)</f>
        <v>43271.625</v>
      </c>
      <c r="B832" s="2">
        <f ca="1">IFERROR(__xludf.DUMMYFUNCTION("""COMPUTED_VALUE"""),6850)</f>
        <v>6850</v>
      </c>
      <c r="C832" s="2">
        <f ca="1">IFERROR(__xludf.DUMMYFUNCTION("""COMPUTED_VALUE"""),6850)</f>
        <v>6850</v>
      </c>
      <c r="D832" s="2">
        <f ca="1">IFERROR(__xludf.DUMMYFUNCTION("""COMPUTED_VALUE"""),6500)</f>
        <v>6500</v>
      </c>
      <c r="E832" s="2">
        <f ca="1">IFERROR(__xludf.DUMMYFUNCTION("""COMPUTED_VALUE"""),6700)</f>
        <v>6700</v>
      </c>
      <c r="F832" s="2">
        <f ca="1">IFERROR(__xludf.DUMMYFUNCTION("""COMPUTED_VALUE"""),85071200)</f>
        <v>85071200</v>
      </c>
    </row>
    <row r="833" spans="1:6">
      <c r="A833" s="1">
        <f ca="1">IFERROR(__xludf.DUMMYFUNCTION("""COMPUTED_VALUE"""),43272.625)</f>
        <v>43272.625</v>
      </c>
      <c r="B833" s="2">
        <f ca="1">IFERROR(__xludf.DUMMYFUNCTION("""COMPUTED_VALUE"""),6700)</f>
        <v>6700</v>
      </c>
      <c r="C833" s="2">
        <f ca="1">IFERROR(__xludf.DUMMYFUNCTION("""COMPUTED_VALUE"""),6775)</f>
        <v>6775</v>
      </c>
      <c r="D833" s="2">
        <f ca="1">IFERROR(__xludf.DUMMYFUNCTION("""COMPUTED_VALUE"""),6575)</f>
        <v>6575</v>
      </c>
      <c r="E833" s="2">
        <f ca="1">IFERROR(__xludf.DUMMYFUNCTION("""COMPUTED_VALUE"""),6700)</f>
        <v>6700</v>
      </c>
      <c r="F833" s="2">
        <f ca="1">IFERROR(__xludf.DUMMYFUNCTION("""COMPUTED_VALUE"""),54824300)</f>
        <v>54824300</v>
      </c>
    </row>
    <row r="834" spans="1:6">
      <c r="A834" s="1">
        <f ca="1">IFERROR(__xludf.DUMMYFUNCTION("""COMPUTED_VALUE"""),43273.625)</f>
        <v>43273.625</v>
      </c>
      <c r="B834" s="2">
        <f ca="1">IFERROR(__xludf.DUMMYFUNCTION("""COMPUTED_VALUE"""),6700)</f>
        <v>6700</v>
      </c>
      <c r="C834" s="2">
        <f ca="1">IFERROR(__xludf.DUMMYFUNCTION("""COMPUTED_VALUE"""),6725)</f>
        <v>6725</v>
      </c>
      <c r="D834" s="2">
        <f ca="1">IFERROR(__xludf.DUMMYFUNCTION("""COMPUTED_VALUE"""),6600)</f>
        <v>6600</v>
      </c>
      <c r="E834" s="2">
        <f ca="1">IFERROR(__xludf.DUMMYFUNCTION("""COMPUTED_VALUE"""),6700)</f>
        <v>6700</v>
      </c>
      <c r="F834" s="2">
        <f ca="1">IFERROR(__xludf.DUMMYFUNCTION("""COMPUTED_VALUE"""),45477000)</f>
        <v>45477000</v>
      </c>
    </row>
    <row r="835" spans="1:6">
      <c r="A835" s="1">
        <f ca="1">IFERROR(__xludf.DUMMYFUNCTION("""COMPUTED_VALUE"""),43276.625)</f>
        <v>43276.625</v>
      </c>
      <c r="B835" s="2">
        <f ca="1">IFERROR(__xludf.DUMMYFUNCTION("""COMPUTED_VALUE"""),6750)</f>
        <v>6750</v>
      </c>
      <c r="C835" s="2">
        <f ca="1">IFERROR(__xludf.DUMMYFUNCTION("""COMPUTED_VALUE"""),6775)</f>
        <v>6775</v>
      </c>
      <c r="D835" s="2">
        <f ca="1">IFERROR(__xludf.DUMMYFUNCTION("""COMPUTED_VALUE"""),6575)</f>
        <v>6575</v>
      </c>
      <c r="E835" s="2">
        <f ca="1">IFERROR(__xludf.DUMMYFUNCTION("""COMPUTED_VALUE"""),6700)</f>
        <v>6700</v>
      </c>
      <c r="F835" s="2">
        <f ca="1">IFERROR(__xludf.DUMMYFUNCTION("""COMPUTED_VALUE"""),29665800)</f>
        <v>29665800</v>
      </c>
    </row>
    <row r="836" spans="1:6">
      <c r="A836" s="1">
        <f ca="1">IFERROR(__xludf.DUMMYFUNCTION("""COMPUTED_VALUE"""),43277.625)</f>
        <v>43277.625</v>
      </c>
      <c r="B836" s="2">
        <f ca="1">IFERROR(__xludf.DUMMYFUNCTION("""COMPUTED_VALUE"""),6575)</f>
        <v>6575</v>
      </c>
      <c r="C836" s="2">
        <f ca="1">IFERROR(__xludf.DUMMYFUNCTION("""COMPUTED_VALUE"""),6750)</f>
        <v>6750</v>
      </c>
      <c r="D836" s="2">
        <f ca="1">IFERROR(__xludf.DUMMYFUNCTION("""COMPUTED_VALUE"""),6575)</f>
        <v>6575</v>
      </c>
      <c r="E836" s="2">
        <f ca="1">IFERROR(__xludf.DUMMYFUNCTION("""COMPUTED_VALUE"""),6625)</f>
        <v>6625</v>
      </c>
      <c r="F836" s="2">
        <f ca="1">IFERROR(__xludf.DUMMYFUNCTION("""COMPUTED_VALUE"""),27967800)</f>
        <v>27967800</v>
      </c>
    </row>
    <row r="837" spans="1:6">
      <c r="A837" s="1">
        <f ca="1">IFERROR(__xludf.DUMMYFUNCTION("""COMPUTED_VALUE"""),43278.625)</f>
        <v>43278.625</v>
      </c>
      <c r="B837" s="2">
        <f ca="1">IFERROR(__xludf.DUMMYFUNCTION("""COMPUTED_VALUE"""),6650)</f>
        <v>6650</v>
      </c>
      <c r="C837" s="2">
        <f ca="1">IFERROR(__xludf.DUMMYFUNCTION("""COMPUTED_VALUE"""),6700)</f>
        <v>6700</v>
      </c>
      <c r="D837" s="2">
        <f ca="1">IFERROR(__xludf.DUMMYFUNCTION("""COMPUTED_VALUE"""),6600)</f>
        <v>6600</v>
      </c>
      <c r="E837" s="2">
        <f ca="1">IFERROR(__xludf.DUMMYFUNCTION("""COMPUTED_VALUE"""),6600)</f>
        <v>6600</v>
      </c>
      <c r="F837" s="2">
        <f ca="1">IFERROR(__xludf.DUMMYFUNCTION("""COMPUTED_VALUE"""),25574300)</f>
        <v>25574300</v>
      </c>
    </row>
    <row r="838" spans="1:6">
      <c r="A838" s="1">
        <f ca="1">IFERROR(__xludf.DUMMYFUNCTION("""COMPUTED_VALUE"""),43279.625)</f>
        <v>43279.625</v>
      </c>
      <c r="B838" s="2">
        <f ca="1">IFERROR(__xludf.DUMMYFUNCTION("""COMPUTED_VALUE"""),6725)</f>
        <v>6725</v>
      </c>
      <c r="C838" s="2">
        <f ca="1">IFERROR(__xludf.DUMMYFUNCTION("""COMPUTED_VALUE"""),6725)</f>
        <v>6725</v>
      </c>
      <c r="D838" s="2">
        <f ca="1">IFERROR(__xludf.DUMMYFUNCTION("""COMPUTED_VALUE"""),6425)</f>
        <v>6425</v>
      </c>
      <c r="E838" s="2">
        <f ca="1">IFERROR(__xludf.DUMMYFUNCTION("""COMPUTED_VALUE"""),6500)</f>
        <v>6500</v>
      </c>
      <c r="F838" s="2">
        <f ca="1">IFERROR(__xludf.DUMMYFUNCTION("""COMPUTED_VALUE"""),54782500)</f>
        <v>54782500</v>
      </c>
    </row>
    <row r="839" spans="1:6">
      <c r="A839" s="1">
        <f ca="1">IFERROR(__xludf.DUMMYFUNCTION("""COMPUTED_VALUE"""),43280.625)</f>
        <v>43280.625</v>
      </c>
      <c r="B839" s="2">
        <f ca="1">IFERROR(__xludf.DUMMYFUNCTION("""COMPUTED_VALUE"""),6750)</f>
        <v>6750</v>
      </c>
      <c r="C839" s="2">
        <f ca="1">IFERROR(__xludf.DUMMYFUNCTION("""COMPUTED_VALUE"""),6850)</f>
        <v>6850</v>
      </c>
      <c r="D839" s="2">
        <f ca="1">IFERROR(__xludf.DUMMYFUNCTION("""COMPUTED_VALUE"""),6600)</f>
        <v>6600</v>
      </c>
      <c r="E839" s="2">
        <f ca="1">IFERROR(__xludf.DUMMYFUNCTION("""COMPUTED_VALUE"""),6850)</f>
        <v>6850</v>
      </c>
      <c r="F839" s="2">
        <f ca="1">IFERROR(__xludf.DUMMYFUNCTION("""COMPUTED_VALUE"""),41434000)</f>
        <v>41434000</v>
      </c>
    </row>
    <row r="840" spans="1:6">
      <c r="A840" s="1">
        <f ca="1">IFERROR(__xludf.DUMMYFUNCTION("""COMPUTED_VALUE"""),43283.625)</f>
        <v>43283.625</v>
      </c>
      <c r="B840" s="2">
        <f ca="1">IFERROR(__xludf.DUMMYFUNCTION("""COMPUTED_VALUE"""),6975)</f>
        <v>6975</v>
      </c>
      <c r="C840" s="2">
        <f ca="1">IFERROR(__xludf.DUMMYFUNCTION("""COMPUTED_VALUE"""),6975)</f>
        <v>6975</v>
      </c>
      <c r="D840" s="2">
        <f ca="1">IFERROR(__xludf.DUMMYFUNCTION("""COMPUTED_VALUE"""),6525)</f>
        <v>6525</v>
      </c>
      <c r="E840" s="2">
        <f ca="1">IFERROR(__xludf.DUMMYFUNCTION("""COMPUTED_VALUE"""),6525)</f>
        <v>6525</v>
      </c>
      <c r="F840" s="2">
        <f ca="1">IFERROR(__xludf.DUMMYFUNCTION("""COMPUTED_VALUE"""),27789900)</f>
        <v>27789900</v>
      </c>
    </row>
    <row r="841" spans="1:6">
      <c r="A841" s="1">
        <f ca="1">IFERROR(__xludf.DUMMYFUNCTION("""COMPUTED_VALUE"""),43284.625)</f>
        <v>43284.625</v>
      </c>
      <c r="B841" s="2">
        <f ca="1">IFERROR(__xludf.DUMMYFUNCTION("""COMPUTED_VALUE"""),6475)</f>
        <v>6475</v>
      </c>
      <c r="C841" s="2">
        <f ca="1">IFERROR(__xludf.DUMMYFUNCTION("""COMPUTED_VALUE"""),6575)</f>
        <v>6575</v>
      </c>
      <c r="D841" s="2">
        <f ca="1">IFERROR(__xludf.DUMMYFUNCTION("""COMPUTED_VALUE"""),6325)</f>
        <v>6325</v>
      </c>
      <c r="E841" s="2">
        <f ca="1">IFERROR(__xludf.DUMMYFUNCTION("""COMPUTED_VALUE"""),6325)</f>
        <v>6325</v>
      </c>
      <c r="F841" s="2">
        <f ca="1">IFERROR(__xludf.DUMMYFUNCTION("""COMPUTED_VALUE"""),37143200)</f>
        <v>37143200</v>
      </c>
    </row>
    <row r="842" spans="1:6">
      <c r="A842" s="1">
        <f ca="1">IFERROR(__xludf.DUMMYFUNCTION("""COMPUTED_VALUE"""),43285.625)</f>
        <v>43285.625</v>
      </c>
      <c r="B842" s="2">
        <f ca="1">IFERROR(__xludf.DUMMYFUNCTION("""COMPUTED_VALUE"""),6400)</f>
        <v>6400</v>
      </c>
      <c r="C842" s="2">
        <f ca="1">IFERROR(__xludf.DUMMYFUNCTION("""COMPUTED_VALUE"""),6625)</f>
        <v>6625</v>
      </c>
      <c r="D842" s="2">
        <f ca="1">IFERROR(__xludf.DUMMYFUNCTION("""COMPUTED_VALUE"""),6275)</f>
        <v>6275</v>
      </c>
      <c r="E842" s="2">
        <f ca="1">IFERROR(__xludf.DUMMYFUNCTION("""COMPUTED_VALUE"""),6600)</f>
        <v>6600</v>
      </c>
      <c r="F842" s="2">
        <f ca="1">IFERROR(__xludf.DUMMYFUNCTION("""COMPUTED_VALUE"""),27033200)</f>
        <v>27033200</v>
      </c>
    </row>
    <row r="843" spans="1:6">
      <c r="A843" s="1">
        <f ca="1">IFERROR(__xludf.DUMMYFUNCTION("""COMPUTED_VALUE"""),43286.625)</f>
        <v>43286.625</v>
      </c>
      <c r="B843" s="2">
        <f ca="1">IFERROR(__xludf.DUMMYFUNCTION("""COMPUTED_VALUE"""),6500)</f>
        <v>6500</v>
      </c>
      <c r="C843" s="2">
        <f ca="1">IFERROR(__xludf.DUMMYFUNCTION("""COMPUTED_VALUE"""),6600)</f>
        <v>6600</v>
      </c>
      <c r="D843" s="2">
        <f ca="1">IFERROR(__xludf.DUMMYFUNCTION("""COMPUTED_VALUE"""),6350)</f>
        <v>6350</v>
      </c>
      <c r="E843" s="2">
        <f ca="1">IFERROR(__xludf.DUMMYFUNCTION("""COMPUTED_VALUE"""),6525)</f>
        <v>6525</v>
      </c>
      <c r="F843" s="2">
        <f ca="1">IFERROR(__xludf.DUMMYFUNCTION("""COMPUTED_VALUE"""),24907300)</f>
        <v>24907300</v>
      </c>
    </row>
    <row r="844" spans="1:6">
      <c r="A844" s="1">
        <f ca="1">IFERROR(__xludf.DUMMYFUNCTION("""COMPUTED_VALUE"""),43287.625)</f>
        <v>43287.625</v>
      </c>
      <c r="B844" s="2">
        <f ca="1">IFERROR(__xludf.DUMMYFUNCTION("""COMPUTED_VALUE"""),6400)</f>
        <v>6400</v>
      </c>
      <c r="C844" s="2">
        <f ca="1">IFERROR(__xludf.DUMMYFUNCTION("""COMPUTED_VALUE"""),6475)</f>
        <v>6475</v>
      </c>
      <c r="D844" s="2">
        <f ca="1">IFERROR(__xludf.DUMMYFUNCTION("""COMPUTED_VALUE"""),6300)</f>
        <v>6300</v>
      </c>
      <c r="E844" s="2">
        <f ca="1">IFERROR(__xludf.DUMMYFUNCTION("""COMPUTED_VALUE"""),6300)</f>
        <v>6300</v>
      </c>
      <c r="F844" s="2">
        <f ca="1">IFERROR(__xludf.DUMMYFUNCTION("""COMPUTED_VALUE"""),25848200)</f>
        <v>25848200</v>
      </c>
    </row>
    <row r="845" spans="1:6">
      <c r="A845" s="1">
        <f ca="1">IFERROR(__xludf.DUMMYFUNCTION("""COMPUTED_VALUE"""),43290.625)</f>
        <v>43290.625</v>
      </c>
      <c r="B845" s="2">
        <f ca="1">IFERROR(__xludf.DUMMYFUNCTION("""COMPUTED_VALUE"""),6350)</f>
        <v>6350</v>
      </c>
      <c r="C845" s="2">
        <f ca="1">IFERROR(__xludf.DUMMYFUNCTION("""COMPUTED_VALUE"""),6525)</f>
        <v>6525</v>
      </c>
      <c r="D845" s="2">
        <f ca="1">IFERROR(__xludf.DUMMYFUNCTION("""COMPUTED_VALUE"""),6300)</f>
        <v>6300</v>
      </c>
      <c r="E845" s="2">
        <f ca="1">IFERROR(__xludf.DUMMYFUNCTION("""COMPUTED_VALUE"""),6425)</f>
        <v>6425</v>
      </c>
      <c r="F845" s="2">
        <f ca="1">IFERROR(__xludf.DUMMYFUNCTION("""COMPUTED_VALUE"""),55841900)</f>
        <v>55841900</v>
      </c>
    </row>
    <row r="846" spans="1:6">
      <c r="A846" s="1">
        <f ca="1">IFERROR(__xludf.DUMMYFUNCTION("""COMPUTED_VALUE"""),43291.625)</f>
        <v>43291.625</v>
      </c>
      <c r="B846" s="2">
        <f ca="1">IFERROR(__xludf.DUMMYFUNCTION("""COMPUTED_VALUE"""),6500)</f>
        <v>6500</v>
      </c>
      <c r="C846" s="2">
        <f ca="1">IFERROR(__xludf.DUMMYFUNCTION("""COMPUTED_VALUE"""),6575)</f>
        <v>6575</v>
      </c>
      <c r="D846" s="2">
        <f ca="1">IFERROR(__xludf.DUMMYFUNCTION("""COMPUTED_VALUE"""),6375)</f>
        <v>6375</v>
      </c>
      <c r="E846" s="2">
        <f ca="1">IFERROR(__xludf.DUMMYFUNCTION("""COMPUTED_VALUE"""),6450)</f>
        <v>6450</v>
      </c>
      <c r="F846" s="2">
        <f ca="1">IFERROR(__xludf.DUMMYFUNCTION("""COMPUTED_VALUE"""),43831000)</f>
        <v>43831000</v>
      </c>
    </row>
    <row r="847" spans="1:6">
      <c r="A847" s="1">
        <f ca="1">IFERROR(__xludf.DUMMYFUNCTION("""COMPUTED_VALUE"""),43292.625)</f>
        <v>43292.625</v>
      </c>
      <c r="B847" s="2">
        <f ca="1">IFERROR(__xludf.DUMMYFUNCTION("""COMPUTED_VALUE"""),6300)</f>
        <v>6300</v>
      </c>
      <c r="C847" s="2">
        <f ca="1">IFERROR(__xludf.DUMMYFUNCTION("""COMPUTED_VALUE"""),6375)</f>
        <v>6375</v>
      </c>
      <c r="D847" s="2">
        <f ca="1">IFERROR(__xludf.DUMMYFUNCTION("""COMPUTED_VALUE"""),6250)</f>
        <v>6250</v>
      </c>
      <c r="E847" s="2">
        <f ca="1">IFERROR(__xludf.DUMMYFUNCTION("""COMPUTED_VALUE"""),6350)</f>
        <v>6350</v>
      </c>
      <c r="F847" s="2">
        <f ca="1">IFERROR(__xludf.DUMMYFUNCTION("""COMPUTED_VALUE"""),35800300)</f>
        <v>35800300</v>
      </c>
    </row>
    <row r="848" spans="1:6">
      <c r="A848" s="1">
        <f ca="1">IFERROR(__xludf.DUMMYFUNCTION("""COMPUTED_VALUE"""),43293.625)</f>
        <v>43293.625</v>
      </c>
      <c r="B848" s="2">
        <f ca="1">IFERROR(__xludf.DUMMYFUNCTION("""COMPUTED_VALUE"""),6300)</f>
        <v>6300</v>
      </c>
      <c r="C848" s="2">
        <f ca="1">IFERROR(__xludf.DUMMYFUNCTION("""COMPUTED_VALUE"""),6450)</f>
        <v>6450</v>
      </c>
      <c r="D848" s="2">
        <f ca="1">IFERROR(__xludf.DUMMYFUNCTION("""COMPUTED_VALUE"""),6300)</f>
        <v>6300</v>
      </c>
      <c r="E848" s="2">
        <f ca="1">IFERROR(__xludf.DUMMYFUNCTION("""COMPUTED_VALUE"""),6450)</f>
        <v>6450</v>
      </c>
      <c r="F848" s="2">
        <f ca="1">IFERROR(__xludf.DUMMYFUNCTION("""COMPUTED_VALUE"""),34741300)</f>
        <v>34741300</v>
      </c>
    </row>
    <row r="849" spans="1:6">
      <c r="A849" s="1">
        <f ca="1">IFERROR(__xludf.DUMMYFUNCTION("""COMPUTED_VALUE"""),43294.625)</f>
        <v>43294.625</v>
      </c>
      <c r="B849" s="2">
        <f ca="1">IFERROR(__xludf.DUMMYFUNCTION("""COMPUTED_VALUE"""),6425)</f>
        <v>6425</v>
      </c>
      <c r="C849" s="2">
        <f ca="1">IFERROR(__xludf.DUMMYFUNCTION("""COMPUTED_VALUE"""),6650)</f>
        <v>6650</v>
      </c>
      <c r="D849" s="2">
        <f ca="1">IFERROR(__xludf.DUMMYFUNCTION("""COMPUTED_VALUE"""),6425)</f>
        <v>6425</v>
      </c>
      <c r="E849" s="2">
        <f ca="1">IFERROR(__xludf.DUMMYFUNCTION("""COMPUTED_VALUE"""),6600)</f>
        <v>6600</v>
      </c>
      <c r="F849" s="2">
        <f ca="1">IFERROR(__xludf.DUMMYFUNCTION("""COMPUTED_VALUE"""),35561800)</f>
        <v>35561800</v>
      </c>
    </row>
    <row r="850" spans="1:6">
      <c r="A850" s="1">
        <f ca="1">IFERROR(__xludf.DUMMYFUNCTION("""COMPUTED_VALUE"""),43297.625)</f>
        <v>43297.625</v>
      </c>
      <c r="B850" s="2">
        <f ca="1">IFERROR(__xludf.DUMMYFUNCTION("""COMPUTED_VALUE"""),6550)</f>
        <v>6550</v>
      </c>
      <c r="C850" s="2">
        <f ca="1">IFERROR(__xludf.DUMMYFUNCTION("""COMPUTED_VALUE"""),6625)</f>
        <v>6625</v>
      </c>
      <c r="D850" s="2">
        <f ca="1">IFERROR(__xludf.DUMMYFUNCTION("""COMPUTED_VALUE"""),6375)</f>
        <v>6375</v>
      </c>
      <c r="E850" s="2">
        <f ca="1">IFERROR(__xludf.DUMMYFUNCTION("""COMPUTED_VALUE"""),6550)</f>
        <v>6550</v>
      </c>
      <c r="F850" s="2">
        <f ca="1">IFERROR(__xludf.DUMMYFUNCTION("""COMPUTED_VALUE"""),28939800)</f>
        <v>28939800</v>
      </c>
    </row>
    <row r="851" spans="1:6">
      <c r="A851" s="1">
        <f ca="1">IFERROR(__xludf.DUMMYFUNCTION("""COMPUTED_VALUE"""),43298.625)</f>
        <v>43298.625</v>
      </c>
      <c r="B851" s="2">
        <f ca="1">IFERROR(__xludf.DUMMYFUNCTION("""COMPUTED_VALUE"""),6450)</f>
        <v>6450</v>
      </c>
      <c r="C851" s="2">
        <f ca="1">IFERROR(__xludf.DUMMYFUNCTION("""COMPUTED_VALUE"""),6475)</f>
        <v>6475</v>
      </c>
      <c r="D851" s="2">
        <f ca="1">IFERROR(__xludf.DUMMYFUNCTION("""COMPUTED_VALUE"""),6300)</f>
        <v>6300</v>
      </c>
      <c r="E851" s="2">
        <f ca="1">IFERROR(__xludf.DUMMYFUNCTION("""COMPUTED_VALUE"""),6325)</f>
        <v>6325</v>
      </c>
      <c r="F851" s="2">
        <f ca="1">IFERROR(__xludf.DUMMYFUNCTION("""COMPUTED_VALUE"""),42430000)</f>
        <v>42430000</v>
      </c>
    </row>
    <row r="852" spans="1:6">
      <c r="A852" s="1">
        <f ca="1">IFERROR(__xludf.DUMMYFUNCTION("""COMPUTED_VALUE"""),43299.625)</f>
        <v>43299.625</v>
      </c>
      <c r="B852" s="2">
        <f ca="1">IFERROR(__xludf.DUMMYFUNCTION("""COMPUTED_VALUE"""),6325)</f>
        <v>6325</v>
      </c>
      <c r="C852" s="2">
        <f ca="1">IFERROR(__xludf.DUMMYFUNCTION("""COMPUTED_VALUE"""),6425)</f>
        <v>6425</v>
      </c>
      <c r="D852" s="2">
        <f ca="1">IFERROR(__xludf.DUMMYFUNCTION("""COMPUTED_VALUE"""),6300)</f>
        <v>6300</v>
      </c>
      <c r="E852" s="2">
        <f ca="1">IFERROR(__xludf.DUMMYFUNCTION("""COMPUTED_VALUE"""),6400)</f>
        <v>6400</v>
      </c>
      <c r="F852" s="2">
        <f ca="1">IFERROR(__xludf.DUMMYFUNCTION("""COMPUTED_VALUE"""),23146500)</f>
        <v>23146500</v>
      </c>
    </row>
    <row r="853" spans="1:6">
      <c r="A853" s="1">
        <f ca="1">IFERROR(__xludf.DUMMYFUNCTION("""COMPUTED_VALUE"""),43300.625)</f>
        <v>43300.625</v>
      </c>
      <c r="B853" s="2">
        <f ca="1">IFERROR(__xludf.DUMMYFUNCTION("""COMPUTED_VALUE"""),6425)</f>
        <v>6425</v>
      </c>
      <c r="C853" s="2">
        <f ca="1">IFERROR(__xludf.DUMMYFUNCTION("""COMPUTED_VALUE"""),6525)</f>
        <v>6525</v>
      </c>
      <c r="D853" s="2">
        <f ca="1">IFERROR(__xludf.DUMMYFUNCTION("""COMPUTED_VALUE"""),6375)</f>
        <v>6375</v>
      </c>
      <c r="E853" s="2">
        <f ca="1">IFERROR(__xludf.DUMMYFUNCTION("""COMPUTED_VALUE"""),6375)</f>
        <v>6375</v>
      </c>
      <c r="F853" s="2">
        <f ca="1">IFERROR(__xludf.DUMMYFUNCTION("""COMPUTED_VALUE"""),34971000)</f>
        <v>34971000</v>
      </c>
    </row>
    <row r="854" spans="1:6">
      <c r="A854" s="1">
        <f ca="1">IFERROR(__xludf.DUMMYFUNCTION("""COMPUTED_VALUE"""),43301.625)</f>
        <v>43301.625</v>
      </c>
      <c r="B854" s="2">
        <f ca="1">IFERROR(__xludf.DUMMYFUNCTION("""COMPUTED_VALUE"""),6425)</f>
        <v>6425</v>
      </c>
      <c r="C854" s="2">
        <f ca="1">IFERROR(__xludf.DUMMYFUNCTION("""COMPUTED_VALUE"""),6450)</f>
        <v>6450</v>
      </c>
      <c r="D854" s="2">
        <f ca="1">IFERROR(__xludf.DUMMYFUNCTION("""COMPUTED_VALUE"""),6275)</f>
        <v>6275</v>
      </c>
      <c r="E854" s="2">
        <f ca="1">IFERROR(__xludf.DUMMYFUNCTION("""COMPUTED_VALUE"""),6350)</f>
        <v>6350</v>
      </c>
      <c r="F854" s="2">
        <f ca="1">IFERROR(__xludf.DUMMYFUNCTION("""COMPUTED_VALUE"""),50997400)</f>
        <v>50997400</v>
      </c>
    </row>
    <row r="855" spans="1:6">
      <c r="A855" s="1">
        <f ca="1">IFERROR(__xludf.DUMMYFUNCTION("""COMPUTED_VALUE"""),43304.625)</f>
        <v>43304.625</v>
      </c>
      <c r="B855" s="2">
        <f ca="1">IFERROR(__xludf.DUMMYFUNCTION("""COMPUTED_VALUE"""),6400)</f>
        <v>6400</v>
      </c>
      <c r="C855" s="2">
        <f ca="1">IFERROR(__xludf.DUMMYFUNCTION("""COMPUTED_VALUE"""),6575)</f>
        <v>6575</v>
      </c>
      <c r="D855" s="2">
        <f ca="1">IFERROR(__xludf.DUMMYFUNCTION("""COMPUTED_VALUE"""),6375)</f>
        <v>6375</v>
      </c>
      <c r="E855" s="2">
        <f ca="1">IFERROR(__xludf.DUMMYFUNCTION("""COMPUTED_VALUE"""),6400)</f>
        <v>6400</v>
      </c>
      <c r="F855" s="2">
        <f ca="1">IFERROR(__xludf.DUMMYFUNCTION("""COMPUTED_VALUE"""),40070100)</f>
        <v>40070100</v>
      </c>
    </row>
    <row r="856" spans="1:6">
      <c r="A856" s="1">
        <f ca="1">IFERROR(__xludf.DUMMYFUNCTION("""COMPUTED_VALUE"""),43305.625)</f>
        <v>43305.625</v>
      </c>
      <c r="B856" s="2">
        <f ca="1">IFERROR(__xludf.DUMMYFUNCTION("""COMPUTED_VALUE"""),6500)</f>
        <v>6500</v>
      </c>
      <c r="C856" s="2">
        <f ca="1">IFERROR(__xludf.DUMMYFUNCTION("""COMPUTED_VALUE"""),6525)</f>
        <v>6525</v>
      </c>
      <c r="D856" s="2">
        <f ca="1">IFERROR(__xludf.DUMMYFUNCTION("""COMPUTED_VALUE"""),6400)</f>
        <v>6400</v>
      </c>
      <c r="E856" s="2">
        <f ca="1">IFERROR(__xludf.DUMMYFUNCTION("""COMPUTED_VALUE"""),6525)</f>
        <v>6525</v>
      </c>
      <c r="F856" s="2">
        <f ca="1">IFERROR(__xludf.DUMMYFUNCTION("""COMPUTED_VALUE"""),19490200)</f>
        <v>19490200</v>
      </c>
    </row>
    <row r="857" spans="1:6">
      <c r="A857" s="1">
        <f ca="1">IFERROR(__xludf.DUMMYFUNCTION("""COMPUTED_VALUE"""),43306.625)</f>
        <v>43306.625</v>
      </c>
      <c r="B857" s="2">
        <f ca="1">IFERROR(__xludf.DUMMYFUNCTION("""COMPUTED_VALUE"""),6550)</f>
        <v>6550</v>
      </c>
      <c r="C857" s="2">
        <f ca="1">IFERROR(__xludf.DUMMYFUNCTION("""COMPUTED_VALUE"""),6550)</f>
        <v>6550</v>
      </c>
      <c r="D857" s="2">
        <f ca="1">IFERROR(__xludf.DUMMYFUNCTION("""COMPUTED_VALUE"""),6450)</f>
        <v>6450</v>
      </c>
      <c r="E857" s="2">
        <f ca="1">IFERROR(__xludf.DUMMYFUNCTION("""COMPUTED_VALUE"""),6475)</f>
        <v>6475</v>
      </c>
      <c r="F857" s="2">
        <f ca="1">IFERROR(__xludf.DUMMYFUNCTION("""COMPUTED_VALUE"""),31074700)</f>
        <v>31074700</v>
      </c>
    </row>
    <row r="858" spans="1:6">
      <c r="A858" s="1">
        <f ca="1">IFERROR(__xludf.DUMMYFUNCTION("""COMPUTED_VALUE"""),43307.625)</f>
        <v>43307.625</v>
      </c>
      <c r="B858" s="2">
        <f ca="1">IFERROR(__xludf.DUMMYFUNCTION("""COMPUTED_VALUE"""),6500)</f>
        <v>6500</v>
      </c>
      <c r="C858" s="2">
        <f ca="1">IFERROR(__xludf.DUMMYFUNCTION("""COMPUTED_VALUE"""),6550)</f>
        <v>6550</v>
      </c>
      <c r="D858" s="2">
        <f ca="1">IFERROR(__xludf.DUMMYFUNCTION("""COMPUTED_VALUE"""),6475)</f>
        <v>6475</v>
      </c>
      <c r="E858" s="2">
        <f ca="1">IFERROR(__xludf.DUMMYFUNCTION("""COMPUTED_VALUE"""),6550)</f>
        <v>6550</v>
      </c>
      <c r="F858" s="2">
        <f ca="1">IFERROR(__xludf.DUMMYFUNCTION("""COMPUTED_VALUE"""),28973900)</f>
        <v>28973900</v>
      </c>
    </row>
    <row r="859" spans="1:6">
      <c r="A859" s="1">
        <f ca="1">IFERROR(__xludf.DUMMYFUNCTION("""COMPUTED_VALUE"""),43308.625)</f>
        <v>43308.625</v>
      </c>
      <c r="B859" s="2">
        <f ca="1">IFERROR(__xludf.DUMMYFUNCTION("""COMPUTED_VALUE"""),6575)</f>
        <v>6575</v>
      </c>
      <c r="C859" s="2">
        <f ca="1">IFERROR(__xludf.DUMMYFUNCTION("""COMPUTED_VALUE"""),6575)</f>
        <v>6575</v>
      </c>
      <c r="D859" s="2">
        <f ca="1">IFERROR(__xludf.DUMMYFUNCTION("""COMPUTED_VALUE"""),6500)</f>
        <v>6500</v>
      </c>
      <c r="E859" s="2">
        <f ca="1">IFERROR(__xludf.DUMMYFUNCTION("""COMPUTED_VALUE"""),6575)</f>
        <v>6575</v>
      </c>
      <c r="F859" s="2">
        <f ca="1">IFERROR(__xludf.DUMMYFUNCTION("""COMPUTED_VALUE"""),17844400)</f>
        <v>17844400</v>
      </c>
    </row>
    <row r="860" spans="1:6">
      <c r="A860" s="1">
        <f ca="1">IFERROR(__xludf.DUMMYFUNCTION("""COMPUTED_VALUE"""),43311.625)</f>
        <v>43311.625</v>
      </c>
      <c r="B860" s="2">
        <f ca="1">IFERROR(__xludf.DUMMYFUNCTION("""COMPUTED_VALUE"""),6575)</f>
        <v>6575</v>
      </c>
      <c r="C860" s="2">
        <f ca="1">IFERROR(__xludf.DUMMYFUNCTION("""COMPUTED_VALUE"""),6725)</f>
        <v>6725</v>
      </c>
      <c r="D860" s="2">
        <f ca="1">IFERROR(__xludf.DUMMYFUNCTION("""COMPUTED_VALUE"""),6550)</f>
        <v>6550</v>
      </c>
      <c r="E860" s="2">
        <f ca="1">IFERROR(__xludf.DUMMYFUNCTION("""COMPUTED_VALUE"""),6725)</f>
        <v>6725</v>
      </c>
      <c r="F860" s="2">
        <f ca="1">IFERROR(__xludf.DUMMYFUNCTION("""COMPUTED_VALUE"""),27304100)</f>
        <v>27304100</v>
      </c>
    </row>
    <row r="861" spans="1:6">
      <c r="A861" s="1">
        <f ca="1">IFERROR(__xludf.DUMMYFUNCTION("""COMPUTED_VALUE"""),43312.625)</f>
        <v>43312.625</v>
      </c>
      <c r="B861" s="2">
        <f ca="1">IFERROR(__xludf.DUMMYFUNCTION("""COMPUTED_VALUE"""),6725)</f>
        <v>6725</v>
      </c>
      <c r="C861" s="2">
        <f ca="1">IFERROR(__xludf.DUMMYFUNCTION("""COMPUTED_VALUE"""),6725)</f>
        <v>6725</v>
      </c>
      <c r="D861" s="2">
        <f ca="1">IFERROR(__xludf.DUMMYFUNCTION("""COMPUTED_VALUE"""),6575)</f>
        <v>6575</v>
      </c>
      <c r="E861" s="2">
        <f ca="1">IFERROR(__xludf.DUMMYFUNCTION("""COMPUTED_VALUE"""),6650)</f>
        <v>6650</v>
      </c>
      <c r="F861" s="2">
        <f ca="1">IFERROR(__xludf.DUMMYFUNCTION("""COMPUTED_VALUE"""),33464700)</f>
        <v>33464700</v>
      </c>
    </row>
    <row r="862" spans="1:6">
      <c r="A862" s="1">
        <f ca="1">IFERROR(__xludf.DUMMYFUNCTION("""COMPUTED_VALUE"""),43313.625)</f>
        <v>43313.625</v>
      </c>
      <c r="B862" s="2">
        <f ca="1">IFERROR(__xludf.DUMMYFUNCTION("""COMPUTED_VALUE"""),6700)</f>
        <v>6700</v>
      </c>
      <c r="C862" s="2">
        <f ca="1">IFERROR(__xludf.DUMMYFUNCTION("""COMPUTED_VALUE"""),7000)</f>
        <v>7000</v>
      </c>
      <c r="D862" s="2">
        <f ca="1">IFERROR(__xludf.DUMMYFUNCTION("""COMPUTED_VALUE"""),6675)</f>
        <v>6675</v>
      </c>
      <c r="E862" s="2">
        <f ca="1">IFERROR(__xludf.DUMMYFUNCTION("""COMPUTED_VALUE"""),7000)</f>
        <v>7000</v>
      </c>
      <c r="F862" s="2">
        <f ca="1">IFERROR(__xludf.DUMMYFUNCTION("""COMPUTED_VALUE"""),55412000)</f>
        <v>55412000</v>
      </c>
    </row>
    <row r="863" spans="1:6">
      <c r="A863" s="1">
        <f ca="1">IFERROR(__xludf.DUMMYFUNCTION("""COMPUTED_VALUE"""),43314.625)</f>
        <v>43314.625</v>
      </c>
      <c r="B863" s="2">
        <f ca="1">IFERROR(__xludf.DUMMYFUNCTION("""COMPUTED_VALUE"""),7000)</f>
        <v>7000</v>
      </c>
      <c r="C863" s="2">
        <f ca="1">IFERROR(__xludf.DUMMYFUNCTION("""COMPUTED_VALUE"""),7175)</f>
        <v>7175</v>
      </c>
      <c r="D863" s="2">
        <f ca="1">IFERROR(__xludf.DUMMYFUNCTION("""COMPUTED_VALUE"""),6925)</f>
        <v>6925</v>
      </c>
      <c r="E863" s="2">
        <f ca="1">IFERROR(__xludf.DUMMYFUNCTION("""COMPUTED_VALUE"""),7050)</f>
        <v>7050</v>
      </c>
      <c r="F863" s="2">
        <f ca="1">IFERROR(__xludf.DUMMYFUNCTION("""COMPUTED_VALUE"""),30696200)</f>
        <v>30696200</v>
      </c>
    </row>
    <row r="864" spans="1:6">
      <c r="A864" s="1">
        <f ca="1">IFERROR(__xludf.DUMMYFUNCTION("""COMPUTED_VALUE"""),43315.625)</f>
        <v>43315.625</v>
      </c>
      <c r="B864" s="2">
        <f ca="1">IFERROR(__xludf.DUMMYFUNCTION("""COMPUTED_VALUE"""),7000)</f>
        <v>7000</v>
      </c>
      <c r="C864" s="2">
        <f ca="1">IFERROR(__xludf.DUMMYFUNCTION("""COMPUTED_VALUE"""),7225)</f>
        <v>7225</v>
      </c>
      <c r="D864" s="2">
        <f ca="1">IFERROR(__xludf.DUMMYFUNCTION("""COMPUTED_VALUE"""),7000)</f>
        <v>7000</v>
      </c>
      <c r="E864" s="2">
        <f ca="1">IFERROR(__xludf.DUMMYFUNCTION("""COMPUTED_VALUE"""),7200)</f>
        <v>7200</v>
      </c>
      <c r="F864" s="2">
        <f ca="1">IFERROR(__xludf.DUMMYFUNCTION("""COMPUTED_VALUE"""),31775200)</f>
        <v>31775200</v>
      </c>
    </row>
    <row r="865" spans="1:6">
      <c r="A865" s="1">
        <f ca="1">IFERROR(__xludf.DUMMYFUNCTION("""COMPUTED_VALUE"""),43318.625)</f>
        <v>43318.625</v>
      </c>
      <c r="B865" s="2">
        <f ca="1">IFERROR(__xludf.DUMMYFUNCTION("""COMPUTED_VALUE"""),7225)</f>
        <v>7225</v>
      </c>
      <c r="C865" s="2">
        <f ca="1">IFERROR(__xludf.DUMMYFUNCTION("""COMPUTED_VALUE"""),7425)</f>
        <v>7425</v>
      </c>
      <c r="D865" s="2">
        <f ca="1">IFERROR(__xludf.DUMMYFUNCTION("""COMPUTED_VALUE"""),7200)</f>
        <v>7200</v>
      </c>
      <c r="E865" s="2">
        <f ca="1">IFERROR(__xludf.DUMMYFUNCTION("""COMPUTED_VALUE"""),7300)</f>
        <v>7300</v>
      </c>
      <c r="F865" s="2">
        <f ca="1">IFERROR(__xludf.DUMMYFUNCTION("""COMPUTED_VALUE"""),51239300)</f>
        <v>51239300</v>
      </c>
    </row>
    <row r="866" spans="1:6">
      <c r="A866" s="1">
        <f ca="1">IFERROR(__xludf.DUMMYFUNCTION("""COMPUTED_VALUE"""),43319.625)</f>
        <v>43319.625</v>
      </c>
      <c r="B866" s="2">
        <f ca="1">IFERROR(__xludf.DUMMYFUNCTION("""COMPUTED_VALUE"""),7300)</f>
        <v>7300</v>
      </c>
      <c r="C866" s="2">
        <f ca="1">IFERROR(__xludf.DUMMYFUNCTION("""COMPUTED_VALUE"""),7425)</f>
        <v>7425</v>
      </c>
      <c r="D866" s="2">
        <f ca="1">IFERROR(__xludf.DUMMYFUNCTION("""COMPUTED_VALUE"""),7200)</f>
        <v>7200</v>
      </c>
      <c r="E866" s="2">
        <f ca="1">IFERROR(__xludf.DUMMYFUNCTION("""COMPUTED_VALUE"""),7200)</f>
        <v>7200</v>
      </c>
      <c r="F866" s="2">
        <f ca="1">IFERROR(__xludf.DUMMYFUNCTION("""COMPUTED_VALUE"""),51483900)</f>
        <v>51483900</v>
      </c>
    </row>
    <row r="867" spans="1:6">
      <c r="A867" s="1">
        <f ca="1">IFERROR(__xludf.DUMMYFUNCTION("""COMPUTED_VALUE"""),43320.625)</f>
        <v>43320.625</v>
      </c>
      <c r="B867" s="2">
        <f ca="1">IFERROR(__xludf.DUMMYFUNCTION("""COMPUTED_VALUE"""),7225)</f>
        <v>7225</v>
      </c>
      <c r="C867" s="2">
        <f ca="1">IFERROR(__xludf.DUMMYFUNCTION("""COMPUTED_VALUE"""),7325)</f>
        <v>7325</v>
      </c>
      <c r="D867" s="2">
        <f ca="1">IFERROR(__xludf.DUMMYFUNCTION("""COMPUTED_VALUE"""),7100)</f>
        <v>7100</v>
      </c>
      <c r="E867" s="2">
        <f ca="1">IFERROR(__xludf.DUMMYFUNCTION("""COMPUTED_VALUE"""),7325)</f>
        <v>7325</v>
      </c>
      <c r="F867" s="2">
        <f ca="1">IFERROR(__xludf.DUMMYFUNCTION("""COMPUTED_VALUE"""),24483700)</f>
        <v>24483700</v>
      </c>
    </row>
    <row r="868" spans="1:6">
      <c r="A868" s="1">
        <f ca="1">IFERROR(__xludf.DUMMYFUNCTION("""COMPUTED_VALUE"""),43321.625)</f>
        <v>43321.625</v>
      </c>
      <c r="B868" s="2">
        <f ca="1">IFERROR(__xludf.DUMMYFUNCTION("""COMPUTED_VALUE"""),7200)</f>
        <v>7200</v>
      </c>
      <c r="C868" s="2">
        <f ca="1">IFERROR(__xludf.DUMMYFUNCTION("""COMPUTED_VALUE"""),7350)</f>
        <v>7350</v>
      </c>
      <c r="D868" s="2">
        <f ca="1">IFERROR(__xludf.DUMMYFUNCTION("""COMPUTED_VALUE"""),7200)</f>
        <v>7200</v>
      </c>
      <c r="E868" s="2">
        <f ca="1">IFERROR(__xludf.DUMMYFUNCTION("""COMPUTED_VALUE"""),7275)</f>
        <v>7275</v>
      </c>
      <c r="F868" s="2">
        <f ca="1">IFERROR(__xludf.DUMMYFUNCTION("""COMPUTED_VALUE"""),14457400)</f>
        <v>14457400</v>
      </c>
    </row>
    <row r="869" spans="1:6">
      <c r="A869" s="1">
        <f ca="1">IFERROR(__xludf.DUMMYFUNCTION("""COMPUTED_VALUE"""),43322.625)</f>
        <v>43322.625</v>
      </c>
      <c r="B869" s="2">
        <f ca="1">IFERROR(__xludf.DUMMYFUNCTION("""COMPUTED_VALUE"""),7325)</f>
        <v>7325</v>
      </c>
      <c r="C869" s="2">
        <f ca="1">IFERROR(__xludf.DUMMYFUNCTION("""COMPUTED_VALUE"""),7425)</f>
        <v>7425</v>
      </c>
      <c r="D869" s="2">
        <f ca="1">IFERROR(__xludf.DUMMYFUNCTION("""COMPUTED_VALUE"""),7300)</f>
        <v>7300</v>
      </c>
      <c r="E869" s="2">
        <f ca="1">IFERROR(__xludf.DUMMYFUNCTION("""COMPUTED_VALUE"""),7350)</f>
        <v>7350</v>
      </c>
      <c r="F869" s="2">
        <f ca="1">IFERROR(__xludf.DUMMYFUNCTION("""COMPUTED_VALUE"""),18133900)</f>
        <v>18133900</v>
      </c>
    </row>
    <row r="870" spans="1:6">
      <c r="A870" s="1">
        <f ca="1">IFERROR(__xludf.DUMMYFUNCTION("""COMPUTED_VALUE"""),43325.625)</f>
        <v>43325.625</v>
      </c>
      <c r="B870" s="2">
        <f ca="1">IFERROR(__xludf.DUMMYFUNCTION("""COMPUTED_VALUE"""),7200)</f>
        <v>7200</v>
      </c>
      <c r="C870" s="2">
        <f ca="1">IFERROR(__xludf.DUMMYFUNCTION("""COMPUTED_VALUE"""),7250)</f>
        <v>7250</v>
      </c>
      <c r="D870" s="2">
        <f ca="1">IFERROR(__xludf.DUMMYFUNCTION("""COMPUTED_VALUE"""),6850)</f>
        <v>6850</v>
      </c>
      <c r="E870" s="2">
        <f ca="1">IFERROR(__xludf.DUMMYFUNCTION("""COMPUTED_VALUE"""),6925)</f>
        <v>6925</v>
      </c>
      <c r="F870" s="2">
        <f ca="1">IFERROR(__xludf.DUMMYFUNCTION("""COMPUTED_VALUE"""),41329200)</f>
        <v>41329200</v>
      </c>
    </row>
    <row r="871" spans="1:6">
      <c r="A871" s="1">
        <f ca="1">IFERROR(__xludf.DUMMYFUNCTION("""COMPUTED_VALUE"""),43326.625)</f>
        <v>43326.625</v>
      </c>
      <c r="B871" s="2">
        <f ca="1">IFERROR(__xludf.DUMMYFUNCTION("""COMPUTED_VALUE"""),6875)</f>
        <v>6875</v>
      </c>
      <c r="C871" s="2">
        <f ca="1">IFERROR(__xludf.DUMMYFUNCTION("""COMPUTED_VALUE"""),6900)</f>
        <v>6900</v>
      </c>
      <c r="D871" s="2">
        <f ca="1">IFERROR(__xludf.DUMMYFUNCTION("""COMPUTED_VALUE"""),6700)</f>
        <v>6700</v>
      </c>
      <c r="E871" s="2">
        <f ca="1">IFERROR(__xludf.DUMMYFUNCTION("""COMPUTED_VALUE"""),6725)</f>
        <v>6725</v>
      </c>
      <c r="F871" s="2">
        <f ca="1">IFERROR(__xludf.DUMMYFUNCTION("""COMPUTED_VALUE"""),61457500)</f>
        <v>61457500</v>
      </c>
    </row>
    <row r="872" spans="1:6">
      <c r="A872" s="1">
        <f ca="1">IFERROR(__xludf.DUMMYFUNCTION("""COMPUTED_VALUE"""),43327.625)</f>
        <v>43327.625</v>
      </c>
      <c r="B872" s="2">
        <f ca="1">IFERROR(__xludf.DUMMYFUNCTION("""COMPUTED_VALUE"""),6750)</f>
        <v>6750</v>
      </c>
      <c r="C872" s="2">
        <f ca="1">IFERROR(__xludf.DUMMYFUNCTION("""COMPUTED_VALUE"""),6825)</f>
        <v>6825</v>
      </c>
      <c r="D872" s="2">
        <f ca="1">IFERROR(__xludf.DUMMYFUNCTION("""COMPUTED_VALUE"""),6525)</f>
        <v>6525</v>
      </c>
      <c r="E872" s="2">
        <f ca="1">IFERROR(__xludf.DUMMYFUNCTION("""COMPUTED_VALUE"""),6800)</f>
        <v>6800</v>
      </c>
      <c r="F872" s="2">
        <f ca="1">IFERROR(__xludf.DUMMYFUNCTION("""COMPUTED_VALUE"""),41021400)</f>
        <v>41021400</v>
      </c>
    </row>
    <row r="873" spans="1:6">
      <c r="A873" s="1">
        <f ca="1">IFERROR(__xludf.DUMMYFUNCTION("""COMPUTED_VALUE"""),43328.625)</f>
        <v>43328.625</v>
      </c>
      <c r="B873" s="2">
        <f ca="1">IFERROR(__xludf.DUMMYFUNCTION("""COMPUTED_VALUE"""),6750)</f>
        <v>6750</v>
      </c>
      <c r="C873" s="2">
        <f ca="1">IFERROR(__xludf.DUMMYFUNCTION("""COMPUTED_VALUE"""),6775)</f>
        <v>6775</v>
      </c>
      <c r="D873" s="2">
        <f ca="1">IFERROR(__xludf.DUMMYFUNCTION("""COMPUTED_VALUE"""),6600)</f>
        <v>6600</v>
      </c>
      <c r="E873" s="2">
        <f ca="1">IFERROR(__xludf.DUMMYFUNCTION("""COMPUTED_VALUE"""),6700)</f>
        <v>6700</v>
      </c>
      <c r="F873" s="2">
        <f ca="1">IFERROR(__xludf.DUMMYFUNCTION("""COMPUTED_VALUE"""),21231800)</f>
        <v>21231800</v>
      </c>
    </row>
    <row r="874" spans="1:6">
      <c r="A874" s="1">
        <f ca="1">IFERROR(__xludf.DUMMYFUNCTION("""COMPUTED_VALUE"""),43332.625)</f>
        <v>43332.625</v>
      </c>
      <c r="B874" s="2">
        <f ca="1">IFERROR(__xludf.DUMMYFUNCTION("""COMPUTED_VALUE"""),6950)</f>
        <v>6950</v>
      </c>
      <c r="C874" s="2">
        <f ca="1">IFERROR(__xludf.DUMMYFUNCTION("""COMPUTED_VALUE"""),6950)</f>
        <v>6950</v>
      </c>
      <c r="D874" s="2">
        <f ca="1">IFERROR(__xludf.DUMMYFUNCTION("""COMPUTED_VALUE"""),6700)</f>
        <v>6700</v>
      </c>
      <c r="E874" s="2">
        <f ca="1">IFERROR(__xludf.DUMMYFUNCTION("""COMPUTED_VALUE"""),6725)</f>
        <v>6725</v>
      </c>
      <c r="F874" s="2">
        <f ca="1">IFERROR(__xludf.DUMMYFUNCTION("""COMPUTED_VALUE"""),40569600)</f>
        <v>40569600</v>
      </c>
    </row>
    <row r="875" spans="1:6">
      <c r="A875" s="1">
        <f ca="1">IFERROR(__xludf.DUMMYFUNCTION("""COMPUTED_VALUE"""),43333.625)</f>
        <v>43333.625</v>
      </c>
      <c r="B875" s="2">
        <f ca="1">IFERROR(__xludf.DUMMYFUNCTION("""COMPUTED_VALUE"""),6750)</f>
        <v>6750</v>
      </c>
      <c r="C875" s="2">
        <f ca="1">IFERROR(__xludf.DUMMYFUNCTION("""COMPUTED_VALUE"""),6775)</f>
        <v>6775</v>
      </c>
      <c r="D875" s="2">
        <f ca="1">IFERROR(__xludf.DUMMYFUNCTION("""COMPUTED_VALUE"""),6675)</f>
        <v>6675</v>
      </c>
      <c r="E875" s="2">
        <f ca="1">IFERROR(__xludf.DUMMYFUNCTION("""COMPUTED_VALUE"""),6700)</f>
        <v>6700</v>
      </c>
      <c r="F875" s="2">
        <f ca="1">IFERROR(__xludf.DUMMYFUNCTION("""COMPUTED_VALUE"""),31199600)</f>
        <v>31199600</v>
      </c>
    </row>
    <row r="876" spans="1:6">
      <c r="A876" s="1">
        <f ca="1">IFERROR(__xludf.DUMMYFUNCTION("""COMPUTED_VALUE"""),43335.625)</f>
        <v>43335.625</v>
      </c>
      <c r="B876" s="2">
        <f ca="1">IFERROR(__xludf.DUMMYFUNCTION("""COMPUTED_VALUE"""),6800)</f>
        <v>6800</v>
      </c>
      <c r="C876" s="2">
        <f ca="1">IFERROR(__xludf.DUMMYFUNCTION("""COMPUTED_VALUE"""),6850)</f>
        <v>6850</v>
      </c>
      <c r="D876" s="2">
        <f ca="1">IFERROR(__xludf.DUMMYFUNCTION("""COMPUTED_VALUE"""),6700)</f>
        <v>6700</v>
      </c>
      <c r="E876" s="2">
        <f ca="1">IFERROR(__xludf.DUMMYFUNCTION("""COMPUTED_VALUE"""),6850)</f>
        <v>6850</v>
      </c>
      <c r="F876" s="2">
        <f ca="1">IFERROR(__xludf.DUMMYFUNCTION("""COMPUTED_VALUE"""),49029900)</f>
        <v>49029900</v>
      </c>
    </row>
    <row r="877" spans="1:6">
      <c r="A877" s="1">
        <f ca="1">IFERROR(__xludf.DUMMYFUNCTION("""COMPUTED_VALUE"""),43336.625)</f>
        <v>43336.625</v>
      </c>
      <c r="B877" s="2">
        <f ca="1">IFERROR(__xludf.DUMMYFUNCTION("""COMPUTED_VALUE"""),6800)</f>
        <v>6800</v>
      </c>
      <c r="C877" s="2">
        <f ca="1">IFERROR(__xludf.DUMMYFUNCTION("""COMPUTED_VALUE"""),6850)</f>
        <v>6850</v>
      </c>
      <c r="D877" s="2">
        <f ca="1">IFERROR(__xludf.DUMMYFUNCTION("""COMPUTED_VALUE"""),6750)</f>
        <v>6750</v>
      </c>
      <c r="E877" s="2">
        <f ca="1">IFERROR(__xludf.DUMMYFUNCTION("""COMPUTED_VALUE"""),6775)</f>
        <v>6775</v>
      </c>
      <c r="F877" s="2">
        <f ca="1">IFERROR(__xludf.DUMMYFUNCTION("""COMPUTED_VALUE"""),37841600)</f>
        <v>37841600</v>
      </c>
    </row>
    <row r="878" spans="1:6">
      <c r="A878" s="1">
        <f ca="1">IFERROR(__xludf.DUMMYFUNCTION("""COMPUTED_VALUE"""),43339.625)</f>
        <v>43339.625</v>
      </c>
      <c r="B878" s="2">
        <f ca="1">IFERROR(__xludf.DUMMYFUNCTION("""COMPUTED_VALUE"""),6825)</f>
        <v>6825</v>
      </c>
      <c r="C878" s="2">
        <f ca="1">IFERROR(__xludf.DUMMYFUNCTION("""COMPUTED_VALUE"""),6975)</f>
        <v>6975</v>
      </c>
      <c r="D878" s="2">
        <f ca="1">IFERROR(__xludf.DUMMYFUNCTION("""COMPUTED_VALUE"""),6775)</f>
        <v>6775</v>
      </c>
      <c r="E878" s="2">
        <f ca="1">IFERROR(__xludf.DUMMYFUNCTION("""COMPUTED_VALUE"""),6975)</f>
        <v>6975</v>
      </c>
      <c r="F878" s="2">
        <f ca="1">IFERROR(__xludf.DUMMYFUNCTION("""COMPUTED_VALUE"""),42251600)</f>
        <v>42251600</v>
      </c>
    </row>
    <row r="879" spans="1:6">
      <c r="A879" s="1">
        <f ca="1">IFERROR(__xludf.DUMMYFUNCTION("""COMPUTED_VALUE"""),43340.625)</f>
        <v>43340.625</v>
      </c>
      <c r="B879" s="2">
        <f ca="1">IFERROR(__xludf.DUMMYFUNCTION("""COMPUTED_VALUE"""),7000)</f>
        <v>7000</v>
      </c>
      <c r="C879" s="2">
        <f ca="1">IFERROR(__xludf.DUMMYFUNCTION("""COMPUTED_VALUE"""),7025)</f>
        <v>7025</v>
      </c>
      <c r="D879" s="2">
        <f ca="1">IFERROR(__xludf.DUMMYFUNCTION("""COMPUTED_VALUE"""),6900)</f>
        <v>6900</v>
      </c>
      <c r="E879" s="2">
        <f ca="1">IFERROR(__xludf.DUMMYFUNCTION("""COMPUTED_VALUE"""),7000)</f>
        <v>7000</v>
      </c>
      <c r="F879" s="2">
        <f ca="1">IFERROR(__xludf.DUMMYFUNCTION("""COMPUTED_VALUE"""),40295600)</f>
        <v>40295600</v>
      </c>
    </row>
    <row r="880" spans="1:6">
      <c r="A880" s="1">
        <f ca="1">IFERROR(__xludf.DUMMYFUNCTION("""COMPUTED_VALUE"""),43341.625)</f>
        <v>43341.625</v>
      </c>
      <c r="B880" s="2">
        <f ca="1">IFERROR(__xludf.DUMMYFUNCTION("""COMPUTED_VALUE"""),6975)</f>
        <v>6975</v>
      </c>
      <c r="C880" s="2">
        <f ca="1">IFERROR(__xludf.DUMMYFUNCTION("""COMPUTED_VALUE"""),7025)</f>
        <v>7025</v>
      </c>
      <c r="D880" s="2">
        <f ca="1">IFERROR(__xludf.DUMMYFUNCTION("""COMPUTED_VALUE"""),6925)</f>
        <v>6925</v>
      </c>
      <c r="E880" s="2">
        <f ca="1">IFERROR(__xludf.DUMMYFUNCTION("""COMPUTED_VALUE"""),7000)</f>
        <v>7000</v>
      </c>
      <c r="F880" s="2">
        <f ca="1">IFERROR(__xludf.DUMMYFUNCTION("""COMPUTED_VALUE"""),27636300)</f>
        <v>27636300</v>
      </c>
    </row>
    <row r="881" spans="1:6">
      <c r="A881" s="1">
        <f ca="1">IFERROR(__xludf.DUMMYFUNCTION("""COMPUTED_VALUE"""),43342.625)</f>
        <v>43342.625</v>
      </c>
      <c r="B881" s="2">
        <f ca="1">IFERROR(__xludf.DUMMYFUNCTION("""COMPUTED_VALUE"""),7000)</f>
        <v>7000</v>
      </c>
      <c r="C881" s="2">
        <f ca="1">IFERROR(__xludf.DUMMYFUNCTION("""COMPUTED_VALUE"""),7025)</f>
        <v>7025</v>
      </c>
      <c r="D881" s="2">
        <f ca="1">IFERROR(__xludf.DUMMYFUNCTION("""COMPUTED_VALUE"""),6800)</f>
        <v>6800</v>
      </c>
      <c r="E881" s="2">
        <f ca="1">IFERROR(__xludf.DUMMYFUNCTION("""COMPUTED_VALUE"""),6850)</f>
        <v>6850</v>
      </c>
      <c r="F881" s="2">
        <f ca="1">IFERROR(__xludf.DUMMYFUNCTION("""COMPUTED_VALUE"""),26376600)</f>
        <v>26376600</v>
      </c>
    </row>
    <row r="882" spans="1:6">
      <c r="A882" s="1">
        <f ca="1">IFERROR(__xludf.DUMMYFUNCTION("""COMPUTED_VALUE"""),43343.625)</f>
        <v>43343.625</v>
      </c>
      <c r="B882" s="2">
        <f ca="1">IFERROR(__xludf.DUMMYFUNCTION("""COMPUTED_VALUE"""),6700)</f>
        <v>6700</v>
      </c>
      <c r="C882" s="2">
        <f ca="1">IFERROR(__xludf.DUMMYFUNCTION("""COMPUTED_VALUE"""),6900)</f>
        <v>6900</v>
      </c>
      <c r="D882" s="2">
        <f ca="1">IFERROR(__xludf.DUMMYFUNCTION("""COMPUTED_VALUE"""),6675)</f>
        <v>6675</v>
      </c>
      <c r="E882" s="2">
        <f ca="1">IFERROR(__xludf.DUMMYFUNCTION("""COMPUTED_VALUE"""),6900)</f>
        <v>6900</v>
      </c>
      <c r="F882" s="2">
        <f ca="1">IFERROR(__xludf.DUMMYFUNCTION("""COMPUTED_VALUE"""),55204100)</f>
        <v>55204100</v>
      </c>
    </row>
    <row r="883" spans="1:6">
      <c r="A883" s="1">
        <f ca="1">IFERROR(__xludf.DUMMYFUNCTION("""COMPUTED_VALUE"""),43346.625)</f>
        <v>43346.625</v>
      </c>
      <c r="B883" s="2">
        <f ca="1">IFERROR(__xludf.DUMMYFUNCTION("""COMPUTED_VALUE"""),6900)</f>
        <v>6900</v>
      </c>
      <c r="C883" s="2">
        <f ca="1">IFERROR(__xludf.DUMMYFUNCTION("""COMPUTED_VALUE"""),6900)</f>
        <v>6900</v>
      </c>
      <c r="D883" s="2">
        <f ca="1">IFERROR(__xludf.DUMMYFUNCTION("""COMPUTED_VALUE"""),6700)</f>
        <v>6700</v>
      </c>
      <c r="E883" s="2">
        <f ca="1">IFERROR(__xludf.DUMMYFUNCTION("""COMPUTED_VALUE"""),6700)</f>
        <v>6700</v>
      </c>
      <c r="F883" s="2">
        <f ca="1">IFERROR(__xludf.DUMMYFUNCTION("""COMPUTED_VALUE"""),27795100)</f>
        <v>27795100</v>
      </c>
    </row>
    <row r="884" spans="1:6">
      <c r="A884" s="1">
        <f ca="1">IFERROR(__xludf.DUMMYFUNCTION("""COMPUTED_VALUE"""),43347.625)</f>
        <v>43347.625</v>
      </c>
      <c r="B884" s="2">
        <f ca="1">IFERROR(__xludf.DUMMYFUNCTION("""COMPUTED_VALUE"""),6725)</f>
        <v>6725</v>
      </c>
      <c r="C884" s="2">
        <f ca="1">IFERROR(__xludf.DUMMYFUNCTION("""COMPUTED_VALUE"""),6750)</f>
        <v>6750</v>
      </c>
      <c r="D884" s="2">
        <f ca="1">IFERROR(__xludf.DUMMYFUNCTION("""COMPUTED_VALUE"""),6450)</f>
        <v>6450</v>
      </c>
      <c r="E884" s="2">
        <f ca="1">IFERROR(__xludf.DUMMYFUNCTION("""COMPUTED_VALUE"""),6575)</f>
        <v>6575</v>
      </c>
      <c r="F884" s="2">
        <f ca="1">IFERROR(__xludf.DUMMYFUNCTION("""COMPUTED_VALUE"""),29901500)</f>
        <v>29901500</v>
      </c>
    </row>
    <row r="885" spans="1:6">
      <c r="A885" s="1">
        <f ca="1">IFERROR(__xludf.DUMMYFUNCTION("""COMPUTED_VALUE"""),43348.625)</f>
        <v>43348.625</v>
      </c>
      <c r="B885" s="2">
        <f ca="1">IFERROR(__xludf.DUMMYFUNCTION("""COMPUTED_VALUE"""),6500)</f>
        <v>6500</v>
      </c>
      <c r="C885" s="2">
        <f ca="1">IFERROR(__xludf.DUMMYFUNCTION("""COMPUTED_VALUE"""),6525)</f>
        <v>6525</v>
      </c>
      <c r="D885" s="2">
        <f ca="1">IFERROR(__xludf.DUMMYFUNCTION("""COMPUTED_VALUE"""),6200)</f>
        <v>6200</v>
      </c>
      <c r="E885" s="2">
        <f ca="1">IFERROR(__xludf.DUMMYFUNCTION("""COMPUTED_VALUE"""),6325)</f>
        <v>6325</v>
      </c>
      <c r="F885" s="2">
        <f ca="1">IFERROR(__xludf.DUMMYFUNCTION("""COMPUTED_VALUE"""),41919300)</f>
        <v>41919300</v>
      </c>
    </row>
    <row r="886" spans="1:6">
      <c r="A886" s="1">
        <f ca="1">IFERROR(__xludf.DUMMYFUNCTION("""COMPUTED_VALUE"""),43349.625)</f>
        <v>43349.625</v>
      </c>
      <c r="B886" s="2">
        <f ca="1">IFERROR(__xludf.DUMMYFUNCTION("""COMPUTED_VALUE"""),6200)</f>
        <v>6200</v>
      </c>
      <c r="C886" s="2">
        <f ca="1">IFERROR(__xludf.DUMMYFUNCTION("""COMPUTED_VALUE"""),6550)</f>
        <v>6550</v>
      </c>
      <c r="D886" s="2">
        <f ca="1">IFERROR(__xludf.DUMMYFUNCTION("""COMPUTED_VALUE"""),6200)</f>
        <v>6200</v>
      </c>
      <c r="E886" s="2">
        <f ca="1">IFERROR(__xludf.DUMMYFUNCTION("""COMPUTED_VALUE"""),6550)</f>
        <v>6550</v>
      </c>
      <c r="F886" s="2">
        <f ca="1">IFERROR(__xludf.DUMMYFUNCTION("""COMPUTED_VALUE"""),48153100)</f>
        <v>48153100</v>
      </c>
    </row>
    <row r="887" spans="1:6">
      <c r="A887" s="1">
        <f ca="1">IFERROR(__xludf.DUMMYFUNCTION("""COMPUTED_VALUE"""),43350.625)</f>
        <v>43350.625</v>
      </c>
      <c r="B887" s="2">
        <f ca="1">IFERROR(__xludf.DUMMYFUNCTION("""COMPUTED_VALUE"""),6500)</f>
        <v>6500</v>
      </c>
      <c r="C887" s="2">
        <f ca="1">IFERROR(__xludf.DUMMYFUNCTION("""COMPUTED_VALUE"""),6650)</f>
        <v>6650</v>
      </c>
      <c r="D887" s="2">
        <f ca="1">IFERROR(__xludf.DUMMYFUNCTION("""COMPUTED_VALUE"""),6450)</f>
        <v>6450</v>
      </c>
      <c r="E887" s="2">
        <f ca="1">IFERROR(__xludf.DUMMYFUNCTION("""COMPUTED_VALUE"""),6625)</f>
        <v>6625</v>
      </c>
      <c r="F887" s="2">
        <f ca="1">IFERROR(__xludf.DUMMYFUNCTION("""COMPUTED_VALUE"""),37762700)</f>
        <v>37762700</v>
      </c>
    </row>
    <row r="888" spans="1:6">
      <c r="A888" s="1">
        <f ca="1">IFERROR(__xludf.DUMMYFUNCTION("""COMPUTED_VALUE"""),43353.625)</f>
        <v>43353.625</v>
      </c>
      <c r="B888" s="2">
        <f ca="1">IFERROR(__xludf.DUMMYFUNCTION("""COMPUTED_VALUE"""),6500)</f>
        <v>6500</v>
      </c>
      <c r="C888" s="2">
        <f ca="1">IFERROR(__xludf.DUMMYFUNCTION("""COMPUTED_VALUE"""),6600)</f>
        <v>6600</v>
      </c>
      <c r="D888" s="2">
        <f ca="1">IFERROR(__xludf.DUMMYFUNCTION("""COMPUTED_VALUE"""),6425)</f>
        <v>6425</v>
      </c>
      <c r="E888" s="2">
        <f ca="1">IFERROR(__xludf.DUMMYFUNCTION("""COMPUTED_VALUE"""),6575)</f>
        <v>6575</v>
      </c>
      <c r="F888" s="2">
        <f ca="1">IFERROR(__xludf.DUMMYFUNCTION("""COMPUTED_VALUE"""),18650900)</f>
        <v>18650900</v>
      </c>
    </row>
    <row r="889" spans="1:6">
      <c r="A889" s="1">
        <f ca="1">IFERROR(__xludf.DUMMYFUNCTION("""COMPUTED_VALUE"""),43355.625)</f>
        <v>43355.625</v>
      </c>
      <c r="B889" s="2">
        <f ca="1">IFERROR(__xludf.DUMMYFUNCTION("""COMPUTED_VALUE"""),6575)</f>
        <v>6575</v>
      </c>
      <c r="C889" s="2">
        <f ca="1">IFERROR(__xludf.DUMMYFUNCTION("""COMPUTED_VALUE"""),6625)</f>
        <v>6625</v>
      </c>
      <c r="D889" s="2">
        <f ca="1">IFERROR(__xludf.DUMMYFUNCTION("""COMPUTED_VALUE"""),6375)</f>
        <v>6375</v>
      </c>
      <c r="E889" s="2">
        <f ca="1">IFERROR(__xludf.DUMMYFUNCTION("""COMPUTED_VALUE"""),6375)</f>
        <v>6375</v>
      </c>
      <c r="F889" s="2">
        <f ca="1">IFERROR(__xludf.DUMMYFUNCTION("""COMPUTED_VALUE"""),23178500)</f>
        <v>23178500</v>
      </c>
    </row>
    <row r="890" spans="1:6">
      <c r="A890" s="1">
        <f ca="1">IFERROR(__xludf.DUMMYFUNCTION("""COMPUTED_VALUE"""),43356.625)</f>
        <v>43356.625</v>
      </c>
      <c r="B890" s="2">
        <f ca="1">IFERROR(__xludf.DUMMYFUNCTION("""COMPUTED_VALUE"""),6475)</f>
        <v>6475</v>
      </c>
      <c r="C890" s="2">
        <f ca="1">IFERROR(__xludf.DUMMYFUNCTION("""COMPUTED_VALUE"""),6625)</f>
        <v>6625</v>
      </c>
      <c r="D890" s="2">
        <f ca="1">IFERROR(__xludf.DUMMYFUNCTION("""COMPUTED_VALUE"""),6450)</f>
        <v>6450</v>
      </c>
      <c r="E890" s="2">
        <f ca="1">IFERROR(__xludf.DUMMYFUNCTION("""COMPUTED_VALUE"""),6575)</f>
        <v>6575</v>
      </c>
      <c r="F890" s="2">
        <f ca="1">IFERROR(__xludf.DUMMYFUNCTION("""COMPUTED_VALUE"""),18334300)</f>
        <v>18334300</v>
      </c>
    </row>
    <row r="891" spans="1:6">
      <c r="A891" s="1">
        <f ca="1">IFERROR(__xludf.DUMMYFUNCTION("""COMPUTED_VALUE"""),43357.625)</f>
        <v>43357.625</v>
      </c>
      <c r="B891" s="2">
        <f ca="1">IFERROR(__xludf.DUMMYFUNCTION("""COMPUTED_VALUE"""),6675)</f>
        <v>6675</v>
      </c>
      <c r="C891" s="2">
        <f ca="1">IFERROR(__xludf.DUMMYFUNCTION("""COMPUTED_VALUE"""),6750)</f>
        <v>6750</v>
      </c>
      <c r="D891" s="2">
        <f ca="1">IFERROR(__xludf.DUMMYFUNCTION("""COMPUTED_VALUE"""),6600)</f>
        <v>6600</v>
      </c>
      <c r="E891" s="2">
        <f ca="1">IFERROR(__xludf.DUMMYFUNCTION("""COMPUTED_VALUE"""),6750)</f>
        <v>6750</v>
      </c>
      <c r="F891" s="2">
        <f ca="1">IFERROR(__xludf.DUMMYFUNCTION("""COMPUTED_VALUE"""),15328000)</f>
        <v>15328000</v>
      </c>
    </row>
    <row r="892" spans="1:6">
      <c r="A892" s="1">
        <f ca="1">IFERROR(__xludf.DUMMYFUNCTION("""COMPUTED_VALUE"""),43360.625)</f>
        <v>43360.625</v>
      </c>
      <c r="B892" s="2">
        <f ca="1">IFERROR(__xludf.DUMMYFUNCTION("""COMPUTED_VALUE"""),6650)</f>
        <v>6650</v>
      </c>
      <c r="C892" s="2">
        <f ca="1">IFERROR(__xludf.DUMMYFUNCTION("""COMPUTED_VALUE"""),6675)</f>
        <v>6675</v>
      </c>
      <c r="D892" s="2">
        <f ca="1">IFERROR(__xludf.DUMMYFUNCTION("""COMPUTED_VALUE"""),6425)</f>
        <v>6425</v>
      </c>
      <c r="E892" s="2">
        <f ca="1">IFERROR(__xludf.DUMMYFUNCTION("""COMPUTED_VALUE"""),6450)</f>
        <v>6450</v>
      </c>
      <c r="F892" s="2">
        <f ca="1">IFERROR(__xludf.DUMMYFUNCTION("""COMPUTED_VALUE"""),44184100)</f>
        <v>44184100</v>
      </c>
    </row>
    <row r="893" spans="1:6">
      <c r="A893" s="1">
        <f ca="1">IFERROR(__xludf.DUMMYFUNCTION("""COMPUTED_VALUE"""),43361.625)</f>
        <v>43361.625</v>
      </c>
      <c r="B893" s="2">
        <f ca="1">IFERROR(__xludf.DUMMYFUNCTION("""COMPUTED_VALUE"""),6450)</f>
        <v>6450</v>
      </c>
      <c r="C893" s="2">
        <f ca="1">IFERROR(__xludf.DUMMYFUNCTION("""COMPUTED_VALUE"""),6525)</f>
        <v>6525</v>
      </c>
      <c r="D893" s="2">
        <f ca="1">IFERROR(__xludf.DUMMYFUNCTION("""COMPUTED_VALUE"""),6325)</f>
        <v>6325</v>
      </c>
      <c r="E893" s="2">
        <f ca="1">IFERROR(__xludf.DUMMYFUNCTION("""COMPUTED_VALUE"""),6375)</f>
        <v>6375</v>
      </c>
      <c r="F893" s="2">
        <f ca="1">IFERROR(__xludf.DUMMYFUNCTION("""COMPUTED_VALUE"""),50586400)</f>
        <v>50586400</v>
      </c>
    </row>
    <row r="894" spans="1:6">
      <c r="A894" s="1">
        <f ca="1">IFERROR(__xludf.DUMMYFUNCTION("""COMPUTED_VALUE"""),43362.625)</f>
        <v>43362.625</v>
      </c>
      <c r="B894" s="2">
        <f ca="1">IFERROR(__xludf.DUMMYFUNCTION("""COMPUTED_VALUE"""),6450)</f>
        <v>6450</v>
      </c>
      <c r="C894" s="2">
        <f ca="1">IFERROR(__xludf.DUMMYFUNCTION("""COMPUTED_VALUE"""),6450)</f>
        <v>6450</v>
      </c>
      <c r="D894" s="2">
        <f ca="1">IFERROR(__xludf.DUMMYFUNCTION("""COMPUTED_VALUE"""),6375)</f>
        <v>6375</v>
      </c>
      <c r="E894" s="2">
        <f ca="1">IFERROR(__xludf.DUMMYFUNCTION("""COMPUTED_VALUE"""),6400)</f>
        <v>6400</v>
      </c>
      <c r="F894" s="2">
        <f ca="1">IFERROR(__xludf.DUMMYFUNCTION("""COMPUTED_VALUE"""),21308200)</f>
        <v>21308200</v>
      </c>
    </row>
    <row r="895" spans="1:6">
      <c r="A895" s="1">
        <f ca="1">IFERROR(__xludf.DUMMYFUNCTION("""COMPUTED_VALUE"""),43363.625)</f>
        <v>43363.625</v>
      </c>
      <c r="B895" s="2">
        <f ca="1">IFERROR(__xludf.DUMMYFUNCTION("""COMPUTED_VALUE"""),6425)</f>
        <v>6425</v>
      </c>
      <c r="C895" s="2">
        <f ca="1">IFERROR(__xludf.DUMMYFUNCTION("""COMPUTED_VALUE"""),6675)</f>
        <v>6675</v>
      </c>
      <c r="D895" s="2">
        <f ca="1">IFERROR(__xludf.DUMMYFUNCTION("""COMPUTED_VALUE"""),6425)</f>
        <v>6425</v>
      </c>
      <c r="E895" s="2">
        <f ca="1">IFERROR(__xludf.DUMMYFUNCTION("""COMPUTED_VALUE"""),6675)</f>
        <v>6675</v>
      </c>
      <c r="F895" s="2">
        <f ca="1">IFERROR(__xludf.DUMMYFUNCTION("""COMPUTED_VALUE"""),49913500)</f>
        <v>49913500</v>
      </c>
    </row>
    <row r="896" spans="1:6">
      <c r="A896" s="1">
        <f ca="1">IFERROR(__xludf.DUMMYFUNCTION("""COMPUTED_VALUE"""),43364.625)</f>
        <v>43364.625</v>
      </c>
      <c r="B896" s="2">
        <f ca="1">IFERROR(__xludf.DUMMYFUNCTION("""COMPUTED_VALUE"""),6750)</f>
        <v>6750</v>
      </c>
      <c r="C896" s="2">
        <f ca="1">IFERROR(__xludf.DUMMYFUNCTION("""COMPUTED_VALUE"""),6950)</f>
        <v>6950</v>
      </c>
      <c r="D896" s="2">
        <f ca="1">IFERROR(__xludf.DUMMYFUNCTION("""COMPUTED_VALUE"""),6725)</f>
        <v>6725</v>
      </c>
      <c r="E896" s="2">
        <f ca="1">IFERROR(__xludf.DUMMYFUNCTION("""COMPUTED_VALUE"""),6850)</f>
        <v>6850</v>
      </c>
      <c r="F896" s="2">
        <f ca="1">IFERROR(__xludf.DUMMYFUNCTION("""COMPUTED_VALUE"""),62420900)</f>
        <v>62420900</v>
      </c>
    </row>
    <row r="897" spans="1:6">
      <c r="A897" s="1">
        <f ca="1">IFERROR(__xludf.DUMMYFUNCTION("""COMPUTED_VALUE"""),43367.625)</f>
        <v>43367.625</v>
      </c>
      <c r="B897" s="2">
        <f ca="1">IFERROR(__xludf.DUMMYFUNCTION("""COMPUTED_VALUE"""),6850)</f>
        <v>6850</v>
      </c>
      <c r="C897" s="2">
        <f ca="1">IFERROR(__xludf.DUMMYFUNCTION("""COMPUTED_VALUE"""),6900)</f>
        <v>6900</v>
      </c>
      <c r="D897" s="2">
        <f ca="1">IFERROR(__xludf.DUMMYFUNCTION("""COMPUTED_VALUE"""),6675)</f>
        <v>6675</v>
      </c>
      <c r="E897" s="2">
        <f ca="1">IFERROR(__xludf.DUMMYFUNCTION("""COMPUTED_VALUE"""),6750)</f>
        <v>6750</v>
      </c>
      <c r="F897" s="2">
        <f ca="1">IFERROR(__xludf.DUMMYFUNCTION("""COMPUTED_VALUE"""),40594100)</f>
        <v>40594100</v>
      </c>
    </row>
    <row r="898" spans="1:6">
      <c r="A898" s="1">
        <f ca="1">IFERROR(__xludf.DUMMYFUNCTION("""COMPUTED_VALUE"""),43368.625)</f>
        <v>43368.625</v>
      </c>
      <c r="B898" s="2">
        <f ca="1">IFERROR(__xludf.DUMMYFUNCTION("""COMPUTED_VALUE"""),6675)</f>
        <v>6675</v>
      </c>
      <c r="C898" s="2">
        <f ca="1">IFERROR(__xludf.DUMMYFUNCTION("""COMPUTED_VALUE"""),6750)</f>
        <v>6750</v>
      </c>
      <c r="D898" s="2">
        <f ca="1">IFERROR(__xludf.DUMMYFUNCTION("""COMPUTED_VALUE"""),6525)</f>
        <v>6525</v>
      </c>
      <c r="E898" s="2">
        <f ca="1">IFERROR(__xludf.DUMMYFUNCTION("""COMPUTED_VALUE"""),6625)</f>
        <v>6625</v>
      </c>
      <c r="F898" s="2">
        <f ca="1">IFERROR(__xludf.DUMMYFUNCTION("""COMPUTED_VALUE"""),23045700)</f>
        <v>23045700</v>
      </c>
    </row>
    <row r="899" spans="1:6">
      <c r="A899" s="1">
        <f ca="1">IFERROR(__xludf.DUMMYFUNCTION("""COMPUTED_VALUE"""),43369.625)</f>
        <v>43369.625</v>
      </c>
      <c r="B899" s="2">
        <f ca="1">IFERROR(__xludf.DUMMYFUNCTION("""COMPUTED_VALUE"""),6575)</f>
        <v>6575</v>
      </c>
      <c r="C899" s="2">
        <f ca="1">IFERROR(__xludf.DUMMYFUNCTION("""COMPUTED_VALUE"""),6725)</f>
        <v>6725</v>
      </c>
      <c r="D899" s="2">
        <f ca="1">IFERROR(__xludf.DUMMYFUNCTION("""COMPUTED_VALUE"""),6575)</f>
        <v>6575</v>
      </c>
      <c r="E899" s="2">
        <f ca="1">IFERROR(__xludf.DUMMYFUNCTION("""COMPUTED_VALUE"""),6600)</f>
        <v>6600</v>
      </c>
      <c r="F899" s="2">
        <f ca="1">IFERROR(__xludf.DUMMYFUNCTION("""COMPUTED_VALUE"""),16008300)</f>
        <v>16008300</v>
      </c>
    </row>
    <row r="900" spans="1:6">
      <c r="A900" s="1">
        <f ca="1">IFERROR(__xludf.DUMMYFUNCTION("""COMPUTED_VALUE"""),43370.625)</f>
        <v>43370.625</v>
      </c>
      <c r="B900" s="2">
        <f ca="1">IFERROR(__xludf.DUMMYFUNCTION("""COMPUTED_VALUE"""),6600)</f>
        <v>6600</v>
      </c>
      <c r="C900" s="2">
        <f ca="1">IFERROR(__xludf.DUMMYFUNCTION("""COMPUTED_VALUE"""),6725)</f>
        <v>6725</v>
      </c>
      <c r="D900" s="2">
        <f ca="1">IFERROR(__xludf.DUMMYFUNCTION("""COMPUTED_VALUE"""),6550)</f>
        <v>6550</v>
      </c>
      <c r="E900" s="2">
        <f ca="1">IFERROR(__xludf.DUMMYFUNCTION("""COMPUTED_VALUE"""),6625)</f>
        <v>6625</v>
      </c>
      <c r="F900" s="2">
        <f ca="1">IFERROR(__xludf.DUMMYFUNCTION("""COMPUTED_VALUE"""),41174900)</f>
        <v>41174900</v>
      </c>
    </row>
    <row r="901" spans="1:6">
      <c r="A901" s="1">
        <f ca="1">IFERROR(__xludf.DUMMYFUNCTION("""COMPUTED_VALUE"""),43371.625)</f>
        <v>43371.625</v>
      </c>
      <c r="B901" s="2">
        <f ca="1">IFERROR(__xludf.DUMMYFUNCTION("""COMPUTED_VALUE"""),6600)</f>
        <v>6600</v>
      </c>
      <c r="C901" s="2">
        <f ca="1">IFERROR(__xludf.DUMMYFUNCTION("""COMPUTED_VALUE"""),6750)</f>
        <v>6750</v>
      </c>
      <c r="D901" s="2">
        <f ca="1">IFERROR(__xludf.DUMMYFUNCTION("""COMPUTED_VALUE"""),6600)</f>
        <v>6600</v>
      </c>
      <c r="E901" s="2">
        <f ca="1">IFERROR(__xludf.DUMMYFUNCTION("""COMPUTED_VALUE"""),6725)</f>
        <v>6725</v>
      </c>
      <c r="F901" s="2">
        <f ca="1">IFERROR(__xludf.DUMMYFUNCTION("""COMPUTED_VALUE"""),50843400)</f>
        <v>50843400</v>
      </c>
    </row>
    <row r="902" spans="1:6">
      <c r="A902" s="1">
        <f ca="1">IFERROR(__xludf.DUMMYFUNCTION("""COMPUTED_VALUE"""),43374.625)</f>
        <v>43374.625</v>
      </c>
      <c r="B902" s="2">
        <f ca="1">IFERROR(__xludf.DUMMYFUNCTION("""COMPUTED_VALUE"""),6600)</f>
        <v>6600</v>
      </c>
      <c r="C902" s="2">
        <f ca="1">IFERROR(__xludf.DUMMYFUNCTION("""COMPUTED_VALUE"""),6800)</f>
        <v>6800</v>
      </c>
      <c r="D902" s="2">
        <f ca="1">IFERROR(__xludf.DUMMYFUNCTION("""COMPUTED_VALUE"""),6600)</f>
        <v>6600</v>
      </c>
      <c r="E902" s="2">
        <f ca="1">IFERROR(__xludf.DUMMYFUNCTION("""COMPUTED_VALUE"""),6700)</f>
        <v>6700</v>
      </c>
      <c r="F902" s="2">
        <f ca="1">IFERROR(__xludf.DUMMYFUNCTION("""COMPUTED_VALUE"""),33256700)</f>
        <v>33256700</v>
      </c>
    </row>
    <row r="903" spans="1:6">
      <c r="A903" s="1">
        <f ca="1">IFERROR(__xludf.DUMMYFUNCTION("""COMPUTED_VALUE"""),43375.625)</f>
        <v>43375.625</v>
      </c>
      <c r="B903" s="2">
        <f ca="1">IFERROR(__xludf.DUMMYFUNCTION("""COMPUTED_VALUE"""),6700)</f>
        <v>6700</v>
      </c>
      <c r="C903" s="2">
        <f ca="1">IFERROR(__xludf.DUMMYFUNCTION("""COMPUTED_VALUE"""),6700)</f>
        <v>6700</v>
      </c>
      <c r="D903" s="2">
        <f ca="1">IFERROR(__xludf.DUMMYFUNCTION("""COMPUTED_VALUE"""),6425)</f>
        <v>6425</v>
      </c>
      <c r="E903" s="2">
        <f ca="1">IFERROR(__xludf.DUMMYFUNCTION("""COMPUTED_VALUE"""),6450)</f>
        <v>6450</v>
      </c>
      <c r="F903" s="2">
        <f ca="1">IFERROR(__xludf.DUMMYFUNCTION("""COMPUTED_VALUE"""),60326400)</f>
        <v>60326400</v>
      </c>
    </row>
    <row r="904" spans="1:6">
      <c r="A904" s="1">
        <f ca="1">IFERROR(__xludf.DUMMYFUNCTION("""COMPUTED_VALUE"""),43376.625)</f>
        <v>43376.625</v>
      </c>
      <c r="B904" s="2">
        <f ca="1">IFERROR(__xludf.DUMMYFUNCTION("""COMPUTED_VALUE"""),6400)</f>
        <v>6400</v>
      </c>
      <c r="C904" s="2">
        <f ca="1">IFERROR(__xludf.DUMMYFUNCTION("""COMPUTED_VALUE"""),6575)</f>
        <v>6575</v>
      </c>
      <c r="D904" s="2">
        <f ca="1">IFERROR(__xludf.DUMMYFUNCTION("""COMPUTED_VALUE"""),6400)</f>
        <v>6400</v>
      </c>
      <c r="E904" s="2">
        <f ca="1">IFERROR(__xludf.DUMMYFUNCTION("""COMPUTED_VALUE"""),6500)</f>
        <v>6500</v>
      </c>
      <c r="F904" s="2">
        <f ca="1">IFERROR(__xludf.DUMMYFUNCTION("""COMPUTED_VALUE"""),34191700)</f>
        <v>34191700</v>
      </c>
    </row>
    <row r="905" spans="1:6">
      <c r="A905" s="1">
        <f ca="1">IFERROR(__xludf.DUMMYFUNCTION("""COMPUTED_VALUE"""),43377.625)</f>
        <v>43377.625</v>
      </c>
      <c r="B905" s="2">
        <f ca="1">IFERROR(__xludf.DUMMYFUNCTION("""COMPUTED_VALUE"""),6400)</f>
        <v>6400</v>
      </c>
      <c r="C905" s="2">
        <f ca="1">IFERROR(__xludf.DUMMYFUNCTION("""COMPUTED_VALUE"""),6425)</f>
        <v>6425</v>
      </c>
      <c r="D905" s="2">
        <f ca="1">IFERROR(__xludf.DUMMYFUNCTION("""COMPUTED_VALUE"""),6225)</f>
        <v>6225</v>
      </c>
      <c r="E905" s="2">
        <f ca="1">IFERROR(__xludf.DUMMYFUNCTION("""COMPUTED_VALUE"""),6225)</f>
        <v>6225</v>
      </c>
      <c r="F905" s="2">
        <f ca="1">IFERROR(__xludf.DUMMYFUNCTION("""COMPUTED_VALUE"""),58239200)</f>
        <v>58239200</v>
      </c>
    </row>
    <row r="906" spans="1:6">
      <c r="A906" s="1">
        <f ca="1">IFERROR(__xludf.DUMMYFUNCTION("""COMPUTED_VALUE"""),43378.625)</f>
        <v>43378.625</v>
      </c>
      <c r="B906" s="2">
        <f ca="1">IFERROR(__xludf.DUMMYFUNCTION("""COMPUTED_VALUE"""),6225)</f>
        <v>6225</v>
      </c>
      <c r="C906" s="2">
        <f ca="1">IFERROR(__xludf.DUMMYFUNCTION("""COMPUTED_VALUE"""),6350)</f>
        <v>6350</v>
      </c>
      <c r="D906" s="2">
        <f ca="1">IFERROR(__xludf.DUMMYFUNCTION("""COMPUTED_VALUE"""),6175)</f>
        <v>6175</v>
      </c>
      <c r="E906" s="2">
        <f ca="1">IFERROR(__xludf.DUMMYFUNCTION("""COMPUTED_VALUE"""),6275)</f>
        <v>6275</v>
      </c>
      <c r="F906" s="2">
        <f ca="1">IFERROR(__xludf.DUMMYFUNCTION("""COMPUTED_VALUE"""),33896200)</f>
        <v>33896200</v>
      </c>
    </row>
    <row r="907" spans="1:6">
      <c r="A907" s="1">
        <f ca="1">IFERROR(__xludf.DUMMYFUNCTION("""COMPUTED_VALUE"""),43381.625)</f>
        <v>43381.625</v>
      </c>
      <c r="B907" s="2">
        <f ca="1">IFERROR(__xludf.DUMMYFUNCTION("""COMPUTED_VALUE"""),6275)</f>
        <v>6275</v>
      </c>
      <c r="C907" s="2">
        <f ca="1">IFERROR(__xludf.DUMMYFUNCTION("""COMPUTED_VALUE"""),6300)</f>
        <v>6300</v>
      </c>
      <c r="D907" s="2">
        <f ca="1">IFERROR(__xludf.DUMMYFUNCTION("""COMPUTED_VALUE"""),6200)</f>
        <v>6200</v>
      </c>
      <c r="E907" s="2">
        <f ca="1">IFERROR(__xludf.DUMMYFUNCTION("""COMPUTED_VALUE"""),6200)</f>
        <v>6200</v>
      </c>
      <c r="F907" s="2">
        <f ca="1">IFERROR(__xludf.DUMMYFUNCTION("""COMPUTED_VALUE"""),27663800)</f>
        <v>27663800</v>
      </c>
    </row>
    <row r="908" spans="1:6">
      <c r="A908" s="1">
        <f ca="1">IFERROR(__xludf.DUMMYFUNCTION("""COMPUTED_VALUE"""),43382.625)</f>
        <v>43382.625</v>
      </c>
      <c r="B908" s="2">
        <f ca="1">IFERROR(__xludf.DUMMYFUNCTION("""COMPUTED_VALUE"""),6200)</f>
        <v>6200</v>
      </c>
      <c r="C908" s="2">
        <f ca="1">IFERROR(__xludf.DUMMYFUNCTION("""COMPUTED_VALUE"""),6375)</f>
        <v>6375</v>
      </c>
      <c r="D908" s="2">
        <f ca="1">IFERROR(__xludf.DUMMYFUNCTION("""COMPUTED_VALUE"""),6200)</f>
        <v>6200</v>
      </c>
      <c r="E908" s="2">
        <f ca="1">IFERROR(__xludf.DUMMYFUNCTION("""COMPUTED_VALUE"""),6350)</f>
        <v>6350</v>
      </c>
      <c r="F908" s="2">
        <f ca="1">IFERROR(__xludf.DUMMYFUNCTION("""COMPUTED_VALUE"""),20165700)</f>
        <v>20165700</v>
      </c>
    </row>
    <row r="909" spans="1:6">
      <c r="A909" s="1">
        <f ca="1">IFERROR(__xludf.DUMMYFUNCTION("""COMPUTED_VALUE"""),43383.625)</f>
        <v>43383.625</v>
      </c>
      <c r="B909" s="2">
        <f ca="1">IFERROR(__xludf.DUMMYFUNCTION("""COMPUTED_VALUE"""),6400)</f>
        <v>6400</v>
      </c>
      <c r="C909" s="2">
        <f ca="1">IFERROR(__xludf.DUMMYFUNCTION("""COMPUTED_VALUE"""),6525)</f>
        <v>6525</v>
      </c>
      <c r="D909" s="2">
        <f ca="1">IFERROR(__xludf.DUMMYFUNCTION("""COMPUTED_VALUE"""),6375)</f>
        <v>6375</v>
      </c>
      <c r="E909" s="2">
        <f ca="1">IFERROR(__xludf.DUMMYFUNCTION("""COMPUTED_VALUE"""),6475)</f>
        <v>6475</v>
      </c>
      <c r="F909" s="2">
        <f ca="1">IFERROR(__xludf.DUMMYFUNCTION("""COMPUTED_VALUE"""),19615400)</f>
        <v>19615400</v>
      </c>
    </row>
    <row r="910" spans="1:6">
      <c r="A910" s="1">
        <f ca="1">IFERROR(__xludf.DUMMYFUNCTION("""COMPUTED_VALUE"""),43384.625)</f>
        <v>43384.625</v>
      </c>
      <c r="B910" s="2">
        <f ca="1">IFERROR(__xludf.DUMMYFUNCTION("""COMPUTED_VALUE"""),6250)</f>
        <v>6250</v>
      </c>
      <c r="C910" s="2">
        <f ca="1">IFERROR(__xludf.DUMMYFUNCTION("""COMPUTED_VALUE"""),6350)</f>
        <v>6350</v>
      </c>
      <c r="D910" s="2">
        <f ca="1">IFERROR(__xludf.DUMMYFUNCTION("""COMPUTED_VALUE"""),6200)</f>
        <v>6200</v>
      </c>
      <c r="E910" s="2">
        <f ca="1">IFERROR(__xludf.DUMMYFUNCTION("""COMPUTED_VALUE"""),6275)</f>
        <v>6275</v>
      </c>
      <c r="F910" s="2">
        <f ca="1">IFERROR(__xludf.DUMMYFUNCTION("""COMPUTED_VALUE"""),32027000)</f>
        <v>32027000</v>
      </c>
    </row>
    <row r="911" spans="1:6">
      <c r="A911" s="1">
        <f ca="1">IFERROR(__xludf.DUMMYFUNCTION("""COMPUTED_VALUE"""),43385.625)</f>
        <v>43385.625</v>
      </c>
      <c r="B911" s="2">
        <f ca="1">IFERROR(__xludf.DUMMYFUNCTION("""COMPUTED_VALUE"""),6275)</f>
        <v>6275</v>
      </c>
      <c r="C911" s="2">
        <f ca="1">IFERROR(__xludf.DUMMYFUNCTION("""COMPUTED_VALUE"""),6475)</f>
        <v>6475</v>
      </c>
      <c r="D911" s="2">
        <f ca="1">IFERROR(__xludf.DUMMYFUNCTION("""COMPUTED_VALUE"""),6275)</f>
        <v>6275</v>
      </c>
      <c r="E911" s="2">
        <f ca="1">IFERROR(__xludf.DUMMYFUNCTION("""COMPUTED_VALUE"""),6400)</f>
        <v>6400</v>
      </c>
      <c r="F911" s="2">
        <f ca="1">IFERROR(__xludf.DUMMYFUNCTION("""COMPUTED_VALUE"""),35224100)</f>
        <v>35224100</v>
      </c>
    </row>
    <row r="912" spans="1:6">
      <c r="A912" s="1">
        <f ca="1">IFERROR(__xludf.DUMMYFUNCTION("""COMPUTED_VALUE"""),43388.625)</f>
        <v>43388.625</v>
      </c>
      <c r="B912" s="2">
        <f ca="1">IFERROR(__xludf.DUMMYFUNCTION("""COMPUTED_VALUE"""),6500)</f>
        <v>6500</v>
      </c>
      <c r="C912" s="2">
        <f ca="1">IFERROR(__xludf.DUMMYFUNCTION("""COMPUTED_VALUE"""),6525)</f>
        <v>6525</v>
      </c>
      <c r="D912" s="2">
        <f ca="1">IFERROR(__xludf.DUMMYFUNCTION("""COMPUTED_VALUE"""),6375)</f>
        <v>6375</v>
      </c>
      <c r="E912" s="2">
        <f ca="1">IFERROR(__xludf.DUMMYFUNCTION("""COMPUTED_VALUE"""),6375)</f>
        <v>6375</v>
      </c>
      <c r="F912" s="2">
        <f ca="1">IFERROR(__xludf.DUMMYFUNCTION("""COMPUTED_VALUE"""),20440200)</f>
        <v>20440200</v>
      </c>
    </row>
    <row r="913" spans="1:6">
      <c r="A913" s="1">
        <f ca="1">IFERROR(__xludf.DUMMYFUNCTION("""COMPUTED_VALUE"""),43389.625)</f>
        <v>43389.625</v>
      </c>
      <c r="B913" s="2">
        <f ca="1">IFERROR(__xludf.DUMMYFUNCTION("""COMPUTED_VALUE"""),6400)</f>
        <v>6400</v>
      </c>
      <c r="C913" s="2">
        <f ca="1">IFERROR(__xludf.DUMMYFUNCTION("""COMPUTED_VALUE"""),6500)</f>
        <v>6500</v>
      </c>
      <c r="D913" s="2">
        <f ca="1">IFERROR(__xludf.DUMMYFUNCTION("""COMPUTED_VALUE"""),6400)</f>
        <v>6400</v>
      </c>
      <c r="E913" s="2">
        <f ca="1">IFERROR(__xludf.DUMMYFUNCTION("""COMPUTED_VALUE"""),6500)</f>
        <v>6500</v>
      </c>
      <c r="F913" s="2">
        <f ca="1">IFERROR(__xludf.DUMMYFUNCTION("""COMPUTED_VALUE"""),14888800)</f>
        <v>14888800</v>
      </c>
    </row>
    <row r="914" spans="1:6">
      <c r="A914" s="1">
        <f ca="1">IFERROR(__xludf.DUMMYFUNCTION("""COMPUTED_VALUE"""),43390.625)</f>
        <v>43390.625</v>
      </c>
      <c r="B914" s="2">
        <f ca="1">IFERROR(__xludf.DUMMYFUNCTION("""COMPUTED_VALUE"""),6600)</f>
        <v>6600</v>
      </c>
      <c r="C914" s="2">
        <f ca="1">IFERROR(__xludf.DUMMYFUNCTION("""COMPUTED_VALUE"""),6650)</f>
        <v>6650</v>
      </c>
      <c r="D914" s="2">
        <f ca="1">IFERROR(__xludf.DUMMYFUNCTION("""COMPUTED_VALUE"""),6525)</f>
        <v>6525</v>
      </c>
      <c r="E914" s="2">
        <f ca="1">IFERROR(__xludf.DUMMYFUNCTION("""COMPUTED_VALUE"""),6575)</f>
        <v>6575</v>
      </c>
      <c r="F914" s="2">
        <f ca="1">IFERROR(__xludf.DUMMYFUNCTION("""COMPUTED_VALUE"""),21554000)</f>
        <v>21554000</v>
      </c>
    </row>
    <row r="915" spans="1:6">
      <c r="A915" s="1">
        <f ca="1">IFERROR(__xludf.DUMMYFUNCTION("""COMPUTED_VALUE"""),43391.625)</f>
        <v>43391.625</v>
      </c>
      <c r="B915" s="2">
        <f ca="1">IFERROR(__xludf.DUMMYFUNCTION("""COMPUTED_VALUE"""),6500)</f>
        <v>6500</v>
      </c>
      <c r="C915" s="2">
        <f ca="1">IFERROR(__xludf.DUMMYFUNCTION("""COMPUTED_VALUE"""),6600)</f>
        <v>6600</v>
      </c>
      <c r="D915" s="2">
        <f ca="1">IFERROR(__xludf.DUMMYFUNCTION("""COMPUTED_VALUE"""),6400)</f>
        <v>6400</v>
      </c>
      <c r="E915" s="2">
        <f ca="1">IFERROR(__xludf.DUMMYFUNCTION("""COMPUTED_VALUE"""),6500)</f>
        <v>6500</v>
      </c>
      <c r="F915" s="2">
        <f ca="1">IFERROR(__xludf.DUMMYFUNCTION("""COMPUTED_VALUE"""),19635000)</f>
        <v>19635000</v>
      </c>
    </row>
    <row r="916" spans="1:6">
      <c r="A916" s="1">
        <f ca="1">IFERROR(__xludf.DUMMYFUNCTION("""COMPUTED_VALUE"""),43392.625)</f>
        <v>43392.625</v>
      </c>
      <c r="B916" s="2">
        <f ca="1">IFERROR(__xludf.DUMMYFUNCTION("""COMPUTED_VALUE"""),6450)</f>
        <v>6450</v>
      </c>
      <c r="C916" s="2">
        <f ca="1">IFERROR(__xludf.DUMMYFUNCTION("""COMPUTED_VALUE"""),6500)</f>
        <v>6500</v>
      </c>
      <c r="D916" s="2">
        <f ca="1">IFERROR(__xludf.DUMMYFUNCTION("""COMPUTED_VALUE"""),6375)</f>
        <v>6375</v>
      </c>
      <c r="E916" s="2">
        <f ca="1">IFERROR(__xludf.DUMMYFUNCTION("""COMPUTED_VALUE"""),6450)</f>
        <v>6450</v>
      </c>
      <c r="F916" s="2">
        <f ca="1">IFERROR(__xludf.DUMMYFUNCTION("""COMPUTED_VALUE"""),23995000)</f>
        <v>23995000</v>
      </c>
    </row>
    <row r="917" spans="1:6">
      <c r="A917" s="1">
        <f ca="1">IFERROR(__xludf.DUMMYFUNCTION("""COMPUTED_VALUE"""),43395.625)</f>
        <v>43395.625</v>
      </c>
      <c r="B917" s="2">
        <f ca="1">IFERROR(__xludf.DUMMYFUNCTION("""COMPUTED_VALUE"""),6450)</f>
        <v>6450</v>
      </c>
      <c r="C917" s="2">
        <f ca="1">IFERROR(__xludf.DUMMYFUNCTION("""COMPUTED_VALUE"""),6525)</f>
        <v>6525</v>
      </c>
      <c r="D917" s="2">
        <f ca="1">IFERROR(__xludf.DUMMYFUNCTION("""COMPUTED_VALUE"""),6375)</f>
        <v>6375</v>
      </c>
      <c r="E917" s="2">
        <f ca="1">IFERROR(__xludf.DUMMYFUNCTION("""COMPUTED_VALUE"""),6450)</f>
        <v>6450</v>
      </c>
      <c r="F917" s="2">
        <f ca="1">IFERROR(__xludf.DUMMYFUNCTION("""COMPUTED_VALUE"""),18207800)</f>
        <v>18207800</v>
      </c>
    </row>
    <row r="918" spans="1:6">
      <c r="A918" s="1">
        <f ca="1">IFERROR(__xludf.DUMMYFUNCTION("""COMPUTED_VALUE"""),43396.625)</f>
        <v>43396.625</v>
      </c>
      <c r="B918" s="2">
        <f ca="1">IFERROR(__xludf.DUMMYFUNCTION("""COMPUTED_VALUE"""),6450)</f>
        <v>6450</v>
      </c>
      <c r="C918" s="2">
        <f ca="1">IFERROR(__xludf.DUMMYFUNCTION("""COMPUTED_VALUE"""),6475)</f>
        <v>6475</v>
      </c>
      <c r="D918" s="2">
        <f ca="1">IFERROR(__xludf.DUMMYFUNCTION("""COMPUTED_VALUE"""),6425)</f>
        <v>6425</v>
      </c>
      <c r="E918" s="2">
        <f ca="1">IFERROR(__xludf.DUMMYFUNCTION("""COMPUTED_VALUE"""),6425)</f>
        <v>6425</v>
      </c>
      <c r="F918" s="2">
        <f ca="1">IFERROR(__xludf.DUMMYFUNCTION("""COMPUTED_VALUE"""),12853700)</f>
        <v>12853700</v>
      </c>
    </row>
    <row r="919" spans="1:6">
      <c r="A919" s="1">
        <f ca="1">IFERROR(__xludf.DUMMYFUNCTION("""COMPUTED_VALUE"""),43397.625)</f>
        <v>43397.625</v>
      </c>
      <c r="B919" s="2">
        <f ca="1">IFERROR(__xludf.DUMMYFUNCTION("""COMPUTED_VALUE"""),6425)</f>
        <v>6425</v>
      </c>
      <c r="C919" s="2">
        <f ca="1">IFERROR(__xludf.DUMMYFUNCTION("""COMPUTED_VALUE"""),6475)</f>
        <v>6475</v>
      </c>
      <c r="D919" s="2">
        <f ca="1">IFERROR(__xludf.DUMMYFUNCTION("""COMPUTED_VALUE"""),6325)</f>
        <v>6325</v>
      </c>
      <c r="E919" s="2">
        <f ca="1">IFERROR(__xludf.DUMMYFUNCTION("""COMPUTED_VALUE"""),6325)</f>
        <v>6325</v>
      </c>
      <c r="F919" s="2">
        <f ca="1">IFERROR(__xludf.DUMMYFUNCTION("""COMPUTED_VALUE"""),16984700)</f>
        <v>16984700</v>
      </c>
    </row>
    <row r="920" spans="1:6">
      <c r="A920" s="1">
        <f ca="1">IFERROR(__xludf.DUMMYFUNCTION("""COMPUTED_VALUE"""),43398.625)</f>
        <v>43398.625</v>
      </c>
      <c r="B920" s="2">
        <f ca="1">IFERROR(__xludf.DUMMYFUNCTION("""COMPUTED_VALUE"""),6250)</f>
        <v>6250</v>
      </c>
      <c r="C920" s="2">
        <f ca="1">IFERROR(__xludf.DUMMYFUNCTION("""COMPUTED_VALUE"""),6475)</f>
        <v>6475</v>
      </c>
      <c r="D920" s="2">
        <f ca="1">IFERROR(__xludf.DUMMYFUNCTION("""COMPUTED_VALUE"""),6250)</f>
        <v>6250</v>
      </c>
      <c r="E920" s="2">
        <f ca="1">IFERROR(__xludf.DUMMYFUNCTION("""COMPUTED_VALUE"""),6475)</f>
        <v>6475</v>
      </c>
      <c r="F920" s="2">
        <f ca="1">IFERROR(__xludf.DUMMYFUNCTION("""COMPUTED_VALUE"""),31390800)</f>
        <v>31390800</v>
      </c>
    </row>
    <row r="921" spans="1:6">
      <c r="A921" s="1">
        <f ca="1">IFERROR(__xludf.DUMMYFUNCTION("""COMPUTED_VALUE"""),43399.625)</f>
        <v>43399.625</v>
      </c>
      <c r="B921" s="2">
        <f ca="1">IFERROR(__xludf.DUMMYFUNCTION("""COMPUTED_VALUE"""),6475)</f>
        <v>6475</v>
      </c>
      <c r="C921" s="2">
        <f ca="1">IFERROR(__xludf.DUMMYFUNCTION("""COMPUTED_VALUE"""),6500)</f>
        <v>6500</v>
      </c>
      <c r="D921" s="2">
        <f ca="1">IFERROR(__xludf.DUMMYFUNCTION("""COMPUTED_VALUE"""),6400)</f>
        <v>6400</v>
      </c>
      <c r="E921" s="2">
        <f ca="1">IFERROR(__xludf.DUMMYFUNCTION("""COMPUTED_VALUE"""),6450)</f>
        <v>6450</v>
      </c>
      <c r="F921" s="2">
        <f ca="1">IFERROR(__xludf.DUMMYFUNCTION("""COMPUTED_VALUE"""),19861600)</f>
        <v>19861600</v>
      </c>
    </row>
    <row r="922" spans="1:6">
      <c r="A922" s="1">
        <f ca="1">IFERROR(__xludf.DUMMYFUNCTION("""COMPUTED_VALUE"""),43402.625)</f>
        <v>43402.625</v>
      </c>
      <c r="B922" s="2">
        <f ca="1">IFERROR(__xludf.DUMMYFUNCTION("""COMPUTED_VALUE"""),6425)</f>
        <v>6425</v>
      </c>
      <c r="C922" s="2">
        <f ca="1">IFERROR(__xludf.DUMMYFUNCTION("""COMPUTED_VALUE"""),6500)</f>
        <v>6500</v>
      </c>
      <c r="D922" s="2">
        <f ca="1">IFERROR(__xludf.DUMMYFUNCTION("""COMPUTED_VALUE"""),6400)</f>
        <v>6400</v>
      </c>
      <c r="E922" s="2">
        <f ca="1">IFERROR(__xludf.DUMMYFUNCTION("""COMPUTED_VALUE"""),6400)</f>
        <v>6400</v>
      </c>
      <c r="F922" s="2">
        <f ca="1">IFERROR(__xludf.DUMMYFUNCTION("""COMPUTED_VALUE"""),20236000)</f>
        <v>20236000</v>
      </c>
    </row>
    <row r="923" spans="1:6">
      <c r="A923" s="1">
        <f ca="1">IFERROR(__xludf.DUMMYFUNCTION("""COMPUTED_VALUE"""),43403.625)</f>
        <v>43403.625</v>
      </c>
      <c r="B923" s="2">
        <f ca="1">IFERROR(__xludf.DUMMYFUNCTION("""COMPUTED_VALUE"""),6500)</f>
        <v>6500</v>
      </c>
      <c r="C923" s="2">
        <f ca="1">IFERROR(__xludf.DUMMYFUNCTION("""COMPUTED_VALUE"""),6525)</f>
        <v>6525</v>
      </c>
      <c r="D923" s="2">
        <f ca="1">IFERROR(__xludf.DUMMYFUNCTION("""COMPUTED_VALUE"""),6425)</f>
        <v>6425</v>
      </c>
      <c r="E923" s="2">
        <f ca="1">IFERROR(__xludf.DUMMYFUNCTION("""COMPUTED_VALUE"""),6525)</f>
        <v>6525</v>
      </c>
      <c r="F923" s="2">
        <f ca="1">IFERROR(__xludf.DUMMYFUNCTION("""COMPUTED_VALUE"""),17365600)</f>
        <v>17365600</v>
      </c>
    </row>
    <row r="924" spans="1:6">
      <c r="A924" s="1">
        <f ca="1">IFERROR(__xludf.DUMMYFUNCTION("""COMPUTED_VALUE"""),43404.625)</f>
        <v>43404.625</v>
      </c>
      <c r="B924" s="2">
        <f ca="1">IFERROR(__xludf.DUMMYFUNCTION("""COMPUTED_VALUE"""),6575)</f>
        <v>6575</v>
      </c>
      <c r="C924" s="2">
        <f ca="1">IFERROR(__xludf.DUMMYFUNCTION("""COMPUTED_VALUE"""),6850)</f>
        <v>6850</v>
      </c>
      <c r="D924" s="2">
        <f ca="1">IFERROR(__xludf.DUMMYFUNCTION("""COMPUTED_VALUE"""),6550)</f>
        <v>6550</v>
      </c>
      <c r="E924" s="2">
        <f ca="1">IFERROR(__xludf.DUMMYFUNCTION("""COMPUTED_VALUE"""),6850)</f>
        <v>6850</v>
      </c>
      <c r="F924" s="2">
        <f ca="1">IFERROR(__xludf.DUMMYFUNCTION("""COMPUTED_VALUE"""),55632700)</f>
        <v>55632700</v>
      </c>
    </row>
    <row r="925" spans="1:6">
      <c r="A925" s="1">
        <f ca="1">IFERROR(__xludf.DUMMYFUNCTION("""COMPUTED_VALUE"""),43405.625)</f>
        <v>43405.625</v>
      </c>
      <c r="B925" s="2">
        <f ca="1">IFERROR(__xludf.DUMMYFUNCTION("""COMPUTED_VALUE"""),6900)</f>
        <v>6900</v>
      </c>
      <c r="C925" s="2">
        <f ca="1">IFERROR(__xludf.DUMMYFUNCTION("""COMPUTED_VALUE"""),7350)</f>
        <v>7350</v>
      </c>
      <c r="D925" s="2">
        <f ca="1">IFERROR(__xludf.DUMMYFUNCTION("""COMPUTED_VALUE"""),6875)</f>
        <v>6875</v>
      </c>
      <c r="E925" s="2">
        <f ca="1">IFERROR(__xludf.DUMMYFUNCTION("""COMPUTED_VALUE"""),7225)</f>
        <v>7225</v>
      </c>
      <c r="F925" s="2">
        <f ca="1">IFERROR(__xludf.DUMMYFUNCTION("""COMPUTED_VALUE"""),92575900)</f>
        <v>92575900</v>
      </c>
    </row>
    <row r="926" spans="1:6">
      <c r="A926" s="1">
        <f ca="1">IFERROR(__xludf.DUMMYFUNCTION("""COMPUTED_VALUE"""),43406.625)</f>
        <v>43406.625</v>
      </c>
      <c r="B926" s="2">
        <f ca="1">IFERROR(__xludf.DUMMYFUNCTION("""COMPUTED_VALUE"""),7325)</f>
        <v>7325</v>
      </c>
      <c r="C926" s="2">
        <f ca="1">IFERROR(__xludf.DUMMYFUNCTION("""COMPUTED_VALUE"""),7500)</f>
        <v>7500</v>
      </c>
      <c r="D926" s="2">
        <f ca="1">IFERROR(__xludf.DUMMYFUNCTION("""COMPUTED_VALUE"""),7100)</f>
        <v>7100</v>
      </c>
      <c r="E926" s="2">
        <f ca="1">IFERROR(__xludf.DUMMYFUNCTION("""COMPUTED_VALUE"""),7425)</f>
        <v>7425</v>
      </c>
      <c r="F926" s="2">
        <f ca="1">IFERROR(__xludf.DUMMYFUNCTION("""COMPUTED_VALUE"""),71892600)</f>
        <v>71892600</v>
      </c>
    </row>
    <row r="927" spans="1:6">
      <c r="A927" s="1">
        <f ca="1">IFERROR(__xludf.DUMMYFUNCTION("""COMPUTED_VALUE"""),43409.625)</f>
        <v>43409.625</v>
      </c>
      <c r="B927" s="2">
        <f ca="1">IFERROR(__xludf.DUMMYFUNCTION("""COMPUTED_VALUE"""),7400)</f>
        <v>7400</v>
      </c>
      <c r="C927" s="2">
        <f ca="1">IFERROR(__xludf.DUMMYFUNCTION("""COMPUTED_VALUE"""),7400)</f>
        <v>7400</v>
      </c>
      <c r="D927" s="2">
        <f ca="1">IFERROR(__xludf.DUMMYFUNCTION("""COMPUTED_VALUE"""),7250)</f>
        <v>7250</v>
      </c>
      <c r="E927" s="2">
        <f ca="1">IFERROR(__xludf.DUMMYFUNCTION("""COMPUTED_VALUE"""),7375)</f>
        <v>7375</v>
      </c>
      <c r="F927" s="2">
        <f ca="1">IFERROR(__xludf.DUMMYFUNCTION("""COMPUTED_VALUE"""),28006700)</f>
        <v>28006700</v>
      </c>
    </row>
    <row r="928" spans="1:6">
      <c r="A928" s="1">
        <f ca="1">IFERROR(__xludf.DUMMYFUNCTION("""COMPUTED_VALUE"""),43410.625)</f>
        <v>43410.625</v>
      </c>
      <c r="B928" s="2">
        <f ca="1">IFERROR(__xludf.DUMMYFUNCTION("""COMPUTED_VALUE"""),7475)</f>
        <v>7475</v>
      </c>
      <c r="C928" s="2">
        <f ca="1">IFERROR(__xludf.DUMMYFUNCTION("""COMPUTED_VALUE"""),7475)</f>
        <v>7475</v>
      </c>
      <c r="D928" s="2">
        <f ca="1">IFERROR(__xludf.DUMMYFUNCTION("""COMPUTED_VALUE"""),7250)</f>
        <v>7250</v>
      </c>
      <c r="E928" s="2">
        <f ca="1">IFERROR(__xludf.DUMMYFUNCTION("""COMPUTED_VALUE"""),7350)</f>
        <v>7350</v>
      </c>
      <c r="F928" s="2">
        <f ca="1">IFERROR(__xludf.DUMMYFUNCTION("""COMPUTED_VALUE"""),62000400)</f>
        <v>62000400</v>
      </c>
    </row>
    <row r="929" spans="1:6">
      <c r="A929" s="1">
        <f ca="1">IFERROR(__xludf.DUMMYFUNCTION("""COMPUTED_VALUE"""),43411.625)</f>
        <v>43411.625</v>
      </c>
      <c r="B929" s="2">
        <f ca="1">IFERROR(__xludf.DUMMYFUNCTION("""COMPUTED_VALUE"""),7375)</f>
        <v>7375</v>
      </c>
      <c r="C929" s="2">
        <f ca="1">IFERROR(__xludf.DUMMYFUNCTION("""COMPUTED_VALUE"""),7400)</f>
        <v>7400</v>
      </c>
      <c r="D929" s="2">
        <f ca="1">IFERROR(__xludf.DUMMYFUNCTION("""COMPUTED_VALUE"""),7200)</f>
        <v>7200</v>
      </c>
      <c r="E929" s="2">
        <f ca="1">IFERROR(__xludf.DUMMYFUNCTION("""COMPUTED_VALUE"""),7350)</f>
        <v>7350</v>
      </c>
      <c r="F929" s="2">
        <f ca="1">IFERROR(__xludf.DUMMYFUNCTION("""COMPUTED_VALUE"""),46140500)</f>
        <v>46140500</v>
      </c>
    </row>
    <row r="930" spans="1:6">
      <c r="A930" s="1">
        <f ca="1">IFERROR(__xludf.DUMMYFUNCTION("""COMPUTED_VALUE"""),43412.625)</f>
        <v>43412.625</v>
      </c>
      <c r="B930" s="2">
        <f ca="1">IFERROR(__xludf.DUMMYFUNCTION("""COMPUTED_VALUE"""),7400)</f>
        <v>7400</v>
      </c>
      <c r="C930" s="2">
        <f ca="1">IFERROR(__xludf.DUMMYFUNCTION("""COMPUTED_VALUE"""),7525)</f>
        <v>7525</v>
      </c>
      <c r="D930" s="2">
        <f ca="1">IFERROR(__xludf.DUMMYFUNCTION("""COMPUTED_VALUE"""),7375)</f>
        <v>7375</v>
      </c>
      <c r="E930" s="2">
        <f ca="1">IFERROR(__xludf.DUMMYFUNCTION("""COMPUTED_VALUE"""),7500)</f>
        <v>7500</v>
      </c>
      <c r="F930" s="2">
        <f ca="1">IFERROR(__xludf.DUMMYFUNCTION("""COMPUTED_VALUE"""),65222100)</f>
        <v>65222100</v>
      </c>
    </row>
    <row r="931" spans="1:6">
      <c r="A931" s="1">
        <f ca="1">IFERROR(__xludf.DUMMYFUNCTION("""COMPUTED_VALUE"""),43413.625)</f>
        <v>43413.625</v>
      </c>
      <c r="B931" s="2">
        <f ca="1">IFERROR(__xludf.DUMMYFUNCTION("""COMPUTED_VALUE"""),7250)</f>
        <v>7250</v>
      </c>
      <c r="C931" s="2">
        <f ca="1">IFERROR(__xludf.DUMMYFUNCTION("""COMPUTED_VALUE"""),7325)</f>
        <v>7325</v>
      </c>
      <c r="D931" s="2">
        <f ca="1">IFERROR(__xludf.DUMMYFUNCTION("""COMPUTED_VALUE"""),7150)</f>
        <v>7150</v>
      </c>
      <c r="E931" s="2">
        <f ca="1">IFERROR(__xludf.DUMMYFUNCTION("""COMPUTED_VALUE"""),7225)</f>
        <v>7225</v>
      </c>
      <c r="F931" s="2">
        <f ca="1">IFERROR(__xludf.DUMMYFUNCTION("""COMPUTED_VALUE"""),61732800)</f>
        <v>61732800</v>
      </c>
    </row>
    <row r="932" spans="1:6">
      <c r="A932" s="1">
        <f ca="1">IFERROR(__xludf.DUMMYFUNCTION("""COMPUTED_VALUE"""),43416.625)</f>
        <v>43416.625</v>
      </c>
      <c r="B932" s="2">
        <f ca="1">IFERROR(__xludf.DUMMYFUNCTION("""COMPUTED_VALUE"""),7225)</f>
        <v>7225</v>
      </c>
      <c r="C932" s="2">
        <f ca="1">IFERROR(__xludf.DUMMYFUNCTION("""COMPUTED_VALUE"""),7225)</f>
        <v>7225</v>
      </c>
      <c r="D932" s="2">
        <f ca="1">IFERROR(__xludf.DUMMYFUNCTION("""COMPUTED_VALUE"""),6975)</f>
        <v>6975</v>
      </c>
      <c r="E932" s="2">
        <f ca="1">IFERROR(__xludf.DUMMYFUNCTION("""COMPUTED_VALUE"""),6975)</f>
        <v>6975</v>
      </c>
      <c r="F932" s="2">
        <f ca="1">IFERROR(__xludf.DUMMYFUNCTION("""COMPUTED_VALUE"""),32844900)</f>
        <v>32844900</v>
      </c>
    </row>
    <row r="933" spans="1:6">
      <c r="A933" s="1">
        <f ca="1">IFERROR(__xludf.DUMMYFUNCTION("""COMPUTED_VALUE"""),43417.625)</f>
        <v>43417.625</v>
      </c>
      <c r="B933" s="2">
        <f ca="1">IFERROR(__xludf.DUMMYFUNCTION("""COMPUTED_VALUE"""),6800)</f>
        <v>6800</v>
      </c>
      <c r="C933" s="2">
        <f ca="1">IFERROR(__xludf.DUMMYFUNCTION("""COMPUTED_VALUE"""),7175)</f>
        <v>7175</v>
      </c>
      <c r="D933" s="2">
        <f ca="1">IFERROR(__xludf.DUMMYFUNCTION("""COMPUTED_VALUE"""),6800)</f>
        <v>6800</v>
      </c>
      <c r="E933" s="2">
        <f ca="1">IFERROR(__xludf.DUMMYFUNCTION("""COMPUTED_VALUE"""),7150)</f>
        <v>7150</v>
      </c>
      <c r="F933" s="2">
        <f ca="1">IFERROR(__xludf.DUMMYFUNCTION("""COMPUTED_VALUE"""),42875000)</f>
        <v>42875000</v>
      </c>
    </row>
    <row r="934" spans="1:6">
      <c r="A934" s="1">
        <f ca="1">IFERROR(__xludf.DUMMYFUNCTION("""COMPUTED_VALUE"""),43418.625)</f>
        <v>43418.625</v>
      </c>
      <c r="B934" s="2">
        <f ca="1">IFERROR(__xludf.DUMMYFUNCTION("""COMPUTED_VALUE"""),7275)</f>
        <v>7275</v>
      </c>
      <c r="C934" s="2">
        <f ca="1">IFERROR(__xludf.DUMMYFUNCTION("""COMPUTED_VALUE"""),7300)</f>
        <v>7300</v>
      </c>
      <c r="D934" s="2">
        <f ca="1">IFERROR(__xludf.DUMMYFUNCTION("""COMPUTED_VALUE"""),7125)</f>
        <v>7125</v>
      </c>
      <c r="E934" s="2">
        <f ca="1">IFERROR(__xludf.DUMMYFUNCTION("""COMPUTED_VALUE"""),7125)</f>
        <v>7125</v>
      </c>
      <c r="F934" s="2">
        <f ca="1">IFERROR(__xludf.DUMMYFUNCTION("""COMPUTED_VALUE"""),34101700)</f>
        <v>34101700</v>
      </c>
    </row>
    <row r="935" spans="1:6">
      <c r="A935" s="1">
        <f ca="1">IFERROR(__xludf.DUMMYFUNCTION("""COMPUTED_VALUE"""),43419.625)</f>
        <v>43419.625</v>
      </c>
      <c r="B935" s="2">
        <f ca="1">IFERROR(__xludf.DUMMYFUNCTION("""COMPUTED_VALUE"""),7250)</f>
        <v>7250</v>
      </c>
      <c r="C935" s="2">
        <f ca="1">IFERROR(__xludf.DUMMYFUNCTION("""COMPUTED_VALUE"""),7450)</f>
        <v>7450</v>
      </c>
      <c r="D935" s="2">
        <f ca="1">IFERROR(__xludf.DUMMYFUNCTION("""COMPUTED_VALUE"""),7150)</f>
        <v>7150</v>
      </c>
      <c r="E935" s="2">
        <f ca="1">IFERROR(__xludf.DUMMYFUNCTION("""COMPUTED_VALUE"""),7400)</f>
        <v>7400</v>
      </c>
      <c r="F935" s="2">
        <f ca="1">IFERROR(__xludf.DUMMYFUNCTION("""COMPUTED_VALUE"""),57596500)</f>
        <v>57596500</v>
      </c>
    </row>
    <row r="936" spans="1:6">
      <c r="A936" s="1">
        <f ca="1">IFERROR(__xludf.DUMMYFUNCTION("""COMPUTED_VALUE"""),43420.625)</f>
        <v>43420.625</v>
      </c>
      <c r="B936" s="2">
        <f ca="1">IFERROR(__xludf.DUMMYFUNCTION("""COMPUTED_VALUE"""),7475)</f>
        <v>7475</v>
      </c>
      <c r="C936" s="2">
        <f ca="1">IFERROR(__xludf.DUMMYFUNCTION("""COMPUTED_VALUE"""),7625)</f>
        <v>7625</v>
      </c>
      <c r="D936" s="2">
        <f ca="1">IFERROR(__xludf.DUMMYFUNCTION("""COMPUTED_VALUE"""),7375)</f>
        <v>7375</v>
      </c>
      <c r="E936" s="2">
        <f ca="1">IFERROR(__xludf.DUMMYFUNCTION("""COMPUTED_VALUE"""),7450)</f>
        <v>7450</v>
      </c>
      <c r="F936" s="2">
        <f ca="1">IFERROR(__xludf.DUMMYFUNCTION("""COMPUTED_VALUE"""),56573000)</f>
        <v>56573000</v>
      </c>
    </row>
    <row r="937" spans="1:6">
      <c r="A937" s="1">
        <f ca="1">IFERROR(__xludf.DUMMYFUNCTION("""COMPUTED_VALUE"""),43423.625)</f>
        <v>43423.625</v>
      </c>
      <c r="B937" s="2">
        <f ca="1">IFERROR(__xludf.DUMMYFUNCTION("""COMPUTED_VALUE"""),7500)</f>
        <v>7500</v>
      </c>
      <c r="C937" s="2">
        <f ca="1">IFERROR(__xludf.DUMMYFUNCTION("""COMPUTED_VALUE"""),7575)</f>
        <v>7575</v>
      </c>
      <c r="D937" s="2">
        <f ca="1">IFERROR(__xludf.DUMMYFUNCTION("""COMPUTED_VALUE"""),7300)</f>
        <v>7300</v>
      </c>
      <c r="E937" s="2">
        <f ca="1">IFERROR(__xludf.DUMMYFUNCTION("""COMPUTED_VALUE"""),7475)</f>
        <v>7475</v>
      </c>
      <c r="F937" s="2">
        <f ca="1">IFERROR(__xludf.DUMMYFUNCTION("""COMPUTED_VALUE"""),26463400)</f>
        <v>26463400</v>
      </c>
    </row>
    <row r="938" spans="1:6">
      <c r="A938" s="1">
        <f ca="1">IFERROR(__xludf.DUMMYFUNCTION("""COMPUTED_VALUE"""),43425.625)</f>
        <v>43425.625</v>
      </c>
      <c r="B938" s="2">
        <f ca="1">IFERROR(__xludf.DUMMYFUNCTION("""COMPUTED_VALUE"""),7225)</f>
        <v>7225</v>
      </c>
      <c r="C938" s="2">
        <f ca="1">IFERROR(__xludf.DUMMYFUNCTION("""COMPUTED_VALUE"""),7325)</f>
        <v>7325</v>
      </c>
      <c r="D938" s="2">
        <f ca="1">IFERROR(__xludf.DUMMYFUNCTION("""COMPUTED_VALUE"""),7050)</f>
        <v>7050</v>
      </c>
      <c r="E938" s="2">
        <f ca="1">IFERROR(__xludf.DUMMYFUNCTION("""COMPUTED_VALUE"""),7275)</f>
        <v>7275</v>
      </c>
      <c r="F938" s="2">
        <f ca="1">IFERROR(__xludf.DUMMYFUNCTION("""COMPUTED_VALUE"""),60904400)</f>
        <v>60904400</v>
      </c>
    </row>
    <row r="939" spans="1:6">
      <c r="A939" s="1">
        <f ca="1">IFERROR(__xludf.DUMMYFUNCTION("""COMPUTED_VALUE"""),43426.625)</f>
        <v>43426.625</v>
      </c>
      <c r="B939" s="2">
        <f ca="1">IFERROR(__xludf.DUMMYFUNCTION("""COMPUTED_VALUE"""),7275)</f>
        <v>7275</v>
      </c>
      <c r="C939" s="2">
        <f ca="1">IFERROR(__xludf.DUMMYFUNCTION("""COMPUTED_VALUE"""),7400)</f>
        <v>7400</v>
      </c>
      <c r="D939" s="2">
        <f ca="1">IFERROR(__xludf.DUMMYFUNCTION("""COMPUTED_VALUE"""),7175)</f>
        <v>7175</v>
      </c>
      <c r="E939" s="2">
        <f ca="1">IFERROR(__xludf.DUMMYFUNCTION("""COMPUTED_VALUE"""),7325)</f>
        <v>7325</v>
      </c>
      <c r="F939" s="2">
        <f ca="1">IFERROR(__xludf.DUMMYFUNCTION("""COMPUTED_VALUE"""),44800700)</f>
        <v>44800700</v>
      </c>
    </row>
    <row r="940" spans="1:6">
      <c r="A940" s="1">
        <f ca="1">IFERROR(__xludf.DUMMYFUNCTION("""COMPUTED_VALUE"""),43427.625)</f>
        <v>43427.625</v>
      </c>
      <c r="B940" s="2">
        <f ca="1">IFERROR(__xludf.DUMMYFUNCTION("""COMPUTED_VALUE"""),7350)</f>
        <v>7350</v>
      </c>
      <c r="C940" s="2">
        <f ca="1">IFERROR(__xludf.DUMMYFUNCTION("""COMPUTED_VALUE"""),7400)</f>
        <v>7400</v>
      </c>
      <c r="D940" s="2">
        <f ca="1">IFERROR(__xludf.DUMMYFUNCTION("""COMPUTED_VALUE"""),7275)</f>
        <v>7275</v>
      </c>
      <c r="E940" s="2">
        <f ca="1">IFERROR(__xludf.DUMMYFUNCTION("""COMPUTED_VALUE"""),7300)</f>
        <v>7300</v>
      </c>
      <c r="F940" s="2">
        <f ca="1">IFERROR(__xludf.DUMMYFUNCTION("""COMPUTED_VALUE"""),41175000)</f>
        <v>41175000</v>
      </c>
    </row>
    <row r="941" spans="1:6">
      <c r="A941" s="1">
        <f ca="1">IFERROR(__xludf.DUMMYFUNCTION("""COMPUTED_VALUE"""),43430.625)</f>
        <v>43430.625</v>
      </c>
      <c r="B941" s="2">
        <f ca="1">IFERROR(__xludf.DUMMYFUNCTION("""COMPUTED_VALUE"""),7250)</f>
        <v>7250</v>
      </c>
      <c r="C941" s="2">
        <f ca="1">IFERROR(__xludf.DUMMYFUNCTION("""COMPUTED_VALUE"""),7400)</f>
        <v>7400</v>
      </c>
      <c r="D941" s="2">
        <f ca="1">IFERROR(__xludf.DUMMYFUNCTION("""COMPUTED_VALUE"""),7250)</f>
        <v>7250</v>
      </c>
      <c r="E941" s="2">
        <f ca="1">IFERROR(__xludf.DUMMYFUNCTION("""COMPUTED_VALUE"""),7375)</f>
        <v>7375</v>
      </c>
      <c r="F941" s="2">
        <f ca="1">IFERROR(__xludf.DUMMYFUNCTION("""COMPUTED_VALUE"""),31467400)</f>
        <v>31467400</v>
      </c>
    </row>
    <row r="942" spans="1:6">
      <c r="A942" s="1">
        <f ca="1">IFERROR(__xludf.DUMMYFUNCTION("""COMPUTED_VALUE"""),43431.625)</f>
        <v>43431.625</v>
      </c>
      <c r="B942" s="2">
        <f ca="1">IFERROR(__xludf.DUMMYFUNCTION("""COMPUTED_VALUE"""),7375)</f>
        <v>7375</v>
      </c>
      <c r="C942" s="2">
        <f ca="1">IFERROR(__xludf.DUMMYFUNCTION("""COMPUTED_VALUE"""),7500)</f>
        <v>7500</v>
      </c>
      <c r="D942" s="2">
        <f ca="1">IFERROR(__xludf.DUMMYFUNCTION("""COMPUTED_VALUE"""),7350)</f>
        <v>7350</v>
      </c>
      <c r="E942" s="2">
        <f ca="1">IFERROR(__xludf.DUMMYFUNCTION("""COMPUTED_VALUE"""),7450)</f>
        <v>7450</v>
      </c>
      <c r="F942" s="2">
        <f ca="1">IFERROR(__xludf.DUMMYFUNCTION("""COMPUTED_VALUE"""),30514400)</f>
        <v>30514400</v>
      </c>
    </row>
    <row r="943" spans="1:6">
      <c r="A943" s="1">
        <f ca="1">IFERROR(__xludf.DUMMYFUNCTION("""COMPUTED_VALUE"""),43432.625)</f>
        <v>43432.625</v>
      </c>
      <c r="B943" s="2">
        <f ca="1">IFERROR(__xludf.DUMMYFUNCTION("""COMPUTED_VALUE"""),7500)</f>
        <v>7500</v>
      </c>
      <c r="C943" s="2">
        <f ca="1">IFERROR(__xludf.DUMMYFUNCTION("""COMPUTED_VALUE"""),7500)</f>
        <v>7500</v>
      </c>
      <c r="D943" s="2">
        <f ca="1">IFERROR(__xludf.DUMMYFUNCTION("""COMPUTED_VALUE"""),7325)</f>
        <v>7325</v>
      </c>
      <c r="E943" s="2">
        <f ca="1">IFERROR(__xludf.DUMMYFUNCTION("""COMPUTED_VALUE"""),7400)</f>
        <v>7400</v>
      </c>
      <c r="F943" s="2">
        <f ca="1">IFERROR(__xludf.DUMMYFUNCTION("""COMPUTED_VALUE"""),33837500)</f>
        <v>33837500</v>
      </c>
    </row>
    <row r="944" spans="1:6">
      <c r="A944" s="1">
        <f ca="1">IFERROR(__xludf.DUMMYFUNCTION("""COMPUTED_VALUE"""),43433.625)</f>
        <v>43433.625</v>
      </c>
      <c r="B944" s="2">
        <f ca="1">IFERROR(__xludf.DUMMYFUNCTION("""COMPUTED_VALUE"""),7500)</f>
        <v>7500</v>
      </c>
      <c r="C944" s="2">
        <f ca="1">IFERROR(__xludf.DUMMYFUNCTION("""COMPUTED_VALUE"""),7650)</f>
        <v>7650</v>
      </c>
      <c r="D944" s="2">
        <f ca="1">IFERROR(__xludf.DUMMYFUNCTION("""COMPUTED_VALUE"""),7500)</f>
        <v>7500</v>
      </c>
      <c r="E944" s="2">
        <f ca="1">IFERROR(__xludf.DUMMYFUNCTION("""COMPUTED_VALUE"""),7650)</f>
        <v>7650</v>
      </c>
      <c r="F944" s="2">
        <f ca="1">IFERROR(__xludf.DUMMYFUNCTION("""COMPUTED_VALUE"""),70601300)</f>
        <v>70601300</v>
      </c>
    </row>
    <row r="945" spans="1:6">
      <c r="A945" s="1">
        <f ca="1">IFERROR(__xludf.DUMMYFUNCTION("""COMPUTED_VALUE"""),43434.625)</f>
        <v>43434.625</v>
      </c>
      <c r="B945" s="2">
        <f ca="1">IFERROR(__xludf.DUMMYFUNCTION("""COMPUTED_VALUE"""),7575)</f>
        <v>7575</v>
      </c>
      <c r="C945" s="2">
        <f ca="1">IFERROR(__xludf.DUMMYFUNCTION("""COMPUTED_VALUE"""),7625)</f>
        <v>7625</v>
      </c>
      <c r="D945" s="2">
        <f ca="1">IFERROR(__xludf.DUMMYFUNCTION("""COMPUTED_VALUE"""),7400)</f>
        <v>7400</v>
      </c>
      <c r="E945" s="2">
        <f ca="1">IFERROR(__xludf.DUMMYFUNCTION("""COMPUTED_VALUE"""),7400)</f>
        <v>7400</v>
      </c>
      <c r="F945" s="2">
        <f ca="1">IFERROR(__xludf.DUMMYFUNCTION("""COMPUTED_VALUE"""),74241400)</f>
        <v>74241400</v>
      </c>
    </row>
    <row r="946" spans="1:6">
      <c r="A946" s="1">
        <f ca="1">IFERROR(__xludf.DUMMYFUNCTION("""COMPUTED_VALUE"""),43437.625)</f>
        <v>43437.625</v>
      </c>
      <c r="B946" s="2">
        <f ca="1">IFERROR(__xludf.DUMMYFUNCTION("""COMPUTED_VALUE"""),7550)</f>
        <v>7550</v>
      </c>
      <c r="C946" s="2">
        <f ca="1">IFERROR(__xludf.DUMMYFUNCTION("""COMPUTED_VALUE"""),7725)</f>
        <v>7725</v>
      </c>
      <c r="D946" s="2">
        <f ca="1">IFERROR(__xludf.DUMMYFUNCTION("""COMPUTED_VALUE"""),7550)</f>
        <v>7550</v>
      </c>
      <c r="E946" s="2">
        <f ca="1">IFERROR(__xludf.DUMMYFUNCTION("""COMPUTED_VALUE"""),7600)</f>
        <v>7600</v>
      </c>
      <c r="F946" s="2">
        <f ca="1">IFERROR(__xludf.DUMMYFUNCTION("""COMPUTED_VALUE"""),68342300)</f>
        <v>68342300</v>
      </c>
    </row>
    <row r="947" spans="1:6">
      <c r="A947" s="1">
        <f ca="1">IFERROR(__xludf.DUMMYFUNCTION("""COMPUTED_VALUE"""),43438.625)</f>
        <v>43438.625</v>
      </c>
      <c r="B947" s="2">
        <f ca="1">IFERROR(__xludf.DUMMYFUNCTION("""COMPUTED_VALUE"""),7575)</f>
        <v>7575</v>
      </c>
      <c r="C947" s="2">
        <f ca="1">IFERROR(__xludf.DUMMYFUNCTION("""COMPUTED_VALUE"""),7650)</f>
        <v>7650</v>
      </c>
      <c r="D947" s="2">
        <f ca="1">IFERROR(__xludf.DUMMYFUNCTION("""COMPUTED_VALUE"""),7550)</f>
        <v>7550</v>
      </c>
      <c r="E947" s="2">
        <f ca="1">IFERROR(__xludf.DUMMYFUNCTION("""COMPUTED_VALUE"""),7650)</f>
        <v>7650</v>
      </c>
      <c r="F947" s="2">
        <f ca="1">IFERROR(__xludf.DUMMYFUNCTION("""COMPUTED_VALUE"""),30076600)</f>
        <v>30076600</v>
      </c>
    </row>
    <row r="948" spans="1:6">
      <c r="A948" s="1">
        <f ca="1">IFERROR(__xludf.DUMMYFUNCTION("""COMPUTED_VALUE"""),43439.625)</f>
        <v>43439.625</v>
      </c>
      <c r="B948" s="2">
        <f ca="1">IFERROR(__xludf.DUMMYFUNCTION("""COMPUTED_VALUE"""),7600)</f>
        <v>7600</v>
      </c>
      <c r="C948" s="2">
        <f ca="1">IFERROR(__xludf.DUMMYFUNCTION("""COMPUTED_VALUE"""),7600)</f>
        <v>7600</v>
      </c>
      <c r="D948" s="2">
        <f ca="1">IFERROR(__xludf.DUMMYFUNCTION("""COMPUTED_VALUE"""),7525)</f>
        <v>7525</v>
      </c>
      <c r="E948" s="2">
        <f ca="1">IFERROR(__xludf.DUMMYFUNCTION("""COMPUTED_VALUE"""),7575)</f>
        <v>7575</v>
      </c>
      <c r="F948" s="2">
        <f ca="1">IFERROR(__xludf.DUMMYFUNCTION("""COMPUTED_VALUE"""),36661200)</f>
        <v>36661200</v>
      </c>
    </row>
    <row r="949" spans="1:6">
      <c r="A949" s="1">
        <f ca="1">IFERROR(__xludf.DUMMYFUNCTION("""COMPUTED_VALUE"""),43440.625)</f>
        <v>43440.625</v>
      </c>
      <c r="B949" s="2">
        <f ca="1">IFERROR(__xludf.DUMMYFUNCTION("""COMPUTED_VALUE"""),7400)</f>
        <v>7400</v>
      </c>
      <c r="C949" s="2">
        <f ca="1">IFERROR(__xludf.DUMMYFUNCTION("""COMPUTED_VALUE"""),7525)</f>
        <v>7525</v>
      </c>
      <c r="D949" s="2">
        <f ca="1">IFERROR(__xludf.DUMMYFUNCTION("""COMPUTED_VALUE"""),7400)</f>
        <v>7400</v>
      </c>
      <c r="E949" s="2">
        <f ca="1">IFERROR(__xludf.DUMMYFUNCTION("""COMPUTED_VALUE"""),7475)</f>
        <v>7475</v>
      </c>
      <c r="F949" s="2">
        <f ca="1">IFERROR(__xludf.DUMMYFUNCTION("""COMPUTED_VALUE"""),37046000)</f>
        <v>37046000</v>
      </c>
    </row>
    <row r="950" spans="1:6">
      <c r="A950" s="1">
        <f ca="1">IFERROR(__xludf.DUMMYFUNCTION("""COMPUTED_VALUE"""),43441.625)</f>
        <v>43441.625</v>
      </c>
      <c r="B950" s="2">
        <f ca="1">IFERROR(__xludf.DUMMYFUNCTION("""COMPUTED_VALUE"""),7575)</f>
        <v>7575</v>
      </c>
      <c r="C950" s="2">
        <f ca="1">IFERROR(__xludf.DUMMYFUNCTION("""COMPUTED_VALUE"""),7625)</f>
        <v>7625</v>
      </c>
      <c r="D950" s="2">
        <f ca="1">IFERROR(__xludf.DUMMYFUNCTION("""COMPUTED_VALUE"""),7475)</f>
        <v>7475</v>
      </c>
      <c r="E950" s="2">
        <f ca="1">IFERROR(__xludf.DUMMYFUNCTION("""COMPUTED_VALUE"""),7500)</f>
        <v>7500</v>
      </c>
      <c r="F950" s="2">
        <f ca="1">IFERROR(__xludf.DUMMYFUNCTION("""COMPUTED_VALUE"""),20846400)</f>
        <v>20846400</v>
      </c>
    </row>
    <row r="951" spans="1:6">
      <c r="A951" s="1">
        <f ca="1">IFERROR(__xludf.DUMMYFUNCTION("""COMPUTED_VALUE"""),43444.625)</f>
        <v>43444.625</v>
      </c>
      <c r="B951" s="2">
        <f ca="1">IFERROR(__xludf.DUMMYFUNCTION("""COMPUTED_VALUE"""),7375)</f>
        <v>7375</v>
      </c>
      <c r="C951" s="2">
        <f ca="1">IFERROR(__xludf.DUMMYFUNCTION("""COMPUTED_VALUE"""),7525)</f>
        <v>7525</v>
      </c>
      <c r="D951" s="2">
        <f ca="1">IFERROR(__xludf.DUMMYFUNCTION("""COMPUTED_VALUE"""),7350)</f>
        <v>7350</v>
      </c>
      <c r="E951" s="2">
        <f ca="1">IFERROR(__xludf.DUMMYFUNCTION("""COMPUTED_VALUE"""),7425)</f>
        <v>7425</v>
      </c>
      <c r="F951" s="2">
        <f ca="1">IFERROR(__xludf.DUMMYFUNCTION("""COMPUTED_VALUE"""),20552600)</f>
        <v>20552600</v>
      </c>
    </row>
    <row r="952" spans="1:6">
      <c r="A952" s="1">
        <f ca="1">IFERROR(__xludf.DUMMYFUNCTION("""COMPUTED_VALUE"""),43445.625)</f>
        <v>43445.625</v>
      </c>
      <c r="B952" s="2">
        <f ca="1">IFERROR(__xludf.DUMMYFUNCTION("""COMPUTED_VALUE"""),7450)</f>
        <v>7450</v>
      </c>
      <c r="C952" s="2">
        <f ca="1">IFERROR(__xludf.DUMMYFUNCTION("""COMPUTED_VALUE"""),7475)</f>
        <v>7475</v>
      </c>
      <c r="D952" s="2">
        <f ca="1">IFERROR(__xludf.DUMMYFUNCTION("""COMPUTED_VALUE"""),7400)</f>
        <v>7400</v>
      </c>
      <c r="E952" s="2">
        <f ca="1">IFERROR(__xludf.DUMMYFUNCTION("""COMPUTED_VALUE"""),7450)</f>
        <v>7450</v>
      </c>
      <c r="F952" s="2">
        <f ca="1">IFERROR(__xludf.DUMMYFUNCTION("""COMPUTED_VALUE"""),27828700)</f>
        <v>27828700</v>
      </c>
    </row>
    <row r="953" spans="1:6">
      <c r="A953" s="1">
        <f ca="1">IFERROR(__xludf.DUMMYFUNCTION("""COMPUTED_VALUE"""),43446.625)</f>
        <v>43446.625</v>
      </c>
      <c r="B953" s="2">
        <f ca="1">IFERROR(__xludf.DUMMYFUNCTION("""COMPUTED_VALUE"""),7475)</f>
        <v>7475</v>
      </c>
      <c r="C953" s="2">
        <f ca="1">IFERROR(__xludf.DUMMYFUNCTION("""COMPUTED_VALUE"""),7550)</f>
        <v>7550</v>
      </c>
      <c r="D953" s="2">
        <f ca="1">IFERROR(__xludf.DUMMYFUNCTION("""COMPUTED_VALUE"""),7425)</f>
        <v>7425</v>
      </c>
      <c r="E953" s="2">
        <f ca="1">IFERROR(__xludf.DUMMYFUNCTION("""COMPUTED_VALUE"""),7475)</f>
        <v>7475</v>
      </c>
      <c r="F953" s="2">
        <f ca="1">IFERROR(__xludf.DUMMYFUNCTION("""COMPUTED_VALUE"""),40315700)</f>
        <v>40315700</v>
      </c>
    </row>
    <row r="954" spans="1:6">
      <c r="A954" s="1">
        <f ca="1">IFERROR(__xludf.DUMMYFUNCTION("""COMPUTED_VALUE"""),43447.625)</f>
        <v>43447.625</v>
      </c>
      <c r="B954" s="2">
        <f ca="1">IFERROR(__xludf.DUMMYFUNCTION("""COMPUTED_VALUE"""),7500)</f>
        <v>7500</v>
      </c>
      <c r="C954" s="2">
        <f ca="1">IFERROR(__xludf.DUMMYFUNCTION("""COMPUTED_VALUE"""),7700)</f>
        <v>7700</v>
      </c>
      <c r="D954" s="2">
        <f ca="1">IFERROR(__xludf.DUMMYFUNCTION("""COMPUTED_VALUE"""),7450)</f>
        <v>7450</v>
      </c>
      <c r="E954" s="2">
        <f ca="1">IFERROR(__xludf.DUMMYFUNCTION("""COMPUTED_VALUE"""),7700)</f>
        <v>7700</v>
      </c>
      <c r="F954" s="2">
        <f ca="1">IFERROR(__xludf.DUMMYFUNCTION("""COMPUTED_VALUE"""),46460000)</f>
        <v>46460000</v>
      </c>
    </row>
    <row r="955" spans="1:6">
      <c r="A955" s="1">
        <f ca="1">IFERROR(__xludf.DUMMYFUNCTION("""COMPUTED_VALUE"""),43448.625)</f>
        <v>43448.625</v>
      </c>
      <c r="B955" s="2">
        <f ca="1">IFERROR(__xludf.DUMMYFUNCTION("""COMPUTED_VALUE"""),7650)</f>
        <v>7650</v>
      </c>
      <c r="C955" s="2">
        <f ca="1">IFERROR(__xludf.DUMMYFUNCTION("""COMPUTED_VALUE"""),7650)</f>
        <v>7650</v>
      </c>
      <c r="D955" s="2">
        <f ca="1">IFERROR(__xludf.DUMMYFUNCTION("""COMPUTED_VALUE"""),7525)</f>
        <v>7525</v>
      </c>
      <c r="E955" s="2">
        <f ca="1">IFERROR(__xludf.DUMMYFUNCTION("""COMPUTED_VALUE"""),7575)</f>
        <v>7575</v>
      </c>
      <c r="F955" s="2">
        <f ca="1">IFERROR(__xludf.DUMMYFUNCTION("""COMPUTED_VALUE"""),34378200)</f>
        <v>34378200</v>
      </c>
    </row>
    <row r="956" spans="1:6">
      <c r="A956" s="1">
        <f ca="1">IFERROR(__xludf.DUMMYFUNCTION("""COMPUTED_VALUE"""),43451.625)</f>
        <v>43451.625</v>
      </c>
      <c r="B956" s="2">
        <f ca="1">IFERROR(__xludf.DUMMYFUNCTION("""COMPUTED_VALUE"""),7450)</f>
        <v>7450</v>
      </c>
      <c r="C956" s="2">
        <f ca="1">IFERROR(__xludf.DUMMYFUNCTION("""COMPUTED_VALUE"""),7575)</f>
        <v>7575</v>
      </c>
      <c r="D956" s="2">
        <f ca="1">IFERROR(__xludf.DUMMYFUNCTION("""COMPUTED_VALUE"""),7400)</f>
        <v>7400</v>
      </c>
      <c r="E956" s="2">
        <f ca="1">IFERROR(__xludf.DUMMYFUNCTION("""COMPUTED_VALUE"""),7400)</f>
        <v>7400</v>
      </c>
      <c r="F956" s="2">
        <f ca="1">IFERROR(__xludf.DUMMYFUNCTION("""COMPUTED_VALUE"""),39342500)</f>
        <v>39342500</v>
      </c>
    </row>
    <row r="957" spans="1:6">
      <c r="A957" s="1">
        <f ca="1">IFERROR(__xludf.DUMMYFUNCTION("""COMPUTED_VALUE"""),43452.625)</f>
        <v>43452.625</v>
      </c>
      <c r="B957" s="2">
        <f ca="1">IFERROR(__xludf.DUMMYFUNCTION("""COMPUTED_VALUE"""),7250)</f>
        <v>7250</v>
      </c>
      <c r="C957" s="2">
        <f ca="1">IFERROR(__xludf.DUMMYFUNCTION("""COMPUTED_VALUE"""),7350)</f>
        <v>7350</v>
      </c>
      <c r="D957" s="2">
        <f ca="1">IFERROR(__xludf.DUMMYFUNCTION("""COMPUTED_VALUE"""),7250)</f>
        <v>7250</v>
      </c>
      <c r="E957" s="2">
        <f ca="1">IFERROR(__xludf.DUMMYFUNCTION("""COMPUTED_VALUE"""),7350)</f>
        <v>7350</v>
      </c>
      <c r="F957" s="2">
        <f ca="1">IFERROR(__xludf.DUMMYFUNCTION("""COMPUTED_VALUE"""),49304400)</f>
        <v>49304400</v>
      </c>
    </row>
    <row r="958" spans="1:6">
      <c r="A958" s="1">
        <f ca="1">IFERROR(__xludf.DUMMYFUNCTION("""COMPUTED_VALUE"""),43453.625)</f>
        <v>43453.625</v>
      </c>
      <c r="B958" s="2">
        <f ca="1">IFERROR(__xludf.DUMMYFUNCTION("""COMPUTED_VALUE"""),7350)</f>
        <v>7350</v>
      </c>
      <c r="C958" s="2">
        <f ca="1">IFERROR(__xludf.DUMMYFUNCTION("""COMPUTED_VALUE"""),7475)</f>
        <v>7475</v>
      </c>
      <c r="D958" s="2">
        <f ca="1">IFERROR(__xludf.DUMMYFUNCTION("""COMPUTED_VALUE"""),7350)</f>
        <v>7350</v>
      </c>
      <c r="E958" s="2">
        <f ca="1">IFERROR(__xludf.DUMMYFUNCTION("""COMPUTED_VALUE"""),7425)</f>
        <v>7425</v>
      </c>
      <c r="F958" s="2">
        <f ca="1">IFERROR(__xludf.DUMMYFUNCTION("""COMPUTED_VALUE"""),44775000)</f>
        <v>44775000</v>
      </c>
    </row>
    <row r="959" spans="1:6">
      <c r="A959" s="1">
        <f ca="1">IFERROR(__xludf.DUMMYFUNCTION("""COMPUTED_VALUE"""),43454.625)</f>
        <v>43454.625</v>
      </c>
      <c r="B959" s="2">
        <f ca="1">IFERROR(__xludf.DUMMYFUNCTION("""COMPUTED_VALUE"""),7425)</f>
        <v>7425</v>
      </c>
      <c r="C959" s="2">
        <f ca="1">IFERROR(__xludf.DUMMYFUNCTION("""COMPUTED_VALUE"""),7425)</f>
        <v>7425</v>
      </c>
      <c r="D959" s="2">
        <f ca="1">IFERROR(__xludf.DUMMYFUNCTION("""COMPUTED_VALUE"""),7275)</f>
        <v>7275</v>
      </c>
      <c r="E959" s="2">
        <f ca="1">IFERROR(__xludf.DUMMYFUNCTION("""COMPUTED_VALUE"""),7300)</f>
        <v>7300</v>
      </c>
      <c r="F959" s="2">
        <f ca="1">IFERROR(__xludf.DUMMYFUNCTION("""COMPUTED_VALUE"""),30608000)</f>
        <v>30608000</v>
      </c>
    </row>
    <row r="960" spans="1:6">
      <c r="A960" s="1">
        <f ca="1">IFERROR(__xludf.DUMMYFUNCTION("""COMPUTED_VALUE"""),43455.625)</f>
        <v>43455.625</v>
      </c>
      <c r="B960" s="2">
        <f ca="1">IFERROR(__xludf.DUMMYFUNCTION("""COMPUTED_VALUE"""),7250)</f>
        <v>7250</v>
      </c>
      <c r="C960" s="2">
        <f ca="1">IFERROR(__xludf.DUMMYFUNCTION("""COMPUTED_VALUE"""),7300)</f>
        <v>7300</v>
      </c>
      <c r="D960" s="2">
        <f ca="1">IFERROR(__xludf.DUMMYFUNCTION("""COMPUTED_VALUE"""),7175)</f>
        <v>7175</v>
      </c>
      <c r="E960" s="2">
        <f ca="1">IFERROR(__xludf.DUMMYFUNCTION("""COMPUTED_VALUE"""),7225)</f>
        <v>7225</v>
      </c>
      <c r="F960" s="2">
        <f ca="1">IFERROR(__xludf.DUMMYFUNCTION("""COMPUTED_VALUE"""),49103700)</f>
        <v>49103700</v>
      </c>
    </row>
    <row r="961" spans="1:6">
      <c r="A961" s="1">
        <f ca="1">IFERROR(__xludf.DUMMYFUNCTION("""COMPUTED_VALUE"""),43460.625)</f>
        <v>43460.625</v>
      </c>
      <c r="B961" s="2">
        <f ca="1">IFERROR(__xludf.DUMMYFUNCTION("""COMPUTED_VALUE"""),7150)</f>
        <v>7150</v>
      </c>
      <c r="C961" s="2">
        <f ca="1">IFERROR(__xludf.DUMMYFUNCTION("""COMPUTED_VALUE"""),7250)</f>
        <v>7250</v>
      </c>
      <c r="D961" s="2">
        <f ca="1">IFERROR(__xludf.DUMMYFUNCTION("""COMPUTED_VALUE"""),7100)</f>
        <v>7100</v>
      </c>
      <c r="E961" s="2">
        <f ca="1">IFERROR(__xludf.DUMMYFUNCTION("""COMPUTED_VALUE"""),7225)</f>
        <v>7225</v>
      </c>
      <c r="F961" s="2">
        <f ca="1">IFERROR(__xludf.DUMMYFUNCTION("""COMPUTED_VALUE"""),26178400)</f>
        <v>26178400</v>
      </c>
    </row>
    <row r="962" spans="1:6">
      <c r="A962" s="1">
        <f ca="1">IFERROR(__xludf.DUMMYFUNCTION("""COMPUTED_VALUE"""),43461.625)</f>
        <v>43461.625</v>
      </c>
      <c r="B962" s="2">
        <f ca="1">IFERROR(__xludf.DUMMYFUNCTION("""COMPUTED_VALUE"""),7325)</f>
        <v>7325</v>
      </c>
      <c r="C962" s="2">
        <f ca="1">IFERROR(__xludf.DUMMYFUNCTION("""COMPUTED_VALUE"""),7350)</f>
        <v>7350</v>
      </c>
      <c r="D962" s="2">
        <f ca="1">IFERROR(__xludf.DUMMYFUNCTION("""COMPUTED_VALUE"""),7250)</f>
        <v>7250</v>
      </c>
      <c r="E962" s="2">
        <f ca="1">IFERROR(__xludf.DUMMYFUNCTION("""COMPUTED_VALUE"""),7275)</f>
        <v>7275</v>
      </c>
      <c r="F962" s="2">
        <f ca="1">IFERROR(__xludf.DUMMYFUNCTION("""COMPUTED_VALUE"""),24257200)</f>
        <v>24257200</v>
      </c>
    </row>
    <row r="963" spans="1:6">
      <c r="A963" s="1">
        <f ca="1">IFERROR(__xludf.DUMMYFUNCTION("""COMPUTED_VALUE"""),43462.625)</f>
        <v>43462.625</v>
      </c>
      <c r="B963" s="2">
        <f ca="1">IFERROR(__xludf.DUMMYFUNCTION("""COMPUTED_VALUE"""),7350)</f>
        <v>7350</v>
      </c>
      <c r="C963" s="2">
        <f ca="1">IFERROR(__xludf.DUMMYFUNCTION("""COMPUTED_VALUE"""),7450)</f>
        <v>7450</v>
      </c>
      <c r="D963" s="2">
        <f ca="1">IFERROR(__xludf.DUMMYFUNCTION("""COMPUTED_VALUE"""),7325)</f>
        <v>7325</v>
      </c>
      <c r="E963" s="2">
        <f ca="1">IFERROR(__xludf.DUMMYFUNCTION("""COMPUTED_VALUE"""),7375)</f>
        <v>7375</v>
      </c>
      <c r="F963" s="2">
        <f ca="1">IFERROR(__xludf.DUMMYFUNCTION("""COMPUTED_VALUE"""),48540800)</f>
        <v>48540800</v>
      </c>
    </row>
    <row r="964" spans="1:6">
      <c r="A964" s="1">
        <f ca="1">IFERROR(__xludf.DUMMYFUNCTION("""COMPUTED_VALUE"""),43467.625)</f>
        <v>43467.625</v>
      </c>
      <c r="B964" s="2">
        <f ca="1">IFERROR(__xludf.DUMMYFUNCTION("""COMPUTED_VALUE"""),7400)</f>
        <v>7400</v>
      </c>
      <c r="C964" s="2">
        <f ca="1">IFERROR(__xludf.DUMMYFUNCTION("""COMPUTED_VALUE"""),7400)</f>
        <v>7400</v>
      </c>
      <c r="D964" s="2">
        <f ca="1">IFERROR(__xludf.DUMMYFUNCTION("""COMPUTED_VALUE"""),7250)</f>
        <v>7250</v>
      </c>
      <c r="E964" s="2">
        <f ca="1">IFERROR(__xludf.DUMMYFUNCTION("""COMPUTED_VALUE"""),7325)</f>
        <v>7325</v>
      </c>
      <c r="F964" s="2">
        <f ca="1">IFERROR(__xludf.DUMMYFUNCTION("""COMPUTED_VALUE"""),22659600)</f>
        <v>22659600</v>
      </c>
    </row>
    <row r="965" spans="1:6">
      <c r="A965" s="1">
        <f ca="1">IFERROR(__xludf.DUMMYFUNCTION("""COMPUTED_VALUE"""),43468.625)</f>
        <v>43468.625</v>
      </c>
      <c r="B965" s="2">
        <f ca="1">IFERROR(__xludf.DUMMYFUNCTION("""COMPUTED_VALUE"""),7275)</f>
        <v>7275</v>
      </c>
      <c r="C965" s="2">
        <f ca="1">IFERROR(__xludf.DUMMYFUNCTION("""COMPUTED_VALUE"""),7350)</f>
        <v>7350</v>
      </c>
      <c r="D965" s="2">
        <f ca="1">IFERROR(__xludf.DUMMYFUNCTION("""COMPUTED_VALUE"""),7100)</f>
        <v>7100</v>
      </c>
      <c r="E965" s="2">
        <f ca="1">IFERROR(__xludf.DUMMYFUNCTION("""COMPUTED_VALUE"""),7175)</f>
        <v>7175</v>
      </c>
      <c r="F965" s="2">
        <f ca="1">IFERROR(__xludf.DUMMYFUNCTION("""COMPUTED_VALUE"""),37087000)</f>
        <v>37087000</v>
      </c>
    </row>
    <row r="966" spans="1:6">
      <c r="A966" s="1">
        <f ca="1">IFERROR(__xludf.DUMMYFUNCTION("""COMPUTED_VALUE"""),43469.625)</f>
        <v>43469.625</v>
      </c>
      <c r="B966" s="2">
        <f ca="1">IFERROR(__xludf.DUMMYFUNCTION("""COMPUTED_VALUE"""),7175)</f>
        <v>7175</v>
      </c>
      <c r="C966" s="2">
        <f ca="1">IFERROR(__xludf.DUMMYFUNCTION("""COMPUTED_VALUE"""),7450)</f>
        <v>7450</v>
      </c>
      <c r="D966" s="2">
        <f ca="1">IFERROR(__xludf.DUMMYFUNCTION("""COMPUTED_VALUE"""),7150)</f>
        <v>7150</v>
      </c>
      <c r="E966" s="2">
        <f ca="1">IFERROR(__xludf.DUMMYFUNCTION("""COMPUTED_VALUE"""),7450)</f>
        <v>7450</v>
      </c>
      <c r="F966" s="2">
        <f ca="1">IFERROR(__xludf.DUMMYFUNCTION("""COMPUTED_VALUE"""),39257000)</f>
        <v>39257000</v>
      </c>
    </row>
    <row r="967" spans="1:6">
      <c r="A967" s="1">
        <f ca="1">IFERROR(__xludf.DUMMYFUNCTION("""COMPUTED_VALUE"""),43472.625)</f>
        <v>43472.625</v>
      </c>
      <c r="B967" s="2">
        <f ca="1">IFERROR(__xludf.DUMMYFUNCTION("""COMPUTED_VALUE"""),7500)</f>
        <v>7500</v>
      </c>
      <c r="C967" s="2">
        <f ca="1">IFERROR(__xludf.DUMMYFUNCTION("""COMPUTED_VALUE"""),7575)</f>
        <v>7575</v>
      </c>
      <c r="D967" s="2">
        <f ca="1">IFERROR(__xludf.DUMMYFUNCTION("""COMPUTED_VALUE"""),7425)</f>
        <v>7425</v>
      </c>
      <c r="E967" s="2">
        <f ca="1">IFERROR(__xludf.DUMMYFUNCTION("""COMPUTED_VALUE"""),7425)</f>
        <v>7425</v>
      </c>
      <c r="F967" s="2">
        <f ca="1">IFERROR(__xludf.DUMMYFUNCTION("""COMPUTED_VALUE"""),26812400)</f>
        <v>26812400</v>
      </c>
    </row>
    <row r="968" spans="1:6">
      <c r="A968" s="1">
        <f ca="1">IFERROR(__xludf.DUMMYFUNCTION("""COMPUTED_VALUE"""),43473.625)</f>
        <v>43473.625</v>
      </c>
      <c r="B968" s="2">
        <f ca="1">IFERROR(__xludf.DUMMYFUNCTION("""COMPUTED_VALUE"""),7425)</f>
        <v>7425</v>
      </c>
      <c r="C968" s="2">
        <f ca="1">IFERROR(__xludf.DUMMYFUNCTION("""COMPUTED_VALUE"""),7475)</f>
        <v>7475</v>
      </c>
      <c r="D968" s="2">
        <f ca="1">IFERROR(__xludf.DUMMYFUNCTION("""COMPUTED_VALUE"""),7350)</f>
        <v>7350</v>
      </c>
      <c r="E968" s="2">
        <f ca="1">IFERROR(__xludf.DUMMYFUNCTION("""COMPUTED_VALUE"""),7350)</f>
        <v>7350</v>
      </c>
      <c r="F968" s="2">
        <f ca="1">IFERROR(__xludf.DUMMYFUNCTION("""COMPUTED_VALUE"""),40036600)</f>
        <v>40036600</v>
      </c>
    </row>
    <row r="969" spans="1:6">
      <c r="A969" s="1">
        <f ca="1">IFERROR(__xludf.DUMMYFUNCTION("""COMPUTED_VALUE"""),43474.625)</f>
        <v>43474.625</v>
      </c>
      <c r="B969" s="2">
        <f ca="1">IFERROR(__xludf.DUMMYFUNCTION("""COMPUTED_VALUE"""),7500)</f>
        <v>7500</v>
      </c>
      <c r="C969" s="2">
        <f ca="1">IFERROR(__xludf.DUMMYFUNCTION("""COMPUTED_VALUE"""),7575)</f>
        <v>7575</v>
      </c>
      <c r="D969" s="2">
        <f ca="1">IFERROR(__xludf.DUMMYFUNCTION("""COMPUTED_VALUE"""),7400)</f>
        <v>7400</v>
      </c>
      <c r="E969" s="2">
        <f ca="1">IFERROR(__xludf.DUMMYFUNCTION("""COMPUTED_VALUE"""),7575)</f>
        <v>7575</v>
      </c>
      <c r="F969" s="2">
        <f ca="1">IFERROR(__xludf.DUMMYFUNCTION("""COMPUTED_VALUE"""),52451700)</f>
        <v>52451700</v>
      </c>
    </row>
    <row r="970" spans="1:6">
      <c r="A970" s="1">
        <f ca="1">IFERROR(__xludf.DUMMYFUNCTION("""COMPUTED_VALUE"""),43475.625)</f>
        <v>43475.625</v>
      </c>
      <c r="B970" s="2">
        <f ca="1">IFERROR(__xludf.DUMMYFUNCTION("""COMPUTED_VALUE"""),7625)</f>
        <v>7625</v>
      </c>
      <c r="C970" s="2">
        <f ca="1">IFERROR(__xludf.DUMMYFUNCTION("""COMPUTED_VALUE"""),7700)</f>
        <v>7700</v>
      </c>
      <c r="D970" s="2">
        <f ca="1">IFERROR(__xludf.DUMMYFUNCTION("""COMPUTED_VALUE"""),7550)</f>
        <v>7550</v>
      </c>
      <c r="E970" s="2">
        <f ca="1">IFERROR(__xludf.DUMMYFUNCTION("""COMPUTED_VALUE"""),7700)</f>
        <v>7700</v>
      </c>
      <c r="F970" s="2">
        <f ca="1">IFERROR(__xludf.DUMMYFUNCTION("""COMPUTED_VALUE"""),65301600)</f>
        <v>65301600</v>
      </c>
    </row>
    <row r="971" spans="1:6">
      <c r="A971" s="1">
        <f ca="1">IFERROR(__xludf.DUMMYFUNCTION("""COMPUTED_VALUE"""),43476.625)</f>
        <v>43476.625</v>
      </c>
      <c r="B971" s="2">
        <f ca="1">IFERROR(__xludf.DUMMYFUNCTION("""COMPUTED_VALUE"""),7750)</f>
        <v>7750</v>
      </c>
      <c r="C971" s="2">
        <f ca="1">IFERROR(__xludf.DUMMYFUNCTION("""COMPUTED_VALUE"""),7800)</f>
        <v>7800</v>
      </c>
      <c r="D971" s="2">
        <f ca="1">IFERROR(__xludf.DUMMYFUNCTION("""COMPUTED_VALUE"""),7675)</f>
        <v>7675</v>
      </c>
      <c r="E971" s="2">
        <f ca="1">IFERROR(__xludf.DUMMYFUNCTION("""COMPUTED_VALUE"""),7700)</f>
        <v>7700</v>
      </c>
      <c r="F971" s="2">
        <f ca="1">IFERROR(__xludf.DUMMYFUNCTION("""COMPUTED_VALUE"""),44449700)</f>
        <v>44449700</v>
      </c>
    </row>
    <row r="972" spans="1:6">
      <c r="A972" s="1">
        <f ca="1">IFERROR(__xludf.DUMMYFUNCTION("""COMPUTED_VALUE"""),43479.625)</f>
        <v>43479.625</v>
      </c>
      <c r="B972" s="2">
        <f ca="1">IFERROR(__xludf.DUMMYFUNCTION("""COMPUTED_VALUE"""),7750)</f>
        <v>7750</v>
      </c>
      <c r="C972" s="2">
        <f ca="1">IFERROR(__xludf.DUMMYFUNCTION("""COMPUTED_VALUE"""),7750)</f>
        <v>7750</v>
      </c>
      <c r="D972" s="2">
        <f ca="1">IFERROR(__xludf.DUMMYFUNCTION("""COMPUTED_VALUE"""),7650)</f>
        <v>7650</v>
      </c>
      <c r="E972" s="2">
        <f ca="1">IFERROR(__xludf.DUMMYFUNCTION("""COMPUTED_VALUE"""),7700)</f>
        <v>7700</v>
      </c>
      <c r="F972" s="2">
        <f ca="1">IFERROR(__xludf.DUMMYFUNCTION("""COMPUTED_VALUE"""),35660000)</f>
        <v>35660000</v>
      </c>
    </row>
    <row r="973" spans="1:6">
      <c r="A973" s="1">
        <f ca="1">IFERROR(__xludf.DUMMYFUNCTION("""COMPUTED_VALUE"""),43480.625)</f>
        <v>43480.625</v>
      </c>
      <c r="B973" s="2">
        <f ca="1">IFERROR(__xludf.DUMMYFUNCTION("""COMPUTED_VALUE"""),7750)</f>
        <v>7750</v>
      </c>
      <c r="C973" s="2">
        <f ca="1">IFERROR(__xludf.DUMMYFUNCTION("""COMPUTED_VALUE"""),7800)</f>
        <v>7800</v>
      </c>
      <c r="D973" s="2">
        <f ca="1">IFERROR(__xludf.DUMMYFUNCTION("""COMPUTED_VALUE"""),7650)</f>
        <v>7650</v>
      </c>
      <c r="E973" s="2">
        <f ca="1">IFERROR(__xludf.DUMMYFUNCTION("""COMPUTED_VALUE"""),7800)</f>
        <v>7800</v>
      </c>
      <c r="F973" s="2">
        <f ca="1">IFERROR(__xludf.DUMMYFUNCTION("""COMPUTED_VALUE"""),43348600)</f>
        <v>43348600</v>
      </c>
    </row>
    <row r="974" spans="1:6">
      <c r="A974" s="1">
        <f ca="1">IFERROR(__xludf.DUMMYFUNCTION("""COMPUTED_VALUE"""),43481.625)</f>
        <v>43481.625</v>
      </c>
      <c r="B974" s="2">
        <f ca="1">IFERROR(__xludf.DUMMYFUNCTION("""COMPUTED_VALUE"""),7800)</f>
        <v>7800</v>
      </c>
      <c r="C974" s="2">
        <f ca="1">IFERROR(__xludf.DUMMYFUNCTION("""COMPUTED_VALUE"""),7825)</f>
        <v>7825</v>
      </c>
      <c r="D974" s="2">
        <f ca="1">IFERROR(__xludf.DUMMYFUNCTION("""COMPUTED_VALUE"""),7675)</f>
        <v>7675</v>
      </c>
      <c r="E974" s="2">
        <f ca="1">IFERROR(__xludf.DUMMYFUNCTION("""COMPUTED_VALUE"""),7800)</f>
        <v>7800</v>
      </c>
      <c r="F974" s="2">
        <f ca="1">IFERROR(__xludf.DUMMYFUNCTION("""COMPUTED_VALUE"""),39312800)</f>
        <v>39312800</v>
      </c>
    </row>
    <row r="975" spans="1:6">
      <c r="A975" s="1">
        <f ca="1">IFERROR(__xludf.DUMMYFUNCTION("""COMPUTED_VALUE"""),43482.625)</f>
        <v>43482.625</v>
      </c>
      <c r="B975" s="2">
        <f ca="1">IFERROR(__xludf.DUMMYFUNCTION("""COMPUTED_VALUE"""),7800)</f>
        <v>7800</v>
      </c>
      <c r="C975" s="2">
        <f ca="1">IFERROR(__xludf.DUMMYFUNCTION("""COMPUTED_VALUE"""),8050)</f>
        <v>8050</v>
      </c>
      <c r="D975" s="2">
        <f ca="1">IFERROR(__xludf.DUMMYFUNCTION("""COMPUTED_VALUE"""),7800)</f>
        <v>7800</v>
      </c>
      <c r="E975" s="2">
        <f ca="1">IFERROR(__xludf.DUMMYFUNCTION("""COMPUTED_VALUE"""),7875)</f>
        <v>7875</v>
      </c>
      <c r="F975" s="2">
        <f ca="1">IFERROR(__xludf.DUMMYFUNCTION("""COMPUTED_VALUE"""),50980600)</f>
        <v>50980600</v>
      </c>
    </row>
    <row r="976" spans="1:6">
      <c r="A976" s="1">
        <f ca="1">IFERROR(__xludf.DUMMYFUNCTION("""COMPUTED_VALUE"""),43483.625)</f>
        <v>43483.625</v>
      </c>
      <c r="B976" s="2">
        <f ca="1">IFERROR(__xludf.DUMMYFUNCTION("""COMPUTED_VALUE"""),7900)</f>
        <v>7900</v>
      </c>
      <c r="C976" s="2">
        <f ca="1">IFERROR(__xludf.DUMMYFUNCTION("""COMPUTED_VALUE"""),7925)</f>
        <v>7925</v>
      </c>
      <c r="D976" s="2">
        <f ca="1">IFERROR(__xludf.DUMMYFUNCTION("""COMPUTED_VALUE"""),7825)</f>
        <v>7825</v>
      </c>
      <c r="E976" s="2">
        <f ca="1">IFERROR(__xludf.DUMMYFUNCTION("""COMPUTED_VALUE"""),7875)</f>
        <v>7875</v>
      </c>
      <c r="F976" s="2">
        <f ca="1">IFERROR(__xludf.DUMMYFUNCTION("""COMPUTED_VALUE"""),28395000)</f>
        <v>28395000</v>
      </c>
    </row>
    <row r="977" spans="1:6">
      <c r="A977" s="1">
        <f ca="1">IFERROR(__xludf.DUMMYFUNCTION("""COMPUTED_VALUE"""),43486.625)</f>
        <v>43486.625</v>
      </c>
      <c r="B977" s="2">
        <f ca="1">IFERROR(__xludf.DUMMYFUNCTION("""COMPUTED_VALUE"""),7825)</f>
        <v>7825</v>
      </c>
      <c r="C977" s="2">
        <f ca="1">IFERROR(__xludf.DUMMYFUNCTION("""COMPUTED_VALUE"""),7900)</f>
        <v>7900</v>
      </c>
      <c r="D977" s="2">
        <f ca="1">IFERROR(__xludf.DUMMYFUNCTION("""COMPUTED_VALUE"""),7800)</f>
        <v>7800</v>
      </c>
      <c r="E977" s="2">
        <f ca="1">IFERROR(__xludf.DUMMYFUNCTION("""COMPUTED_VALUE"""),7800)</f>
        <v>7800</v>
      </c>
      <c r="F977" s="2">
        <f ca="1">IFERROR(__xludf.DUMMYFUNCTION("""COMPUTED_VALUE"""),55812200)</f>
        <v>55812200</v>
      </c>
    </row>
    <row r="978" spans="1:6">
      <c r="A978" s="1">
        <f ca="1">IFERROR(__xludf.DUMMYFUNCTION("""COMPUTED_VALUE"""),43487.625)</f>
        <v>43487.625</v>
      </c>
      <c r="B978" s="2">
        <f ca="1">IFERROR(__xludf.DUMMYFUNCTION("""COMPUTED_VALUE"""),7725)</f>
        <v>7725</v>
      </c>
      <c r="C978" s="2">
        <f ca="1">IFERROR(__xludf.DUMMYFUNCTION("""COMPUTED_VALUE"""),7800)</f>
        <v>7800</v>
      </c>
      <c r="D978" s="2">
        <f ca="1">IFERROR(__xludf.DUMMYFUNCTION("""COMPUTED_VALUE"""),7650)</f>
        <v>7650</v>
      </c>
      <c r="E978" s="2">
        <f ca="1">IFERROR(__xludf.DUMMYFUNCTION("""COMPUTED_VALUE"""),7750)</f>
        <v>7750</v>
      </c>
      <c r="F978" s="2">
        <f ca="1">IFERROR(__xludf.DUMMYFUNCTION("""COMPUTED_VALUE"""),61779000)</f>
        <v>61779000</v>
      </c>
    </row>
    <row r="979" spans="1:6">
      <c r="A979" s="1">
        <f ca="1">IFERROR(__xludf.DUMMYFUNCTION("""COMPUTED_VALUE"""),43488.625)</f>
        <v>43488.625</v>
      </c>
      <c r="B979" s="2">
        <f ca="1">IFERROR(__xludf.DUMMYFUNCTION("""COMPUTED_VALUE"""),7575)</f>
        <v>7575</v>
      </c>
      <c r="C979" s="2">
        <f ca="1">IFERROR(__xludf.DUMMYFUNCTION("""COMPUTED_VALUE"""),7700)</f>
        <v>7700</v>
      </c>
      <c r="D979" s="2">
        <f ca="1">IFERROR(__xludf.DUMMYFUNCTION("""COMPUTED_VALUE"""),7475)</f>
        <v>7475</v>
      </c>
      <c r="E979" s="2">
        <f ca="1">IFERROR(__xludf.DUMMYFUNCTION("""COMPUTED_VALUE"""),7475)</f>
        <v>7475</v>
      </c>
      <c r="F979" s="2">
        <f ca="1">IFERROR(__xludf.DUMMYFUNCTION("""COMPUTED_VALUE"""),81098000)</f>
        <v>81098000</v>
      </c>
    </row>
    <row r="980" spans="1:6">
      <c r="A980" s="1">
        <f ca="1">IFERROR(__xludf.DUMMYFUNCTION("""COMPUTED_VALUE"""),43489.625)</f>
        <v>43489.625</v>
      </c>
      <c r="B980" s="2">
        <f ca="1">IFERROR(__xludf.DUMMYFUNCTION("""COMPUTED_VALUE"""),7475)</f>
        <v>7475</v>
      </c>
      <c r="C980" s="2">
        <f ca="1">IFERROR(__xludf.DUMMYFUNCTION("""COMPUTED_VALUE"""),7500)</f>
        <v>7500</v>
      </c>
      <c r="D980" s="2">
        <f ca="1">IFERROR(__xludf.DUMMYFUNCTION("""COMPUTED_VALUE"""),7425)</f>
        <v>7425</v>
      </c>
      <c r="E980" s="2">
        <f ca="1">IFERROR(__xludf.DUMMYFUNCTION("""COMPUTED_VALUE"""),7475)</f>
        <v>7475</v>
      </c>
      <c r="F980" s="2">
        <f ca="1">IFERROR(__xludf.DUMMYFUNCTION("""COMPUTED_VALUE"""),89910700)</f>
        <v>89910700</v>
      </c>
    </row>
    <row r="981" spans="1:6">
      <c r="A981" s="1">
        <f ca="1">IFERROR(__xludf.DUMMYFUNCTION("""COMPUTED_VALUE"""),43490.625)</f>
        <v>43490.625</v>
      </c>
      <c r="B981" s="2">
        <f ca="1">IFERROR(__xludf.DUMMYFUNCTION("""COMPUTED_VALUE"""),7475)</f>
        <v>7475</v>
      </c>
      <c r="C981" s="2">
        <f ca="1">IFERROR(__xludf.DUMMYFUNCTION("""COMPUTED_VALUE"""),7525)</f>
        <v>7525</v>
      </c>
      <c r="D981" s="2">
        <f ca="1">IFERROR(__xludf.DUMMYFUNCTION("""COMPUTED_VALUE"""),7300)</f>
        <v>7300</v>
      </c>
      <c r="E981" s="2">
        <f ca="1">IFERROR(__xludf.DUMMYFUNCTION("""COMPUTED_VALUE"""),7375)</f>
        <v>7375</v>
      </c>
      <c r="F981" s="2">
        <f ca="1">IFERROR(__xludf.DUMMYFUNCTION("""COMPUTED_VALUE"""),71592400)</f>
        <v>71592400</v>
      </c>
    </row>
    <row r="982" spans="1:6">
      <c r="A982" s="1">
        <f ca="1">IFERROR(__xludf.DUMMYFUNCTION("""COMPUTED_VALUE"""),43493.625)</f>
        <v>43493.625</v>
      </c>
      <c r="B982" s="2">
        <f ca="1">IFERROR(__xludf.DUMMYFUNCTION("""COMPUTED_VALUE"""),7375)</f>
        <v>7375</v>
      </c>
      <c r="C982" s="2">
        <f ca="1">IFERROR(__xludf.DUMMYFUNCTION("""COMPUTED_VALUE"""),7425)</f>
        <v>7425</v>
      </c>
      <c r="D982" s="2">
        <f ca="1">IFERROR(__xludf.DUMMYFUNCTION("""COMPUTED_VALUE"""),7075)</f>
        <v>7075</v>
      </c>
      <c r="E982" s="2">
        <f ca="1">IFERROR(__xludf.DUMMYFUNCTION("""COMPUTED_VALUE"""),7175)</f>
        <v>7175</v>
      </c>
      <c r="F982" s="2">
        <f ca="1">IFERROR(__xludf.DUMMYFUNCTION("""COMPUTED_VALUE"""),103506700)</f>
        <v>103506700</v>
      </c>
    </row>
    <row r="983" spans="1:6">
      <c r="A983" s="1">
        <f ca="1">IFERROR(__xludf.DUMMYFUNCTION("""COMPUTED_VALUE"""),43494.625)</f>
        <v>43494.625</v>
      </c>
      <c r="B983" s="2">
        <f ca="1">IFERROR(__xludf.DUMMYFUNCTION("""COMPUTED_VALUE"""),7175)</f>
        <v>7175</v>
      </c>
      <c r="C983" s="2">
        <f ca="1">IFERROR(__xludf.DUMMYFUNCTION("""COMPUTED_VALUE"""),7250)</f>
        <v>7250</v>
      </c>
      <c r="D983" s="2">
        <f ca="1">IFERROR(__xludf.DUMMYFUNCTION("""COMPUTED_VALUE"""),7050)</f>
        <v>7050</v>
      </c>
      <c r="E983" s="2">
        <f ca="1">IFERROR(__xludf.DUMMYFUNCTION("""COMPUTED_VALUE"""),7125)</f>
        <v>7125</v>
      </c>
      <c r="F983" s="2">
        <f ca="1">IFERROR(__xludf.DUMMYFUNCTION("""COMPUTED_VALUE"""),81293900)</f>
        <v>81293900</v>
      </c>
    </row>
    <row r="984" spans="1:6">
      <c r="A984" s="1">
        <f ca="1">IFERROR(__xludf.DUMMYFUNCTION("""COMPUTED_VALUE"""),43495.625)</f>
        <v>43495.625</v>
      </c>
      <c r="B984" s="2">
        <f ca="1">IFERROR(__xludf.DUMMYFUNCTION("""COMPUTED_VALUE"""),7125)</f>
        <v>7125</v>
      </c>
      <c r="C984" s="2">
        <f ca="1">IFERROR(__xludf.DUMMYFUNCTION("""COMPUTED_VALUE"""),7325)</f>
        <v>7325</v>
      </c>
      <c r="D984" s="2">
        <f ca="1">IFERROR(__xludf.DUMMYFUNCTION("""COMPUTED_VALUE"""),7125)</f>
        <v>7125</v>
      </c>
      <c r="E984" s="2">
        <f ca="1">IFERROR(__xludf.DUMMYFUNCTION("""COMPUTED_VALUE"""),7250)</f>
        <v>7250</v>
      </c>
      <c r="F984" s="2">
        <f ca="1">IFERROR(__xludf.DUMMYFUNCTION("""COMPUTED_VALUE"""),87782600)</f>
        <v>87782600</v>
      </c>
    </row>
    <row r="985" spans="1:6">
      <c r="A985" s="1">
        <f ca="1">IFERROR(__xludf.DUMMYFUNCTION("""COMPUTED_VALUE"""),43496.625)</f>
        <v>43496.625</v>
      </c>
      <c r="B985" s="2">
        <f ca="1">IFERROR(__xludf.DUMMYFUNCTION("""COMPUTED_VALUE"""),7325)</f>
        <v>7325</v>
      </c>
      <c r="C985" s="2">
        <f ca="1">IFERROR(__xludf.DUMMYFUNCTION("""COMPUTED_VALUE"""),7475)</f>
        <v>7475</v>
      </c>
      <c r="D985" s="2">
        <f ca="1">IFERROR(__xludf.DUMMYFUNCTION("""COMPUTED_VALUE"""),7275)</f>
        <v>7275</v>
      </c>
      <c r="E985" s="2">
        <f ca="1">IFERROR(__xludf.DUMMYFUNCTION("""COMPUTED_VALUE"""),7450)</f>
        <v>7450</v>
      </c>
      <c r="F985" s="2">
        <f ca="1">IFERROR(__xludf.DUMMYFUNCTION("""COMPUTED_VALUE"""),107004300)</f>
        <v>107004300</v>
      </c>
    </row>
    <row r="986" spans="1:6">
      <c r="A986" s="1">
        <f ca="1">IFERROR(__xludf.DUMMYFUNCTION("""COMPUTED_VALUE"""),43497.625)</f>
        <v>43497.625</v>
      </c>
      <c r="B986" s="2">
        <f ca="1">IFERROR(__xludf.DUMMYFUNCTION("""COMPUTED_VALUE"""),7500)</f>
        <v>7500</v>
      </c>
      <c r="C986" s="2">
        <f ca="1">IFERROR(__xludf.DUMMYFUNCTION("""COMPUTED_VALUE"""),7625)</f>
        <v>7625</v>
      </c>
      <c r="D986" s="2">
        <f ca="1">IFERROR(__xludf.DUMMYFUNCTION("""COMPUTED_VALUE"""),7475)</f>
        <v>7475</v>
      </c>
      <c r="E986" s="2">
        <f ca="1">IFERROR(__xludf.DUMMYFUNCTION("""COMPUTED_VALUE"""),7600)</f>
        <v>7600</v>
      </c>
      <c r="F986" s="2">
        <f ca="1">IFERROR(__xludf.DUMMYFUNCTION("""COMPUTED_VALUE"""),52147700)</f>
        <v>52147700</v>
      </c>
    </row>
    <row r="987" spans="1:6">
      <c r="A987" s="1">
        <f ca="1">IFERROR(__xludf.DUMMYFUNCTION("""COMPUTED_VALUE"""),43500.625)</f>
        <v>43500.625</v>
      </c>
      <c r="B987" s="2">
        <f ca="1">IFERROR(__xludf.DUMMYFUNCTION("""COMPUTED_VALUE"""),7500)</f>
        <v>7500</v>
      </c>
      <c r="C987" s="2">
        <f ca="1">IFERROR(__xludf.DUMMYFUNCTION("""COMPUTED_VALUE"""),7600)</f>
        <v>7600</v>
      </c>
      <c r="D987" s="2">
        <f ca="1">IFERROR(__xludf.DUMMYFUNCTION("""COMPUTED_VALUE"""),7350)</f>
        <v>7350</v>
      </c>
      <c r="E987" s="2">
        <f ca="1">IFERROR(__xludf.DUMMYFUNCTION("""COMPUTED_VALUE"""),7350)</f>
        <v>7350</v>
      </c>
      <c r="F987" s="2">
        <f ca="1">IFERROR(__xludf.DUMMYFUNCTION("""COMPUTED_VALUE"""),40459600)</f>
        <v>40459600</v>
      </c>
    </row>
    <row r="988" spans="1:6">
      <c r="A988" s="1">
        <f ca="1">IFERROR(__xludf.DUMMYFUNCTION("""COMPUTED_VALUE"""),43502.625)</f>
        <v>43502.625</v>
      </c>
      <c r="B988" s="2">
        <f ca="1">IFERROR(__xludf.DUMMYFUNCTION("""COMPUTED_VALUE"""),7450)</f>
        <v>7450</v>
      </c>
      <c r="C988" s="2">
        <f ca="1">IFERROR(__xludf.DUMMYFUNCTION("""COMPUTED_VALUE"""),7525)</f>
        <v>7525</v>
      </c>
      <c r="D988" s="2">
        <f ca="1">IFERROR(__xludf.DUMMYFUNCTION("""COMPUTED_VALUE"""),7425)</f>
        <v>7425</v>
      </c>
      <c r="E988" s="2">
        <f ca="1">IFERROR(__xludf.DUMMYFUNCTION("""COMPUTED_VALUE"""),7475)</f>
        <v>7475</v>
      </c>
      <c r="F988" s="2">
        <f ca="1">IFERROR(__xludf.DUMMYFUNCTION("""COMPUTED_VALUE"""),30140700)</f>
        <v>30140700</v>
      </c>
    </row>
    <row r="989" spans="1:6">
      <c r="A989" s="1">
        <f ca="1">IFERROR(__xludf.DUMMYFUNCTION("""COMPUTED_VALUE"""),43503.625)</f>
        <v>43503.625</v>
      </c>
      <c r="B989" s="2">
        <f ca="1">IFERROR(__xludf.DUMMYFUNCTION("""COMPUTED_VALUE"""),7475)</f>
        <v>7475</v>
      </c>
      <c r="C989" s="2">
        <f ca="1">IFERROR(__xludf.DUMMYFUNCTION("""COMPUTED_VALUE"""),7550)</f>
        <v>7550</v>
      </c>
      <c r="D989" s="2">
        <f ca="1">IFERROR(__xludf.DUMMYFUNCTION("""COMPUTED_VALUE"""),7425)</f>
        <v>7425</v>
      </c>
      <c r="E989" s="2">
        <f ca="1">IFERROR(__xludf.DUMMYFUNCTION("""COMPUTED_VALUE"""),7550)</f>
        <v>7550</v>
      </c>
      <c r="F989" s="2">
        <f ca="1">IFERROR(__xludf.DUMMYFUNCTION("""COMPUTED_VALUE"""),15811400)</f>
        <v>15811400</v>
      </c>
    </row>
    <row r="990" spans="1:6">
      <c r="A990" s="1">
        <f ca="1">IFERROR(__xludf.DUMMYFUNCTION("""COMPUTED_VALUE"""),43504.625)</f>
        <v>43504.625</v>
      </c>
      <c r="B990" s="2">
        <f ca="1">IFERROR(__xludf.DUMMYFUNCTION("""COMPUTED_VALUE"""),7500)</f>
        <v>7500</v>
      </c>
      <c r="C990" s="2">
        <f ca="1">IFERROR(__xludf.DUMMYFUNCTION("""COMPUTED_VALUE"""),7575)</f>
        <v>7575</v>
      </c>
      <c r="D990" s="2">
        <f ca="1">IFERROR(__xludf.DUMMYFUNCTION("""COMPUTED_VALUE"""),7425)</f>
        <v>7425</v>
      </c>
      <c r="E990" s="2">
        <f ca="1">IFERROR(__xludf.DUMMYFUNCTION("""COMPUTED_VALUE"""),7575)</f>
        <v>7575</v>
      </c>
      <c r="F990" s="2">
        <f ca="1">IFERROR(__xludf.DUMMYFUNCTION("""COMPUTED_VALUE"""),23414200)</f>
        <v>23414200</v>
      </c>
    </row>
    <row r="991" spans="1:6">
      <c r="A991" s="1">
        <f ca="1">IFERROR(__xludf.DUMMYFUNCTION("""COMPUTED_VALUE"""),43507.625)</f>
        <v>43507.625</v>
      </c>
      <c r="B991" s="2">
        <f ca="1">IFERROR(__xludf.DUMMYFUNCTION("""COMPUTED_VALUE"""),7600)</f>
        <v>7600</v>
      </c>
      <c r="C991" s="2">
        <f ca="1">IFERROR(__xludf.DUMMYFUNCTION("""COMPUTED_VALUE"""),7625)</f>
        <v>7625</v>
      </c>
      <c r="D991" s="2">
        <f ca="1">IFERROR(__xludf.DUMMYFUNCTION("""COMPUTED_VALUE"""),7525)</f>
        <v>7525</v>
      </c>
      <c r="E991" s="2">
        <f ca="1">IFERROR(__xludf.DUMMYFUNCTION("""COMPUTED_VALUE"""),7625)</f>
        <v>7625</v>
      </c>
      <c r="F991" s="2">
        <f ca="1">IFERROR(__xludf.DUMMYFUNCTION("""COMPUTED_VALUE"""),36179100)</f>
        <v>36179100</v>
      </c>
    </row>
    <row r="992" spans="1:6">
      <c r="A992" s="1">
        <f ca="1">IFERROR(__xludf.DUMMYFUNCTION("""COMPUTED_VALUE"""),43508.625)</f>
        <v>43508.625</v>
      </c>
      <c r="B992" s="2">
        <f ca="1">IFERROR(__xludf.DUMMYFUNCTION("""COMPUTED_VALUE"""),7675)</f>
        <v>7675</v>
      </c>
      <c r="C992" s="2">
        <f ca="1">IFERROR(__xludf.DUMMYFUNCTION("""COMPUTED_VALUE"""),7675)</f>
        <v>7675</v>
      </c>
      <c r="D992" s="2">
        <f ca="1">IFERROR(__xludf.DUMMYFUNCTION("""COMPUTED_VALUE"""),7375)</f>
        <v>7375</v>
      </c>
      <c r="E992" s="2">
        <f ca="1">IFERROR(__xludf.DUMMYFUNCTION("""COMPUTED_VALUE"""),7425)</f>
        <v>7425</v>
      </c>
      <c r="F992" s="2">
        <f ca="1">IFERROR(__xludf.DUMMYFUNCTION("""COMPUTED_VALUE"""),41322100)</f>
        <v>41322100</v>
      </c>
    </row>
    <row r="993" spans="1:6">
      <c r="A993" s="1">
        <f ca="1">IFERROR(__xludf.DUMMYFUNCTION("""COMPUTED_VALUE"""),43509.625)</f>
        <v>43509.625</v>
      </c>
      <c r="B993" s="2">
        <f ca="1">IFERROR(__xludf.DUMMYFUNCTION("""COMPUTED_VALUE"""),7425)</f>
        <v>7425</v>
      </c>
      <c r="C993" s="2">
        <f ca="1">IFERROR(__xludf.DUMMYFUNCTION("""COMPUTED_VALUE"""),7475)</f>
        <v>7475</v>
      </c>
      <c r="D993" s="2">
        <f ca="1">IFERROR(__xludf.DUMMYFUNCTION("""COMPUTED_VALUE"""),7250)</f>
        <v>7250</v>
      </c>
      <c r="E993" s="2">
        <f ca="1">IFERROR(__xludf.DUMMYFUNCTION("""COMPUTED_VALUE"""),7250)</f>
        <v>7250</v>
      </c>
      <c r="F993" s="2">
        <f ca="1">IFERROR(__xludf.DUMMYFUNCTION("""COMPUTED_VALUE"""),37523200)</f>
        <v>37523200</v>
      </c>
    </row>
    <row r="994" spans="1:6">
      <c r="A994" s="1">
        <f ca="1">IFERROR(__xludf.DUMMYFUNCTION("""COMPUTED_VALUE"""),43510.625)</f>
        <v>43510.625</v>
      </c>
      <c r="B994" s="2">
        <f ca="1">IFERROR(__xludf.DUMMYFUNCTION("""COMPUTED_VALUE"""),7350)</f>
        <v>7350</v>
      </c>
      <c r="C994" s="2">
        <f ca="1">IFERROR(__xludf.DUMMYFUNCTION("""COMPUTED_VALUE"""),7375)</f>
        <v>7375</v>
      </c>
      <c r="D994" s="2">
        <f ca="1">IFERROR(__xludf.DUMMYFUNCTION("""COMPUTED_VALUE"""),7175)</f>
        <v>7175</v>
      </c>
      <c r="E994" s="2">
        <f ca="1">IFERROR(__xludf.DUMMYFUNCTION("""COMPUTED_VALUE"""),7175)</f>
        <v>7175</v>
      </c>
      <c r="F994" s="2">
        <f ca="1">IFERROR(__xludf.DUMMYFUNCTION("""COMPUTED_VALUE"""),47849500)</f>
        <v>47849500</v>
      </c>
    </row>
    <row r="995" spans="1:6">
      <c r="A995" s="1">
        <f ca="1">IFERROR(__xludf.DUMMYFUNCTION("""COMPUTED_VALUE"""),43511.625)</f>
        <v>43511.625</v>
      </c>
      <c r="B995" s="2">
        <f ca="1">IFERROR(__xludf.DUMMYFUNCTION("""COMPUTED_VALUE"""),7150)</f>
        <v>7150</v>
      </c>
      <c r="C995" s="2">
        <f ca="1">IFERROR(__xludf.DUMMYFUNCTION("""COMPUTED_VALUE"""),7225)</f>
        <v>7225</v>
      </c>
      <c r="D995" s="2">
        <f ca="1">IFERROR(__xludf.DUMMYFUNCTION("""COMPUTED_VALUE"""),7100)</f>
        <v>7100</v>
      </c>
      <c r="E995" s="2">
        <f ca="1">IFERROR(__xludf.DUMMYFUNCTION("""COMPUTED_VALUE"""),7175)</f>
        <v>7175</v>
      </c>
      <c r="F995" s="2">
        <f ca="1">IFERROR(__xludf.DUMMYFUNCTION("""COMPUTED_VALUE"""),46001400)</f>
        <v>46001400</v>
      </c>
    </row>
    <row r="996" spans="1:6">
      <c r="A996" s="1">
        <f ca="1">IFERROR(__xludf.DUMMYFUNCTION("""COMPUTED_VALUE"""),43514.625)</f>
        <v>43514.625</v>
      </c>
      <c r="B996" s="2">
        <f ca="1">IFERROR(__xludf.DUMMYFUNCTION("""COMPUTED_VALUE"""),7300)</f>
        <v>7300</v>
      </c>
      <c r="C996" s="2">
        <f ca="1">IFERROR(__xludf.DUMMYFUNCTION("""COMPUTED_VALUE"""),7300)</f>
        <v>7300</v>
      </c>
      <c r="D996" s="2">
        <f ca="1">IFERROR(__xludf.DUMMYFUNCTION("""COMPUTED_VALUE"""),7175)</f>
        <v>7175</v>
      </c>
      <c r="E996" s="2">
        <f ca="1">IFERROR(__xludf.DUMMYFUNCTION("""COMPUTED_VALUE"""),7275)</f>
        <v>7275</v>
      </c>
      <c r="F996" s="2">
        <f ca="1">IFERROR(__xludf.DUMMYFUNCTION("""COMPUTED_VALUE"""),43108400)</f>
        <v>43108400</v>
      </c>
    </row>
    <row r="997" spans="1:6">
      <c r="A997" s="1">
        <f ca="1">IFERROR(__xludf.DUMMYFUNCTION("""COMPUTED_VALUE"""),43515.625)</f>
        <v>43515.625</v>
      </c>
      <c r="B997" s="2">
        <f ca="1">IFERROR(__xludf.DUMMYFUNCTION("""COMPUTED_VALUE"""),7275)</f>
        <v>7275</v>
      </c>
      <c r="C997" s="2">
        <f ca="1">IFERROR(__xludf.DUMMYFUNCTION("""COMPUTED_VALUE"""),7325)</f>
        <v>7325</v>
      </c>
      <c r="D997" s="2">
        <f ca="1">IFERROR(__xludf.DUMMYFUNCTION("""COMPUTED_VALUE"""),7125)</f>
        <v>7125</v>
      </c>
      <c r="E997" s="2">
        <f ca="1">IFERROR(__xludf.DUMMYFUNCTION("""COMPUTED_VALUE"""),7200)</f>
        <v>7200</v>
      </c>
      <c r="F997" s="2">
        <f ca="1">IFERROR(__xludf.DUMMYFUNCTION("""COMPUTED_VALUE"""),46357100)</f>
        <v>46357100</v>
      </c>
    </row>
    <row r="998" spans="1:6">
      <c r="A998" s="1">
        <f ca="1">IFERROR(__xludf.DUMMYFUNCTION("""COMPUTED_VALUE"""),43516.625)</f>
        <v>43516.625</v>
      </c>
      <c r="B998" s="2">
        <f ca="1">IFERROR(__xludf.DUMMYFUNCTION("""COMPUTED_VALUE"""),7250)</f>
        <v>7250</v>
      </c>
      <c r="C998" s="2">
        <f ca="1">IFERROR(__xludf.DUMMYFUNCTION("""COMPUTED_VALUE"""),7250)</f>
        <v>7250</v>
      </c>
      <c r="D998" s="2">
        <f ca="1">IFERROR(__xludf.DUMMYFUNCTION("""COMPUTED_VALUE"""),6950)</f>
        <v>6950</v>
      </c>
      <c r="E998" s="2">
        <f ca="1">IFERROR(__xludf.DUMMYFUNCTION("""COMPUTED_VALUE"""),7100)</f>
        <v>7100</v>
      </c>
      <c r="F998" s="2">
        <f ca="1">IFERROR(__xludf.DUMMYFUNCTION("""COMPUTED_VALUE"""),96440600)</f>
        <v>96440600</v>
      </c>
    </row>
    <row r="999" spans="1:6">
      <c r="A999" s="1">
        <f ca="1">IFERROR(__xludf.DUMMYFUNCTION("""COMPUTED_VALUE"""),43517.625)</f>
        <v>43517.625</v>
      </c>
      <c r="B999" s="2">
        <f ca="1">IFERROR(__xludf.DUMMYFUNCTION("""COMPUTED_VALUE"""),7125)</f>
        <v>7125</v>
      </c>
      <c r="C999" s="2">
        <f ca="1">IFERROR(__xludf.DUMMYFUNCTION("""COMPUTED_VALUE"""),7325)</f>
        <v>7325</v>
      </c>
      <c r="D999" s="2">
        <f ca="1">IFERROR(__xludf.DUMMYFUNCTION("""COMPUTED_VALUE"""),7100)</f>
        <v>7100</v>
      </c>
      <c r="E999" s="2">
        <f ca="1">IFERROR(__xludf.DUMMYFUNCTION("""COMPUTED_VALUE"""),7325)</f>
        <v>7325</v>
      </c>
      <c r="F999" s="2">
        <f ca="1">IFERROR(__xludf.DUMMYFUNCTION("""COMPUTED_VALUE"""),50101900)</f>
        <v>50101900</v>
      </c>
    </row>
    <row r="1000" spans="1:6">
      <c r="A1000" s="1">
        <f ca="1">IFERROR(__xludf.DUMMYFUNCTION("""COMPUTED_VALUE"""),43518.625)</f>
        <v>43518.625</v>
      </c>
      <c r="B1000" s="2">
        <f ca="1">IFERROR(__xludf.DUMMYFUNCTION("""COMPUTED_VALUE"""),7275)</f>
        <v>7275</v>
      </c>
      <c r="C1000" s="2">
        <f ca="1">IFERROR(__xludf.DUMMYFUNCTION("""COMPUTED_VALUE"""),7300)</f>
        <v>7300</v>
      </c>
      <c r="D1000" s="2">
        <f ca="1">IFERROR(__xludf.DUMMYFUNCTION("""COMPUTED_VALUE"""),7050)</f>
        <v>7050</v>
      </c>
      <c r="E1000" s="2">
        <f ca="1">IFERROR(__xludf.DUMMYFUNCTION("""COMPUTED_VALUE"""),7100)</f>
        <v>7100</v>
      </c>
      <c r="F1000" s="2">
        <f ca="1">IFERROR(__xludf.DUMMYFUNCTION("""COMPUTED_VALUE"""),83798400)</f>
        <v>83798400</v>
      </c>
    </row>
    <row r="1001" spans="1:6">
      <c r="A1001" s="1">
        <f ca="1">IFERROR(__xludf.DUMMYFUNCTION("""COMPUTED_VALUE"""),43521.625)</f>
        <v>43521.625</v>
      </c>
      <c r="B1001" s="2">
        <f ca="1">IFERROR(__xludf.DUMMYFUNCTION("""COMPUTED_VALUE"""),7150)</f>
        <v>7150</v>
      </c>
      <c r="C1001" s="2">
        <f ca="1">IFERROR(__xludf.DUMMYFUNCTION("""COMPUTED_VALUE"""),7250)</f>
        <v>7250</v>
      </c>
      <c r="D1001" s="2">
        <f ca="1">IFERROR(__xludf.DUMMYFUNCTION("""COMPUTED_VALUE"""),7125)</f>
        <v>7125</v>
      </c>
      <c r="E1001" s="2">
        <f ca="1">IFERROR(__xludf.DUMMYFUNCTION("""COMPUTED_VALUE"""),7250)</f>
        <v>7250</v>
      </c>
      <c r="F1001" s="2">
        <f ca="1">IFERROR(__xludf.DUMMYFUNCTION("""COMPUTED_VALUE"""),45760000)</f>
        <v>45760000</v>
      </c>
    </row>
    <row r="1002" spans="1:6">
      <c r="A1002" s="1">
        <f ca="1">IFERROR(__xludf.DUMMYFUNCTION("""COMPUTED_VALUE"""),43522.625)</f>
        <v>43522.625</v>
      </c>
      <c r="B1002" s="2">
        <f ca="1">IFERROR(__xludf.DUMMYFUNCTION("""COMPUTED_VALUE"""),7275)</f>
        <v>7275</v>
      </c>
      <c r="C1002" s="2">
        <f ca="1">IFERROR(__xludf.DUMMYFUNCTION("""COMPUTED_VALUE"""),7275)</f>
        <v>7275</v>
      </c>
      <c r="D1002" s="2">
        <f ca="1">IFERROR(__xludf.DUMMYFUNCTION("""COMPUTED_VALUE"""),7150)</f>
        <v>7150</v>
      </c>
      <c r="E1002" s="2">
        <f ca="1">IFERROR(__xludf.DUMMYFUNCTION("""COMPUTED_VALUE"""),7275)</f>
        <v>7275</v>
      </c>
      <c r="F1002" s="2">
        <f ca="1">IFERROR(__xludf.DUMMYFUNCTION("""COMPUTED_VALUE"""),47045500)</f>
        <v>47045500</v>
      </c>
    </row>
    <row r="1003" spans="1:6">
      <c r="A1003" s="1">
        <f ca="1">IFERROR(__xludf.DUMMYFUNCTION("""COMPUTED_VALUE"""),43523.625)</f>
        <v>43523.625</v>
      </c>
      <c r="B1003" s="2">
        <f ca="1">IFERROR(__xludf.DUMMYFUNCTION("""COMPUTED_VALUE"""),7200)</f>
        <v>7200</v>
      </c>
      <c r="C1003" s="2">
        <f ca="1">IFERROR(__xludf.DUMMYFUNCTION("""COMPUTED_VALUE"""),7275)</f>
        <v>7275</v>
      </c>
      <c r="D1003" s="2">
        <f ca="1">IFERROR(__xludf.DUMMYFUNCTION("""COMPUTED_VALUE"""),7150)</f>
        <v>7150</v>
      </c>
      <c r="E1003" s="2">
        <f ca="1">IFERROR(__xludf.DUMMYFUNCTION("""COMPUTED_VALUE"""),7200)</f>
        <v>7200</v>
      </c>
      <c r="F1003" s="2">
        <f ca="1">IFERROR(__xludf.DUMMYFUNCTION("""COMPUTED_VALUE"""),36178400)</f>
        <v>36178400</v>
      </c>
    </row>
    <row r="1004" spans="1:6">
      <c r="A1004" s="1">
        <f ca="1">IFERROR(__xludf.DUMMYFUNCTION("""COMPUTED_VALUE"""),43524.625)</f>
        <v>43524.625</v>
      </c>
      <c r="B1004" s="2">
        <f ca="1">IFERROR(__xludf.DUMMYFUNCTION("""COMPUTED_VALUE"""),7225)</f>
        <v>7225</v>
      </c>
      <c r="C1004" s="2">
        <f ca="1">IFERROR(__xludf.DUMMYFUNCTION("""COMPUTED_VALUE"""),7250)</f>
        <v>7250</v>
      </c>
      <c r="D1004" s="2">
        <f ca="1">IFERROR(__xludf.DUMMYFUNCTION("""COMPUTED_VALUE"""),7100)</f>
        <v>7100</v>
      </c>
      <c r="E1004" s="2">
        <f ca="1">IFERROR(__xludf.DUMMYFUNCTION("""COMPUTED_VALUE"""),7125)</f>
        <v>7125</v>
      </c>
      <c r="F1004" s="2">
        <f ca="1">IFERROR(__xludf.DUMMYFUNCTION("""COMPUTED_VALUE"""),42490100)</f>
        <v>42490100</v>
      </c>
    </row>
    <row r="1005" spans="1:6">
      <c r="A1005" s="1">
        <f ca="1">IFERROR(__xludf.DUMMYFUNCTION("""COMPUTED_VALUE"""),43525.625)</f>
        <v>43525.625</v>
      </c>
      <c r="B1005" s="2">
        <f ca="1">IFERROR(__xludf.DUMMYFUNCTION("""COMPUTED_VALUE"""),7150)</f>
        <v>7150</v>
      </c>
      <c r="C1005" s="2">
        <f ca="1">IFERROR(__xludf.DUMMYFUNCTION("""COMPUTED_VALUE"""),7225)</f>
        <v>7225</v>
      </c>
      <c r="D1005" s="2">
        <f ca="1">IFERROR(__xludf.DUMMYFUNCTION("""COMPUTED_VALUE"""),7125)</f>
        <v>7125</v>
      </c>
      <c r="E1005" s="2">
        <f ca="1">IFERROR(__xludf.DUMMYFUNCTION("""COMPUTED_VALUE"""),7175)</f>
        <v>7175</v>
      </c>
      <c r="F1005" s="2">
        <f ca="1">IFERROR(__xludf.DUMMYFUNCTION("""COMPUTED_VALUE"""),23501600)</f>
        <v>23501600</v>
      </c>
    </row>
    <row r="1006" spans="1:6">
      <c r="A1006" s="1">
        <f ca="1">IFERROR(__xludf.DUMMYFUNCTION("""COMPUTED_VALUE"""),43528.625)</f>
        <v>43528.625</v>
      </c>
      <c r="B1006" s="2">
        <f ca="1">IFERROR(__xludf.DUMMYFUNCTION("""COMPUTED_VALUE"""),7175)</f>
        <v>7175</v>
      </c>
      <c r="C1006" s="2">
        <f ca="1">IFERROR(__xludf.DUMMYFUNCTION("""COMPUTED_VALUE"""),7175)</f>
        <v>7175</v>
      </c>
      <c r="D1006" s="2">
        <f ca="1">IFERROR(__xludf.DUMMYFUNCTION("""COMPUTED_VALUE"""),7100)</f>
        <v>7100</v>
      </c>
      <c r="E1006" s="2">
        <f ca="1">IFERROR(__xludf.DUMMYFUNCTION("""COMPUTED_VALUE"""),7100)</f>
        <v>7100</v>
      </c>
      <c r="F1006" s="2">
        <f ca="1">IFERROR(__xludf.DUMMYFUNCTION("""COMPUTED_VALUE"""),14829900)</f>
        <v>14829900</v>
      </c>
    </row>
    <row r="1007" spans="1:6">
      <c r="A1007" s="1">
        <f ca="1">IFERROR(__xludf.DUMMYFUNCTION("""COMPUTED_VALUE"""),43529.625)</f>
        <v>43529.625</v>
      </c>
      <c r="B1007" s="2">
        <f ca="1">IFERROR(__xludf.DUMMYFUNCTION("""COMPUTED_VALUE"""),7050)</f>
        <v>7050</v>
      </c>
      <c r="C1007" s="2">
        <f ca="1">IFERROR(__xludf.DUMMYFUNCTION("""COMPUTED_VALUE"""),7125)</f>
        <v>7125</v>
      </c>
      <c r="D1007" s="2">
        <f ca="1">IFERROR(__xludf.DUMMYFUNCTION("""COMPUTED_VALUE"""),6800)</f>
        <v>6800</v>
      </c>
      <c r="E1007" s="2">
        <f ca="1">IFERROR(__xludf.DUMMYFUNCTION("""COMPUTED_VALUE"""),6950)</f>
        <v>6950</v>
      </c>
      <c r="F1007" s="2">
        <f ca="1">IFERROR(__xludf.DUMMYFUNCTION("""COMPUTED_VALUE"""),111556600)</f>
        <v>111556600</v>
      </c>
    </row>
    <row r="1008" spans="1:6">
      <c r="A1008" s="1">
        <f ca="1">IFERROR(__xludf.DUMMYFUNCTION("""COMPUTED_VALUE"""),43530.625)</f>
        <v>43530.625</v>
      </c>
      <c r="B1008" s="2">
        <f ca="1">IFERROR(__xludf.DUMMYFUNCTION("""COMPUTED_VALUE"""),7000)</f>
        <v>7000</v>
      </c>
      <c r="C1008" s="2">
        <f ca="1">IFERROR(__xludf.DUMMYFUNCTION("""COMPUTED_VALUE"""),7075)</f>
        <v>7075</v>
      </c>
      <c r="D1008" s="2">
        <f ca="1">IFERROR(__xludf.DUMMYFUNCTION("""COMPUTED_VALUE"""),6875)</f>
        <v>6875</v>
      </c>
      <c r="E1008" s="2">
        <f ca="1">IFERROR(__xludf.DUMMYFUNCTION("""COMPUTED_VALUE"""),7075)</f>
        <v>7075</v>
      </c>
      <c r="F1008" s="2">
        <f ca="1">IFERROR(__xludf.DUMMYFUNCTION("""COMPUTED_VALUE"""),47488800)</f>
        <v>47488800</v>
      </c>
    </row>
    <row r="1009" spans="1:6">
      <c r="A1009" s="1">
        <f ca="1">IFERROR(__xludf.DUMMYFUNCTION("""COMPUTED_VALUE"""),43532.625)</f>
        <v>43532.625</v>
      </c>
      <c r="B1009" s="2">
        <f ca="1">IFERROR(__xludf.DUMMYFUNCTION("""COMPUTED_VALUE"""),7050)</f>
        <v>7050</v>
      </c>
      <c r="C1009" s="2">
        <f ca="1">IFERROR(__xludf.DUMMYFUNCTION("""COMPUTED_VALUE"""),7050)</f>
        <v>7050</v>
      </c>
      <c r="D1009" s="2">
        <f ca="1">IFERROR(__xludf.DUMMYFUNCTION("""COMPUTED_VALUE"""),6900)</f>
        <v>6900</v>
      </c>
      <c r="E1009" s="2">
        <f ca="1">IFERROR(__xludf.DUMMYFUNCTION("""COMPUTED_VALUE"""),6900)</f>
        <v>6900</v>
      </c>
      <c r="F1009" s="2">
        <f ca="1">IFERROR(__xludf.DUMMYFUNCTION("""COMPUTED_VALUE"""),35761700)</f>
        <v>35761700</v>
      </c>
    </row>
    <row r="1010" spans="1:6">
      <c r="A1010" s="1">
        <f ca="1">IFERROR(__xludf.DUMMYFUNCTION("""COMPUTED_VALUE"""),43535.625)</f>
        <v>43535.625</v>
      </c>
      <c r="B1010" s="2">
        <f ca="1">IFERROR(__xludf.DUMMYFUNCTION("""COMPUTED_VALUE"""),6950)</f>
        <v>6950</v>
      </c>
      <c r="C1010" s="2">
        <f ca="1">IFERROR(__xludf.DUMMYFUNCTION("""COMPUTED_VALUE"""),6950)</f>
        <v>6950</v>
      </c>
      <c r="D1010" s="2">
        <f ca="1">IFERROR(__xludf.DUMMYFUNCTION("""COMPUTED_VALUE"""),6800)</f>
        <v>6800</v>
      </c>
      <c r="E1010" s="2">
        <f ca="1">IFERROR(__xludf.DUMMYFUNCTION("""COMPUTED_VALUE"""),6800)</f>
        <v>6800</v>
      </c>
      <c r="F1010" s="2">
        <f ca="1">IFERROR(__xludf.DUMMYFUNCTION("""COMPUTED_VALUE"""),34769900)</f>
        <v>34769900</v>
      </c>
    </row>
    <row r="1011" spans="1:6">
      <c r="A1011" s="1">
        <f ca="1">IFERROR(__xludf.DUMMYFUNCTION("""COMPUTED_VALUE"""),43536.625)</f>
        <v>43536.625</v>
      </c>
      <c r="B1011" s="2">
        <f ca="1">IFERROR(__xludf.DUMMYFUNCTION("""COMPUTED_VALUE"""),6825)</f>
        <v>6825</v>
      </c>
      <c r="C1011" s="2">
        <f ca="1">IFERROR(__xludf.DUMMYFUNCTION("""COMPUTED_VALUE"""),6875)</f>
        <v>6875</v>
      </c>
      <c r="D1011" s="2">
        <f ca="1">IFERROR(__xludf.DUMMYFUNCTION("""COMPUTED_VALUE"""),6675)</f>
        <v>6675</v>
      </c>
      <c r="E1011" s="2">
        <f ca="1">IFERROR(__xludf.DUMMYFUNCTION("""COMPUTED_VALUE"""),6700)</f>
        <v>6700</v>
      </c>
      <c r="F1011" s="2">
        <f ca="1">IFERROR(__xludf.DUMMYFUNCTION("""COMPUTED_VALUE"""),41038800)</f>
        <v>41038800</v>
      </c>
    </row>
    <row r="1012" spans="1:6">
      <c r="A1012" s="1">
        <f ca="1">IFERROR(__xludf.DUMMYFUNCTION("""COMPUTED_VALUE"""),43537.625)</f>
        <v>43537.625</v>
      </c>
      <c r="B1012" s="2">
        <f ca="1">IFERROR(__xludf.DUMMYFUNCTION("""COMPUTED_VALUE"""),6800)</f>
        <v>6800</v>
      </c>
      <c r="C1012" s="2">
        <f ca="1">IFERROR(__xludf.DUMMYFUNCTION("""COMPUTED_VALUE"""),6800)</f>
        <v>6800</v>
      </c>
      <c r="D1012" s="2">
        <f ca="1">IFERROR(__xludf.DUMMYFUNCTION("""COMPUTED_VALUE"""),6650)</f>
        <v>6650</v>
      </c>
      <c r="E1012" s="2">
        <f ca="1">IFERROR(__xludf.DUMMYFUNCTION("""COMPUTED_VALUE"""),6725)</f>
        <v>6725</v>
      </c>
      <c r="F1012" s="2">
        <f ca="1">IFERROR(__xludf.DUMMYFUNCTION("""COMPUTED_VALUE"""),41050300)</f>
        <v>41050300</v>
      </c>
    </row>
    <row r="1013" spans="1:6">
      <c r="A1013" s="1">
        <f ca="1">IFERROR(__xludf.DUMMYFUNCTION("""COMPUTED_VALUE"""),43538.625)</f>
        <v>43538.625</v>
      </c>
      <c r="B1013" s="2">
        <f ca="1">IFERROR(__xludf.DUMMYFUNCTION("""COMPUTED_VALUE"""),6800)</f>
        <v>6800</v>
      </c>
      <c r="C1013" s="2">
        <f ca="1">IFERROR(__xludf.DUMMYFUNCTION("""COMPUTED_VALUE"""),6950)</f>
        <v>6950</v>
      </c>
      <c r="D1013" s="2">
        <f ca="1">IFERROR(__xludf.DUMMYFUNCTION("""COMPUTED_VALUE"""),6725)</f>
        <v>6725</v>
      </c>
      <c r="E1013" s="2">
        <f ca="1">IFERROR(__xludf.DUMMYFUNCTION("""COMPUTED_VALUE"""),6925)</f>
        <v>6925</v>
      </c>
      <c r="F1013" s="2">
        <f ca="1">IFERROR(__xludf.DUMMYFUNCTION("""COMPUTED_VALUE"""),29036700)</f>
        <v>29036700</v>
      </c>
    </row>
    <row r="1014" spans="1:6">
      <c r="A1014" s="1">
        <f ca="1">IFERROR(__xludf.DUMMYFUNCTION("""COMPUTED_VALUE"""),43539.625)</f>
        <v>43539.625</v>
      </c>
      <c r="B1014" s="2">
        <f ca="1">IFERROR(__xludf.DUMMYFUNCTION("""COMPUTED_VALUE"""),6925)</f>
        <v>6925</v>
      </c>
      <c r="C1014" s="2">
        <f ca="1">IFERROR(__xludf.DUMMYFUNCTION("""COMPUTED_VALUE"""),7150)</f>
        <v>7150</v>
      </c>
      <c r="D1014" s="2">
        <f ca="1">IFERROR(__xludf.DUMMYFUNCTION("""COMPUTED_VALUE"""),6925)</f>
        <v>6925</v>
      </c>
      <c r="E1014" s="2">
        <f ca="1">IFERROR(__xludf.DUMMYFUNCTION("""COMPUTED_VALUE"""),7100)</f>
        <v>7100</v>
      </c>
      <c r="F1014" s="2">
        <f ca="1">IFERROR(__xludf.DUMMYFUNCTION("""COMPUTED_VALUE"""),85029400)</f>
        <v>85029400</v>
      </c>
    </row>
    <row r="1015" spans="1:6">
      <c r="A1015" s="1">
        <f ca="1">IFERROR(__xludf.DUMMYFUNCTION("""COMPUTED_VALUE"""),43542.625)</f>
        <v>43542.625</v>
      </c>
      <c r="B1015" s="2">
        <f ca="1">IFERROR(__xludf.DUMMYFUNCTION("""COMPUTED_VALUE"""),7150)</f>
        <v>7150</v>
      </c>
      <c r="C1015" s="2">
        <f ca="1">IFERROR(__xludf.DUMMYFUNCTION("""COMPUTED_VALUE"""),7225)</f>
        <v>7225</v>
      </c>
      <c r="D1015" s="2">
        <f ca="1">IFERROR(__xludf.DUMMYFUNCTION("""COMPUTED_VALUE"""),7025)</f>
        <v>7025</v>
      </c>
      <c r="E1015" s="2">
        <f ca="1">IFERROR(__xludf.DUMMYFUNCTION("""COMPUTED_VALUE"""),7100)</f>
        <v>7100</v>
      </c>
      <c r="F1015" s="2">
        <f ca="1">IFERROR(__xludf.DUMMYFUNCTION("""COMPUTED_VALUE"""),46004700)</f>
        <v>46004700</v>
      </c>
    </row>
    <row r="1016" spans="1:6">
      <c r="A1016" s="1">
        <f ca="1">IFERROR(__xludf.DUMMYFUNCTION("""COMPUTED_VALUE"""),43543.625)</f>
        <v>43543.625</v>
      </c>
      <c r="B1016" s="2">
        <f ca="1">IFERROR(__xludf.DUMMYFUNCTION("""COMPUTED_VALUE"""),7175)</f>
        <v>7175</v>
      </c>
      <c r="C1016" s="2">
        <f ca="1">IFERROR(__xludf.DUMMYFUNCTION("""COMPUTED_VALUE"""),7400)</f>
        <v>7400</v>
      </c>
      <c r="D1016" s="2">
        <f ca="1">IFERROR(__xludf.DUMMYFUNCTION("""COMPUTED_VALUE"""),7150)</f>
        <v>7150</v>
      </c>
      <c r="E1016" s="2">
        <f ca="1">IFERROR(__xludf.DUMMYFUNCTION("""COMPUTED_VALUE"""),7400)</f>
        <v>7400</v>
      </c>
      <c r="F1016" s="2">
        <f ca="1">IFERROR(__xludf.DUMMYFUNCTION("""COMPUTED_VALUE"""),102712200)</f>
        <v>102712200</v>
      </c>
    </row>
    <row r="1017" spans="1:6">
      <c r="A1017" s="1">
        <f ca="1">IFERROR(__xludf.DUMMYFUNCTION("""COMPUTED_VALUE"""),43544.625)</f>
        <v>43544.625</v>
      </c>
      <c r="B1017" s="2">
        <f ca="1">IFERROR(__xludf.DUMMYFUNCTION("""COMPUTED_VALUE"""),7400)</f>
        <v>7400</v>
      </c>
      <c r="C1017" s="2">
        <f ca="1">IFERROR(__xludf.DUMMYFUNCTION("""COMPUTED_VALUE"""),7450)</f>
        <v>7450</v>
      </c>
      <c r="D1017" s="2">
        <f ca="1">IFERROR(__xludf.DUMMYFUNCTION("""COMPUTED_VALUE"""),7300)</f>
        <v>7300</v>
      </c>
      <c r="E1017" s="2">
        <f ca="1">IFERROR(__xludf.DUMMYFUNCTION("""COMPUTED_VALUE"""),7450)</f>
        <v>7450</v>
      </c>
      <c r="F1017" s="2">
        <f ca="1">IFERROR(__xludf.DUMMYFUNCTION("""COMPUTED_VALUE"""),38484300)</f>
        <v>38484300</v>
      </c>
    </row>
    <row r="1018" spans="1:6">
      <c r="A1018" s="1">
        <f ca="1">IFERROR(__xludf.DUMMYFUNCTION("""COMPUTED_VALUE"""),43545.625)</f>
        <v>43545.625</v>
      </c>
      <c r="B1018" s="2">
        <f ca="1">IFERROR(__xludf.DUMMYFUNCTION("""COMPUTED_VALUE"""),7500)</f>
        <v>7500</v>
      </c>
      <c r="C1018" s="2">
        <f ca="1">IFERROR(__xludf.DUMMYFUNCTION("""COMPUTED_VALUE"""),7525)</f>
        <v>7525</v>
      </c>
      <c r="D1018" s="2">
        <f ca="1">IFERROR(__xludf.DUMMYFUNCTION("""COMPUTED_VALUE"""),7450)</f>
        <v>7450</v>
      </c>
      <c r="E1018" s="2">
        <f ca="1">IFERROR(__xludf.DUMMYFUNCTION("""COMPUTED_VALUE"""),7500)</f>
        <v>7500</v>
      </c>
      <c r="F1018" s="2">
        <f ca="1">IFERROR(__xludf.DUMMYFUNCTION("""COMPUTED_VALUE"""),45051200)</f>
        <v>45051200</v>
      </c>
    </row>
    <row r="1019" spans="1:6">
      <c r="A1019" s="1">
        <f ca="1">IFERROR(__xludf.DUMMYFUNCTION("""COMPUTED_VALUE"""),43546.625)</f>
        <v>43546.625</v>
      </c>
      <c r="B1019" s="2">
        <f ca="1">IFERROR(__xludf.DUMMYFUNCTION("""COMPUTED_VALUE"""),7475)</f>
        <v>7475</v>
      </c>
      <c r="C1019" s="2">
        <f ca="1">IFERROR(__xludf.DUMMYFUNCTION("""COMPUTED_VALUE"""),7500)</f>
        <v>7500</v>
      </c>
      <c r="D1019" s="2">
        <f ca="1">IFERROR(__xludf.DUMMYFUNCTION("""COMPUTED_VALUE"""),7425)</f>
        <v>7425</v>
      </c>
      <c r="E1019" s="2">
        <f ca="1">IFERROR(__xludf.DUMMYFUNCTION("""COMPUTED_VALUE"""),7450)</f>
        <v>7450</v>
      </c>
      <c r="F1019" s="2">
        <f ca="1">IFERROR(__xludf.DUMMYFUNCTION("""COMPUTED_VALUE"""),41897100)</f>
        <v>41897100</v>
      </c>
    </row>
    <row r="1020" spans="1:6">
      <c r="A1020" s="1">
        <f ca="1">IFERROR(__xludf.DUMMYFUNCTION("""COMPUTED_VALUE"""),43549.625)</f>
        <v>43549.625</v>
      </c>
      <c r="B1020" s="2">
        <f ca="1">IFERROR(__xludf.DUMMYFUNCTION("""COMPUTED_VALUE"""),7250)</f>
        <v>7250</v>
      </c>
      <c r="C1020" s="2">
        <f ca="1">IFERROR(__xludf.DUMMYFUNCTION("""COMPUTED_VALUE"""),7325)</f>
        <v>7325</v>
      </c>
      <c r="D1020" s="2">
        <f ca="1">IFERROR(__xludf.DUMMYFUNCTION("""COMPUTED_VALUE"""),7175)</f>
        <v>7175</v>
      </c>
      <c r="E1020" s="2">
        <f ca="1">IFERROR(__xludf.DUMMYFUNCTION("""COMPUTED_VALUE"""),7225)</f>
        <v>7225</v>
      </c>
      <c r="F1020" s="2">
        <f ca="1">IFERROR(__xludf.DUMMYFUNCTION("""COMPUTED_VALUE"""),31449700)</f>
        <v>31449700</v>
      </c>
    </row>
    <row r="1021" spans="1:6">
      <c r="A1021" s="1">
        <f ca="1">IFERROR(__xludf.DUMMYFUNCTION("""COMPUTED_VALUE"""),43550.625)</f>
        <v>43550.625</v>
      </c>
      <c r="B1021" s="2">
        <f ca="1">IFERROR(__xludf.DUMMYFUNCTION("""COMPUTED_VALUE"""),7275)</f>
        <v>7275</v>
      </c>
      <c r="C1021" s="2">
        <f ca="1">IFERROR(__xludf.DUMMYFUNCTION("""COMPUTED_VALUE"""),7375)</f>
        <v>7375</v>
      </c>
      <c r="D1021" s="2">
        <f ca="1">IFERROR(__xludf.DUMMYFUNCTION("""COMPUTED_VALUE"""),7275)</f>
        <v>7275</v>
      </c>
      <c r="E1021" s="2">
        <f ca="1">IFERROR(__xludf.DUMMYFUNCTION("""COMPUTED_VALUE"""),7375)</f>
        <v>7375</v>
      </c>
      <c r="F1021" s="2">
        <f ca="1">IFERROR(__xludf.DUMMYFUNCTION("""COMPUTED_VALUE"""),21519700)</f>
        <v>21519700</v>
      </c>
    </row>
    <row r="1022" spans="1:6">
      <c r="A1022" s="1">
        <f ca="1">IFERROR(__xludf.DUMMYFUNCTION("""COMPUTED_VALUE"""),43551.625)</f>
        <v>43551.625</v>
      </c>
      <c r="B1022" s="2">
        <f ca="1">IFERROR(__xludf.DUMMYFUNCTION("""COMPUTED_VALUE"""),7425)</f>
        <v>7425</v>
      </c>
      <c r="C1022" s="2">
        <f ca="1">IFERROR(__xludf.DUMMYFUNCTION("""COMPUTED_VALUE"""),7425)</f>
        <v>7425</v>
      </c>
      <c r="D1022" s="2">
        <f ca="1">IFERROR(__xludf.DUMMYFUNCTION("""COMPUTED_VALUE"""),7150)</f>
        <v>7150</v>
      </c>
      <c r="E1022" s="2">
        <f ca="1">IFERROR(__xludf.DUMMYFUNCTION("""COMPUTED_VALUE"""),7175)</f>
        <v>7175</v>
      </c>
      <c r="F1022" s="2">
        <f ca="1">IFERROR(__xludf.DUMMYFUNCTION("""COMPUTED_VALUE"""),35238000)</f>
        <v>35238000</v>
      </c>
    </row>
    <row r="1023" spans="1:6">
      <c r="A1023" s="1">
        <f ca="1">IFERROR(__xludf.DUMMYFUNCTION("""COMPUTED_VALUE"""),43552.625)</f>
        <v>43552.625</v>
      </c>
      <c r="B1023" s="2">
        <f ca="1">IFERROR(__xludf.DUMMYFUNCTION("""COMPUTED_VALUE"""),7300)</f>
        <v>7300</v>
      </c>
      <c r="C1023" s="2">
        <f ca="1">IFERROR(__xludf.DUMMYFUNCTION("""COMPUTED_VALUE"""),7400)</f>
        <v>7400</v>
      </c>
      <c r="D1023" s="2">
        <f ca="1">IFERROR(__xludf.DUMMYFUNCTION("""COMPUTED_VALUE"""),7250)</f>
        <v>7250</v>
      </c>
      <c r="E1023" s="2">
        <f ca="1">IFERROR(__xludf.DUMMYFUNCTION("""COMPUTED_VALUE"""),7400)</f>
        <v>7400</v>
      </c>
      <c r="F1023" s="2">
        <f ca="1">IFERROR(__xludf.DUMMYFUNCTION("""COMPUTED_VALUE"""),33523500)</f>
        <v>33523500</v>
      </c>
    </row>
    <row r="1024" spans="1:6">
      <c r="A1024" s="1">
        <f ca="1">IFERROR(__xludf.DUMMYFUNCTION("""COMPUTED_VALUE"""),43553.625)</f>
        <v>43553.625</v>
      </c>
      <c r="B1024" s="2">
        <f ca="1">IFERROR(__xludf.DUMMYFUNCTION("""COMPUTED_VALUE"""),7400)</f>
        <v>7400</v>
      </c>
      <c r="C1024" s="2">
        <f ca="1">IFERROR(__xludf.DUMMYFUNCTION("""COMPUTED_VALUE"""),7500)</f>
        <v>7500</v>
      </c>
      <c r="D1024" s="2">
        <f ca="1">IFERROR(__xludf.DUMMYFUNCTION("""COMPUTED_VALUE"""),7325)</f>
        <v>7325</v>
      </c>
      <c r="E1024" s="2">
        <f ca="1">IFERROR(__xludf.DUMMYFUNCTION("""COMPUTED_VALUE"""),7450)</f>
        <v>7450</v>
      </c>
      <c r="F1024" s="2">
        <f ca="1">IFERROR(__xludf.DUMMYFUNCTION("""COMPUTED_VALUE"""),50212800)</f>
        <v>50212800</v>
      </c>
    </row>
    <row r="1025" spans="1:6">
      <c r="A1025" s="1">
        <f ca="1">IFERROR(__xludf.DUMMYFUNCTION("""COMPUTED_VALUE"""),43556.625)</f>
        <v>43556.625</v>
      </c>
      <c r="B1025" s="2">
        <f ca="1">IFERROR(__xludf.DUMMYFUNCTION("""COMPUTED_VALUE"""),7500)</f>
        <v>7500</v>
      </c>
      <c r="C1025" s="2">
        <f ca="1">IFERROR(__xludf.DUMMYFUNCTION("""COMPUTED_VALUE"""),7525)</f>
        <v>7525</v>
      </c>
      <c r="D1025" s="2">
        <f ca="1">IFERROR(__xludf.DUMMYFUNCTION("""COMPUTED_VALUE"""),7425)</f>
        <v>7425</v>
      </c>
      <c r="E1025" s="2">
        <f ca="1">IFERROR(__xludf.DUMMYFUNCTION("""COMPUTED_VALUE"""),7425)</f>
        <v>7425</v>
      </c>
      <c r="F1025" s="2">
        <f ca="1">IFERROR(__xludf.DUMMYFUNCTION("""COMPUTED_VALUE"""),35772000)</f>
        <v>35772000</v>
      </c>
    </row>
    <row r="1026" spans="1:6">
      <c r="A1026" s="1">
        <f ca="1">IFERROR(__xludf.DUMMYFUNCTION("""COMPUTED_VALUE"""),43557.625)</f>
        <v>43557.625</v>
      </c>
      <c r="B1026" s="2">
        <f ca="1">IFERROR(__xludf.DUMMYFUNCTION("""COMPUTED_VALUE"""),7525)</f>
        <v>7525</v>
      </c>
      <c r="C1026" s="2">
        <f ca="1">IFERROR(__xludf.DUMMYFUNCTION("""COMPUTED_VALUE"""),7525)</f>
        <v>7525</v>
      </c>
      <c r="D1026" s="2">
        <f ca="1">IFERROR(__xludf.DUMMYFUNCTION("""COMPUTED_VALUE"""),7325)</f>
        <v>7325</v>
      </c>
      <c r="E1026" s="2">
        <f ca="1">IFERROR(__xludf.DUMMYFUNCTION("""COMPUTED_VALUE"""),7450)</f>
        <v>7450</v>
      </c>
      <c r="F1026" s="2">
        <f ca="1">IFERROR(__xludf.DUMMYFUNCTION("""COMPUTED_VALUE"""),25833000)</f>
        <v>25833000</v>
      </c>
    </row>
    <row r="1027" spans="1:6">
      <c r="A1027" s="1">
        <f ca="1">IFERROR(__xludf.DUMMYFUNCTION("""COMPUTED_VALUE"""),43559.625)</f>
        <v>43559.625</v>
      </c>
      <c r="B1027" s="2">
        <f ca="1">IFERROR(__xludf.DUMMYFUNCTION("""COMPUTED_VALUE"""),7500)</f>
        <v>7500</v>
      </c>
      <c r="C1027" s="2">
        <f ca="1">IFERROR(__xludf.DUMMYFUNCTION("""COMPUTED_VALUE"""),7700)</f>
        <v>7700</v>
      </c>
      <c r="D1027" s="2">
        <f ca="1">IFERROR(__xludf.DUMMYFUNCTION("""COMPUTED_VALUE"""),7500)</f>
        <v>7500</v>
      </c>
      <c r="E1027" s="2">
        <f ca="1">IFERROR(__xludf.DUMMYFUNCTION("""COMPUTED_VALUE"""),7675)</f>
        <v>7675</v>
      </c>
      <c r="F1027" s="2">
        <f ca="1">IFERROR(__xludf.DUMMYFUNCTION("""COMPUTED_VALUE"""),72899700)</f>
        <v>72899700</v>
      </c>
    </row>
    <row r="1028" spans="1:6">
      <c r="A1028" s="1">
        <f ca="1">IFERROR(__xludf.DUMMYFUNCTION("""COMPUTED_VALUE"""),43560.625)</f>
        <v>43560.625</v>
      </c>
      <c r="B1028" s="2">
        <f ca="1">IFERROR(__xludf.DUMMYFUNCTION("""COMPUTED_VALUE"""),7675)</f>
        <v>7675</v>
      </c>
      <c r="C1028" s="2">
        <f ca="1">IFERROR(__xludf.DUMMYFUNCTION("""COMPUTED_VALUE"""),7675)</f>
        <v>7675</v>
      </c>
      <c r="D1028" s="2">
        <f ca="1">IFERROR(__xludf.DUMMYFUNCTION("""COMPUTED_VALUE"""),7525)</f>
        <v>7525</v>
      </c>
      <c r="E1028" s="2">
        <f ca="1">IFERROR(__xludf.DUMMYFUNCTION("""COMPUTED_VALUE"""),7550)</f>
        <v>7550</v>
      </c>
      <c r="F1028" s="2">
        <f ca="1">IFERROR(__xludf.DUMMYFUNCTION("""COMPUTED_VALUE"""),27343800)</f>
        <v>27343800</v>
      </c>
    </row>
    <row r="1029" spans="1:6">
      <c r="A1029" s="1">
        <f ca="1">IFERROR(__xludf.DUMMYFUNCTION("""COMPUTED_VALUE"""),43563.625)</f>
        <v>43563.625</v>
      </c>
      <c r="B1029" s="2">
        <f ca="1">IFERROR(__xludf.DUMMYFUNCTION("""COMPUTED_VALUE"""),7600)</f>
        <v>7600</v>
      </c>
      <c r="C1029" s="2">
        <f ca="1">IFERROR(__xludf.DUMMYFUNCTION("""COMPUTED_VALUE"""),7600)</f>
        <v>7600</v>
      </c>
      <c r="D1029" s="2">
        <f ca="1">IFERROR(__xludf.DUMMYFUNCTION("""COMPUTED_VALUE"""),7375)</f>
        <v>7375</v>
      </c>
      <c r="E1029" s="2">
        <f ca="1">IFERROR(__xludf.DUMMYFUNCTION("""COMPUTED_VALUE"""),7575)</f>
        <v>7575</v>
      </c>
      <c r="F1029" s="2">
        <f ca="1">IFERROR(__xludf.DUMMYFUNCTION("""COMPUTED_VALUE"""),37579100)</f>
        <v>37579100</v>
      </c>
    </row>
    <row r="1030" spans="1:6">
      <c r="A1030" s="1">
        <f ca="1">IFERROR(__xludf.DUMMYFUNCTION("""COMPUTED_VALUE"""),43564.625)</f>
        <v>43564.625</v>
      </c>
      <c r="B1030" s="2">
        <f ca="1">IFERROR(__xludf.DUMMYFUNCTION("""COMPUTED_VALUE"""),7575)</f>
        <v>7575</v>
      </c>
      <c r="C1030" s="2">
        <f ca="1">IFERROR(__xludf.DUMMYFUNCTION("""COMPUTED_VALUE"""),7725)</f>
        <v>7725</v>
      </c>
      <c r="D1030" s="2">
        <f ca="1">IFERROR(__xludf.DUMMYFUNCTION("""COMPUTED_VALUE"""),7550)</f>
        <v>7550</v>
      </c>
      <c r="E1030" s="2">
        <f ca="1">IFERROR(__xludf.DUMMYFUNCTION("""COMPUTED_VALUE"""),7650)</f>
        <v>7650</v>
      </c>
      <c r="F1030" s="2">
        <f ca="1">IFERROR(__xludf.DUMMYFUNCTION("""COMPUTED_VALUE"""),41984800)</f>
        <v>41984800</v>
      </c>
    </row>
    <row r="1031" spans="1:6">
      <c r="A1031" s="1">
        <f ca="1">IFERROR(__xludf.DUMMYFUNCTION("""COMPUTED_VALUE"""),43565.625)</f>
        <v>43565.625</v>
      </c>
      <c r="B1031" s="2">
        <f ca="1">IFERROR(__xludf.DUMMYFUNCTION("""COMPUTED_VALUE"""),7650)</f>
        <v>7650</v>
      </c>
      <c r="C1031" s="2">
        <f ca="1">IFERROR(__xludf.DUMMYFUNCTION("""COMPUTED_VALUE"""),7675)</f>
        <v>7675</v>
      </c>
      <c r="D1031" s="2">
        <f ca="1">IFERROR(__xludf.DUMMYFUNCTION("""COMPUTED_VALUE"""),7525)</f>
        <v>7525</v>
      </c>
      <c r="E1031" s="2">
        <f ca="1">IFERROR(__xludf.DUMMYFUNCTION("""COMPUTED_VALUE"""),7600)</f>
        <v>7600</v>
      </c>
      <c r="F1031" s="2">
        <f ca="1">IFERROR(__xludf.DUMMYFUNCTION("""COMPUTED_VALUE"""),21161000)</f>
        <v>21161000</v>
      </c>
    </row>
    <row r="1032" spans="1:6">
      <c r="A1032" s="1">
        <f ca="1">IFERROR(__xludf.DUMMYFUNCTION("""COMPUTED_VALUE"""),43566.625)</f>
        <v>43566.625</v>
      </c>
      <c r="B1032" s="2">
        <f ca="1">IFERROR(__xludf.DUMMYFUNCTION("""COMPUTED_VALUE"""),7575)</f>
        <v>7575</v>
      </c>
      <c r="C1032" s="2">
        <f ca="1">IFERROR(__xludf.DUMMYFUNCTION("""COMPUTED_VALUE"""),7600)</f>
        <v>7600</v>
      </c>
      <c r="D1032" s="2">
        <f ca="1">IFERROR(__xludf.DUMMYFUNCTION("""COMPUTED_VALUE"""),7400)</f>
        <v>7400</v>
      </c>
      <c r="E1032" s="2">
        <f ca="1">IFERROR(__xludf.DUMMYFUNCTION("""COMPUTED_VALUE"""),7400)</f>
        <v>7400</v>
      </c>
      <c r="F1032" s="2">
        <f ca="1">IFERROR(__xludf.DUMMYFUNCTION("""COMPUTED_VALUE"""),46182300)</f>
        <v>46182300</v>
      </c>
    </row>
    <row r="1033" spans="1:6">
      <c r="A1033" s="1">
        <f ca="1">IFERROR(__xludf.DUMMYFUNCTION("""COMPUTED_VALUE"""),43567.625)</f>
        <v>43567.625</v>
      </c>
      <c r="B1033" s="2">
        <f ca="1">IFERROR(__xludf.DUMMYFUNCTION("""COMPUTED_VALUE"""),7350)</f>
        <v>7350</v>
      </c>
      <c r="C1033" s="2">
        <f ca="1">IFERROR(__xludf.DUMMYFUNCTION("""COMPUTED_VALUE"""),7400)</f>
        <v>7400</v>
      </c>
      <c r="D1033" s="2">
        <f ca="1">IFERROR(__xludf.DUMMYFUNCTION("""COMPUTED_VALUE"""),7300)</f>
        <v>7300</v>
      </c>
      <c r="E1033" s="2">
        <f ca="1">IFERROR(__xludf.DUMMYFUNCTION("""COMPUTED_VALUE"""),7325)</f>
        <v>7325</v>
      </c>
      <c r="F1033" s="2">
        <f ca="1">IFERROR(__xludf.DUMMYFUNCTION("""COMPUTED_VALUE"""),42439300)</f>
        <v>42439300</v>
      </c>
    </row>
    <row r="1034" spans="1:6">
      <c r="A1034" s="1">
        <f ca="1">IFERROR(__xludf.DUMMYFUNCTION("""COMPUTED_VALUE"""),43570.625)</f>
        <v>43570.625</v>
      </c>
      <c r="B1034" s="2">
        <f ca="1">IFERROR(__xludf.DUMMYFUNCTION("""COMPUTED_VALUE"""),7400)</f>
        <v>7400</v>
      </c>
      <c r="C1034" s="2">
        <f ca="1">IFERROR(__xludf.DUMMYFUNCTION("""COMPUTED_VALUE"""),7450)</f>
        <v>7450</v>
      </c>
      <c r="D1034" s="2">
        <f ca="1">IFERROR(__xludf.DUMMYFUNCTION("""COMPUTED_VALUE"""),7325)</f>
        <v>7325</v>
      </c>
      <c r="E1034" s="2">
        <f ca="1">IFERROR(__xludf.DUMMYFUNCTION("""COMPUTED_VALUE"""),7350)</f>
        <v>7350</v>
      </c>
      <c r="F1034" s="2">
        <f ca="1">IFERROR(__xludf.DUMMYFUNCTION("""COMPUTED_VALUE"""),24125500)</f>
        <v>24125500</v>
      </c>
    </row>
    <row r="1035" spans="1:6">
      <c r="A1035" s="1">
        <f ca="1">IFERROR(__xludf.DUMMYFUNCTION("""COMPUTED_VALUE"""),43571.625)</f>
        <v>43571.625</v>
      </c>
      <c r="B1035" s="2">
        <f ca="1">IFERROR(__xludf.DUMMYFUNCTION("""COMPUTED_VALUE"""),7375)</f>
        <v>7375</v>
      </c>
      <c r="C1035" s="2">
        <f ca="1">IFERROR(__xludf.DUMMYFUNCTION("""COMPUTED_VALUE"""),7625)</f>
        <v>7625</v>
      </c>
      <c r="D1035" s="2">
        <f ca="1">IFERROR(__xludf.DUMMYFUNCTION("""COMPUTED_VALUE"""),7350)</f>
        <v>7350</v>
      </c>
      <c r="E1035" s="2">
        <f ca="1">IFERROR(__xludf.DUMMYFUNCTION("""COMPUTED_VALUE"""),7625)</f>
        <v>7625</v>
      </c>
      <c r="F1035" s="2">
        <f ca="1">IFERROR(__xludf.DUMMYFUNCTION("""COMPUTED_VALUE"""),71533400)</f>
        <v>71533400</v>
      </c>
    </row>
    <row r="1036" spans="1:6">
      <c r="A1036" s="1">
        <f ca="1">IFERROR(__xludf.DUMMYFUNCTION("""COMPUTED_VALUE"""),43573.625)</f>
        <v>43573.625</v>
      </c>
      <c r="B1036" s="2">
        <f ca="1">IFERROR(__xludf.DUMMYFUNCTION("""COMPUTED_VALUE"""),7800)</f>
        <v>7800</v>
      </c>
      <c r="C1036" s="2">
        <f ca="1">IFERROR(__xludf.DUMMYFUNCTION("""COMPUTED_VALUE"""),8125)</f>
        <v>8125</v>
      </c>
      <c r="D1036" s="2">
        <f ca="1">IFERROR(__xludf.DUMMYFUNCTION("""COMPUTED_VALUE"""),7775)</f>
        <v>7775</v>
      </c>
      <c r="E1036" s="2">
        <f ca="1">IFERROR(__xludf.DUMMYFUNCTION("""COMPUTED_VALUE"""),7800)</f>
        <v>7800</v>
      </c>
      <c r="F1036" s="2">
        <f ca="1">IFERROR(__xludf.DUMMYFUNCTION("""COMPUTED_VALUE"""),121671700)</f>
        <v>121671700</v>
      </c>
    </row>
    <row r="1037" spans="1:6">
      <c r="A1037" s="1">
        <f ca="1">IFERROR(__xludf.DUMMYFUNCTION("""COMPUTED_VALUE"""),43577.625)</f>
        <v>43577.625</v>
      </c>
      <c r="B1037" s="2">
        <f ca="1">IFERROR(__xludf.DUMMYFUNCTION("""COMPUTED_VALUE"""),7800)</f>
        <v>7800</v>
      </c>
      <c r="C1037" s="2">
        <f ca="1">IFERROR(__xludf.DUMMYFUNCTION("""COMPUTED_VALUE"""),7875)</f>
        <v>7875</v>
      </c>
      <c r="D1037" s="2">
        <f ca="1">IFERROR(__xludf.DUMMYFUNCTION("""COMPUTED_VALUE"""),7650)</f>
        <v>7650</v>
      </c>
      <c r="E1037" s="2">
        <f ca="1">IFERROR(__xludf.DUMMYFUNCTION("""COMPUTED_VALUE"""),7750)</f>
        <v>7750</v>
      </c>
      <c r="F1037" s="2">
        <f ca="1">IFERROR(__xludf.DUMMYFUNCTION("""COMPUTED_VALUE"""),34990900)</f>
        <v>34990900</v>
      </c>
    </row>
    <row r="1038" spans="1:6">
      <c r="A1038" s="1">
        <f ca="1">IFERROR(__xludf.DUMMYFUNCTION("""COMPUTED_VALUE"""),43578.625)</f>
        <v>43578.625</v>
      </c>
      <c r="B1038" s="2">
        <f ca="1">IFERROR(__xludf.DUMMYFUNCTION("""COMPUTED_VALUE"""),7700)</f>
        <v>7700</v>
      </c>
      <c r="C1038" s="2">
        <f ca="1">IFERROR(__xludf.DUMMYFUNCTION("""COMPUTED_VALUE"""),7775)</f>
        <v>7775</v>
      </c>
      <c r="D1038" s="2">
        <f ca="1">IFERROR(__xludf.DUMMYFUNCTION("""COMPUTED_VALUE"""),7675)</f>
        <v>7675</v>
      </c>
      <c r="E1038" s="2">
        <f ca="1">IFERROR(__xludf.DUMMYFUNCTION("""COMPUTED_VALUE"""),7675)</f>
        <v>7675</v>
      </c>
      <c r="F1038" s="2">
        <f ca="1">IFERROR(__xludf.DUMMYFUNCTION("""COMPUTED_VALUE"""),32692300)</f>
        <v>32692300</v>
      </c>
    </row>
    <row r="1039" spans="1:6">
      <c r="A1039" s="1">
        <f ca="1">IFERROR(__xludf.DUMMYFUNCTION("""COMPUTED_VALUE"""),43579.625)</f>
        <v>43579.625</v>
      </c>
      <c r="B1039" s="2">
        <f ca="1">IFERROR(__xludf.DUMMYFUNCTION("""COMPUTED_VALUE"""),7700)</f>
        <v>7700</v>
      </c>
      <c r="C1039" s="2">
        <f ca="1">IFERROR(__xludf.DUMMYFUNCTION("""COMPUTED_VALUE"""),7725)</f>
        <v>7725</v>
      </c>
      <c r="D1039" s="2">
        <f ca="1">IFERROR(__xludf.DUMMYFUNCTION("""COMPUTED_VALUE"""),7625)</f>
        <v>7625</v>
      </c>
      <c r="E1039" s="2">
        <f ca="1">IFERROR(__xludf.DUMMYFUNCTION("""COMPUTED_VALUE"""),7675)</f>
        <v>7675</v>
      </c>
      <c r="F1039" s="2">
        <f ca="1">IFERROR(__xludf.DUMMYFUNCTION("""COMPUTED_VALUE"""),27704200)</f>
        <v>27704200</v>
      </c>
    </row>
    <row r="1040" spans="1:6">
      <c r="A1040" s="1">
        <f ca="1">IFERROR(__xludf.DUMMYFUNCTION("""COMPUTED_VALUE"""),43580.625)</f>
        <v>43580.625</v>
      </c>
      <c r="B1040" s="2">
        <f ca="1">IFERROR(__xludf.DUMMYFUNCTION("""COMPUTED_VALUE"""),7650)</f>
        <v>7650</v>
      </c>
      <c r="C1040" s="2">
        <f ca="1">IFERROR(__xludf.DUMMYFUNCTION("""COMPUTED_VALUE"""),7675)</f>
        <v>7675</v>
      </c>
      <c r="D1040" s="2">
        <f ca="1">IFERROR(__xludf.DUMMYFUNCTION("""COMPUTED_VALUE"""),7550)</f>
        <v>7550</v>
      </c>
      <c r="E1040" s="2">
        <f ca="1">IFERROR(__xludf.DUMMYFUNCTION("""COMPUTED_VALUE"""),7650)</f>
        <v>7650</v>
      </c>
      <c r="F1040" s="2">
        <f ca="1">IFERROR(__xludf.DUMMYFUNCTION("""COMPUTED_VALUE"""),55592600)</f>
        <v>55592600</v>
      </c>
    </row>
    <row r="1041" spans="1:6">
      <c r="A1041" s="1">
        <f ca="1">IFERROR(__xludf.DUMMYFUNCTION("""COMPUTED_VALUE"""),43581.625)</f>
        <v>43581.625</v>
      </c>
      <c r="B1041" s="2">
        <f ca="1">IFERROR(__xludf.DUMMYFUNCTION("""COMPUTED_VALUE"""),7550)</f>
        <v>7550</v>
      </c>
      <c r="C1041" s="2">
        <f ca="1">IFERROR(__xludf.DUMMYFUNCTION("""COMPUTED_VALUE"""),7800)</f>
        <v>7800</v>
      </c>
      <c r="D1041" s="2">
        <f ca="1">IFERROR(__xludf.DUMMYFUNCTION("""COMPUTED_VALUE"""),7475)</f>
        <v>7475</v>
      </c>
      <c r="E1041" s="2">
        <f ca="1">IFERROR(__xludf.DUMMYFUNCTION("""COMPUTED_VALUE"""),7725)</f>
        <v>7725</v>
      </c>
      <c r="F1041" s="2">
        <f ca="1">IFERROR(__xludf.DUMMYFUNCTION("""COMPUTED_VALUE"""),75348700)</f>
        <v>75348700</v>
      </c>
    </row>
    <row r="1042" spans="1:6">
      <c r="A1042" s="1">
        <f ca="1">IFERROR(__xludf.DUMMYFUNCTION("""COMPUTED_VALUE"""),43584.625)</f>
        <v>43584.625</v>
      </c>
      <c r="B1042" s="2">
        <f ca="1">IFERROR(__xludf.DUMMYFUNCTION("""COMPUTED_VALUE"""),7700)</f>
        <v>7700</v>
      </c>
      <c r="C1042" s="2">
        <f ca="1">IFERROR(__xludf.DUMMYFUNCTION("""COMPUTED_VALUE"""),7800)</f>
        <v>7800</v>
      </c>
      <c r="D1042" s="2">
        <f ca="1">IFERROR(__xludf.DUMMYFUNCTION("""COMPUTED_VALUE"""),7675)</f>
        <v>7675</v>
      </c>
      <c r="E1042" s="2">
        <f ca="1">IFERROR(__xludf.DUMMYFUNCTION("""COMPUTED_VALUE"""),7775)</f>
        <v>7775</v>
      </c>
      <c r="F1042" s="2">
        <f ca="1">IFERROR(__xludf.DUMMYFUNCTION("""COMPUTED_VALUE"""),56386500)</f>
        <v>56386500</v>
      </c>
    </row>
    <row r="1043" spans="1:6">
      <c r="A1043" s="1">
        <f ca="1">IFERROR(__xludf.DUMMYFUNCTION("""COMPUTED_VALUE"""),43585.625)</f>
        <v>43585.625</v>
      </c>
      <c r="B1043" s="2">
        <f ca="1">IFERROR(__xludf.DUMMYFUNCTION("""COMPUTED_VALUE"""),7825)</f>
        <v>7825</v>
      </c>
      <c r="C1043" s="2">
        <f ca="1">IFERROR(__xludf.DUMMYFUNCTION("""COMPUTED_VALUE"""),7875)</f>
        <v>7875</v>
      </c>
      <c r="D1043" s="2">
        <f ca="1">IFERROR(__xludf.DUMMYFUNCTION("""COMPUTED_VALUE"""),7725)</f>
        <v>7725</v>
      </c>
      <c r="E1043" s="2">
        <f ca="1">IFERROR(__xludf.DUMMYFUNCTION("""COMPUTED_VALUE"""),7725)</f>
        <v>7725</v>
      </c>
      <c r="F1043" s="2">
        <f ca="1">IFERROR(__xludf.DUMMYFUNCTION("""COMPUTED_VALUE"""),51621500)</f>
        <v>51621500</v>
      </c>
    </row>
    <row r="1044" spans="1:6">
      <c r="A1044" s="1">
        <f ca="1">IFERROR(__xludf.DUMMYFUNCTION("""COMPUTED_VALUE"""),43587.625)</f>
        <v>43587.625</v>
      </c>
      <c r="B1044" s="2">
        <f ca="1">IFERROR(__xludf.DUMMYFUNCTION("""COMPUTED_VALUE"""),7700)</f>
        <v>7700</v>
      </c>
      <c r="C1044" s="2">
        <f ca="1">IFERROR(__xludf.DUMMYFUNCTION("""COMPUTED_VALUE"""),7725)</f>
        <v>7725</v>
      </c>
      <c r="D1044" s="2">
        <f ca="1">IFERROR(__xludf.DUMMYFUNCTION("""COMPUTED_VALUE"""),7625)</f>
        <v>7625</v>
      </c>
      <c r="E1044" s="2">
        <f ca="1">IFERROR(__xludf.DUMMYFUNCTION("""COMPUTED_VALUE"""),7700)</f>
        <v>7700</v>
      </c>
      <c r="F1044" s="2">
        <f ca="1">IFERROR(__xludf.DUMMYFUNCTION("""COMPUTED_VALUE"""),34471900)</f>
        <v>34471900</v>
      </c>
    </row>
    <row r="1045" spans="1:6">
      <c r="A1045" s="1">
        <f ca="1">IFERROR(__xludf.DUMMYFUNCTION("""COMPUTED_VALUE"""),43588.625)</f>
        <v>43588.625</v>
      </c>
      <c r="B1045" s="2">
        <f ca="1">IFERROR(__xludf.DUMMYFUNCTION("""COMPUTED_VALUE"""),7700)</f>
        <v>7700</v>
      </c>
      <c r="C1045" s="2">
        <f ca="1">IFERROR(__xludf.DUMMYFUNCTION("""COMPUTED_VALUE"""),7700)</f>
        <v>7700</v>
      </c>
      <c r="D1045" s="2">
        <f ca="1">IFERROR(__xludf.DUMMYFUNCTION("""COMPUTED_VALUE"""),7575)</f>
        <v>7575</v>
      </c>
      <c r="E1045" s="2">
        <f ca="1">IFERROR(__xludf.DUMMYFUNCTION("""COMPUTED_VALUE"""),7650)</f>
        <v>7650</v>
      </c>
      <c r="F1045" s="2">
        <f ca="1">IFERROR(__xludf.DUMMYFUNCTION("""COMPUTED_VALUE"""),30070800)</f>
        <v>30070800</v>
      </c>
    </row>
    <row r="1046" spans="1:6">
      <c r="A1046" s="1">
        <f ca="1">IFERROR(__xludf.DUMMYFUNCTION("""COMPUTED_VALUE"""),43591.625)</f>
        <v>43591.625</v>
      </c>
      <c r="B1046" s="2">
        <f ca="1">IFERROR(__xludf.DUMMYFUNCTION("""COMPUTED_VALUE"""),7500)</f>
        <v>7500</v>
      </c>
      <c r="C1046" s="2">
        <f ca="1">IFERROR(__xludf.DUMMYFUNCTION("""COMPUTED_VALUE"""),7575)</f>
        <v>7575</v>
      </c>
      <c r="D1046" s="2">
        <f ca="1">IFERROR(__xludf.DUMMYFUNCTION("""COMPUTED_VALUE"""),7325)</f>
        <v>7325</v>
      </c>
      <c r="E1046" s="2">
        <f ca="1">IFERROR(__xludf.DUMMYFUNCTION("""COMPUTED_VALUE"""),7525)</f>
        <v>7525</v>
      </c>
      <c r="F1046" s="2">
        <f ca="1">IFERROR(__xludf.DUMMYFUNCTION("""COMPUTED_VALUE"""),50478300)</f>
        <v>50478300</v>
      </c>
    </row>
    <row r="1047" spans="1:6">
      <c r="A1047" s="1">
        <f ca="1">IFERROR(__xludf.DUMMYFUNCTION("""COMPUTED_VALUE"""),43592.625)</f>
        <v>43592.625</v>
      </c>
      <c r="B1047" s="2">
        <f ca="1">IFERROR(__xludf.DUMMYFUNCTION("""COMPUTED_VALUE"""),7675)</f>
        <v>7675</v>
      </c>
      <c r="C1047" s="2">
        <f ca="1">IFERROR(__xludf.DUMMYFUNCTION("""COMPUTED_VALUE"""),7675)</f>
        <v>7675</v>
      </c>
      <c r="D1047" s="2">
        <f ca="1">IFERROR(__xludf.DUMMYFUNCTION("""COMPUTED_VALUE"""),7550)</f>
        <v>7550</v>
      </c>
      <c r="E1047" s="2">
        <f ca="1">IFERROR(__xludf.DUMMYFUNCTION("""COMPUTED_VALUE"""),7650)</f>
        <v>7650</v>
      </c>
      <c r="F1047" s="2">
        <f ca="1">IFERROR(__xludf.DUMMYFUNCTION("""COMPUTED_VALUE"""),34430900)</f>
        <v>34430900</v>
      </c>
    </row>
    <row r="1048" spans="1:6">
      <c r="A1048" s="1">
        <f ca="1">IFERROR(__xludf.DUMMYFUNCTION("""COMPUTED_VALUE"""),43593.625)</f>
        <v>43593.625</v>
      </c>
      <c r="B1048" s="2">
        <f ca="1">IFERROR(__xludf.DUMMYFUNCTION("""COMPUTED_VALUE"""),7500)</f>
        <v>7500</v>
      </c>
      <c r="C1048" s="2">
        <f ca="1">IFERROR(__xludf.DUMMYFUNCTION("""COMPUTED_VALUE"""),7575)</f>
        <v>7575</v>
      </c>
      <c r="D1048" s="2">
        <f ca="1">IFERROR(__xludf.DUMMYFUNCTION("""COMPUTED_VALUE"""),7450)</f>
        <v>7450</v>
      </c>
      <c r="E1048" s="2">
        <f ca="1">IFERROR(__xludf.DUMMYFUNCTION("""COMPUTED_VALUE"""),7525)</f>
        <v>7525</v>
      </c>
      <c r="F1048" s="2">
        <f ca="1">IFERROR(__xludf.DUMMYFUNCTION("""COMPUTED_VALUE"""),39958400)</f>
        <v>39958400</v>
      </c>
    </row>
    <row r="1049" spans="1:6">
      <c r="A1049" s="1">
        <f ca="1">IFERROR(__xludf.DUMMYFUNCTION("""COMPUTED_VALUE"""),43594.625)</f>
        <v>43594.625</v>
      </c>
      <c r="B1049" s="2">
        <f ca="1">IFERROR(__xludf.DUMMYFUNCTION("""COMPUTED_VALUE"""),7450)</f>
        <v>7450</v>
      </c>
      <c r="C1049" s="2">
        <f ca="1">IFERROR(__xludf.DUMMYFUNCTION("""COMPUTED_VALUE"""),7575)</f>
        <v>7575</v>
      </c>
      <c r="D1049" s="2">
        <f ca="1">IFERROR(__xludf.DUMMYFUNCTION("""COMPUTED_VALUE"""),7450)</f>
        <v>7450</v>
      </c>
      <c r="E1049" s="2">
        <f ca="1">IFERROR(__xludf.DUMMYFUNCTION("""COMPUTED_VALUE"""),7500)</f>
        <v>7500</v>
      </c>
      <c r="F1049" s="2">
        <f ca="1">IFERROR(__xludf.DUMMYFUNCTION("""COMPUTED_VALUE"""),45473500)</f>
        <v>45473500</v>
      </c>
    </row>
    <row r="1050" spans="1:6">
      <c r="A1050" s="1">
        <f ca="1">IFERROR(__xludf.DUMMYFUNCTION("""COMPUTED_VALUE"""),43595.625)</f>
        <v>43595.625</v>
      </c>
      <c r="B1050" s="2">
        <f ca="1">IFERROR(__xludf.DUMMYFUNCTION("""COMPUTED_VALUE"""),7550)</f>
        <v>7550</v>
      </c>
      <c r="C1050" s="2">
        <f ca="1">IFERROR(__xludf.DUMMYFUNCTION("""COMPUTED_VALUE"""),7575)</f>
        <v>7575</v>
      </c>
      <c r="D1050" s="2">
        <f ca="1">IFERROR(__xludf.DUMMYFUNCTION("""COMPUTED_VALUE"""),7375)</f>
        <v>7375</v>
      </c>
      <c r="E1050" s="2">
        <f ca="1">IFERROR(__xludf.DUMMYFUNCTION("""COMPUTED_VALUE"""),7475)</f>
        <v>7475</v>
      </c>
      <c r="F1050" s="2">
        <f ca="1">IFERROR(__xludf.DUMMYFUNCTION("""COMPUTED_VALUE"""),32504700)</f>
        <v>32504700</v>
      </c>
    </row>
    <row r="1051" spans="1:6">
      <c r="A1051" s="1">
        <f ca="1">IFERROR(__xludf.DUMMYFUNCTION("""COMPUTED_VALUE"""),43598.625)</f>
        <v>43598.625</v>
      </c>
      <c r="B1051" s="2">
        <f ca="1">IFERROR(__xludf.DUMMYFUNCTION("""COMPUTED_VALUE"""),7575)</f>
        <v>7575</v>
      </c>
      <c r="C1051" s="2">
        <f ca="1">IFERROR(__xludf.DUMMYFUNCTION("""COMPUTED_VALUE"""),7650)</f>
        <v>7650</v>
      </c>
      <c r="D1051" s="2">
        <f ca="1">IFERROR(__xludf.DUMMYFUNCTION("""COMPUTED_VALUE"""),7500)</f>
        <v>7500</v>
      </c>
      <c r="E1051" s="2">
        <f ca="1">IFERROR(__xludf.DUMMYFUNCTION("""COMPUTED_VALUE"""),7525)</f>
        <v>7525</v>
      </c>
      <c r="F1051" s="2">
        <f ca="1">IFERROR(__xludf.DUMMYFUNCTION("""COMPUTED_VALUE"""),41671400)</f>
        <v>41671400</v>
      </c>
    </row>
    <row r="1052" spans="1:6">
      <c r="A1052" s="1">
        <f ca="1">IFERROR(__xludf.DUMMYFUNCTION("""COMPUTED_VALUE"""),43599.625)</f>
        <v>43599.625</v>
      </c>
      <c r="B1052" s="2">
        <f ca="1">IFERROR(__xludf.DUMMYFUNCTION("""COMPUTED_VALUE"""),7450)</f>
        <v>7450</v>
      </c>
      <c r="C1052" s="2">
        <f ca="1">IFERROR(__xludf.DUMMYFUNCTION("""COMPUTED_VALUE"""),7525)</f>
        <v>7525</v>
      </c>
      <c r="D1052" s="2">
        <f ca="1">IFERROR(__xludf.DUMMYFUNCTION("""COMPUTED_VALUE"""),7400)</f>
        <v>7400</v>
      </c>
      <c r="E1052" s="2">
        <f ca="1">IFERROR(__xludf.DUMMYFUNCTION("""COMPUTED_VALUE"""),7450)</f>
        <v>7450</v>
      </c>
      <c r="F1052" s="2">
        <f ca="1">IFERROR(__xludf.DUMMYFUNCTION("""COMPUTED_VALUE"""),42991900)</f>
        <v>42991900</v>
      </c>
    </row>
    <row r="1053" spans="1:6">
      <c r="A1053" s="1">
        <f ca="1">IFERROR(__xludf.DUMMYFUNCTION("""COMPUTED_VALUE"""),43600.625)</f>
        <v>43600.625</v>
      </c>
      <c r="B1053" s="2">
        <f ca="1">IFERROR(__xludf.DUMMYFUNCTION("""COMPUTED_VALUE"""),7525)</f>
        <v>7525</v>
      </c>
      <c r="C1053" s="2">
        <f ca="1">IFERROR(__xludf.DUMMYFUNCTION("""COMPUTED_VALUE"""),7600)</f>
        <v>7600</v>
      </c>
      <c r="D1053" s="2">
        <f ca="1">IFERROR(__xludf.DUMMYFUNCTION("""COMPUTED_VALUE"""),7425)</f>
        <v>7425</v>
      </c>
      <c r="E1053" s="2">
        <f ca="1">IFERROR(__xludf.DUMMYFUNCTION("""COMPUTED_VALUE"""),7425)</f>
        <v>7425</v>
      </c>
      <c r="F1053" s="2">
        <f ca="1">IFERROR(__xludf.DUMMYFUNCTION("""COMPUTED_VALUE"""),56486200)</f>
        <v>56486200</v>
      </c>
    </row>
    <row r="1054" spans="1:6">
      <c r="A1054" s="1">
        <f ca="1">IFERROR(__xludf.DUMMYFUNCTION("""COMPUTED_VALUE"""),43601.625)</f>
        <v>43601.625</v>
      </c>
      <c r="B1054" s="2">
        <f ca="1">IFERROR(__xludf.DUMMYFUNCTION("""COMPUTED_VALUE"""),7350)</f>
        <v>7350</v>
      </c>
      <c r="C1054" s="2">
        <f ca="1">IFERROR(__xludf.DUMMYFUNCTION("""COMPUTED_VALUE"""),7450)</f>
        <v>7450</v>
      </c>
      <c r="D1054" s="2">
        <f ca="1">IFERROR(__xludf.DUMMYFUNCTION("""COMPUTED_VALUE"""),7250)</f>
        <v>7250</v>
      </c>
      <c r="E1054" s="2">
        <f ca="1">IFERROR(__xludf.DUMMYFUNCTION("""COMPUTED_VALUE"""),7350)</f>
        <v>7350</v>
      </c>
      <c r="F1054" s="2">
        <f ca="1">IFERROR(__xludf.DUMMYFUNCTION("""COMPUTED_VALUE"""),43240500)</f>
        <v>43240500</v>
      </c>
    </row>
    <row r="1055" spans="1:6">
      <c r="A1055" s="1">
        <f ca="1">IFERROR(__xludf.DUMMYFUNCTION("""COMPUTED_VALUE"""),43602.625)</f>
        <v>43602.625</v>
      </c>
      <c r="B1055" s="2">
        <f ca="1">IFERROR(__xludf.DUMMYFUNCTION("""COMPUTED_VALUE"""),7500)</f>
        <v>7500</v>
      </c>
      <c r="C1055" s="2">
        <f ca="1">IFERROR(__xludf.DUMMYFUNCTION("""COMPUTED_VALUE"""),7500)</f>
        <v>7500</v>
      </c>
      <c r="D1055" s="2">
        <f ca="1">IFERROR(__xludf.DUMMYFUNCTION("""COMPUTED_VALUE"""),7075)</f>
        <v>7075</v>
      </c>
      <c r="E1055" s="2">
        <f ca="1">IFERROR(__xludf.DUMMYFUNCTION("""COMPUTED_VALUE"""),7075)</f>
        <v>7075</v>
      </c>
      <c r="F1055" s="2">
        <f ca="1">IFERROR(__xludf.DUMMYFUNCTION("""COMPUTED_VALUE"""),29858300)</f>
        <v>29858300</v>
      </c>
    </row>
    <row r="1056" spans="1:6">
      <c r="A1056" s="1">
        <f ca="1">IFERROR(__xludf.DUMMYFUNCTION("""COMPUTED_VALUE"""),43605.625)</f>
        <v>43605.625</v>
      </c>
      <c r="B1056" s="2">
        <f ca="1">IFERROR(__xludf.DUMMYFUNCTION("""COMPUTED_VALUE"""),7000)</f>
        <v>7000</v>
      </c>
      <c r="C1056" s="2">
        <f ca="1">IFERROR(__xludf.DUMMYFUNCTION("""COMPUTED_VALUE"""),7275)</f>
        <v>7275</v>
      </c>
      <c r="D1056" s="2">
        <f ca="1">IFERROR(__xludf.DUMMYFUNCTION("""COMPUTED_VALUE"""),6975)</f>
        <v>6975</v>
      </c>
      <c r="E1056" s="2">
        <f ca="1">IFERROR(__xludf.DUMMYFUNCTION("""COMPUTED_VALUE"""),7225)</f>
        <v>7225</v>
      </c>
      <c r="F1056" s="2">
        <f ca="1">IFERROR(__xludf.DUMMYFUNCTION("""COMPUTED_VALUE"""),46723600)</f>
        <v>46723600</v>
      </c>
    </row>
    <row r="1057" spans="1:6">
      <c r="A1057" s="1">
        <f ca="1">IFERROR(__xludf.DUMMYFUNCTION("""COMPUTED_VALUE"""),43606.625)</f>
        <v>43606.625</v>
      </c>
      <c r="B1057" s="2">
        <f ca="1">IFERROR(__xludf.DUMMYFUNCTION("""COMPUTED_VALUE"""),7275)</f>
        <v>7275</v>
      </c>
      <c r="C1057" s="2">
        <f ca="1">IFERROR(__xludf.DUMMYFUNCTION("""COMPUTED_VALUE"""),7350)</f>
        <v>7350</v>
      </c>
      <c r="D1057" s="2">
        <f ca="1">IFERROR(__xludf.DUMMYFUNCTION("""COMPUTED_VALUE"""),7075)</f>
        <v>7075</v>
      </c>
      <c r="E1057" s="2">
        <f ca="1">IFERROR(__xludf.DUMMYFUNCTION("""COMPUTED_VALUE"""),7250)</f>
        <v>7250</v>
      </c>
      <c r="F1057" s="2">
        <f ca="1">IFERROR(__xludf.DUMMYFUNCTION("""COMPUTED_VALUE"""),64438600)</f>
        <v>64438600</v>
      </c>
    </row>
    <row r="1058" spans="1:6">
      <c r="A1058" s="1">
        <f ca="1">IFERROR(__xludf.DUMMYFUNCTION("""COMPUTED_VALUE"""),43607.625)</f>
        <v>43607.625</v>
      </c>
      <c r="B1058" s="2">
        <f ca="1">IFERROR(__xludf.DUMMYFUNCTION("""COMPUTED_VALUE"""),7325)</f>
        <v>7325</v>
      </c>
      <c r="C1058" s="2">
        <f ca="1">IFERROR(__xludf.DUMMYFUNCTION("""COMPUTED_VALUE"""),7400)</f>
        <v>7400</v>
      </c>
      <c r="D1058" s="2">
        <f ca="1">IFERROR(__xludf.DUMMYFUNCTION("""COMPUTED_VALUE"""),7225)</f>
        <v>7225</v>
      </c>
      <c r="E1058" s="2">
        <f ca="1">IFERROR(__xludf.DUMMYFUNCTION("""COMPUTED_VALUE"""),7300)</f>
        <v>7300</v>
      </c>
      <c r="F1058" s="2">
        <f ca="1">IFERROR(__xludf.DUMMYFUNCTION("""COMPUTED_VALUE"""),44126500)</f>
        <v>44126500</v>
      </c>
    </row>
    <row r="1059" spans="1:6">
      <c r="A1059" s="1">
        <f ca="1">IFERROR(__xludf.DUMMYFUNCTION("""COMPUTED_VALUE"""),43608.625)</f>
        <v>43608.625</v>
      </c>
      <c r="B1059" s="2">
        <f ca="1">IFERROR(__xludf.DUMMYFUNCTION("""COMPUTED_VALUE"""),7350)</f>
        <v>7350</v>
      </c>
      <c r="C1059" s="2">
        <f ca="1">IFERROR(__xludf.DUMMYFUNCTION("""COMPUTED_VALUE"""),7600)</f>
        <v>7600</v>
      </c>
      <c r="D1059" s="2">
        <f ca="1">IFERROR(__xludf.DUMMYFUNCTION("""COMPUTED_VALUE"""),7325)</f>
        <v>7325</v>
      </c>
      <c r="E1059" s="2">
        <f ca="1">IFERROR(__xludf.DUMMYFUNCTION("""COMPUTED_VALUE"""),7575)</f>
        <v>7575</v>
      </c>
      <c r="F1059" s="2">
        <f ca="1">IFERROR(__xludf.DUMMYFUNCTION("""COMPUTED_VALUE"""),32834400)</f>
        <v>32834400</v>
      </c>
    </row>
    <row r="1060" spans="1:6">
      <c r="A1060" s="1">
        <f ca="1">IFERROR(__xludf.DUMMYFUNCTION("""COMPUTED_VALUE"""),43609.625)</f>
        <v>43609.625</v>
      </c>
      <c r="B1060" s="2">
        <f ca="1">IFERROR(__xludf.DUMMYFUNCTION("""COMPUTED_VALUE"""),7600)</f>
        <v>7600</v>
      </c>
      <c r="C1060" s="2">
        <f ca="1">IFERROR(__xludf.DUMMYFUNCTION("""COMPUTED_VALUE"""),7775)</f>
        <v>7775</v>
      </c>
      <c r="D1060" s="2">
        <f ca="1">IFERROR(__xludf.DUMMYFUNCTION("""COMPUTED_VALUE"""),7575)</f>
        <v>7575</v>
      </c>
      <c r="E1060" s="2">
        <f ca="1">IFERROR(__xludf.DUMMYFUNCTION("""COMPUTED_VALUE"""),7700)</f>
        <v>7700</v>
      </c>
      <c r="F1060" s="2">
        <f ca="1">IFERROR(__xludf.DUMMYFUNCTION("""COMPUTED_VALUE"""),49575600)</f>
        <v>49575600</v>
      </c>
    </row>
    <row r="1061" spans="1:6">
      <c r="A1061" s="1">
        <f ca="1">IFERROR(__xludf.DUMMYFUNCTION("""COMPUTED_VALUE"""),43612.625)</f>
        <v>43612.625</v>
      </c>
      <c r="B1061" s="2">
        <f ca="1">IFERROR(__xludf.DUMMYFUNCTION("""COMPUTED_VALUE"""),7600)</f>
        <v>7600</v>
      </c>
      <c r="C1061" s="2">
        <f ca="1">IFERROR(__xludf.DUMMYFUNCTION("""COMPUTED_VALUE"""),7725)</f>
        <v>7725</v>
      </c>
      <c r="D1061" s="2">
        <f ca="1">IFERROR(__xludf.DUMMYFUNCTION("""COMPUTED_VALUE"""),7525)</f>
        <v>7525</v>
      </c>
      <c r="E1061" s="2">
        <f ca="1">IFERROR(__xludf.DUMMYFUNCTION("""COMPUTED_VALUE"""),7725)</f>
        <v>7725</v>
      </c>
      <c r="F1061" s="2">
        <f ca="1">IFERROR(__xludf.DUMMYFUNCTION("""COMPUTED_VALUE"""),72305500)</f>
        <v>72305500</v>
      </c>
    </row>
    <row r="1062" spans="1:6">
      <c r="A1062" s="1">
        <f ca="1">IFERROR(__xludf.DUMMYFUNCTION("""COMPUTED_VALUE"""),43613.625)</f>
        <v>43613.625</v>
      </c>
      <c r="B1062" s="2">
        <f ca="1">IFERROR(__xludf.DUMMYFUNCTION("""COMPUTED_VALUE"""),7700)</f>
        <v>7700</v>
      </c>
      <c r="C1062" s="2">
        <f ca="1">IFERROR(__xludf.DUMMYFUNCTION("""COMPUTED_VALUE"""),7700)</f>
        <v>7700</v>
      </c>
      <c r="D1062" s="2">
        <f ca="1">IFERROR(__xludf.DUMMYFUNCTION("""COMPUTED_VALUE"""),7350)</f>
        <v>7350</v>
      </c>
      <c r="E1062" s="2">
        <f ca="1">IFERROR(__xludf.DUMMYFUNCTION("""COMPUTED_VALUE"""),7375)</f>
        <v>7375</v>
      </c>
      <c r="F1062" s="2">
        <f ca="1">IFERROR(__xludf.DUMMYFUNCTION("""COMPUTED_VALUE"""),149390400)</f>
        <v>149390400</v>
      </c>
    </row>
    <row r="1063" spans="1:6">
      <c r="A1063" s="1">
        <f ca="1">IFERROR(__xludf.DUMMYFUNCTION("""COMPUTED_VALUE"""),43614.625)</f>
        <v>43614.625</v>
      </c>
      <c r="B1063" s="2">
        <f ca="1">IFERROR(__xludf.DUMMYFUNCTION("""COMPUTED_VALUE"""),7450)</f>
        <v>7450</v>
      </c>
      <c r="C1063" s="2">
        <f ca="1">IFERROR(__xludf.DUMMYFUNCTION("""COMPUTED_VALUE"""),7550)</f>
        <v>7550</v>
      </c>
      <c r="D1063" s="2">
        <f ca="1">IFERROR(__xludf.DUMMYFUNCTION("""COMPUTED_VALUE"""),7400)</f>
        <v>7400</v>
      </c>
      <c r="E1063" s="2">
        <f ca="1">IFERROR(__xludf.DUMMYFUNCTION("""COMPUTED_VALUE"""),7550)</f>
        <v>7550</v>
      </c>
      <c r="F1063" s="2">
        <f ca="1">IFERROR(__xludf.DUMMYFUNCTION("""COMPUTED_VALUE"""),44698700)</f>
        <v>44698700</v>
      </c>
    </row>
    <row r="1064" spans="1:6">
      <c r="A1064" s="1">
        <f ca="1">IFERROR(__xludf.DUMMYFUNCTION("""COMPUTED_VALUE"""),43616.625)</f>
        <v>43616.625</v>
      </c>
      <c r="B1064" s="2">
        <f ca="1">IFERROR(__xludf.DUMMYFUNCTION("""COMPUTED_VALUE"""),7600)</f>
        <v>7600</v>
      </c>
      <c r="C1064" s="2">
        <f ca="1">IFERROR(__xludf.DUMMYFUNCTION("""COMPUTED_VALUE"""),7775)</f>
        <v>7775</v>
      </c>
      <c r="D1064" s="2">
        <f ca="1">IFERROR(__xludf.DUMMYFUNCTION("""COMPUTED_VALUE"""),7550)</f>
        <v>7550</v>
      </c>
      <c r="E1064" s="2">
        <f ca="1">IFERROR(__xludf.DUMMYFUNCTION("""COMPUTED_VALUE"""),7675)</f>
        <v>7675</v>
      </c>
      <c r="F1064" s="2">
        <f ca="1">IFERROR(__xludf.DUMMYFUNCTION("""COMPUTED_VALUE"""),86726500)</f>
        <v>86726500</v>
      </c>
    </row>
    <row r="1065" spans="1:6">
      <c r="A1065" s="1">
        <f ca="1">IFERROR(__xludf.DUMMYFUNCTION("""COMPUTED_VALUE"""),43626.625)</f>
        <v>43626.625</v>
      </c>
      <c r="B1065" s="2">
        <f ca="1">IFERROR(__xludf.DUMMYFUNCTION("""COMPUTED_VALUE"""),7850)</f>
        <v>7850</v>
      </c>
      <c r="C1065" s="2">
        <f ca="1">IFERROR(__xludf.DUMMYFUNCTION("""COMPUTED_VALUE"""),7950)</f>
        <v>7950</v>
      </c>
      <c r="D1065" s="2">
        <f ca="1">IFERROR(__xludf.DUMMYFUNCTION("""COMPUTED_VALUE"""),7825)</f>
        <v>7825</v>
      </c>
      <c r="E1065" s="2">
        <f ca="1">IFERROR(__xludf.DUMMYFUNCTION("""COMPUTED_VALUE"""),7850)</f>
        <v>7850</v>
      </c>
      <c r="F1065" s="2">
        <f ca="1">IFERROR(__xludf.DUMMYFUNCTION("""COMPUTED_VALUE"""),104021200)</f>
        <v>104021200</v>
      </c>
    </row>
    <row r="1066" spans="1:6">
      <c r="A1066" s="1">
        <f ca="1">IFERROR(__xludf.DUMMYFUNCTION("""COMPUTED_VALUE"""),43627.625)</f>
        <v>43627.625</v>
      </c>
      <c r="B1066" s="2">
        <f ca="1">IFERROR(__xludf.DUMMYFUNCTION("""COMPUTED_VALUE"""),7875)</f>
        <v>7875</v>
      </c>
      <c r="C1066" s="2">
        <f ca="1">IFERROR(__xludf.DUMMYFUNCTION("""COMPUTED_VALUE"""),7900)</f>
        <v>7900</v>
      </c>
      <c r="D1066" s="2">
        <f ca="1">IFERROR(__xludf.DUMMYFUNCTION("""COMPUTED_VALUE"""),7800)</f>
        <v>7800</v>
      </c>
      <c r="E1066" s="2">
        <f ca="1">IFERROR(__xludf.DUMMYFUNCTION("""COMPUTED_VALUE"""),7875)</f>
        <v>7875</v>
      </c>
      <c r="F1066" s="2">
        <f ca="1">IFERROR(__xludf.DUMMYFUNCTION("""COMPUTED_VALUE"""),53570200)</f>
        <v>53570200</v>
      </c>
    </row>
    <row r="1067" spans="1:6">
      <c r="A1067" s="1">
        <f ca="1">IFERROR(__xludf.DUMMYFUNCTION("""COMPUTED_VALUE"""),43628.625)</f>
        <v>43628.625</v>
      </c>
      <c r="B1067" s="2">
        <f ca="1">IFERROR(__xludf.DUMMYFUNCTION("""COMPUTED_VALUE"""),7900)</f>
        <v>7900</v>
      </c>
      <c r="C1067" s="2">
        <f ca="1">IFERROR(__xludf.DUMMYFUNCTION("""COMPUTED_VALUE"""),7900)</f>
        <v>7900</v>
      </c>
      <c r="D1067" s="2">
        <f ca="1">IFERROR(__xludf.DUMMYFUNCTION("""COMPUTED_VALUE"""),7800)</f>
        <v>7800</v>
      </c>
      <c r="E1067" s="2">
        <f ca="1">IFERROR(__xludf.DUMMYFUNCTION("""COMPUTED_VALUE"""),7875)</f>
        <v>7875</v>
      </c>
      <c r="F1067" s="2">
        <f ca="1">IFERROR(__xludf.DUMMYFUNCTION("""COMPUTED_VALUE"""),34665400)</f>
        <v>34665400</v>
      </c>
    </row>
    <row r="1068" spans="1:6">
      <c r="A1068" s="1">
        <f ca="1">IFERROR(__xludf.DUMMYFUNCTION("""COMPUTED_VALUE"""),43629.625)</f>
        <v>43629.625</v>
      </c>
      <c r="B1068" s="2">
        <f ca="1">IFERROR(__xludf.DUMMYFUNCTION("""COMPUTED_VALUE"""),7875)</f>
        <v>7875</v>
      </c>
      <c r="C1068" s="2">
        <f ca="1">IFERROR(__xludf.DUMMYFUNCTION("""COMPUTED_VALUE"""),7900)</f>
        <v>7900</v>
      </c>
      <c r="D1068" s="2">
        <f ca="1">IFERROR(__xludf.DUMMYFUNCTION("""COMPUTED_VALUE"""),7700)</f>
        <v>7700</v>
      </c>
      <c r="E1068" s="2">
        <f ca="1">IFERROR(__xludf.DUMMYFUNCTION("""COMPUTED_VALUE"""),7825)</f>
        <v>7825</v>
      </c>
      <c r="F1068" s="2">
        <f ca="1">IFERROR(__xludf.DUMMYFUNCTION("""COMPUTED_VALUE"""),31741200)</f>
        <v>31741200</v>
      </c>
    </row>
    <row r="1069" spans="1:6">
      <c r="A1069" s="1">
        <f ca="1">IFERROR(__xludf.DUMMYFUNCTION("""COMPUTED_VALUE"""),43630.625)</f>
        <v>43630.625</v>
      </c>
      <c r="B1069" s="2">
        <f ca="1">IFERROR(__xludf.DUMMYFUNCTION("""COMPUTED_VALUE"""),7875)</f>
        <v>7875</v>
      </c>
      <c r="C1069" s="2">
        <f ca="1">IFERROR(__xludf.DUMMYFUNCTION("""COMPUTED_VALUE"""),7875)</f>
        <v>7875</v>
      </c>
      <c r="D1069" s="2">
        <f ca="1">IFERROR(__xludf.DUMMYFUNCTION("""COMPUTED_VALUE"""),7800)</f>
        <v>7800</v>
      </c>
      <c r="E1069" s="2">
        <f ca="1">IFERROR(__xludf.DUMMYFUNCTION("""COMPUTED_VALUE"""),7825)</f>
        <v>7825</v>
      </c>
      <c r="F1069" s="2">
        <f ca="1">IFERROR(__xludf.DUMMYFUNCTION("""COMPUTED_VALUE"""),30836100)</f>
        <v>30836100</v>
      </c>
    </row>
    <row r="1070" spans="1:6">
      <c r="A1070" s="1">
        <f ca="1">IFERROR(__xludf.DUMMYFUNCTION("""COMPUTED_VALUE"""),43633.625)</f>
        <v>43633.625</v>
      </c>
      <c r="B1070" s="2">
        <f ca="1">IFERROR(__xludf.DUMMYFUNCTION("""COMPUTED_VALUE"""),7900)</f>
        <v>7900</v>
      </c>
      <c r="C1070" s="2">
        <f ca="1">IFERROR(__xludf.DUMMYFUNCTION("""COMPUTED_VALUE"""),7900)</f>
        <v>7900</v>
      </c>
      <c r="D1070" s="2">
        <f ca="1">IFERROR(__xludf.DUMMYFUNCTION("""COMPUTED_VALUE"""),7800)</f>
        <v>7800</v>
      </c>
      <c r="E1070" s="2">
        <f ca="1">IFERROR(__xludf.DUMMYFUNCTION("""COMPUTED_VALUE"""),7800)</f>
        <v>7800</v>
      </c>
      <c r="F1070" s="2">
        <f ca="1">IFERROR(__xludf.DUMMYFUNCTION("""COMPUTED_VALUE"""),23634700)</f>
        <v>23634700</v>
      </c>
    </row>
    <row r="1071" spans="1:6">
      <c r="A1071" s="1">
        <f ca="1">IFERROR(__xludf.DUMMYFUNCTION("""COMPUTED_VALUE"""),43634.625)</f>
        <v>43634.625</v>
      </c>
      <c r="B1071" s="2">
        <f ca="1">IFERROR(__xludf.DUMMYFUNCTION("""COMPUTED_VALUE"""),7775)</f>
        <v>7775</v>
      </c>
      <c r="C1071" s="2">
        <f ca="1">IFERROR(__xludf.DUMMYFUNCTION("""COMPUTED_VALUE"""),7875)</f>
        <v>7875</v>
      </c>
      <c r="D1071" s="2">
        <f ca="1">IFERROR(__xludf.DUMMYFUNCTION("""COMPUTED_VALUE"""),7775)</f>
        <v>7775</v>
      </c>
      <c r="E1071" s="2">
        <f ca="1">IFERROR(__xludf.DUMMYFUNCTION("""COMPUTED_VALUE"""),7850)</f>
        <v>7850</v>
      </c>
      <c r="F1071" s="2">
        <f ca="1">IFERROR(__xludf.DUMMYFUNCTION("""COMPUTED_VALUE"""),52053100)</f>
        <v>52053100</v>
      </c>
    </row>
    <row r="1072" spans="1:6">
      <c r="A1072" s="1">
        <f ca="1">IFERROR(__xludf.DUMMYFUNCTION("""COMPUTED_VALUE"""),43635.625)</f>
        <v>43635.625</v>
      </c>
      <c r="B1072" s="2">
        <f ca="1">IFERROR(__xludf.DUMMYFUNCTION("""COMPUTED_VALUE"""),7900)</f>
        <v>7900</v>
      </c>
      <c r="C1072" s="2">
        <f ca="1">IFERROR(__xludf.DUMMYFUNCTION("""COMPUTED_VALUE"""),8000)</f>
        <v>8000</v>
      </c>
      <c r="D1072" s="2">
        <f ca="1">IFERROR(__xludf.DUMMYFUNCTION("""COMPUTED_VALUE"""),7875)</f>
        <v>7875</v>
      </c>
      <c r="E1072" s="2">
        <f ca="1">IFERROR(__xludf.DUMMYFUNCTION("""COMPUTED_VALUE"""),7975)</f>
        <v>7975</v>
      </c>
      <c r="F1072" s="2">
        <f ca="1">IFERROR(__xludf.DUMMYFUNCTION("""COMPUTED_VALUE"""),78307600)</f>
        <v>78307600</v>
      </c>
    </row>
    <row r="1073" spans="1:6">
      <c r="A1073" s="1">
        <f ca="1">IFERROR(__xludf.DUMMYFUNCTION("""COMPUTED_VALUE"""),43636.625)</f>
        <v>43636.625</v>
      </c>
      <c r="B1073" s="2">
        <f ca="1">IFERROR(__xludf.DUMMYFUNCTION("""COMPUTED_VALUE"""),8000)</f>
        <v>8000</v>
      </c>
      <c r="C1073" s="2">
        <f ca="1">IFERROR(__xludf.DUMMYFUNCTION("""COMPUTED_VALUE"""),8050)</f>
        <v>8050</v>
      </c>
      <c r="D1073" s="2">
        <f ca="1">IFERROR(__xludf.DUMMYFUNCTION("""COMPUTED_VALUE"""),7925)</f>
        <v>7925</v>
      </c>
      <c r="E1073" s="2">
        <f ca="1">IFERROR(__xludf.DUMMYFUNCTION("""COMPUTED_VALUE"""),7950)</f>
        <v>7950</v>
      </c>
      <c r="F1073" s="2">
        <f ca="1">IFERROR(__xludf.DUMMYFUNCTION("""COMPUTED_VALUE"""),46794600)</f>
        <v>46794600</v>
      </c>
    </row>
    <row r="1074" spans="1:6">
      <c r="A1074" s="1">
        <f ca="1">IFERROR(__xludf.DUMMYFUNCTION("""COMPUTED_VALUE"""),43637.625)</f>
        <v>43637.625</v>
      </c>
      <c r="B1074" s="2">
        <f ca="1">IFERROR(__xludf.DUMMYFUNCTION("""COMPUTED_VALUE"""),8000)</f>
        <v>8000</v>
      </c>
      <c r="C1074" s="2">
        <f ca="1">IFERROR(__xludf.DUMMYFUNCTION("""COMPUTED_VALUE"""),8025)</f>
        <v>8025</v>
      </c>
      <c r="D1074" s="2">
        <f ca="1">IFERROR(__xludf.DUMMYFUNCTION("""COMPUTED_VALUE"""),7900)</f>
        <v>7900</v>
      </c>
      <c r="E1074" s="2">
        <f ca="1">IFERROR(__xludf.DUMMYFUNCTION("""COMPUTED_VALUE"""),7975)</f>
        <v>7975</v>
      </c>
      <c r="F1074" s="2">
        <f ca="1">IFERROR(__xludf.DUMMYFUNCTION("""COMPUTED_VALUE"""),72959800)</f>
        <v>72959800</v>
      </c>
    </row>
    <row r="1075" spans="1:6">
      <c r="A1075" s="1">
        <f ca="1">IFERROR(__xludf.DUMMYFUNCTION("""COMPUTED_VALUE"""),43640.625)</f>
        <v>43640.625</v>
      </c>
      <c r="B1075" s="2">
        <f ca="1">IFERROR(__xludf.DUMMYFUNCTION("""COMPUTED_VALUE"""),7900)</f>
        <v>7900</v>
      </c>
      <c r="C1075" s="2">
        <f ca="1">IFERROR(__xludf.DUMMYFUNCTION("""COMPUTED_VALUE"""),8025)</f>
        <v>8025</v>
      </c>
      <c r="D1075" s="2">
        <f ca="1">IFERROR(__xludf.DUMMYFUNCTION("""COMPUTED_VALUE"""),7900)</f>
        <v>7900</v>
      </c>
      <c r="E1075" s="2">
        <f ca="1">IFERROR(__xludf.DUMMYFUNCTION("""COMPUTED_VALUE"""),7975)</f>
        <v>7975</v>
      </c>
      <c r="F1075" s="2">
        <f ca="1">IFERROR(__xludf.DUMMYFUNCTION("""COMPUTED_VALUE"""),35126100)</f>
        <v>35126100</v>
      </c>
    </row>
    <row r="1076" spans="1:6">
      <c r="A1076" s="1">
        <f ca="1">IFERROR(__xludf.DUMMYFUNCTION("""COMPUTED_VALUE"""),43641.625)</f>
        <v>43641.625</v>
      </c>
      <c r="B1076" s="2">
        <f ca="1">IFERROR(__xludf.DUMMYFUNCTION("""COMPUTED_VALUE"""),8025)</f>
        <v>8025</v>
      </c>
      <c r="C1076" s="2">
        <f ca="1">IFERROR(__xludf.DUMMYFUNCTION("""COMPUTED_VALUE"""),8025)</f>
        <v>8025</v>
      </c>
      <c r="D1076" s="2">
        <f ca="1">IFERROR(__xludf.DUMMYFUNCTION("""COMPUTED_VALUE"""),7925)</f>
        <v>7925</v>
      </c>
      <c r="E1076" s="2">
        <f ca="1">IFERROR(__xludf.DUMMYFUNCTION("""COMPUTED_VALUE"""),7950)</f>
        <v>7950</v>
      </c>
      <c r="F1076" s="2">
        <f ca="1">IFERROR(__xludf.DUMMYFUNCTION("""COMPUTED_VALUE"""),29651600)</f>
        <v>29651600</v>
      </c>
    </row>
    <row r="1077" spans="1:6">
      <c r="A1077" s="1">
        <f ca="1">IFERROR(__xludf.DUMMYFUNCTION("""COMPUTED_VALUE"""),43642.625)</f>
        <v>43642.625</v>
      </c>
      <c r="B1077" s="2">
        <f ca="1">IFERROR(__xludf.DUMMYFUNCTION("""COMPUTED_VALUE"""),7850)</f>
        <v>7850</v>
      </c>
      <c r="C1077" s="2">
        <f ca="1">IFERROR(__xludf.DUMMYFUNCTION("""COMPUTED_VALUE"""),8000)</f>
        <v>8000</v>
      </c>
      <c r="D1077" s="2">
        <f ca="1">IFERROR(__xludf.DUMMYFUNCTION("""COMPUTED_VALUE"""),7850)</f>
        <v>7850</v>
      </c>
      <c r="E1077" s="2">
        <f ca="1">IFERROR(__xludf.DUMMYFUNCTION("""COMPUTED_VALUE"""),7950)</f>
        <v>7950</v>
      </c>
      <c r="F1077" s="2">
        <f ca="1">IFERROR(__xludf.DUMMYFUNCTION("""COMPUTED_VALUE"""),36057600)</f>
        <v>36057600</v>
      </c>
    </row>
    <row r="1078" spans="1:6">
      <c r="A1078" s="1">
        <f ca="1">IFERROR(__xludf.DUMMYFUNCTION("""COMPUTED_VALUE"""),43643.625)</f>
        <v>43643.625</v>
      </c>
      <c r="B1078" s="2">
        <f ca="1">IFERROR(__xludf.DUMMYFUNCTION("""COMPUTED_VALUE"""),7975)</f>
        <v>7975</v>
      </c>
      <c r="C1078" s="2">
        <f ca="1">IFERROR(__xludf.DUMMYFUNCTION("""COMPUTED_VALUE"""),8050)</f>
        <v>8050</v>
      </c>
      <c r="D1078" s="2">
        <f ca="1">IFERROR(__xludf.DUMMYFUNCTION("""COMPUTED_VALUE"""),7975)</f>
        <v>7975</v>
      </c>
      <c r="E1078" s="2">
        <f ca="1">IFERROR(__xludf.DUMMYFUNCTION("""COMPUTED_VALUE"""),8000)</f>
        <v>8000</v>
      </c>
      <c r="F1078" s="2">
        <f ca="1">IFERROR(__xludf.DUMMYFUNCTION("""COMPUTED_VALUE"""),31576000)</f>
        <v>31576000</v>
      </c>
    </row>
    <row r="1079" spans="1:6">
      <c r="A1079" s="1">
        <f ca="1">IFERROR(__xludf.DUMMYFUNCTION("""COMPUTED_VALUE"""),43644.625)</f>
        <v>43644.625</v>
      </c>
      <c r="B1079" s="2">
        <f ca="1">IFERROR(__xludf.DUMMYFUNCTION("""COMPUTED_VALUE"""),8025)</f>
        <v>8025</v>
      </c>
      <c r="C1079" s="2">
        <f ca="1">IFERROR(__xludf.DUMMYFUNCTION("""COMPUTED_VALUE"""),8050)</f>
        <v>8050</v>
      </c>
      <c r="D1079" s="2">
        <f ca="1">IFERROR(__xludf.DUMMYFUNCTION("""COMPUTED_VALUE"""),7975)</f>
        <v>7975</v>
      </c>
      <c r="E1079" s="2">
        <f ca="1">IFERROR(__xludf.DUMMYFUNCTION("""COMPUTED_VALUE"""),8025)</f>
        <v>8025</v>
      </c>
      <c r="F1079" s="2">
        <f ca="1">IFERROR(__xludf.DUMMYFUNCTION("""COMPUTED_VALUE"""),30944000)</f>
        <v>30944000</v>
      </c>
    </row>
    <row r="1080" spans="1:6">
      <c r="A1080" s="1">
        <f ca="1">IFERROR(__xludf.DUMMYFUNCTION("""COMPUTED_VALUE"""),43647.625)</f>
        <v>43647.625</v>
      </c>
      <c r="B1080" s="2">
        <f ca="1">IFERROR(__xludf.DUMMYFUNCTION("""COMPUTED_VALUE"""),8050)</f>
        <v>8050</v>
      </c>
      <c r="C1080" s="2">
        <f ca="1">IFERROR(__xludf.DUMMYFUNCTION("""COMPUTED_VALUE"""),8075)</f>
        <v>8075</v>
      </c>
      <c r="D1080" s="2">
        <f ca="1">IFERROR(__xludf.DUMMYFUNCTION("""COMPUTED_VALUE"""),7975)</f>
        <v>7975</v>
      </c>
      <c r="E1080" s="2">
        <f ca="1">IFERROR(__xludf.DUMMYFUNCTION("""COMPUTED_VALUE"""),8000)</f>
        <v>8000</v>
      </c>
      <c r="F1080" s="2">
        <f ca="1">IFERROR(__xludf.DUMMYFUNCTION("""COMPUTED_VALUE"""),30727800)</f>
        <v>30727800</v>
      </c>
    </row>
    <row r="1081" spans="1:6">
      <c r="A1081" s="1">
        <f ca="1">IFERROR(__xludf.DUMMYFUNCTION("""COMPUTED_VALUE"""),43648.625)</f>
        <v>43648.625</v>
      </c>
      <c r="B1081" s="2">
        <f ca="1">IFERROR(__xludf.DUMMYFUNCTION("""COMPUTED_VALUE"""),8050)</f>
        <v>8050</v>
      </c>
      <c r="C1081" s="2">
        <f ca="1">IFERROR(__xludf.DUMMYFUNCTION("""COMPUTED_VALUE"""),8050)</f>
        <v>8050</v>
      </c>
      <c r="D1081" s="2">
        <f ca="1">IFERROR(__xludf.DUMMYFUNCTION("""COMPUTED_VALUE"""),7975)</f>
        <v>7975</v>
      </c>
      <c r="E1081" s="2">
        <f ca="1">IFERROR(__xludf.DUMMYFUNCTION("""COMPUTED_VALUE"""),8025)</f>
        <v>8025</v>
      </c>
      <c r="F1081" s="2">
        <f ca="1">IFERROR(__xludf.DUMMYFUNCTION("""COMPUTED_VALUE"""),32437800)</f>
        <v>32437800</v>
      </c>
    </row>
    <row r="1082" spans="1:6">
      <c r="A1082" s="1">
        <f ca="1">IFERROR(__xludf.DUMMYFUNCTION("""COMPUTED_VALUE"""),43649.625)</f>
        <v>43649.625</v>
      </c>
      <c r="B1082" s="2">
        <f ca="1">IFERROR(__xludf.DUMMYFUNCTION("""COMPUTED_VALUE"""),7950)</f>
        <v>7950</v>
      </c>
      <c r="C1082" s="2">
        <f ca="1">IFERROR(__xludf.DUMMYFUNCTION("""COMPUTED_VALUE"""),8025)</f>
        <v>8025</v>
      </c>
      <c r="D1082" s="2">
        <f ca="1">IFERROR(__xludf.DUMMYFUNCTION("""COMPUTED_VALUE"""),7950)</f>
        <v>7950</v>
      </c>
      <c r="E1082" s="2">
        <f ca="1">IFERROR(__xludf.DUMMYFUNCTION("""COMPUTED_VALUE"""),8025)</f>
        <v>8025</v>
      </c>
      <c r="F1082" s="2">
        <f ca="1">IFERROR(__xludf.DUMMYFUNCTION("""COMPUTED_VALUE"""),46966800)</f>
        <v>46966800</v>
      </c>
    </row>
    <row r="1083" spans="1:6">
      <c r="A1083" s="1">
        <f ca="1">IFERROR(__xludf.DUMMYFUNCTION("""COMPUTED_VALUE"""),43650.625)</f>
        <v>43650.625</v>
      </c>
      <c r="B1083" s="2">
        <f ca="1">IFERROR(__xludf.DUMMYFUNCTION("""COMPUTED_VALUE"""),8050)</f>
        <v>8050</v>
      </c>
      <c r="C1083" s="2">
        <f ca="1">IFERROR(__xludf.DUMMYFUNCTION("""COMPUTED_VALUE"""),8050)</f>
        <v>8050</v>
      </c>
      <c r="D1083" s="2">
        <f ca="1">IFERROR(__xludf.DUMMYFUNCTION("""COMPUTED_VALUE"""),8000)</f>
        <v>8000</v>
      </c>
      <c r="E1083" s="2">
        <f ca="1">IFERROR(__xludf.DUMMYFUNCTION("""COMPUTED_VALUE"""),8025)</f>
        <v>8025</v>
      </c>
      <c r="F1083" s="2">
        <f ca="1">IFERROR(__xludf.DUMMYFUNCTION("""COMPUTED_VALUE"""),15789300)</f>
        <v>15789300</v>
      </c>
    </row>
    <row r="1084" spans="1:6">
      <c r="A1084" s="1">
        <f ca="1">IFERROR(__xludf.DUMMYFUNCTION("""COMPUTED_VALUE"""),43651.625)</f>
        <v>43651.625</v>
      </c>
      <c r="B1084" s="2">
        <f ca="1">IFERROR(__xludf.DUMMYFUNCTION("""COMPUTED_VALUE"""),7925)</f>
        <v>7925</v>
      </c>
      <c r="C1084" s="2">
        <f ca="1">IFERROR(__xludf.DUMMYFUNCTION("""COMPUTED_VALUE"""),8025)</f>
        <v>8025</v>
      </c>
      <c r="D1084" s="2">
        <f ca="1">IFERROR(__xludf.DUMMYFUNCTION("""COMPUTED_VALUE"""),7725)</f>
        <v>7725</v>
      </c>
      <c r="E1084" s="2">
        <f ca="1">IFERROR(__xludf.DUMMYFUNCTION("""COMPUTED_VALUE"""),7825)</f>
        <v>7825</v>
      </c>
      <c r="F1084" s="2">
        <f ca="1">IFERROR(__xludf.DUMMYFUNCTION("""COMPUTED_VALUE"""),93378100)</f>
        <v>93378100</v>
      </c>
    </row>
    <row r="1085" spans="1:6">
      <c r="A1085" s="1">
        <f ca="1">IFERROR(__xludf.DUMMYFUNCTION("""COMPUTED_VALUE"""),43654.625)</f>
        <v>43654.625</v>
      </c>
      <c r="B1085" s="2">
        <f ca="1">IFERROR(__xludf.DUMMYFUNCTION("""COMPUTED_VALUE"""),7750)</f>
        <v>7750</v>
      </c>
      <c r="C1085" s="2">
        <f ca="1">IFERROR(__xludf.DUMMYFUNCTION("""COMPUTED_VALUE"""),7875)</f>
        <v>7875</v>
      </c>
      <c r="D1085" s="2">
        <f ca="1">IFERROR(__xludf.DUMMYFUNCTION("""COMPUTED_VALUE"""),7725)</f>
        <v>7725</v>
      </c>
      <c r="E1085" s="2">
        <f ca="1">IFERROR(__xludf.DUMMYFUNCTION("""COMPUTED_VALUE"""),7875)</f>
        <v>7875</v>
      </c>
      <c r="F1085" s="2">
        <f ca="1">IFERROR(__xludf.DUMMYFUNCTION("""COMPUTED_VALUE"""),52952800)</f>
        <v>52952800</v>
      </c>
    </row>
    <row r="1086" spans="1:6">
      <c r="A1086" s="1">
        <f ca="1">IFERROR(__xludf.DUMMYFUNCTION("""COMPUTED_VALUE"""),43655.625)</f>
        <v>43655.625</v>
      </c>
      <c r="B1086" s="2">
        <f ca="1">IFERROR(__xludf.DUMMYFUNCTION("""COMPUTED_VALUE"""),7825)</f>
        <v>7825</v>
      </c>
      <c r="C1086" s="2">
        <f ca="1">IFERROR(__xludf.DUMMYFUNCTION("""COMPUTED_VALUE"""),7925)</f>
        <v>7925</v>
      </c>
      <c r="D1086" s="2">
        <f ca="1">IFERROR(__xludf.DUMMYFUNCTION("""COMPUTED_VALUE"""),7800)</f>
        <v>7800</v>
      </c>
      <c r="E1086" s="2">
        <f ca="1">IFERROR(__xludf.DUMMYFUNCTION("""COMPUTED_VALUE"""),7900)</f>
        <v>7900</v>
      </c>
      <c r="F1086" s="2">
        <f ca="1">IFERROR(__xludf.DUMMYFUNCTION("""COMPUTED_VALUE"""),44295400)</f>
        <v>44295400</v>
      </c>
    </row>
    <row r="1087" spans="1:6">
      <c r="A1087" s="1">
        <f ca="1">IFERROR(__xludf.DUMMYFUNCTION("""COMPUTED_VALUE"""),43656.625)</f>
        <v>43656.625</v>
      </c>
      <c r="B1087" s="2">
        <f ca="1">IFERROR(__xludf.DUMMYFUNCTION("""COMPUTED_VALUE"""),7950)</f>
        <v>7950</v>
      </c>
      <c r="C1087" s="2">
        <f ca="1">IFERROR(__xludf.DUMMYFUNCTION("""COMPUTED_VALUE"""),8000)</f>
        <v>8000</v>
      </c>
      <c r="D1087" s="2">
        <f ca="1">IFERROR(__xludf.DUMMYFUNCTION("""COMPUTED_VALUE"""),7925)</f>
        <v>7925</v>
      </c>
      <c r="E1087" s="2">
        <f ca="1">IFERROR(__xludf.DUMMYFUNCTION("""COMPUTED_VALUE"""),7950)</f>
        <v>7950</v>
      </c>
      <c r="F1087" s="2">
        <f ca="1">IFERROR(__xludf.DUMMYFUNCTION("""COMPUTED_VALUE"""),50482300)</f>
        <v>50482300</v>
      </c>
    </row>
    <row r="1088" spans="1:6">
      <c r="A1088" s="1">
        <f ca="1">IFERROR(__xludf.DUMMYFUNCTION("""COMPUTED_VALUE"""),43657.625)</f>
        <v>43657.625</v>
      </c>
      <c r="B1088" s="2">
        <f ca="1">IFERROR(__xludf.DUMMYFUNCTION("""COMPUTED_VALUE"""),8025)</f>
        <v>8025</v>
      </c>
      <c r="C1088" s="2">
        <f ca="1">IFERROR(__xludf.DUMMYFUNCTION("""COMPUTED_VALUE"""),8050)</f>
        <v>8050</v>
      </c>
      <c r="D1088" s="2">
        <f ca="1">IFERROR(__xludf.DUMMYFUNCTION("""COMPUTED_VALUE"""),7975)</f>
        <v>7975</v>
      </c>
      <c r="E1088" s="2">
        <f ca="1">IFERROR(__xludf.DUMMYFUNCTION("""COMPUTED_VALUE"""),8000)</f>
        <v>8000</v>
      </c>
      <c r="F1088" s="2">
        <f ca="1">IFERROR(__xludf.DUMMYFUNCTION("""COMPUTED_VALUE"""),35115600)</f>
        <v>35115600</v>
      </c>
    </row>
    <row r="1089" spans="1:6">
      <c r="A1089" s="1">
        <f ca="1">IFERROR(__xludf.DUMMYFUNCTION("""COMPUTED_VALUE"""),43658.625)</f>
        <v>43658.625</v>
      </c>
      <c r="B1089" s="2">
        <f ca="1">IFERROR(__xludf.DUMMYFUNCTION("""COMPUTED_VALUE"""),8050)</f>
        <v>8050</v>
      </c>
      <c r="C1089" s="2">
        <f ca="1">IFERROR(__xludf.DUMMYFUNCTION("""COMPUTED_VALUE"""),8125)</f>
        <v>8125</v>
      </c>
      <c r="D1089" s="2">
        <f ca="1">IFERROR(__xludf.DUMMYFUNCTION("""COMPUTED_VALUE"""),8025)</f>
        <v>8025</v>
      </c>
      <c r="E1089" s="2">
        <f ca="1">IFERROR(__xludf.DUMMYFUNCTION("""COMPUTED_VALUE"""),8075)</f>
        <v>8075</v>
      </c>
      <c r="F1089" s="2">
        <f ca="1">IFERROR(__xludf.DUMMYFUNCTION("""COMPUTED_VALUE"""),36737000)</f>
        <v>36737000</v>
      </c>
    </row>
    <row r="1090" spans="1:6">
      <c r="A1090" s="1">
        <f ca="1">IFERROR(__xludf.DUMMYFUNCTION("""COMPUTED_VALUE"""),43661.625)</f>
        <v>43661.625</v>
      </c>
      <c r="B1090" s="2">
        <f ca="1">IFERROR(__xludf.DUMMYFUNCTION("""COMPUTED_VALUE"""),8150)</f>
        <v>8150</v>
      </c>
      <c r="C1090" s="2">
        <f ca="1">IFERROR(__xludf.DUMMYFUNCTION("""COMPUTED_VALUE"""),8175)</f>
        <v>8175</v>
      </c>
      <c r="D1090" s="2">
        <f ca="1">IFERROR(__xludf.DUMMYFUNCTION("""COMPUTED_VALUE"""),8100)</f>
        <v>8100</v>
      </c>
      <c r="E1090" s="2">
        <f ca="1">IFERROR(__xludf.DUMMYFUNCTION("""COMPUTED_VALUE"""),8150)</f>
        <v>8150</v>
      </c>
      <c r="F1090" s="2">
        <f ca="1">IFERROR(__xludf.DUMMYFUNCTION("""COMPUTED_VALUE"""),44722400)</f>
        <v>44722400</v>
      </c>
    </row>
    <row r="1091" spans="1:6">
      <c r="A1091" s="1">
        <f ca="1">IFERROR(__xludf.DUMMYFUNCTION("""COMPUTED_VALUE"""),43662.625)</f>
        <v>43662.625</v>
      </c>
      <c r="B1091" s="2">
        <f ca="1">IFERROR(__xludf.DUMMYFUNCTION("""COMPUTED_VALUE"""),8075)</f>
        <v>8075</v>
      </c>
      <c r="C1091" s="2">
        <f ca="1">IFERROR(__xludf.DUMMYFUNCTION("""COMPUTED_VALUE"""),8125)</f>
        <v>8125</v>
      </c>
      <c r="D1091" s="2">
        <f ca="1">IFERROR(__xludf.DUMMYFUNCTION("""COMPUTED_VALUE"""),7975)</f>
        <v>7975</v>
      </c>
      <c r="E1091" s="2">
        <f ca="1">IFERROR(__xludf.DUMMYFUNCTION("""COMPUTED_VALUE"""),8075)</f>
        <v>8075</v>
      </c>
      <c r="F1091" s="2">
        <f ca="1">IFERROR(__xludf.DUMMYFUNCTION("""COMPUTED_VALUE"""),73313200)</f>
        <v>73313200</v>
      </c>
    </row>
    <row r="1092" spans="1:6">
      <c r="A1092" s="1">
        <f ca="1">IFERROR(__xludf.DUMMYFUNCTION("""COMPUTED_VALUE"""),43663.625)</f>
        <v>43663.625</v>
      </c>
      <c r="B1092" s="2">
        <f ca="1">IFERROR(__xludf.DUMMYFUNCTION("""COMPUTED_VALUE"""),8000)</f>
        <v>8000</v>
      </c>
      <c r="C1092" s="2">
        <f ca="1">IFERROR(__xludf.DUMMYFUNCTION("""COMPUTED_VALUE"""),8050)</f>
        <v>8050</v>
      </c>
      <c r="D1092" s="2">
        <f ca="1">IFERROR(__xludf.DUMMYFUNCTION("""COMPUTED_VALUE"""),7950)</f>
        <v>7950</v>
      </c>
      <c r="E1092" s="2">
        <f ca="1">IFERROR(__xludf.DUMMYFUNCTION("""COMPUTED_VALUE"""),7975)</f>
        <v>7975</v>
      </c>
      <c r="F1092" s="2">
        <f ca="1">IFERROR(__xludf.DUMMYFUNCTION("""COMPUTED_VALUE"""),64115500)</f>
        <v>64115500</v>
      </c>
    </row>
    <row r="1093" spans="1:6">
      <c r="A1093" s="1">
        <f ca="1">IFERROR(__xludf.DUMMYFUNCTION("""COMPUTED_VALUE"""),43664.625)</f>
        <v>43664.625</v>
      </c>
      <c r="B1093" s="2">
        <f ca="1">IFERROR(__xludf.DUMMYFUNCTION("""COMPUTED_VALUE"""),7900)</f>
        <v>7900</v>
      </c>
      <c r="C1093" s="2">
        <f ca="1">IFERROR(__xludf.DUMMYFUNCTION("""COMPUTED_VALUE"""),7950)</f>
        <v>7950</v>
      </c>
      <c r="D1093" s="2">
        <f ca="1">IFERROR(__xludf.DUMMYFUNCTION("""COMPUTED_VALUE"""),7825)</f>
        <v>7825</v>
      </c>
      <c r="E1093" s="2">
        <f ca="1">IFERROR(__xludf.DUMMYFUNCTION("""COMPUTED_VALUE"""),7850)</f>
        <v>7850</v>
      </c>
      <c r="F1093" s="2">
        <f ca="1">IFERROR(__xludf.DUMMYFUNCTION("""COMPUTED_VALUE"""),71131000)</f>
        <v>71131000</v>
      </c>
    </row>
    <row r="1094" spans="1:6">
      <c r="A1094" s="1">
        <f ca="1">IFERROR(__xludf.DUMMYFUNCTION("""COMPUTED_VALUE"""),43665.625)</f>
        <v>43665.625</v>
      </c>
      <c r="B1094" s="2">
        <f ca="1">IFERROR(__xludf.DUMMYFUNCTION("""COMPUTED_VALUE"""),7800)</f>
        <v>7800</v>
      </c>
      <c r="C1094" s="2">
        <f ca="1">IFERROR(__xludf.DUMMYFUNCTION("""COMPUTED_VALUE"""),7900)</f>
        <v>7900</v>
      </c>
      <c r="D1094" s="2">
        <f ca="1">IFERROR(__xludf.DUMMYFUNCTION("""COMPUTED_VALUE"""),7800)</f>
        <v>7800</v>
      </c>
      <c r="E1094" s="2">
        <f ca="1">IFERROR(__xludf.DUMMYFUNCTION("""COMPUTED_VALUE"""),7875)</f>
        <v>7875</v>
      </c>
      <c r="F1094" s="2">
        <f ca="1">IFERROR(__xludf.DUMMYFUNCTION("""COMPUTED_VALUE"""),52265000)</f>
        <v>52265000</v>
      </c>
    </row>
    <row r="1095" spans="1:6">
      <c r="A1095" s="1">
        <f ca="1">IFERROR(__xludf.DUMMYFUNCTION("""COMPUTED_VALUE"""),43668.625)</f>
        <v>43668.625</v>
      </c>
      <c r="B1095" s="2">
        <f ca="1">IFERROR(__xludf.DUMMYFUNCTION("""COMPUTED_VALUE"""),7800)</f>
        <v>7800</v>
      </c>
      <c r="C1095" s="2">
        <f ca="1">IFERROR(__xludf.DUMMYFUNCTION("""COMPUTED_VALUE"""),7825)</f>
        <v>7825</v>
      </c>
      <c r="D1095" s="2">
        <f ca="1">IFERROR(__xludf.DUMMYFUNCTION("""COMPUTED_VALUE"""),7750)</f>
        <v>7750</v>
      </c>
      <c r="E1095" s="2">
        <f ca="1">IFERROR(__xludf.DUMMYFUNCTION("""COMPUTED_VALUE"""),7775)</f>
        <v>7775</v>
      </c>
      <c r="F1095" s="2">
        <f ca="1">IFERROR(__xludf.DUMMYFUNCTION("""COMPUTED_VALUE"""),41425500)</f>
        <v>41425500</v>
      </c>
    </row>
    <row r="1096" spans="1:6">
      <c r="A1096" s="1">
        <f ca="1">IFERROR(__xludf.DUMMYFUNCTION("""COMPUTED_VALUE"""),43669.625)</f>
        <v>43669.625</v>
      </c>
      <c r="B1096" s="2">
        <f ca="1">IFERROR(__xludf.DUMMYFUNCTION("""COMPUTED_VALUE"""),7825)</f>
        <v>7825</v>
      </c>
      <c r="C1096" s="2">
        <f ca="1">IFERROR(__xludf.DUMMYFUNCTION("""COMPUTED_VALUE"""),7850)</f>
        <v>7850</v>
      </c>
      <c r="D1096" s="2">
        <f ca="1">IFERROR(__xludf.DUMMYFUNCTION("""COMPUTED_VALUE"""),7700)</f>
        <v>7700</v>
      </c>
      <c r="E1096" s="2">
        <f ca="1">IFERROR(__xludf.DUMMYFUNCTION("""COMPUTED_VALUE"""),7700)</f>
        <v>7700</v>
      </c>
      <c r="F1096" s="2">
        <f ca="1">IFERROR(__xludf.DUMMYFUNCTION("""COMPUTED_VALUE"""),37490900)</f>
        <v>37490900</v>
      </c>
    </row>
    <row r="1097" spans="1:6">
      <c r="A1097" s="1">
        <f ca="1">IFERROR(__xludf.DUMMYFUNCTION("""COMPUTED_VALUE"""),43670.625)</f>
        <v>43670.625</v>
      </c>
      <c r="B1097" s="2">
        <f ca="1">IFERROR(__xludf.DUMMYFUNCTION("""COMPUTED_VALUE"""),7700)</f>
        <v>7700</v>
      </c>
      <c r="C1097" s="2">
        <f ca="1">IFERROR(__xludf.DUMMYFUNCTION("""COMPUTED_VALUE"""),7825)</f>
        <v>7825</v>
      </c>
      <c r="D1097" s="2">
        <f ca="1">IFERROR(__xludf.DUMMYFUNCTION("""COMPUTED_VALUE"""),7700)</f>
        <v>7700</v>
      </c>
      <c r="E1097" s="2">
        <f ca="1">IFERROR(__xludf.DUMMYFUNCTION("""COMPUTED_VALUE"""),7700)</f>
        <v>7700</v>
      </c>
      <c r="F1097" s="2">
        <f ca="1">IFERROR(__xludf.DUMMYFUNCTION("""COMPUTED_VALUE"""),32782900)</f>
        <v>32782900</v>
      </c>
    </row>
    <row r="1098" spans="1:6">
      <c r="A1098" s="1">
        <f ca="1">IFERROR(__xludf.DUMMYFUNCTION("""COMPUTED_VALUE"""),43671.625)</f>
        <v>43671.625</v>
      </c>
      <c r="B1098" s="2">
        <f ca="1">IFERROR(__xludf.DUMMYFUNCTION("""COMPUTED_VALUE"""),7725)</f>
        <v>7725</v>
      </c>
      <c r="C1098" s="2">
        <f ca="1">IFERROR(__xludf.DUMMYFUNCTION("""COMPUTED_VALUE"""),7800)</f>
        <v>7800</v>
      </c>
      <c r="D1098" s="2">
        <f ca="1">IFERROR(__xludf.DUMMYFUNCTION("""COMPUTED_VALUE"""),7700)</f>
        <v>7700</v>
      </c>
      <c r="E1098" s="2">
        <f ca="1">IFERROR(__xludf.DUMMYFUNCTION("""COMPUTED_VALUE"""),7800)</f>
        <v>7800</v>
      </c>
      <c r="F1098" s="2">
        <f ca="1">IFERROR(__xludf.DUMMYFUNCTION("""COMPUTED_VALUE"""),38731000)</f>
        <v>38731000</v>
      </c>
    </row>
    <row r="1099" spans="1:6">
      <c r="A1099" s="1">
        <f ca="1">IFERROR(__xludf.DUMMYFUNCTION("""COMPUTED_VALUE"""),43672.625)</f>
        <v>43672.625</v>
      </c>
      <c r="B1099" s="2">
        <f ca="1">IFERROR(__xludf.DUMMYFUNCTION("""COMPUTED_VALUE"""),7650)</f>
        <v>7650</v>
      </c>
      <c r="C1099" s="2">
        <f ca="1">IFERROR(__xludf.DUMMYFUNCTION("""COMPUTED_VALUE"""),7775)</f>
        <v>7775</v>
      </c>
      <c r="D1099" s="2">
        <f ca="1">IFERROR(__xludf.DUMMYFUNCTION("""COMPUTED_VALUE"""),7625)</f>
        <v>7625</v>
      </c>
      <c r="E1099" s="2">
        <f ca="1">IFERROR(__xludf.DUMMYFUNCTION("""COMPUTED_VALUE"""),7750)</f>
        <v>7750</v>
      </c>
      <c r="F1099" s="2">
        <f ca="1">IFERROR(__xludf.DUMMYFUNCTION("""COMPUTED_VALUE"""),31363700)</f>
        <v>31363700</v>
      </c>
    </row>
    <row r="1100" spans="1:6">
      <c r="A1100" s="1">
        <f ca="1">IFERROR(__xludf.DUMMYFUNCTION("""COMPUTED_VALUE"""),43675.625)</f>
        <v>43675.625</v>
      </c>
      <c r="B1100" s="2">
        <f ca="1">IFERROR(__xludf.DUMMYFUNCTION("""COMPUTED_VALUE"""),7825)</f>
        <v>7825</v>
      </c>
      <c r="C1100" s="2">
        <f ca="1">IFERROR(__xludf.DUMMYFUNCTION("""COMPUTED_VALUE"""),7825)</f>
        <v>7825</v>
      </c>
      <c r="D1100" s="2">
        <f ca="1">IFERROR(__xludf.DUMMYFUNCTION("""COMPUTED_VALUE"""),7675)</f>
        <v>7675</v>
      </c>
      <c r="E1100" s="2">
        <f ca="1">IFERROR(__xludf.DUMMYFUNCTION("""COMPUTED_VALUE"""),7800)</f>
        <v>7800</v>
      </c>
      <c r="F1100" s="2">
        <f ca="1">IFERROR(__xludf.DUMMYFUNCTION("""COMPUTED_VALUE"""),27603200)</f>
        <v>27603200</v>
      </c>
    </row>
    <row r="1101" spans="1:6">
      <c r="A1101" s="1">
        <f ca="1">IFERROR(__xludf.DUMMYFUNCTION("""COMPUTED_VALUE"""),43676.625)</f>
        <v>43676.625</v>
      </c>
      <c r="B1101" s="2">
        <f ca="1">IFERROR(__xludf.DUMMYFUNCTION("""COMPUTED_VALUE"""),7800)</f>
        <v>7800</v>
      </c>
      <c r="C1101" s="2">
        <f ca="1">IFERROR(__xludf.DUMMYFUNCTION("""COMPUTED_VALUE"""),7975)</f>
        <v>7975</v>
      </c>
      <c r="D1101" s="2">
        <f ca="1">IFERROR(__xludf.DUMMYFUNCTION("""COMPUTED_VALUE"""),7725)</f>
        <v>7725</v>
      </c>
      <c r="E1101" s="2">
        <f ca="1">IFERROR(__xludf.DUMMYFUNCTION("""COMPUTED_VALUE"""),7950)</f>
        <v>7950</v>
      </c>
      <c r="F1101" s="2">
        <f ca="1">IFERROR(__xludf.DUMMYFUNCTION("""COMPUTED_VALUE"""),43537800)</f>
        <v>43537800</v>
      </c>
    </row>
    <row r="1102" spans="1:6">
      <c r="A1102" s="1">
        <f ca="1">IFERROR(__xludf.DUMMYFUNCTION("""COMPUTED_VALUE"""),43677.625)</f>
        <v>43677.625</v>
      </c>
      <c r="B1102" s="2">
        <f ca="1">IFERROR(__xludf.DUMMYFUNCTION("""COMPUTED_VALUE"""),7875)</f>
        <v>7875</v>
      </c>
      <c r="C1102" s="2">
        <f ca="1">IFERROR(__xludf.DUMMYFUNCTION("""COMPUTED_VALUE"""),7975)</f>
        <v>7975</v>
      </c>
      <c r="D1102" s="2">
        <f ca="1">IFERROR(__xludf.DUMMYFUNCTION("""COMPUTED_VALUE"""),7800)</f>
        <v>7800</v>
      </c>
      <c r="E1102" s="2">
        <f ca="1">IFERROR(__xludf.DUMMYFUNCTION("""COMPUTED_VALUE"""),7975)</f>
        <v>7975</v>
      </c>
      <c r="F1102" s="2">
        <f ca="1">IFERROR(__xludf.DUMMYFUNCTION("""COMPUTED_VALUE"""),29504400)</f>
        <v>29504400</v>
      </c>
    </row>
    <row r="1103" spans="1:6">
      <c r="A1103" s="1">
        <f ca="1">IFERROR(__xludf.DUMMYFUNCTION("""COMPUTED_VALUE"""),43678.625)</f>
        <v>43678.625</v>
      </c>
      <c r="B1103" s="2">
        <f ca="1">IFERROR(__xludf.DUMMYFUNCTION("""COMPUTED_VALUE"""),7875)</f>
        <v>7875</v>
      </c>
      <c r="C1103" s="2">
        <f ca="1">IFERROR(__xludf.DUMMYFUNCTION("""COMPUTED_VALUE"""),7900)</f>
        <v>7900</v>
      </c>
      <c r="D1103" s="2">
        <f ca="1">IFERROR(__xludf.DUMMYFUNCTION("""COMPUTED_VALUE"""),7725)</f>
        <v>7725</v>
      </c>
      <c r="E1103" s="2">
        <f ca="1">IFERROR(__xludf.DUMMYFUNCTION("""COMPUTED_VALUE"""),7775)</f>
        <v>7775</v>
      </c>
      <c r="F1103" s="2">
        <f ca="1">IFERROR(__xludf.DUMMYFUNCTION("""COMPUTED_VALUE"""),48365500)</f>
        <v>48365500</v>
      </c>
    </row>
    <row r="1104" spans="1:6">
      <c r="A1104" s="1">
        <f ca="1">IFERROR(__xludf.DUMMYFUNCTION("""COMPUTED_VALUE"""),43679.625)</f>
        <v>43679.625</v>
      </c>
      <c r="B1104" s="2">
        <f ca="1">IFERROR(__xludf.DUMMYFUNCTION("""COMPUTED_VALUE"""),7700)</f>
        <v>7700</v>
      </c>
      <c r="C1104" s="2">
        <f ca="1">IFERROR(__xludf.DUMMYFUNCTION("""COMPUTED_VALUE"""),7750)</f>
        <v>7750</v>
      </c>
      <c r="D1104" s="2">
        <f ca="1">IFERROR(__xludf.DUMMYFUNCTION("""COMPUTED_VALUE"""),7600)</f>
        <v>7600</v>
      </c>
      <c r="E1104" s="2">
        <f ca="1">IFERROR(__xludf.DUMMYFUNCTION("""COMPUTED_VALUE"""),7675)</f>
        <v>7675</v>
      </c>
      <c r="F1104" s="2">
        <f ca="1">IFERROR(__xludf.DUMMYFUNCTION("""COMPUTED_VALUE"""),51863500)</f>
        <v>51863500</v>
      </c>
    </row>
    <row r="1105" spans="1:6">
      <c r="A1105" s="1">
        <f ca="1">IFERROR(__xludf.DUMMYFUNCTION("""COMPUTED_VALUE"""),43682.625)</f>
        <v>43682.625</v>
      </c>
      <c r="B1105" s="2">
        <f ca="1">IFERROR(__xludf.DUMMYFUNCTION("""COMPUTED_VALUE"""),7600)</f>
        <v>7600</v>
      </c>
      <c r="C1105" s="2">
        <f ca="1">IFERROR(__xludf.DUMMYFUNCTION("""COMPUTED_VALUE"""),7650)</f>
        <v>7650</v>
      </c>
      <c r="D1105" s="2">
        <f ca="1">IFERROR(__xludf.DUMMYFUNCTION("""COMPUTED_VALUE"""),7325)</f>
        <v>7325</v>
      </c>
      <c r="E1105" s="2">
        <f ca="1">IFERROR(__xludf.DUMMYFUNCTION("""COMPUTED_VALUE"""),7425)</f>
        <v>7425</v>
      </c>
      <c r="F1105" s="2">
        <f ca="1">IFERROR(__xludf.DUMMYFUNCTION("""COMPUTED_VALUE"""),64931300)</f>
        <v>64931300</v>
      </c>
    </row>
    <row r="1106" spans="1:6">
      <c r="A1106" s="1">
        <f ca="1">IFERROR(__xludf.DUMMYFUNCTION("""COMPUTED_VALUE"""),43683.625)</f>
        <v>43683.625</v>
      </c>
      <c r="B1106" s="2">
        <f ca="1">IFERROR(__xludf.DUMMYFUNCTION("""COMPUTED_VALUE"""),7300)</f>
        <v>7300</v>
      </c>
      <c r="C1106" s="2">
        <f ca="1">IFERROR(__xludf.DUMMYFUNCTION("""COMPUTED_VALUE"""),7400)</f>
        <v>7400</v>
      </c>
      <c r="D1106" s="2">
        <f ca="1">IFERROR(__xludf.DUMMYFUNCTION("""COMPUTED_VALUE"""),7100)</f>
        <v>7100</v>
      </c>
      <c r="E1106" s="2">
        <f ca="1">IFERROR(__xludf.DUMMYFUNCTION("""COMPUTED_VALUE"""),7250)</f>
        <v>7250</v>
      </c>
      <c r="F1106" s="2">
        <f ca="1">IFERROR(__xludf.DUMMYFUNCTION("""COMPUTED_VALUE"""),78566200)</f>
        <v>78566200</v>
      </c>
    </row>
    <row r="1107" spans="1:6">
      <c r="A1107" s="1">
        <f ca="1">IFERROR(__xludf.DUMMYFUNCTION("""COMPUTED_VALUE"""),43684.625)</f>
        <v>43684.625</v>
      </c>
      <c r="B1107" s="2">
        <f ca="1">IFERROR(__xludf.DUMMYFUNCTION("""COMPUTED_VALUE"""),7275)</f>
        <v>7275</v>
      </c>
      <c r="C1107" s="2">
        <f ca="1">IFERROR(__xludf.DUMMYFUNCTION("""COMPUTED_VALUE"""),7400)</f>
        <v>7400</v>
      </c>
      <c r="D1107" s="2">
        <f ca="1">IFERROR(__xludf.DUMMYFUNCTION("""COMPUTED_VALUE"""),7275)</f>
        <v>7275</v>
      </c>
      <c r="E1107" s="2">
        <f ca="1">IFERROR(__xludf.DUMMYFUNCTION("""COMPUTED_VALUE"""),7350)</f>
        <v>7350</v>
      </c>
      <c r="F1107" s="2">
        <f ca="1">IFERROR(__xludf.DUMMYFUNCTION("""COMPUTED_VALUE"""),51966400)</f>
        <v>51966400</v>
      </c>
    </row>
    <row r="1108" spans="1:6">
      <c r="A1108" s="1">
        <f ca="1">IFERROR(__xludf.DUMMYFUNCTION("""COMPUTED_VALUE"""),43685.625)</f>
        <v>43685.625</v>
      </c>
      <c r="B1108" s="2">
        <f ca="1">IFERROR(__xludf.DUMMYFUNCTION("""COMPUTED_VALUE"""),7450)</f>
        <v>7450</v>
      </c>
      <c r="C1108" s="2">
        <f ca="1">IFERROR(__xludf.DUMMYFUNCTION("""COMPUTED_VALUE"""),7525)</f>
        <v>7525</v>
      </c>
      <c r="D1108" s="2">
        <f ca="1">IFERROR(__xludf.DUMMYFUNCTION("""COMPUTED_VALUE"""),7350)</f>
        <v>7350</v>
      </c>
      <c r="E1108" s="2">
        <f ca="1">IFERROR(__xludf.DUMMYFUNCTION("""COMPUTED_VALUE"""),7500)</f>
        <v>7500</v>
      </c>
      <c r="F1108" s="2">
        <f ca="1">IFERROR(__xludf.DUMMYFUNCTION("""COMPUTED_VALUE"""),42855900)</f>
        <v>42855900</v>
      </c>
    </row>
    <row r="1109" spans="1:6">
      <c r="A1109" s="1">
        <f ca="1">IFERROR(__xludf.DUMMYFUNCTION("""COMPUTED_VALUE"""),43686.625)</f>
        <v>43686.625</v>
      </c>
      <c r="B1109" s="2">
        <f ca="1">IFERROR(__xludf.DUMMYFUNCTION("""COMPUTED_VALUE"""),7500)</f>
        <v>7500</v>
      </c>
      <c r="C1109" s="2">
        <f ca="1">IFERROR(__xludf.DUMMYFUNCTION("""COMPUTED_VALUE"""),7550)</f>
        <v>7550</v>
      </c>
      <c r="D1109" s="2">
        <f ca="1">IFERROR(__xludf.DUMMYFUNCTION("""COMPUTED_VALUE"""),7450)</f>
        <v>7450</v>
      </c>
      <c r="E1109" s="2">
        <f ca="1">IFERROR(__xludf.DUMMYFUNCTION("""COMPUTED_VALUE"""),7450)</f>
        <v>7450</v>
      </c>
      <c r="F1109" s="2">
        <f ca="1">IFERROR(__xludf.DUMMYFUNCTION("""COMPUTED_VALUE"""),19508800)</f>
        <v>19508800</v>
      </c>
    </row>
    <row r="1110" spans="1:6">
      <c r="A1110" s="1">
        <f ca="1">IFERROR(__xludf.DUMMYFUNCTION("""COMPUTED_VALUE"""),43689.625)</f>
        <v>43689.625</v>
      </c>
      <c r="B1110" s="2">
        <f ca="1">IFERROR(__xludf.DUMMYFUNCTION("""COMPUTED_VALUE"""),7500)</f>
        <v>7500</v>
      </c>
      <c r="C1110" s="2">
        <f ca="1">IFERROR(__xludf.DUMMYFUNCTION("""COMPUTED_VALUE"""),7500)</f>
        <v>7500</v>
      </c>
      <c r="D1110" s="2">
        <f ca="1">IFERROR(__xludf.DUMMYFUNCTION("""COMPUTED_VALUE"""),7350)</f>
        <v>7350</v>
      </c>
      <c r="E1110" s="2">
        <f ca="1">IFERROR(__xludf.DUMMYFUNCTION("""COMPUTED_VALUE"""),7400)</f>
        <v>7400</v>
      </c>
      <c r="F1110" s="2">
        <f ca="1">IFERROR(__xludf.DUMMYFUNCTION("""COMPUTED_VALUE"""),34628300)</f>
        <v>34628300</v>
      </c>
    </row>
    <row r="1111" spans="1:6">
      <c r="A1111" s="1">
        <f ca="1">IFERROR(__xludf.DUMMYFUNCTION("""COMPUTED_VALUE"""),43690.625)</f>
        <v>43690.625</v>
      </c>
      <c r="B1111" s="2">
        <f ca="1">IFERROR(__xludf.DUMMYFUNCTION("""COMPUTED_VALUE"""),7550)</f>
        <v>7550</v>
      </c>
      <c r="C1111" s="2">
        <f ca="1">IFERROR(__xludf.DUMMYFUNCTION("""COMPUTED_VALUE"""),7550)</f>
        <v>7550</v>
      </c>
      <c r="D1111" s="2">
        <f ca="1">IFERROR(__xludf.DUMMYFUNCTION("""COMPUTED_VALUE"""),7300)</f>
        <v>7300</v>
      </c>
      <c r="E1111" s="2">
        <f ca="1">IFERROR(__xludf.DUMMYFUNCTION("""COMPUTED_VALUE"""),7350)</f>
        <v>7350</v>
      </c>
      <c r="F1111" s="2">
        <f ca="1">IFERROR(__xludf.DUMMYFUNCTION("""COMPUTED_VALUE"""),34033900)</f>
        <v>34033900</v>
      </c>
    </row>
    <row r="1112" spans="1:6">
      <c r="A1112" s="1">
        <f ca="1">IFERROR(__xludf.DUMMYFUNCTION("""COMPUTED_VALUE"""),43691.625)</f>
        <v>43691.625</v>
      </c>
      <c r="B1112" s="2">
        <f ca="1">IFERROR(__xludf.DUMMYFUNCTION("""COMPUTED_VALUE"""),7500)</f>
        <v>7500</v>
      </c>
      <c r="C1112" s="2">
        <f ca="1">IFERROR(__xludf.DUMMYFUNCTION("""COMPUTED_VALUE"""),7525)</f>
        <v>7525</v>
      </c>
      <c r="D1112" s="2">
        <f ca="1">IFERROR(__xludf.DUMMYFUNCTION("""COMPUTED_VALUE"""),7350)</f>
        <v>7350</v>
      </c>
      <c r="E1112" s="2">
        <f ca="1">IFERROR(__xludf.DUMMYFUNCTION("""COMPUTED_VALUE"""),7500)</f>
        <v>7500</v>
      </c>
      <c r="F1112" s="2">
        <f ca="1">IFERROR(__xludf.DUMMYFUNCTION("""COMPUTED_VALUE"""),53806500)</f>
        <v>53806500</v>
      </c>
    </row>
    <row r="1113" spans="1:6">
      <c r="A1113" s="1">
        <f ca="1">IFERROR(__xludf.DUMMYFUNCTION("""COMPUTED_VALUE"""),43692.625)</f>
        <v>43692.625</v>
      </c>
      <c r="B1113" s="2">
        <f ca="1">IFERROR(__xludf.DUMMYFUNCTION("""COMPUTED_VALUE"""),7350)</f>
        <v>7350</v>
      </c>
      <c r="C1113" s="2">
        <f ca="1">IFERROR(__xludf.DUMMYFUNCTION("""COMPUTED_VALUE"""),7400)</f>
        <v>7400</v>
      </c>
      <c r="D1113" s="2">
        <f ca="1">IFERROR(__xludf.DUMMYFUNCTION("""COMPUTED_VALUE"""),7300)</f>
        <v>7300</v>
      </c>
      <c r="E1113" s="2">
        <f ca="1">IFERROR(__xludf.DUMMYFUNCTION("""COMPUTED_VALUE"""),7400)</f>
        <v>7400</v>
      </c>
      <c r="F1113" s="2">
        <f ca="1">IFERROR(__xludf.DUMMYFUNCTION("""COMPUTED_VALUE"""),28728200)</f>
        <v>28728200</v>
      </c>
    </row>
    <row r="1114" spans="1:6">
      <c r="A1114" s="1">
        <f ca="1">IFERROR(__xludf.DUMMYFUNCTION("""COMPUTED_VALUE"""),43693.625)</f>
        <v>43693.625</v>
      </c>
      <c r="B1114" s="2">
        <f ca="1">IFERROR(__xludf.DUMMYFUNCTION("""COMPUTED_VALUE"""),7400)</f>
        <v>7400</v>
      </c>
      <c r="C1114" s="2">
        <f ca="1">IFERROR(__xludf.DUMMYFUNCTION("""COMPUTED_VALUE"""),7425)</f>
        <v>7425</v>
      </c>
      <c r="D1114" s="2">
        <f ca="1">IFERROR(__xludf.DUMMYFUNCTION("""COMPUTED_VALUE"""),7325)</f>
        <v>7325</v>
      </c>
      <c r="E1114" s="2">
        <f ca="1">IFERROR(__xludf.DUMMYFUNCTION("""COMPUTED_VALUE"""),7375)</f>
        <v>7375</v>
      </c>
      <c r="F1114" s="2">
        <f ca="1">IFERROR(__xludf.DUMMYFUNCTION("""COMPUTED_VALUE"""),23846500)</f>
        <v>23846500</v>
      </c>
    </row>
    <row r="1115" spans="1:6">
      <c r="A1115" s="1">
        <f ca="1">IFERROR(__xludf.DUMMYFUNCTION("""COMPUTED_VALUE"""),43696.625)</f>
        <v>43696.625</v>
      </c>
      <c r="B1115" s="2">
        <f ca="1">IFERROR(__xludf.DUMMYFUNCTION("""COMPUTED_VALUE"""),7450)</f>
        <v>7450</v>
      </c>
      <c r="C1115" s="2">
        <f ca="1">IFERROR(__xludf.DUMMYFUNCTION("""COMPUTED_VALUE"""),7450)</f>
        <v>7450</v>
      </c>
      <c r="D1115" s="2">
        <f ca="1">IFERROR(__xludf.DUMMYFUNCTION("""COMPUTED_VALUE"""),7325)</f>
        <v>7325</v>
      </c>
      <c r="E1115" s="2">
        <f ca="1">IFERROR(__xludf.DUMMYFUNCTION("""COMPUTED_VALUE"""),7350)</f>
        <v>7350</v>
      </c>
      <c r="F1115" s="2">
        <f ca="1">IFERROR(__xludf.DUMMYFUNCTION("""COMPUTED_VALUE"""),19275600)</f>
        <v>19275600</v>
      </c>
    </row>
    <row r="1116" spans="1:6">
      <c r="A1116" s="1">
        <f ca="1">IFERROR(__xludf.DUMMYFUNCTION("""COMPUTED_VALUE"""),43697.625)</f>
        <v>43697.625</v>
      </c>
      <c r="B1116" s="2">
        <f ca="1">IFERROR(__xludf.DUMMYFUNCTION("""COMPUTED_VALUE"""),7425)</f>
        <v>7425</v>
      </c>
      <c r="C1116" s="2">
        <f ca="1">IFERROR(__xludf.DUMMYFUNCTION("""COMPUTED_VALUE"""),7450)</f>
        <v>7450</v>
      </c>
      <c r="D1116" s="2">
        <f ca="1">IFERROR(__xludf.DUMMYFUNCTION("""COMPUTED_VALUE"""),7300)</f>
        <v>7300</v>
      </c>
      <c r="E1116" s="2">
        <f ca="1">IFERROR(__xludf.DUMMYFUNCTION("""COMPUTED_VALUE"""),7375)</f>
        <v>7375</v>
      </c>
      <c r="F1116" s="2">
        <f ca="1">IFERROR(__xludf.DUMMYFUNCTION("""COMPUTED_VALUE"""),37698100)</f>
        <v>37698100</v>
      </c>
    </row>
    <row r="1117" spans="1:6">
      <c r="A1117" s="1">
        <f ca="1">IFERROR(__xludf.DUMMYFUNCTION("""COMPUTED_VALUE"""),43698.625)</f>
        <v>43698.625</v>
      </c>
      <c r="B1117" s="2">
        <f ca="1">IFERROR(__xludf.DUMMYFUNCTION("""COMPUTED_VALUE"""),7325)</f>
        <v>7325</v>
      </c>
      <c r="C1117" s="2">
        <f ca="1">IFERROR(__xludf.DUMMYFUNCTION("""COMPUTED_VALUE"""),7350)</f>
        <v>7350</v>
      </c>
      <c r="D1117" s="2">
        <f ca="1">IFERROR(__xludf.DUMMYFUNCTION("""COMPUTED_VALUE"""),7225)</f>
        <v>7225</v>
      </c>
      <c r="E1117" s="2">
        <f ca="1">IFERROR(__xludf.DUMMYFUNCTION("""COMPUTED_VALUE"""),7225)</f>
        <v>7225</v>
      </c>
      <c r="F1117" s="2">
        <f ca="1">IFERROR(__xludf.DUMMYFUNCTION("""COMPUTED_VALUE"""),24920700)</f>
        <v>24920700</v>
      </c>
    </row>
    <row r="1118" spans="1:6">
      <c r="A1118" s="1">
        <f ca="1">IFERROR(__xludf.DUMMYFUNCTION("""COMPUTED_VALUE"""),43699.625)</f>
        <v>43699.625</v>
      </c>
      <c r="B1118" s="2">
        <f ca="1">IFERROR(__xludf.DUMMYFUNCTION("""COMPUTED_VALUE"""),7300)</f>
        <v>7300</v>
      </c>
      <c r="C1118" s="2">
        <f ca="1">IFERROR(__xludf.DUMMYFUNCTION("""COMPUTED_VALUE"""),7325)</f>
        <v>7325</v>
      </c>
      <c r="D1118" s="2">
        <f ca="1">IFERROR(__xludf.DUMMYFUNCTION("""COMPUTED_VALUE"""),7150)</f>
        <v>7150</v>
      </c>
      <c r="E1118" s="2">
        <f ca="1">IFERROR(__xludf.DUMMYFUNCTION("""COMPUTED_VALUE"""),7225)</f>
        <v>7225</v>
      </c>
      <c r="F1118" s="2">
        <f ca="1">IFERROR(__xludf.DUMMYFUNCTION("""COMPUTED_VALUE"""),38826400)</f>
        <v>38826400</v>
      </c>
    </row>
    <row r="1119" spans="1:6">
      <c r="A1119" s="1">
        <f ca="1">IFERROR(__xludf.DUMMYFUNCTION("""COMPUTED_VALUE"""),43700.625)</f>
        <v>43700.625</v>
      </c>
      <c r="B1119" s="2">
        <f ca="1">IFERROR(__xludf.DUMMYFUNCTION("""COMPUTED_VALUE"""),7250)</f>
        <v>7250</v>
      </c>
      <c r="C1119" s="2">
        <f ca="1">IFERROR(__xludf.DUMMYFUNCTION("""COMPUTED_VALUE"""),7250)</f>
        <v>7250</v>
      </c>
      <c r="D1119" s="2">
        <f ca="1">IFERROR(__xludf.DUMMYFUNCTION("""COMPUTED_VALUE"""),7150)</f>
        <v>7150</v>
      </c>
      <c r="E1119" s="2">
        <f ca="1">IFERROR(__xludf.DUMMYFUNCTION("""COMPUTED_VALUE"""),7175)</f>
        <v>7175</v>
      </c>
      <c r="F1119" s="2">
        <f ca="1">IFERROR(__xludf.DUMMYFUNCTION("""COMPUTED_VALUE"""),22267900)</f>
        <v>22267900</v>
      </c>
    </row>
    <row r="1120" spans="1:6">
      <c r="A1120" s="1">
        <f ca="1">IFERROR(__xludf.DUMMYFUNCTION("""COMPUTED_VALUE"""),43703.625)</f>
        <v>43703.625</v>
      </c>
      <c r="B1120" s="2">
        <f ca="1">IFERROR(__xludf.DUMMYFUNCTION("""COMPUTED_VALUE"""),7100)</f>
        <v>7100</v>
      </c>
      <c r="C1120" s="2">
        <f ca="1">IFERROR(__xludf.DUMMYFUNCTION("""COMPUTED_VALUE"""),7100)</f>
        <v>7100</v>
      </c>
      <c r="D1120" s="2">
        <f ca="1">IFERROR(__xludf.DUMMYFUNCTION("""COMPUTED_VALUE"""),7000)</f>
        <v>7000</v>
      </c>
      <c r="E1120" s="2">
        <f ca="1">IFERROR(__xludf.DUMMYFUNCTION("""COMPUTED_VALUE"""),7050)</f>
        <v>7050</v>
      </c>
      <c r="F1120" s="2">
        <f ca="1">IFERROR(__xludf.DUMMYFUNCTION("""COMPUTED_VALUE"""),39307300)</f>
        <v>39307300</v>
      </c>
    </row>
    <row r="1121" spans="1:6">
      <c r="A1121" s="1">
        <f ca="1">IFERROR(__xludf.DUMMYFUNCTION("""COMPUTED_VALUE"""),43704.625)</f>
        <v>43704.625</v>
      </c>
      <c r="B1121" s="2">
        <f ca="1">IFERROR(__xludf.DUMMYFUNCTION("""COMPUTED_VALUE"""),7050)</f>
        <v>7050</v>
      </c>
      <c r="C1121" s="2">
        <f ca="1">IFERROR(__xludf.DUMMYFUNCTION("""COMPUTED_VALUE"""),7125)</f>
        <v>7125</v>
      </c>
      <c r="D1121" s="2">
        <f ca="1">IFERROR(__xludf.DUMMYFUNCTION("""COMPUTED_VALUE"""),7025)</f>
        <v>7025</v>
      </c>
      <c r="E1121" s="2">
        <f ca="1">IFERROR(__xludf.DUMMYFUNCTION("""COMPUTED_VALUE"""),7025)</f>
        <v>7025</v>
      </c>
      <c r="F1121" s="2">
        <f ca="1">IFERROR(__xludf.DUMMYFUNCTION("""COMPUTED_VALUE"""),76600800)</f>
        <v>76600800</v>
      </c>
    </row>
    <row r="1122" spans="1:6">
      <c r="A1122" s="1">
        <f ca="1">IFERROR(__xludf.DUMMYFUNCTION("""COMPUTED_VALUE"""),43705.625)</f>
        <v>43705.625</v>
      </c>
      <c r="B1122" s="2">
        <f ca="1">IFERROR(__xludf.DUMMYFUNCTION("""COMPUTED_VALUE"""),7025)</f>
        <v>7025</v>
      </c>
      <c r="C1122" s="2">
        <f ca="1">IFERROR(__xludf.DUMMYFUNCTION("""COMPUTED_VALUE"""),7100)</f>
        <v>7100</v>
      </c>
      <c r="D1122" s="2">
        <f ca="1">IFERROR(__xludf.DUMMYFUNCTION("""COMPUTED_VALUE"""),6950)</f>
        <v>6950</v>
      </c>
      <c r="E1122" s="2">
        <f ca="1">IFERROR(__xludf.DUMMYFUNCTION("""COMPUTED_VALUE"""),7050)</f>
        <v>7050</v>
      </c>
      <c r="F1122" s="2">
        <f ca="1">IFERROR(__xludf.DUMMYFUNCTION("""COMPUTED_VALUE"""),48041200)</f>
        <v>48041200</v>
      </c>
    </row>
    <row r="1123" spans="1:6">
      <c r="A1123" s="1">
        <f ca="1">IFERROR(__xludf.DUMMYFUNCTION("""COMPUTED_VALUE"""),43706.625)</f>
        <v>43706.625</v>
      </c>
      <c r="B1123" s="2">
        <f ca="1">IFERROR(__xludf.DUMMYFUNCTION("""COMPUTED_VALUE"""),7050)</f>
        <v>7050</v>
      </c>
      <c r="C1123" s="2">
        <f ca="1">IFERROR(__xludf.DUMMYFUNCTION("""COMPUTED_VALUE"""),7100)</f>
        <v>7100</v>
      </c>
      <c r="D1123" s="2">
        <f ca="1">IFERROR(__xludf.DUMMYFUNCTION("""COMPUTED_VALUE"""),7025)</f>
        <v>7025</v>
      </c>
      <c r="E1123" s="2">
        <f ca="1">IFERROR(__xludf.DUMMYFUNCTION("""COMPUTED_VALUE"""),7075)</f>
        <v>7075</v>
      </c>
      <c r="F1123" s="2">
        <f ca="1">IFERROR(__xludf.DUMMYFUNCTION("""COMPUTED_VALUE"""),31874400)</f>
        <v>31874400</v>
      </c>
    </row>
    <row r="1124" spans="1:6">
      <c r="A1124" s="1">
        <f ca="1">IFERROR(__xludf.DUMMYFUNCTION("""COMPUTED_VALUE"""),43707.625)</f>
        <v>43707.625</v>
      </c>
      <c r="B1124" s="2">
        <f ca="1">IFERROR(__xludf.DUMMYFUNCTION("""COMPUTED_VALUE"""),7125)</f>
        <v>7125</v>
      </c>
      <c r="C1124" s="2">
        <f ca="1">IFERROR(__xludf.DUMMYFUNCTION("""COMPUTED_VALUE"""),7250)</f>
        <v>7250</v>
      </c>
      <c r="D1124" s="2">
        <f ca="1">IFERROR(__xludf.DUMMYFUNCTION("""COMPUTED_VALUE"""),7075)</f>
        <v>7075</v>
      </c>
      <c r="E1124" s="2">
        <f ca="1">IFERROR(__xludf.DUMMYFUNCTION("""COMPUTED_VALUE"""),7250)</f>
        <v>7250</v>
      </c>
      <c r="F1124" s="2">
        <f ca="1">IFERROR(__xludf.DUMMYFUNCTION("""COMPUTED_VALUE"""),53185300)</f>
        <v>53185300</v>
      </c>
    </row>
    <row r="1125" spans="1:6">
      <c r="A1125" s="1">
        <f ca="1">IFERROR(__xludf.DUMMYFUNCTION("""COMPUTED_VALUE"""),43710.625)</f>
        <v>43710.625</v>
      </c>
      <c r="B1125" s="2">
        <f ca="1">IFERROR(__xludf.DUMMYFUNCTION("""COMPUTED_VALUE"""),7225)</f>
        <v>7225</v>
      </c>
      <c r="C1125" s="2">
        <f ca="1">IFERROR(__xludf.DUMMYFUNCTION("""COMPUTED_VALUE"""),7225)</f>
        <v>7225</v>
      </c>
      <c r="D1125" s="2">
        <f ca="1">IFERROR(__xludf.DUMMYFUNCTION("""COMPUTED_VALUE"""),7125)</f>
        <v>7125</v>
      </c>
      <c r="E1125" s="2">
        <f ca="1">IFERROR(__xludf.DUMMYFUNCTION("""COMPUTED_VALUE"""),7175)</f>
        <v>7175</v>
      </c>
      <c r="F1125" s="2">
        <f ca="1">IFERROR(__xludf.DUMMYFUNCTION("""COMPUTED_VALUE"""),18811100)</f>
        <v>18811100</v>
      </c>
    </row>
    <row r="1126" spans="1:6">
      <c r="A1126" s="1">
        <f ca="1">IFERROR(__xludf.DUMMYFUNCTION("""COMPUTED_VALUE"""),43711.625)</f>
        <v>43711.625</v>
      </c>
      <c r="B1126" s="2">
        <f ca="1">IFERROR(__xludf.DUMMYFUNCTION("""COMPUTED_VALUE"""),7175)</f>
        <v>7175</v>
      </c>
      <c r="C1126" s="2">
        <f ca="1">IFERROR(__xludf.DUMMYFUNCTION("""COMPUTED_VALUE"""),7200)</f>
        <v>7200</v>
      </c>
      <c r="D1126" s="2">
        <f ca="1">IFERROR(__xludf.DUMMYFUNCTION("""COMPUTED_VALUE"""),6825)</f>
        <v>6825</v>
      </c>
      <c r="E1126" s="2">
        <f ca="1">IFERROR(__xludf.DUMMYFUNCTION("""COMPUTED_VALUE"""),6900)</f>
        <v>6900</v>
      </c>
      <c r="F1126" s="2">
        <f ca="1">IFERROR(__xludf.DUMMYFUNCTION("""COMPUTED_VALUE"""),48499100)</f>
        <v>48499100</v>
      </c>
    </row>
    <row r="1127" spans="1:6">
      <c r="A1127" s="1">
        <f ca="1">IFERROR(__xludf.DUMMYFUNCTION("""COMPUTED_VALUE"""),43712.625)</f>
        <v>43712.625</v>
      </c>
      <c r="B1127" s="2">
        <f ca="1">IFERROR(__xludf.DUMMYFUNCTION("""COMPUTED_VALUE"""),6975)</f>
        <v>6975</v>
      </c>
      <c r="C1127" s="2">
        <f ca="1">IFERROR(__xludf.DUMMYFUNCTION("""COMPUTED_VALUE"""),6975)</f>
        <v>6975</v>
      </c>
      <c r="D1127" s="2">
        <f ca="1">IFERROR(__xludf.DUMMYFUNCTION("""COMPUTED_VALUE"""),6850)</f>
        <v>6850</v>
      </c>
      <c r="E1127" s="2">
        <f ca="1">IFERROR(__xludf.DUMMYFUNCTION("""COMPUTED_VALUE"""),6925)</f>
        <v>6925</v>
      </c>
      <c r="F1127" s="2">
        <f ca="1">IFERROR(__xludf.DUMMYFUNCTION("""COMPUTED_VALUE"""),37217300)</f>
        <v>37217300</v>
      </c>
    </row>
    <row r="1128" spans="1:6">
      <c r="A1128" s="1">
        <f ca="1">IFERROR(__xludf.DUMMYFUNCTION("""COMPUTED_VALUE"""),43713.625)</f>
        <v>43713.625</v>
      </c>
      <c r="B1128" s="2">
        <f ca="1">IFERROR(__xludf.DUMMYFUNCTION("""COMPUTED_VALUE"""),7000)</f>
        <v>7000</v>
      </c>
      <c r="C1128" s="2">
        <f ca="1">IFERROR(__xludf.DUMMYFUNCTION("""COMPUTED_VALUE"""),7025)</f>
        <v>7025</v>
      </c>
      <c r="D1128" s="2">
        <f ca="1">IFERROR(__xludf.DUMMYFUNCTION("""COMPUTED_VALUE"""),6925)</f>
        <v>6925</v>
      </c>
      <c r="E1128" s="2">
        <f ca="1">IFERROR(__xludf.DUMMYFUNCTION("""COMPUTED_VALUE"""),6975)</f>
        <v>6975</v>
      </c>
      <c r="F1128" s="2">
        <f ca="1">IFERROR(__xludf.DUMMYFUNCTION("""COMPUTED_VALUE"""),39321400)</f>
        <v>39321400</v>
      </c>
    </row>
    <row r="1129" spans="1:6">
      <c r="A1129" s="1">
        <f ca="1">IFERROR(__xludf.DUMMYFUNCTION("""COMPUTED_VALUE"""),43714.625)</f>
        <v>43714.625</v>
      </c>
      <c r="B1129" s="2">
        <f ca="1">IFERROR(__xludf.DUMMYFUNCTION("""COMPUTED_VALUE"""),7025)</f>
        <v>7025</v>
      </c>
      <c r="C1129" s="2">
        <f ca="1">IFERROR(__xludf.DUMMYFUNCTION("""COMPUTED_VALUE"""),7150)</f>
        <v>7150</v>
      </c>
      <c r="D1129" s="2">
        <f ca="1">IFERROR(__xludf.DUMMYFUNCTION("""COMPUTED_VALUE"""),6975)</f>
        <v>6975</v>
      </c>
      <c r="E1129" s="2">
        <f ca="1">IFERROR(__xludf.DUMMYFUNCTION("""COMPUTED_VALUE"""),7050)</f>
        <v>7050</v>
      </c>
      <c r="F1129" s="2">
        <f ca="1">IFERROR(__xludf.DUMMYFUNCTION("""COMPUTED_VALUE"""),44323000)</f>
        <v>44323000</v>
      </c>
    </row>
    <row r="1130" spans="1:6">
      <c r="A1130" s="1">
        <f ca="1">IFERROR(__xludf.DUMMYFUNCTION("""COMPUTED_VALUE"""),43717.625)</f>
        <v>43717.625</v>
      </c>
      <c r="B1130" s="2">
        <f ca="1">IFERROR(__xludf.DUMMYFUNCTION("""COMPUTED_VALUE"""),7075)</f>
        <v>7075</v>
      </c>
      <c r="C1130" s="2">
        <f ca="1">IFERROR(__xludf.DUMMYFUNCTION("""COMPUTED_VALUE"""),7075)</f>
        <v>7075</v>
      </c>
      <c r="D1130" s="2">
        <f ca="1">IFERROR(__xludf.DUMMYFUNCTION("""COMPUTED_VALUE"""),6925)</f>
        <v>6925</v>
      </c>
      <c r="E1130" s="2">
        <f ca="1">IFERROR(__xludf.DUMMYFUNCTION("""COMPUTED_VALUE"""),6975)</f>
        <v>6975</v>
      </c>
      <c r="F1130" s="2">
        <f ca="1">IFERROR(__xludf.DUMMYFUNCTION("""COMPUTED_VALUE"""),27920700)</f>
        <v>27920700</v>
      </c>
    </row>
    <row r="1131" spans="1:6">
      <c r="A1131" s="1">
        <f ca="1">IFERROR(__xludf.DUMMYFUNCTION("""COMPUTED_VALUE"""),43718.625)</f>
        <v>43718.625</v>
      </c>
      <c r="B1131" s="2">
        <f ca="1">IFERROR(__xludf.DUMMYFUNCTION("""COMPUTED_VALUE"""),6900)</f>
        <v>6900</v>
      </c>
      <c r="C1131" s="2">
        <f ca="1">IFERROR(__xludf.DUMMYFUNCTION("""COMPUTED_VALUE"""),7050)</f>
        <v>7050</v>
      </c>
      <c r="D1131" s="2">
        <f ca="1">IFERROR(__xludf.DUMMYFUNCTION("""COMPUTED_VALUE"""),6900)</f>
        <v>6900</v>
      </c>
      <c r="E1131" s="2">
        <f ca="1">IFERROR(__xludf.DUMMYFUNCTION("""COMPUTED_VALUE"""),7050)</f>
        <v>7050</v>
      </c>
      <c r="F1131" s="2">
        <f ca="1">IFERROR(__xludf.DUMMYFUNCTION("""COMPUTED_VALUE"""),26035200)</f>
        <v>26035200</v>
      </c>
    </row>
    <row r="1132" spans="1:6">
      <c r="A1132" s="1">
        <f ca="1">IFERROR(__xludf.DUMMYFUNCTION("""COMPUTED_VALUE"""),43719.625)</f>
        <v>43719.625</v>
      </c>
      <c r="B1132" s="2">
        <f ca="1">IFERROR(__xludf.DUMMYFUNCTION("""COMPUTED_VALUE"""),7000)</f>
        <v>7000</v>
      </c>
      <c r="C1132" s="2">
        <f ca="1">IFERROR(__xludf.DUMMYFUNCTION("""COMPUTED_VALUE"""),7150)</f>
        <v>7150</v>
      </c>
      <c r="D1132" s="2">
        <f ca="1">IFERROR(__xludf.DUMMYFUNCTION("""COMPUTED_VALUE"""),6950)</f>
        <v>6950</v>
      </c>
      <c r="E1132" s="2">
        <f ca="1">IFERROR(__xludf.DUMMYFUNCTION("""COMPUTED_VALUE"""),7150)</f>
        <v>7150</v>
      </c>
      <c r="F1132" s="2">
        <f ca="1">IFERROR(__xludf.DUMMYFUNCTION("""COMPUTED_VALUE"""),40388900)</f>
        <v>40388900</v>
      </c>
    </row>
    <row r="1133" spans="1:6">
      <c r="A1133" s="1">
        <f ca="1">IFERROR(__xludf.DUMMYFUNCTION("""COMPUTED_VALUE"""),43720.625)</f>
        <v>43720.625</v>
      </c>
      <c r="B1133" s="2">
        <f ca="1">IFERROR(__xludf.DUMMYFUNCTION("""COMPUTED_VALUE"""),7250)</f>
        <v>7250</v>
      </c>
      <c r="C1133" s="2">
        <f ca="1">IFERROR(__xludf.DUMMYFUNCTION("""COMPUTED_VALUE"""),7325)</f>
        <v>7325</v>
      </c>
      <c r="D1133" s="2">
        <f ca="1">IFERROR(__xludf.DUMMYFUNCTION("""COMPUTED_VALUE"""),7100)</f>
        <v>7100</v>
      </c>
      <c r="E1133" s="2">
        <f ca="1">IFERROR(__xludf.DUMMYFUNCTION("""COMPUTED_VALUE"""),7150)</f>
        <v>7150</v>
      </c>
      <c r="F1133" s="2">
        <f ca="1">IFERROR(__xludf.DUMMYFUNCTION("""COMPUTED_VALUE"""),42282300)</f>
        <v>42282300</v>
      </c>
    </row>
    <row r="1134" spans="1:6">
      <c r="A1134" s="1">
        <f ca="1">IFERROR(__xludf.DUMMYFUNCTION("""COMPUTED_VALUE"""),43721.625)</f>
        <v>43721.625</v>
      </c>
      <c r="B1134" s="2">
        <f ca="1">IFERROR(__xludf.DUMMYFUNCTION("""COMPUTED_VALUE"""),7225)</f>
        <v>7225</v>
      </c>
      <c r="C1134" s="2">
        <f ca="1">IFERROR(__xludf.DUMMYFUNCTION("""COMPUTED_VALUE"""),7250)</f>
        <v>7250</v>
      </c>
      <c r="D1134" s="2">
        <f ca="1">IFERROR(__xludf.DUMMYFUNCTION("""COMPUTED_VALUE"""),7125)</f>
        <v>7125</v>
      </c>
      <c r="E1134" s="2">
        <f ca="1">IFERROR(__xludf.DUMMYFUNCTION("""COMPUTED_VALUE"""),7200)</f>
        <v>7200</v>
      </c>
      <c r="F1134" s="2">
        <f ca="1">IFERROR(__xludf.DUMMYFUNCTION("""COMPUTED_VALUE"""),14350100)</f>
        <v>14350100</v>
      </c>
    </row>
    <row r="1135" spans="1:6">
      <c r="A1135" s="1">
        <f ca="1">IFERROR(__xludf.DUMMYFUNCTION("""COMPUTED_VALUE"""),43724.625)</f>
        <v>43724.625</v>
      </c>
      <c r="B1135" s="2">
        <f ca="1">IFERROR(__xludf.DUMMYFUNCTION("""COMPUTED_VALUE"""),7050)</f>
        <v>7050</v>
      </c>
      <c r="C1135" s="2">
        <f ca="1">IFERROR(__xludf.DUMMYFUNCTION("""COMPUTED_VALUE"""),7100)</f>
        <v>7100</v>
      </c>
      <c r="D1135" s="2">
        <f ca="1">IFERROR(__xludf.DUMMYFUNCTION("""COMPUTED_VALUE"""),6925)</f>
        <v>6925</v>
      </c>
      <c r="E1135" s="2">
        <f ca="1">IFERROR(__xludf.DUMMYFUNCTION("""COMPUTED_VALUE"""),7000)</f>
        <v>7000</v>
      </c>
      <c r="F1135" s="2">
        <f ca="1">IFERROR(__xludf.DUMMYFUNCTION("""COMPUTED_VALUE"""),33307900)</f>
        <v>33307900</v>
      </c>
    </row>
    <row r="1136" spans="1:6">
      <c r="A1136" s="1">
        <f ca="1">IFERROR(__xludf.DUMMYFUNCTION("""COMPUTED_VALUE"""),43725.625)</f>
        <v>43725.625</v>
      </c>
      <c r="B1136" s="2">
        <f ca="1">IFERROR(__xludf.DUMMYFUNCTION("""COMPUTED_VALUE"""),6925)</f>
        <v>6925</v>
      </c>
      <c r="C1136" s="2">
        <f ca="1">IFERROR(__xludf.DUMMYFUNCTION("""COMPUTED_VALUE"""),7100)</f>
        <v>7100</v>
      </c>
      <c r="D1136" s="2">
        <f ca="1">IFERROR(__xludf.DUMMYFUNCTION("""COMPUTED_VALUE"""),6925)</f>
        <v>6925</v>
      </c>
      <c r="E1136" s="2">
        <f ca="1">IFERROR(__xludf.DUMMYFUNCTION("""COMPUTED_VALUE"""),6975)</f>
        <v>6975</v>
      </c>
      <c r="F1136" s="2">
        <f ca="1">IFERROR(__xludf.DUMMYFUNCTION("""COMPUTED_VALUE"""),35496100)</f>
        <v>35496100</v>
      </c>
    </row>
    <row r="1137" spans="1:6">
      <c r="A1137" s="1">
        <f ca="1">IFERROR(__xludf.DUMMYFUNCTION("""COMPUTED_VALUE"""),43726.625)</f>
        <v>43726.625</v>
      </c>
      <c r="B1137" s="2">
        <f ca="1">IFERROR(__xludf.DUMMYFUNCTION("""COMPUTED_VALUE"""),7075)</f>
        <v>7075</v>
      </c>
      <c r="C1137" s="2">
        <f ca="1">IFERROR(__xludf.DUMMYFUNCTION("""COMPUTED_VALUE"""),7200)</f>
        <v>7200</v>
      </c>
      <c r="D1137" s="2">
        <f ca="1">IFERROR(__xludf.DUMMYFUNCTION("""COMPUTED_VALUE"""),7050)</f>
        <v>7050</v>
      </c>
      <c r="E1137" s="2">
        <f ca="1">IFERROR(__xludf.DUMMYFUNCTION("""COMPUTED_VALUE"""),7200)</f>
        <v>7200</v>
      </c>
      <c r="F1137" s="2">
        <f ca="1">IFERROR(__xludf.DUMMYFUNCTION("""COMPUTED_VALUE"""),26854200)</f>
        <v>26854200</v>
      </c>
    </row>
    <row r="1138" spans="1:6">
      <c r="A1138" s="1">
        <f ca="1">IFERROR(__xludf.DUMMYFUNCTION("""COMPUTED_VALUE"""),43727.625)</f>
        <v>43727.625</v>
      </c>
      <c r="B1138" s="2">
        <f ca="1">IFERROR(__xludf.DUMMYFUNCTION("""COMPUTED_VALUE"""),7175)</f>
        <v>7175</v>
      </c>
      <c r="C1138" s="2">
        <f ca="1">IFERROR(__xludf.DUMMYFUNCTION("""COMPUTED_VALUE"""),7175)</f>
        <v>7175</v>
      </c>
      <c r="D1138" s="2">
        <f ca="1">IFERROR(__xludf.DUMMYFUNCTION("""COMPUTED_VALUE"""),7075)</f>
        <v>7075</v>
      </c>
      <c r="E1138" s="2">
        <f ca="1">IFERROR(__xludf.DUMMYFUNCTION("""COMPUTED_VALUE"""),7100)</f>
        <v>7100</v>
      </c>
      <c r="F1138" s="2">
        <f ca="1">IFERROR(__xludf.DUMMYFUNCTION("""COMPUTED_VALUE"""),17970800)</f>
        <v>17970800</v>
      </c>
    </row>
    <row r="1139" spans="1:6">
      <c r="A1139" s="1">
        <f ca="1">IFERROR(__xludf.DUMMYFUNCTION("""COMPUTED_VALUE"""),43728.625)</f>
        <v>43728.625</v>
      </c>
      <c r="B1139" s="2">
        <f ca="1">IFERROR(__xludf.DUMMYFUNCTION("""COMPUTED_VALUE"""),7100)</f>
        <v>7100</v>
      </c>
      <c r="C1139" s="2">
        <f ca="1">IFERROR(__xludf.DUMMYFUNCTION("""COMPUTED_VALUE"""),7150)</f>
        <v>7150</v>
      </c>
      <c r="D1139" s="2">
        <f ca="1">IFERROR(__xludf.DUMMYFUNCTION("""COMPUTED_VALUE"""),6975)</f>
        <v>6975</v>
      </c>
      <c r="E1139" s="2">
        <f ca="1">IFERROR(__xludf.DUMMYFUNCTION("""COMPUTED_VALUE"""),7075)</f>
        <v>7075</v>
      </c>
      <c r="F1139" s="2">
        <f ca="1">IFERROR(__xludf.DUMMYFUNCTION("""COMPUTED_VALUE"""),52371700)</f>
        <v>52371700</v>
      </c>
    </row>
    <row r="1140" spans="1:6">
      <c r="A1140" s="1">
        <f ca="1">IFERROR(__xludf.DUMMYFUNCTION("""COMPUTED_VALUE"""),43731.625)</f>
        <v>43731.625</v>
      </c>
      <c r="B1140" s="2">
        <f ca="1">IFERROR(__xludf.DUMMYFUNCTION("""COMPUTED_VALUE"""),7050)</f>
        <v>7050</v>
      </c>
      <c r="C1140" s="2">
        <f ca="1">IFERROR(__xludf.DUMMYFUNCTION("""COMPUTED_VALUE"""),7100)</f>
        <v>7100</v>
      </c>
      <c r="D1140" s="2">
        <f ca="1">IFERROR(__xludf.DUMMYFUNCTION("""COMPUTED_VALUE"""),6950)</f>
        <v>6950</v>
      </c>
      <c r="E1140" s="2">
        <f ca="1">IFERROR(__xludf.DUMMYFUNCTION("""COMPUTED_VALUE"""),7000)</f>
        <v>7000</v>
      </c>
      <c r="F1140" s="2">
        <f ca="1">IFERROR(__xludf.DUMMYFUNCTION("""COMPUTED_VALUE"""),24506300)</f>
        <v>24506300</v>
      </c>
    </row>
    <row r="1141" spans="1:6">
      <c r="A1141" s="1">
        <f ca="1">IFERROR(__xludf.DUMMYFUNCTION("""COMPUTED_VALUE"""),43732.625)</f>
        <v>43732.625</v>
      </c>
      <c r="B1141" s="2">
        <f ca="1">IFERROR(__xludf.DUMMYFUNCTION("""COMPUTED_VALUE"""),6925)</f>
        <v>6925</v>
      </c>
      <c r="C1141" s="2">
        <f ca="1">IFERROR(__xludf.DUMMYFUNCTION("""COMPUTED_VALUE"""),6975)</f>
        <v>6975</v>
      </c>
      <c r="D1141" s="2">
        <f ca="1">IFERROR(__xludf.DUMMYFUNCTION("""COMPUTED_VALUE"""),6850)</f>
        <v>6850</v>
      </c>
      <c r="E1141" s="2">
        <f ca="1">IFERROR(__xludf.DUMMYFUNCTION("""COMPUTED_VALUE"""),6950)</f>
        <v>6950</v>
      </c>
      <c r="F1141" s="2">
        <f ca="1">IFERROR(__xludf.DUMMYFUNCTION("""COMPUTED_VALUE"""),26055000)</f>
        <v>26055000</v>
      </c>
    </row>
    <row r="1142" spans="1:6">
      <c r="A1142" s="1">
        <f ca="1">IFERROR(__xludf.DUMMYFUNCTION("""COMPUTED_VALUE"""),43733.625)</f>
        <v>43733.625</v>
      </c>
      <c r="B1142" s="2">
        <f ca="1">IFERROR(__xludf.DUMMYFUNCTION("""COMPUTED_VALUE"""),6975)</f>
        <v>6975</v>
      </c>
      <c r="C1142" s="2">
        <f ca="1">IFERROR(__xludf.DUMMYFUNCTION("""COMPUTED_VALUE"""),7000)</f>
        <v>7000</v>
      </c>
      <c r="D1142" s="2">
        <f ca="1">IFERROR(__xludf.DUMMYFUNCTION("""COMPUTED_VALUE"""),6875)</f>
        <v>6875</v>
      </c>
      <c r="E1142" s="2">
        <f ca="1">IFERROR(__xludf.DUMMYFUNCTION("""COMPUTED_VALUE"""),6900)</f>
        <v>6900</v>
      </c>
      <c r="F1142" s="2">
        <f ca="1">IFERROR(__xludf.DUMMYFUNCTION("""COMPUTED_VALUE"""),18782700)</f>
        <v>18782700</v>
      </c>
    </row>
    <row r="1143" spans="1:6">
      <c r="A1143" s="1">
        <f ca="1">IFERROR(__xludf.DUMMYFUNCTION("""COMPUTED_VALUE"""),43734.625)</f>
        <v>43734.625</v>
      </c>
      <c r="B1143" s="2">
        <f ca="1">IFERROR(__xludf.DUMMYFUNCTION("""COMPUTED_VALUE"""),7000)</f>
        <v>7000</v>
      </c>
      <c r="C1143" s="2">
        <f ca="1">IFERROR(__xludf.DUMMYFUNCTION("""COMPUTED_VALUE"""),7100)</f>
        <v>7100</v>
      </c>
      <c r="D1143" s="2">
        <f ca="1">IFERROR(__xludf.DUMMYFUNCTION("""COMPUTED_VALUE"""),6950)</f>
        <v>6950</v>
      </c>
      <c r="E1143" s="2">
        <f ca="1">IFERROR(__xludf.DUMMYFUNCTION("""COMPUTED_VALUE"""),7100)</f>
        <v>7100</v>
      </c>
      <c r="F1143" s="2">
        <f ca="1">IFERROR(__xludf.DUMMYFUNCTION("""COMPUTED_VALUE"""),22735700)</f>
        <v>22735700</v>
      </c>
    </row>
    <row r="1144" spans="1:6">
      <c r="A1144" s="1">
        <f ca="1">IFERROR(__xludf.DUMMYFUNCTION("""COMPUTED_VALUE"""),43735.625)</f>
        <v>43735.625</v>
      </c>
      <c r="B1144" s="2">
        <f ca="1">IFERROR(__xludf.DUMMYFUNCTION("""COMPUTED_VALUE"""),7000)</f>
        <v>7000</v>
      </c>
      <c r="C1144" s="2">
        <f ca="1">IFERROR(__xludf.DUMMYFUNCTION("""COMPUTED_VALUE"""),7050)</f>
        <v>7050</v>
      </c>
      <c r="D1144" s="2">
        <f ca="1">IFERROR(__xludf.DUMMYFUNCTION("""COMPUTED_VALUE"""),6950)</f>
        <v>6950</v>
      </c>
      <c r="E1144" s="2">
        <f ca="1">IFERROR(__xludf.DUMMYFUNCTION("""COMPUTED_VALUE"""),6975)</f>
        <v>6975</v>
      </c>
      <c r="F1144" s="2">
        <f ca="1">IFERROR(__xludf.DUMMYFUNCTION("""COMPUTED_VALUE"""),22164700)</f>
        <v>22164700</v>
      </c>
    </row>
    <row r="1145" spans="1:6">
      <c r="A1145" s="1">
        <f ca="1">IFERROR(__xludf.DUMMYFUNCTION("""COMPUTED_VALUE"""),43738.625)</f>
        <v>43738.625</v>
      </c>
      <c r="B1145" s="2">
        <f ca="1">IFERROR(__xludf.DUMMYFUNCTION("""COMPUTED_VALUE"""),6900)</f>
        <v>6900</v>
      </c>
      <c r="C1145" s="2">
        <f ca="1">IFERROR(__xludf.DUMMYFUNCTION("""COMPUTED_VALUE"""),6975)</f>
        <v>6975</v>
      </c>
      <c r="D1145" s="2">
        <f ca="1">IFERROR(__xludf.DUMMYFUNCTION("""COMPUTED_VALUE"""),6900)</f>
        <v>6900</v>
      </c>
      <c r="E1145" s="2">
        <f ca="1">IFERROR(__xludf.DUMMYFUNCTION("""COMPUTED_VALUE"""),6975)</f>
        <v>6975</v>
      </c>
      <c r="F1145" s="2">
        <f ca="1">IFERROR(__xludf.DUMMYFUNCTION("""COMPUTED_VALUE"""),29147000)</f>
        <v>29147000</v>
      </c>
    </row>
    <row r="1146" spans="1:6">
      <c r="A1146" s="1">
        <f ca="1">IFERROR(__xludf.DUMMYFUNCTION("""COMPUTED_VALUE"""),43739.625)</f>
        <v>43739.625</v>
      </c>
      <c r="B1146" s="2">
        <f ca="1">IFERROR(__xludf.DUMMYFUNCTION("""COMPUTED_VALUE"""),6900)</f>
        <v>6900</v>
      </c>
      <c r="C1146" s="2">
        <f ca="1">IFERROR(__xludf.DUMMYFUNCTION("""COMPUTED_VALUE"""),7050)</f>
        <v>7050</v>
      </c>
      <c r="D1146" s="2">
        <f ca="1">IFERROR(__xludf.DUMMYFUNCTION("""COMPUTED_VALUE"""),6900)</f>
        <v>6900</v>
      </c>
      <c r="E1146" s="2">
        <f ca="1">IFERROR(__xludf.DUMMYFUNCTION("""COMPUTED_VALUE"""),6900)</f>
        <v>6900</v>
      </c>
      <c r="F1146" s="2">
        <f ca="1">IFERROR(__xludf.DUMMYFUNCTION("""COMPUTED_VALUE"""),15621700)</f>
        <v>15621700</v>
      </c>
    </row>
    <row r="1147" spans="1:6">
      <c r="A1147" s="1">
        <f ca="1">IFERROR(__xludf.DUMMYFUNCTION("""COMPUTED_VALUE"""),43740.625)</f>
        <v>43740.625</v>
      </c>
      <c r="B1147" s="2">
        <f ca="1">IFERROR(__xludf.DUMMYFUNCTION("""COMPUTED_VALUE"""),6875)</f>
        <v>6875</v>
      </c>
      <c r="C1147" s="2">
        <f ca="1">IFERROR(__xludf.DUMMYFUNCTION("""COMPUTED_VALUE"""),6950)</f>
        <v>6950</v>
      </c>
      <c r="D1147" s="2">
        <f ca="1">IFERROR(__xludf.DUMMYFUNCTION("""COMPUTED_VALUE"""),6500)</f>
        <v>6500</v>
      </c>
      <c r="E1147" s="2">
        <f ca="1">IFERROR(__xludf.DUMMYFUNCTION("""COMPUTED_VALUE"""),6525)</f>
        <v>6525</v>
      </c>
      <c r="F1147" s="2">
        <f ca="1">IFERROR(__xludf.DUMMYFUNCTION("""COMPUTED_VALUE"""),64793100)</f>
        <v>64793100</v>
      </c>
    </row>
    <row r="1148" spans="1:6">
      <c r="A1148" s="1">
        <f ca="1">IFERROR(__xludf.DUMMYFUNCTION("""COMPUTED_VALUE"""),43741.625)</f>
        <v>43741.625</v>
      </c>
      <c r="B1148" s="2">
        <f ca="1">IFERROR(__xludf.DUMMYFUNCTION("""COMPUTED_VALUE"""),6525)</f>
        <v>6525</v>
      </c>
      <c r="C1148" s="2">
        <f ca="1">IFERROR(__xludf.DUMMYFUNCTION("""COMPUTED_VALUE"""),6525)</f>
        <v>6525</v>
      </c>
      <c r="D1148" s="2">
        <f ca="1">IFERROR(__xludf.DUMMYFUNCTION("""COMPUTED_VALUE"""),6275)</f>
        <v>6275</v>
      </c>
      <c r="E1148" s="2">
        <f ca="1">IFERROR(__xludf.DUMMYFUNCTION("""COMPUTED_VALUE"""),6400)</f>
        <v>6400</v>
      </c>
      <c r="F1148" s="2">
        <f ca="1">IFERROR(__xludf.DUMMYFUNCTION("""COMPUTED_VALUE"""),73394500)</f>
        <v>73394500</v>
      </c>
    </row>
    <row r="1149" spans="1:6">
      <c r="A1149" s="1">
        <f ca="1">IFERROR(__xludf.DUMMYFUNCTION("""COMPUTED_VALUE"""),43742.625)</f>
        <v>43742.625</v>
      </c>
      <c r="B1149" s="2">
        <f ca="1">IFERROR(__xludf.DUMMYFUNCTION("""COMPUTED_VALUE"""),6450)</f>
        <v>6450</v>
      </c>
      <c r="C1149" s="2">
        <f ca="1">IFERROR(__xludf.DUMMYFUNCTION("""COMPUTED_VALUE"""),6525)</f>
        <v>6525</v>
      </c>
      <c r="D1149" s="2">
        <f ca="1">IFERROR(__xludf.DUMMYFUNCTION("""COMPUTED_VALUE"""),6325)</f>
        <v>6325</v>
      </c>
      <c r="E1149" s="2">
        <f ca="1">IFERROR(__xludf.DUMMYFUNCTION("""COMPUTED_VALUE"""),6400)</f>
        <v>6400</v>
      </c>
      <c r="F1149" s="2">
        <f ca="1">IFERROR(__xludf.DUMMYFUNCTION("""COMPUTED_VALUE"""),34560900)</f>
        <v>34560900</v>
      </c>
    </row>
    <row r="1150" spans="1:6">
      <c r="A1150" s="1">
        <f ca="1">IFERROR(__xludf.DUMMYFUNCTION("""COMPUTED_VALUE"""),43745.625)</f>
        <v>43745.625</v>
      </c>
      <c r="B1150" s="2">
        <f ca="1">IFERROR(__xludf.DUMMYFUNCTION("""COMPUTED_VALUE"""),6475)</f>
        <v>6475</v>
      </c>
      <c r="C1150" s="2">
        <f ca="1">IFERROR(__xludf.DUMMYFUNCTION("""COMPUTED_VALUE"""),6475)</f>
        <v>6475</v>
      </c>
      <c r="D1150" s="2">
        <f ca="1">IFERROR(__xludf.DUMMYFUNCTION("""COMPUTED_VALUE"""),6325)</f>
        <v>6325</v>
      </c>
      <c r="E1150" s="2">
        <f ca="1">IFERROR(__xludf.DUMMYFUNCTION("""COMPUTED_VALUE"""),6350)</f>
        <v>6350</v>
      </c>
      <c r="F1150" s="2">
        <f ca="1">IFERROR(__xludf.DUMMYFUNCTION("""COMPUTED_VALUE"""),18328200)</f>
        <v>18328200</v>
      </c>
    </row>
    <row r="1151" spans="1:6">
      <c r="A1151" s="1">
        <f ca="1">IFERROR(__xludf.DUMMYFUNCTION("""COMPUTED_VALUE"""),43746.625)</f>
        <v>43746.625</v>
      </c>
      <c r="B1151" s="2">
        <f ca="1">IFERROR(__xludf.DUMMYFUNCTION("""COMPUTED_VALUE"""),6350)</f>
        <v>6350</v>
      </c>
      <c r="C1151" s="2">
        <f ca="1">IFERROR(__xludf.DUMMYFUNCTION("""COMPUTED_VALUE"""),6500)</f>
        <v>6500</v>
      </c>
      <c r="D1151" s="2">
        <f ca="1">IFERROR(__xludf.DUMMYFUNCTION("""COMPUTED_VALUE"""),6350)</f>
        <v>6350</v>
      </c>
      <c r="E1151" s="2">
        <f ca="1">IFERROR(__xludf.DUMMYFUNCTION("""COMPUTED_VALUE"""),6500)</f>
        <v>6500</v>
      </c>
      <c r="F1151" s="2">
        <f ca="1">IFERROR(__xludf.DUMMYFUNCTION("""COMPUTED_VALUE"""),52496000)</f>
        <v>52496000</v>
      </c>
    </row>
    <row r="1152" spans="1:6">
      <c r="A1152" s="1">
        <f ca="1">IFERROR(__xludf.DUMMYFUNCTION("""COMPUTED_VALUE"""),43747.625)</f>
        <v>43747.625</v>
      </c>
      <c r="B1152" s="2">
        <f ca="1">IFERROR(__xludf.DUMMYFUNCTION("""COMPUTED_VALUE"""),6450)</f>
        <v>6450</v>
      </c>
      <c r="C1152" s="2">
        <f ca="1">IFERROR(__xludf.DUMMYFUNCTION("""COMPUTED_VALUE"""),6475)</f>
        <v>6475</v>
      </c>
      <c r="D1152" s="2">
        <f ca="1">IFERROR(__xludf.DUMMYFUNCTION("""COMPUTED_VALUE"""),6400)</f>
        <v>6400</v>
      </c>
      <c r="E1152" s="2">
        <f ca="1">IFERROR(__xludf.DUMMYFUNCTION("""COMPUTED_VALUE"""),6425)</f>
        <v>6425</v>
      </c>
      <c r="F1152" s="2">
        <f ca="1">IFERROR(__xludf.DUMMYFUNCTION("""COMPUTED_VALUE"""),27565700)</f>
        <v>27565700</v>
      </c>
    </row>
    <row r="1153" spans="1:6">
      <c r="A1153" s="1">
        <f ca="1">IFERROR(__xludf.DUMMYFUNCTION("""COMPUTED_VALUE"""),43748.625)</f>
        <v>43748.625</v>
      </c>
      <c r="B1153" s="2">
        <f ca="1">IFERROR(__xludf.DUMMYFUNCTION("""COMPUTED_VALUE"""),6425)</f>
        <v>6425</v>
      </c>
      <c r="C1153" s="2">
        <f ca="1">IFERROR(__xludf.DUMMYFUNCTION("""COMPUTED_VALUE"""),6600)</f>
        <v>6600</v>
      </c>
      <c r="D1153" s="2">
        <f ca="1">IFERROR(__xludf.DUMMYFUNCTION("""COMPUTED_VALUE"""),6425)</f>
        <v>6425</v>
      </c>
      <c r="E1153" s="2">
        <f ca="1">IFERROR(__xludf.DUMMYFUNCTION("""COMPUTED_VALUE"""),6525)</f>
        <v>6525</v>
      </c>
      <c r="F1153" s="2">
        <f ca="1">IFERROR(__xludf.DUMMYFUNCTION("""COMPUTED_VALUE"""),60127700)</f>
        <v>60127700</v>
      </c>
    </row>
    <row r="1154" spans="1:6">
      <c r="A1154" s="1">
        <f ca="1">IFERROR(__xludf.DUMMYFUNCTION("""COMPUTED_VALUE"""),43749.625)</f>
        <v>43749.625</v>
      </c>
      <c r="B1154" s="2">
        <f ca="1">IFERROR(__xludf.DUMMYFUNCTION("""COMPUTED_VALUE"""),6500)</f>
        <v>6500</v>
      </c>
      <c r="C1154" s="2">
        <f ca="1">IFERROR(__xludf.DUMMYFUNCTION("""COMPUTED_VALUE"""),6650)</f>
        <v>6650</v>
      </c>
      <c r="D1154" s="2">
        <f ca="1">IFERROR(__xludf.DUMMYFUNCTION("""COMPUTED_VALUE"""),6475)</f>
        <v>6475</v>
      </c>
      <c r="E1154" s="2">
        <f ca="1">IFERROR(__xludf.DUMMYFUNCTION("""COMPUTED_VALUE"""),6550)</f>
        <v>6550</v>
      </c>
      <c r="F1154" s="2">
        <f ca="1">IFERROR(__xludf.DUMMYFUNCTION("""COMPUTED_VALUE"""),48408200)</f>
        <v>48408200</v>
      </c>
    </row>
    <row r="1155" spans="1:6">
      <c r="A1155" s="1">
        <f ca="1">IFERROR(__xludf.DUMMYFUNCTION("""COMPUTED_VALUE"""),43752.625)</f>
        <v>43752.625</v>
      </c>
      <c r="B1155" s="2">
        <f ca="1">IFERROR(__xludf.DUMMYFUNCTION("""COMPUTED_VALUE"""),6625)</f>
        <v>6625</v>
      </c>
      <c r="C1155" s="2">
        <f ca="1">IFERROR(__xludf.DUMMYFUNCTION("""COMPUTED_VALUE"""),6675)</f>
        <v>6675</v>
      </c>
      <c r="D1155" s="2">
        <f ca="1">IFERROR(__xludf.DUMMYFUNCTION("""COMPUTED_VALUE"""),6500)</f>
        <v>6500</v>
      </c>
      <c r="E1155" s="2">
        <f ca="1">IFERROR(__xludf.DUMMYFUNCTION("""COMPUTED_VALUE"""),6600)</f>
        <v>6600</v>
      </c>
      <c r="F1155" s="2">
        <f ca="1">IFERROR(__xludf.DUMMYFUNCTION("""COMPUTED_VALUE"""),32636400)</f>
        <v>32636400</v>
      </c>
    </row>
    <row r="1156" spans="1:6">
      <c r="A1156" s="1">
        <f ca="1">IFERROR(__xludf.DUMMYFUNCTION("""COMPUTED_VALUE"""),43753.625)</f>
        <v>43753.625</v>
      </c>
      <c r="B1156" s="2">
        <f ca="1">IFERROR(__xludf.DUMMYFUNCTION("""COMPUTED_VALUE"""),6550)</f>
        <v>6550</v>
      </c>
      <c r="C1156" s="2">
        <f ca="1">IFERROR(__xludf.DUMMYFUNCTION("""COMPUTED_VALUE"""),6600)</f>
        <v>6600</v>
      </c>
      <c r="D1156" s="2">
        <f ca="1">IFERROR(__xludf.DUMMYFUNCTION("""COMPUTED_VALUE"""),6500)</f>
        <v>6500</v>
      </c>
      <c r="E1156" s="2">
        <f ca="1">IFERROR(__xludf.DUMMYFUNCTION("""COMPUTED_VALUE"""),6575)</f>
        <v>6575</v>
      </c>
      <c r="F1156" s="2">
        <f ca="1">IFERROR(__xludf.DUMMYFUNCTION("""COMPUTED_VALUE"""),47069800)</f>
        <v>47069800</v>
      </c>
    </row>
    <row r="1157" spans="1:6">
      <c r="A1157" s="1">
        <f ca="1">IFERROR(__xludf.DUMMYFUNCTION("""COMPUTED_VALUE"""),43754.625)</f>
        <v>43754.625</v>
      </c>
      <c r="B1157" s="2">
        <f ca="1">IFERROR(__xludf.DUMMYFUNCTION("""COMPUTED_VALUE"""),6600)</f>
        <v>6600</v>
      </c>
      <c r="C1157" s="2">
        <f ca="1">IFERROR(__xludf.DUMMYFUNCTION("""COMPUTED_VALUE"""),6650)</f>
        <v>6650</v>
      </c>
      <c r="D1157" s="2">
        <f ca="1">IFERROR(__xludf.DUMMYFUNCTION("""COMPUTED_VALUE"""),6550)</f>
        <v>6550</v>
      </c>
      <c r="E1157" s="2">
        <f ca="1">IFERROR(__xludf.DUMMYFUNCTION("""COMPUTED_VALUE"""),6625)</f>
        <v>6625</v>
      </c>
      <c r="F1157" s="2">
        <f ca="1">IFERROR(__xludf.DUMMYFUNCTION("""COMPUTED_VALUE"""),59486900)</f>
        <v>59486900</v>
      </c>
    </row>
    <row r="1158" spans="1:6">
      <c r="A1158" s="1">
        <f ca="1">IFERROR(__xludf.DUMMYFUNCTION("""COMPUTED_VALUE"""),43755.625)</f>
        <v>43755.625</v>
      </c>
      <c r="B1158" s="2">
        <f ca="1">IFERROR(__xludf.DUMMYFUNCTION("""COMPUTED_VALUE"""),6625)</f>
        <v>6625</v>
      </c>
      <c r="C1158" s="2">
        <f ca="1">IFERROR(__xludf.DUMMYFUNCTION("""COMPUTED_VALUE"""),6700)</f>
        <v>6700</v>
      </c>
      <c r="D1158" s="2">
        <f ca="1">IFERROR(__xludf.DUMMYFUNCTION("""COMPUTED_VALUE"""),6625)</f>
        <v>6625</v>
      </c>
      <c r="E1158" s="2">
        <f ca="1">IFERROR(__xludf.DUMMYFUNCTION("""COMPUTED_VALUE"""),6700)</f>
        <v>6700</v>
      </c>
      <c r="F1158" s="2">
        <f ca="1">IFERROR(__xludf.DUMMYFUNCTION("""COMPUTED_VALUE"""),75018900)</f>
        <v>75018900</v>
      </c>
    </row>
    <row r="1159" spans="1:6">
      <c r="A1159" s="1">
        <f ca="1">IFERROR(__xludf.DUMMYFUNCTION("""COMPUTED_VALUE"""),43756.625)</f>
        <v>43756.625</v>
      </c>
      <c r="B1159" s="2">
        <f ca="1">IFERROR(__xludf.DUMMYFUNCTION("""COMPUTED_VALUE"""),6675)</f>
        <v>6675</v>
      </c>
      <c r="C1159" s="2">
        <f ca="1">IFERROR(__xludf.DUMMYFUNCTION("""COMPUTED_VALUE"""),6875)</f>
        <v>6875</v>
      </c>
      <c r="D1159" s="2">
        <f ca="1">IFERROR(__xludf.DUMMYFUNCTION("""COMPUTED_VALUE"""),6650)</f>
        <v>6650</v>
      </c>
      <c r="E1159" s="2">
        <f ca="1">IFERROR(__xludf.DUMMYFUNCTION("""COMPUTED_VALUE"""),6775)</f>
        <v>6775</v>
      </c>
      <c r="F1159" s="2">
        <f ca="1">IFERROR(__xludf.DUMMYFUNCTION("""COMPUTED_VALUE"""),58772200)</f>
        <v>58772200</v>
      </c>
    </row>
    <row r="1160" spans="1:6">
      <c r="A1160" s="1">
        <f ca="1">IFERROR(__xludf.DUMMYFUNCTION("""COMPUTED_VALUE"""),43759.625)</f>
        <v>43759.625</v>
      </c>
      <c r="B1160" s="2">
        <f ca="1">IFERROR(__xludf.DUMMYFUNCTION("""COMPUTED_VALUE"""),6800)</f>
        <v>6800</v>
      </c>
      <c r="C1160" s="2">
        <f ca="1">IFERROR(__xludf.DUMMYFUNCTION("""COMPUTED_VALUE"""),6825)</f>
        <v>6825</v>
      </c>
      <c r="D1160" s="2">
        <f ca="1">IFERROR(__xludf.DUMMYFUNCTION("""COMPUTED_VALUE"""),6700)</f>
        <v>6700</v>
      </c>
      <c r="E1160" s="2">
        <f ca="1">IFERROR(__xludf.DUMMYFUNCTION("""COMPUTED_VALUE"""),6800)</f>
        <v>6800</v>
      </c>
      <c r="F1160" s="2">
        <f ca="1">IFERROR(__xludf.DUMMYFUNCTION("""COMPUTED_VALUE"""),41811400)</f>
        <v>41811400</v>
      </c>
    </row>
    <row r="1161" spans="1:6">
      <c r="A1161" s="1">
        <f ca="1">IFERROR(__xludf.DUMMYFUNCTION("""COMPUTED_VALUE"""),43760.625)</f>
        <v>43760.625</v>
      </c>
      <c r="B1161" s="2">
        <f ca="1">IFERROR(__xludf.DUMMYFUNCTION("""COMPUTED_VALUE"""),6850)</f>
        <v>6850</v>
      </c>
      <c r="C1161" s="2">
        <f ca="1">IFERROR(__xludf.DUMMYFUNCTION("""COMPUTED_VALUE"""),6850)</f>
        <v>6850</v>
      </c>
      <c r="D1161" s="2">
        <f ca="1">IFERROR(__xludf.DUMMYFUNCTION("""COMPUTED_VALUE"""),6750)</f>
        <v>6750</v>
      </c>
      <c r="E1161" s="2">
        <f ca="1">IFERROR(__xludf.DUMMYFUNCTION("""COMPUTED_VALUE"""),6825)</f>
        <v>6825</v>
      </c>
      <c r="F1161" s="2">
        <f ca="1">IFERROR(__xludf.DUMMYFUNCTION("""COMPUTED_VALUE"""),31025100)</f>
        <v>31025100</v>
      </c>
    </row>
    <row r="1162" spans="1:6">
      <c r="A1162" s="1">
        <f ca="1">IFERROR(__xludf.DUMMYFUNCTION("""COMPUTED_VALUE"""),43761.625)</f>
        <v>43761.625</v>
      </c>
      <c r="B1162" s="2">
        <f ca="1">IFERROR(__xludf.DUMMYFUNCTION("""COMPUTED_VALUE"""),6825)</f>
        <v>6825</v>
      </c>
      <c r="C1162" s="2">
        <f ca="1">IFERROR(__xludf.DUMMYFUNCTION("""COMPUTED_VALUE"""),7100)</f>
        <v>7100</v>
      </c>
      <c r="D1162" s="2">
        <f ca="1">IFERROR(__xludf.DUMMYFUNCTION("""COMPUTED_VALUE"""),6750)</f>
        <v>6750</v>
      </c>
      <c r="E1162" s="2">
        <f ca="1">IFERROR(__xludf.DUMMYFUNCTION("""COMPUTED_VALUE"""),7075)</f>
        <v>7075</v>
      </c>
      <c r="F1162" s="2">
        <f ca="1">IFERROR(__xludf.DUMMYFUNCTION("""COMPUTED_VALUE"""),49220200)</f>
        <v>49220200</v>
      </c>
    </row>
    <row r="1163" spans="1:6">
      <c r="A1163" s="1">
        <f ca="1">IFERROR(__xludf.DUMMYFUNCTION("""COMPUTED_VALUE"""),43762.625)</f>
        <v>43762.625</v>
      </c>
      <c r="B1163" s="2">
        <f ca="1">IFERROR(__xludf.DUMMYFUNCTION("""COMPUTED_VALUE"""),7125)</f>
        <v>7125</v>
      </c>
      <c r="C1163" s="2">
        <f ca="1">IFERROR(__xludf.DUMMYFUNCTION("""COMPUTED_VALUE"""),7250)</f>
        <v>7250</v>
      </c>
      <c r="D1163" s="2">
        <f ca="1">IFERROR(__xludf.DUMMYFUNCTION("""COMPUTED_VALUE"""),7075)</f>
        <v>7075</v>
      </c>
      <c r="E1163" s="2">
        <f ca="1">IFERROR(__xludf.DUMMYFUNCTION("""COMPUTED_VALUE"""),7225)</f>
        <v>7225</v>
      </c>
      <c r="F1163" s="2">
        <f ca="1">IFERROR(__xludf.DUMMYFUNCTION("""COMPUTED_VALUE"""),66398600)</f>
        <v>66398600</v>
      </c>
    </row>
    <row r="1164" spans="1:6">
      <c r="A1164" s="1">
        <f ca="1">IFERROR(__xludf.DUMMYFUNCTION("""COMPUTED_VALUE"""),43763.625)</f>
        <v>43763.625</v>
      </c>
      <c r="B1164" s="2">
        <f ca="1">IFERROR(__xludf.DUMMYFUNCTION("""COMPUTED_VALUE"""),7275)</f>
        <v>7275</v>
      </c>
      <c r="C1164" s="2">
        <f ca="1">IFERROR(__xludf.DUMMYFUNCTION("""COMPUTED_VALUE"""),7275)</f>
        <v>7275</v>
      </c>
      <c r="D1164" s="2">
        <f ca="1">IFERROR(__xludf.DUMMYFUNCTION("""COMPUTED_VALUE"""),6975)</f>
        <v>6975</v>
      </c>
      <c r="E1164" s="2">
        <f ca="1">IFERROR(__xludf.DUMMYFUNCTION("""COMPUTED_VALUE"""),7000)</f>
        <v>7000</v>
      </c>
      <c r="F1164" s="2">
        <f ca="1">IFERROR(__xludf.DUMMYFUNCTION("""COMPUTED_VALUE"""),52867600)</f>
        <v>52867600</v>
      </c>
    </row>
    <row r="1165" spans="1:6">
      <c r="A1165" s="1">
        <f ca="1">IFERROR(__xludf.DUMMYFUNCTION("""COMPUTED_VALUE"""),43766.625)</f>
        <v>43766.625</v>
      </c>
      <c r="B1165" s="2">
        <f ca="1">IFERROR(__xludf.DUMMYFUNCTION("""COMPUTED_VALUE"""),7000)</f>
        <v>7000</v>
      </c>
      <c r="C1165" s="2">
        <f ca="1">IFERROR(__xludf.DUMMYFUNCTION("""COMPUTED_VALUE"""),7075)</f>
        <v>7075</v>
      </c>
      <c r="D1165" s="2">
        <f ca="1">IFERROR(__xludf.DUMMYFUNCTION("""COMPUTED_VALUE"""),6925)</f>
        <v>6925</v>
      </c>
      <c r="E1165" s="2">
        <f ca="1">IFERROR(__xludf.DUMMYFUNCTION("""COMPUTED_VALUE"""),7000)</f>
        <v>7000</v>
      </c>
      <c r="F1165" s="2">
        <f ca="1">IFERROR(__xludf.DUMMYFUNCTION("""COMPUTED_VALUE"""),23194800)</f>
        <v>23194800</v>
      </c>
    </row>
    <row r="1166" spans="1:6">
      <c r="A1166" s="1">
        <f ca="1">IFERROR(__xludf.DUMMYFUNCTION("""COMPUTED_VALUE"""),43767.625)</f>
        <v>43767.625</v>
      </c>
      <c r="B1166" s="2">
        <f ca="1">IFERROR(__xludf.DUMMYFUNCTION("""COMPUTED_VALUE"""),7100)</f>
        <v>7100</v>
      </c>
      <c r="C1166" s="2">
        <f ca="1">IFERROR(__xludf.DUMMYFUNCTION("""COMPUTED_VALUE"""),7150)</f>
        <v>7150</v>
      </c>
      <c r="D1166" s="2">
        <f ca="1">IFERROR(__xludf.DUMMYFUNCTION("""COMPUTED_VALUE"""),7000)</f>
        <v>7000</v>
      </c>
      <c r="E1166" s="2">
        <f ca="1">IFERROR(__xludf.DUMMYFUNCTION("""COMPUTED_VALUE"""),7100)</f>
        <v>7100</v>
      </c>
      <c r="F1166" s="2">
        <f ca="1">IFERROR(__xludf.DUMMYFUNCTION("""COMPUTED_VALUE"""),45867700)</f>
        <v>45867700</v>
      </c>
    </row>
    <row r="1167" spans="1:6">
      <c r="A1167" s="1">
        <f ca="1">IFERROR(__xludf.DUMMYFUNCTION("""COMPUTED_VALUE"""),43768.625)</f>
        <v>43768.625</v>
      </c>
      <c r="B1167" s="2">
        <f ca="1">IFERROR(__xludf.DUMMYFUNCTION("""COMPUTED_VALUE"""),7075)</f>
        <v>7075</v>
      </c>
      <c r="C1167" s="2">
        <f ca="1">IFERROR(__xludf.DUMMYFUNCTION("""COMPUTED_VALUE"""),7075)</f>
        <v>7075</v>
      </c>
      <c r="D1167" s="2">
        <f ca="1">IFERROR(__xludf.DUMMYFUNCTION("""COMPUTED_VALUE"""),6975)</f>
        <v>6975</v>
      </c>
      <c r="E1167" s="2">
        <f ca="1">IFERROR(__xludf.DUMMYFUNCTION("""COMPUTED_VALUE"""),7025)</f>
        <v>7025</v>
      </c>
      <c r="F1167" s="2">
        <f ca="1">IFERROR(__xludf.DUMMYFUNCTION("""COMPUTED_VALUE"""),23833600)</f>
        <v>23833600</v>
      </c>
    </row>
    <row r="1168" spans="1:6">
      <c r="A1168" s="1">
        <f ca="1">IFERROR(__xludf.DUMMYFUNCTION("""COMPUTED_VALUE"""),43769.625)</f>
        <v>43769.625</v>
      </c>
      <c r="B1168" s="2">
        <f ca="1">IFERROR(__xludf.DUMMYFUNCTION("""COMPUTED_VALUE"""),7050)</f>
        <v>7050</v>
      </c>
      <c r="C1168" s="2">
        <f ca="1">IFERROR(__xludf.DUMMYFUNCTION("""COMPUTED_VALUE"""),7050)</f>
        <v>7050</v>
      </c>
      <c r="D1168" s="2">
        <f ca="1">IFERROR(__xludf.DUMMYFUNCTION("""COMPUTED_VALUE"""),6900)</f>
        <v>6900</v>
      </c>
      <c r="E1168" s="2">
        <f ca="1">IFERROR(__xludf.DUMMYFUNCTION("""COMPUTED_VALUE"""),7025)</f>
        <v>7025</v>
      </c>
      <c r="F1168" s="2">
        <f ca="1">IFERROR(__xludf.DUMMYFUNCTION("""COMPUTED_VALUE"""),39080000)</f>
        <v>39080000</v>
      </c>
    </row>
    <row r="1169" spans="1:6">
      <c r="A1169" s="1">
        <f ca="1">IFERROR(__xludf.DUMMYFUNCTION("""COMPUTED_VALUE"""),43770.625)</f>
        <v>43770.625</v>
      </c>
      <c r="B1169" s="2">
        <f ca="1">IFERROR(__xludf.DUMMYFUNCTION("""COMPUTED_VALUE"""),7025)</f>
        <v>7025</v>
      </c>
      <c r="C1169" s="2">
        <f ca="1">IFERROR(__xludf.DUMMYFUNCTION("""COMPUTED_VALUE"""),7025)</f>
        <v>7025</v>
      </c>
      <c r="D1169" s="2">
        <f ca="1">IFERROR(__xludf.DUMMYFUNCTION("""COMPUTED_VALUE"""),6925)</f>
        <v>6925</v>
      </c>
      <c r="E1169" s="2">
        <f ca="1">IFERROR(__xludf.DUMMYFUNCTION("""COMPUTED_VALUE"""),6975)</f>
        <v>6975</v>
      </c>
      <c r="F1169" s="2">
        <f ca="1">IFERROR(__xludf.DUMMYFUNCTION("""COMPUTED_VALUE"""),12183400)</f>
        <v>12183400</v>
      </c>
    </row>
    <row r="1170" spans="1:6">
      <c r="A1170" s="1">
        <f ca="1">IFERROR(__xludf.DUMMYFUNCTION("""COMPUTED_VALUE"""),43773.625)</f>
        <v>43773.625</v>
      </c>
      <c r="B1170" s="2">
        <f ca="1">IFERROR(__xludf.DUMMYFUNCTION("""COMPUTED_VALUE"""),7000)</f>
        <v>7000</v>
      </c>
      <c r="C1170" s="2">
        <f ca="1">IFERROR(__xludf.DUMMYFUNCTION("""COMPUTED_VALUE"""),7025)</f>
        <v>7025</v>
      </c>
      <c r="D1170" s="2">
        <f ca="1">IFERROR(__xludf.DUMMYFUNCTION("""COMPUTED_VALUE"""),6875)</f>
        <v>6875</v>
      </c>
      <c r="E1170" s="2">
        <f ca="1">IFERROR(__xludf.DUMMYFUNCTION("""COMPUTED_VALUE"""),6875)</f>
        <v>6875</v>
      </c>
      <c r="F1170" s="2">
        <f ca="1">IFERROR(__xludf.DUMMYFUNCTION("""COMPUTED_VALUE"""),28292400)</f>
        <v>28292400</v>
      </c>
    </row>
    <row r="1171" spans="1:6">
      <c r="A1171" s="1">
        <f ca="1">IFERROR(__xludf.DUMMYFUNCTION("""COMPUTED_VALUE"""),43774.625)</f>
        <v>43774.625</v>
      </c>
      <c r="B1171" s="2">
        <f ca="1">IFERROR(__xludf.DUMMYFUNCTION("""COMPUTED_VALUE"""),6950)</f>
        <v>6950</v>
      </c>
      <c r="C1171" s="2">
        <f ca="1">IFERROR(__xludf.DUMMYFUNCTION("""COMPUTED_VALUE"""),7200)</f>
        <v>7200</v>
      </c>
      <c r="D1171" s="2">
        <f ca="1">IFERROR(__xludf.DUMMYFUNCTION("""COMPUTED_VALUE"""),6925)</f>
        <v>6925</v>
      </c>
      <c r="E1171" s="2">
        <f ca="1">IFERROR(__xludf.DUMMYFUNCTION("""COMPUTED_VALUE"""),7200)</f>
        <v>7200</v>
      </c>
      <c r="F1171" s="2">
        <f ca="1">IFERROR(__xludf.DUMMYFUNCTION("""COMPUTED_VALUE"""),47126500)</f>
        <v>47126500</v>
      </c>
    </row>
    <row r="1172" spans="1:6">
      <c r="A1172" s="1">
        <f ca="1">IFERROR(__xludf.DUMMYFUNCTION("""COMPUTED_VALUE"""),43775.625)</f>
        <v>43775.625</v>
      </c>
      <c r="B1172" s="2">
        <f ca="1">IFERROR(__xludf.DUMMYFUNCTION("""COMPUTED_VALUE"""),7175)</f>
        <v>7175</v>
      </c>
      <c r="C1172" s="2">
        <f ca="1">IFERROR(__xludf.DUMMYFUNCTION("""COMPUTED_VALUE"""),7200)</f>
        <v>7200</v>
      </c>
      <c r="D1172" s="2">
        <f ca="1">IFERROR(__xludf.DUMMYFUNCTION("""COMPUTED_VALUE"""),6825)</f>
        <v>6825</v>
      </c>
      <c r="E1172" s="2">
        <f ca="1">IFERROR(__xludf.DUMMYFUNCTION("""COMPUTED_VALUE"""),6975)</f>
        <v>6975</v>
      </c>
      <c r="F1172" s="2">
        <f ca="1">IFERROR(__xludf.DUMMYFUNCTION("""COMPUTED_VALUE"""),56587600)</f>
        <v>56587600</v>
      </c>
    </row>
    <row r="1173" spans="1:6">
      <c r="A1173" s="1">
        <f ca="1">IFERROR(__xludf.DUMMYFUNCTION("""COMPUTED_VALUE"""),43776.625)</f>
        <v>43776.625</v>
      </c>
      <c r="B1173" s="2">
        <f ca="1">IFERROR(__xludf.DUMMYFUNCTION("""COMPUTED_VALUE"""),7025)</f>
        <v>7025</v>
      </c>
      <c r="C1173" s="2">
        <f ca="1">IFERROR(__xludf.DUMMYFUNCTION("""COMPUTED_VALUE"""),7025)</f>
        <v>7025</v>
      </c>
      <c r="D1173" s="2">
        <f ca="1">IFERROR(__xludf.DUMMYFUNCTION("""COMPUTED_VALUE"""),6775)</f>
        <v>6775</v>
      </c>
      <c r="E1173" s="2">
        <f ca="1">IFERROR(__xludf.DUMMYFUNCTION("""COMPUTED_VALUE"""),7000)</f>
        <v>7000</v>
      </c>
      <c r="F1173" s="2">
        <f ca="1">IFERROR(__xludf.DUMMYFUNCTION("""COMPUTED_VALUE"""),39376800)</f>
        <v>39376800</v>
      </c>
    </row>
    <row r="1174" spans="1:6">
      <c r="A1174" s="1">
        <f ca="1">IFERROR(__xludf.DUMMYFUNCTION("""COMPUTED_VALUE"""),43777.625)</f>
        <v>43777.625</v>
      </c>
      <c r="B1174" s="2">
        <f ca="1">IFERROR(__xludf.DUMMYFUNCTION("""COMPUTED_VALUE"""),6975)</f>
        <v>6975</v>
      </c>
      <c r="C1174" s="2">
        <f ca="1">IFERROR(__xludf.DUMMYFUNCTION("""COMPUTED_VALUE"""),7150)</f>
        <v>7150</v>
      </c>
      <c r="D1174" s="2">
        <f ca="1">IFERROR(__xludf.DUMMYFUNCTION("""COMPUTED_VALUE"""),6850)</f>
        <v>6850</v>
      </c>
      <c r="E1174" s="2">
        <f ca="1">IFERROR(__xludf.DUMMYFUNCTION("""COMPUTED_VALUE"""),7100)</f>
        <v>7100</v>
      </c>
      <c r="F1174" s="2">
        <f ca="1">IFERROR(__xludf.DUMMYFUNCTION("""COMPUTED_VALUE"""),38177500)</f>
        <v>38177500</v>
      </c>
    </row>
    <row r="1175" spans="1:6">
      <c r="A1175" s="1">
        <f ca="1">IFERROR(__xludf.DUMMYFUNCTION("""COMPUTED_VALUE"""),43780.625)</f>
        <v>43780.625</v>
      </c>
      <c r="B1175" s="2">
        <f ca="1">IFERROR(__xludf.DUMMYFUNCTION("""COMPUTED_VALUE"""),7075)</f>
        <v>7075</v>
      </c>
      <c r="C1175" s="2">
        <f ca="1">IFERROR(__xludf.DUMMYFUNCTION("""COMPUTED_VALUE"""),7100)</f>
        <v>7100</v>
      </c>
      <c r="D1175" s="2">
        <f ca="1">IFERROR(__xludf.DUMMYFUNCTION("""COMPUTED_VALUE"""),6975)</f>
        <v>6975</v>
      </c>
      <c r="E1175" s="2">
        <f ca="1">IFERROR(__xludf.DUMMYFUNCTION("""COMPUTED_VALUE"""),7050)</f>
        <v>7050</v>
      </c>
      <c r="F1175" s="2">
        <f ca="1">IFERROR(__xludf.DUMMYFUNCTION("""COMPUTED_VALUE"""),22606000)</f>
        <v>22606000</v>
      </c>
    </row>
    <row r="1176" spans="1:6">
      <c r="A1176" s="1">
        <f ca="1">IFERROR(__xludf.DUMMYFUNCTION("""COMPUTED_VALUE"""),43781.625)</f>
        <v>43781.625</v>
      </c>
      <c r="B1176" s="2">
        <f ca="1">IFERROR(__xludf.DUMMYFUNCTION("""COMPUTED_VALUE"""),7000)</f>
        <v>7000</v>
      </c>
      <c r="C1176" s="2">
        <f ca="1">IFERROR(__xludf.DUMMYFUNCTION("""COMPUTED_VALUE"""),7100)</f>
        <v>7100</v>
      </c>
      <c r="D1176" s="2">
        <f ca="1">IFERROR(__xludf.DUMMYFUNCTION("""COMPUTED_VALUE"""),6925)</f>
        <v>6925</v>
      </c>
      <c r="E1176" s="2">
        <f ca="1">IFERROR(__xludf.DUMMYFUNCTION("""COMPUTED_VALUE"""),7025)</f>
        <v>7025</v>
      </c>
      <c r="F1176" s="2">
        <f ca="1">IFERROR(__xludf.DUMMYFUNCTION("""COMPUTED_VALUE"""),26450400)</f>
        <v>26450400</v>
      </c>
    </row>
    <row r="1177" spans="1:6">
      <c r="A1177" s="1">
        <f ca="1">IFERROR(__xludf.DUMMYFUNCTION("""COMPUTED_VALUE"""),43782.625)</f>
        <v>43782.625</v>
      </c>
      <c r="B1177" s="2">
        <f ca="1">IFERROR(__xludf.DUMMYFUNCTION("""COMPUTED_VALUE"""),7000)</f>
        <v>7000</v>
      </c>
      <c r="C1177" s="2">
        <f ca="1">IFERROR(__xludf.DUMMYFUNCTION("""COMPUTED_VALUE"""),7000)</f>
        <v>7000</v>
      </c>
      <c r="D1177" s="2">
        <f ca="1">IFERROR(__xludf.DUMMYFUNCTION("""COMPUTED_VALUE"""),6775)</f>
        <v>6775</v>
      </c>
      <c r="E1177" s="2">
        <f ca="1">IFERROR(__xludf.DUMMYFUNCTION("""COMPUTED_VALUE"""),6875)</f>
        <v>6875</v>
      </c>
      <c r="F1177" s="2">
        <f ca="1">IFERROR(__xludf.DUMMYFUNCTION("""COMPUTED_VALUE"""),37574200)</f>
        <v>37574200</v>
      </c>
    </row>
    <row r="1178" spans="1:6">
      <c r="A1178" s="1">
        <f ca="1">IFERROR(__xludf.DUMMYFUNCTION("""COMPUTED_VALUE"""),43783.625)</f>
        <v>43783.625</v>
      </c>
      <c r="B1178" s="2">
        <f ca="1">IFERROR(__xludf.DUMMYFUNCTION("""COMPUTED_VALUE"""),6875)</f>
        <v>6875</v>
      </c>
      <c r="C1178" s="2">
        <f ca="1">IFERROR(__xludf.DUMMYFUNCTION("""COMPUTED_VALUE"""),6900)</f>
        <v>6900</v>
      </c>
      <c r="D1178" s="2">
        <f ca="1">IFERROR(__xludf.DUMMYFUNCTION("""COMPUTED_VALUE"""),6700)</f>
        <v>6700</v>
      </c>
      <c r="E1178" s="2">
        <f ca="1">IFERROR(__xludf.DUMMYFUNCTION("""COMPUTED_VALUE"""),6875)</f>
        <v>6875</v>
      </c>
      <c r="F1178" s="2">
        <f ca="1">IFERROR(__xludf.DUMMYFUNCTION("""COMPUTED_VALUE"""),33349300)</f>
        <v>33349300</v>
      </c>
    </row>
    <row r="1179" spans="1:6">
      <c r="A1179" s="1">
        <f ca="1">IFERROR(__xludf.DUMMYFUNCTION("""COMPUTED_VALUE"""),43784.625)</f>
        <v>43784.625</v>
      </c>
      <c r="B1179" s="2">
        <f ca="1">IFERROR(__xludf.DUMMYFUNCTION("""COMPUTED_VALUE"""),6925)</f>
        <v>6925</v>
      </c>
      <c r="C1179" s="2">
        <f ca="1">IFERROR(__xludf.DUMMYFUNCTION("""COMPUTED_VALUE"""),7025)</f>
        <v>7025</v>
      </c>
      <c r="D1179" s="2">
        <f ca="1">IFERROR(__xludf.DUMMYFUNCTION("""COMPUTED_VALUE"""),6925)</f>
        <v>6925</v>
      </c>
      <c r="E1179" s="2">
        <f ca="1">IFERROR(__xludf.DUMMYFUNCTION("""COMPUTED_VALUE"""),6950)</f>
        <v>6950</v>
      </c>
      <c r="F1179" s="2">
        <f ca="1">IFERROR(__xludf.DUMMYFUNCTION("""COMPUTED_VALUE"""),23508600)</f>
        <v>23508600</v>
      </c>
    </row>
    <row r="1180" spans="1:6">
      <c r="A1180" s="1">
        <f ca="1">IFERROR(__xludf.DUMMYFUNCTION("""COMPUTED_VALUE"""),43787.625)</f>
        <v>43787.625</v>
      </c>
      <c r="B1180" s="2">
        <f ca="1">IFERROR(__xludf.DUMMYFUNCTION("""COMPUTED_VALUE"""),6950)</f>
        <v>6950</v>
      </c>
      <c r="C1180" s="2">
        <f ca="1">IFERROR(__xludf.DUMMYFUNCTION("""COMPUTED_VALUE"""),7025)</f>
        <v>7025</v>
      </c>
      <c r="D1180" s="2">
        <f ca="1">IFERROR(__xludf.DUMMYFUNCTION("""COMPUTED_VALUE"""),6875)</f>
        <v>6875</v>
      </c>
      <c r="E1180" s="2">
        <f ca="1">IFERROR(__xludf.DUMMYFUNCTION("""COMPUTED_VALUE"""),6975)</f>
        <v>6975</v>
      </c>
      <c r="F1180" s="2">
        <f ca="1">IFERROR(__xludf.DUMMYFUNCTION("""COMPUTED_VALUE"""),30643500)</f>
        <v>30643500</v>
      </c>
    </row>
    <row r="1181" spans="1:6">
      <c r="A1181" s="1">
        <f ca="1">IFERROR(__xludf.DUMMYFUNCTION("""COMPUTED_VALUE"""),43788.625)</f>
        <v>43788.625</v>
      </c>
      <c r="B1181" s="2">
        <f ca="1">IFERROR(__xludf.DUMMYFUNCTION("""COMPUTED_VALUE"""),7025)</f>
        <v>7025</v>
      </c>
      <c r="C1181" s="2">
        <f ca="1">IFERROR(__xludf.DUMMYFUNCTION("""COMPUTED_VALUE"""),7150)</f>
        <v>7150</v>
      </c>
      <c r="D1181" s="2">
        <f ca="1">IFERROR(__xludf.DUMMYFUNCTION("""COMPUTED_VALUE"""),6950)</f>
        <v>6950</v>
      </c>
      <c r="E1181" s="2">
        <f ca="1">IFERROR(__xludf.DUMMYFUNCTION("""COMPUTED_VALUE"""),7150)</f>
        <v>7150</v>
      </c>
      <c r="F1181" s="2">
        <f ca="1">IFERROR(__xludf.DUMMYFUNCTION("""COMPUTED_VALUE"""),33503100)</f>
        <v>33503100</v>
      </c>
    </row>
    <row r="1182" spans="1:6">
      <c r="A1182" s="1">
        <f ca="1">IFERROR(__xludf.DUMMYFUNCTION("""COMPUTED_VALUE"""),43789.625)</f>
        <v>43789.625</v>
      </c>
      <c r="B1182" s="2">
        <f ca="1">IFERROR(__xludf.DUMMYFUNCTION("""COMPUTED_VALUE"""),7150)</f>
        <v>7150</v>
      </c>
      <c r="C1182" s="2">
        <f ca="1">IFERROR(__xludf.DUMMYFUNCTION("""COMPUTED_VALUE"""),7200)</f>
        <v>7200</v>
      </c>
      <c r="D1182" s="2">
        <f ca="1">IFERROR(__xludf.DUMMYFUNCTION("""COMPUTED_VALUE"""),7050)</f>
        <v>7050</v>
      </c>
      <c r="E1182" s="2">
        <f ca="1">IFERROR(__xludf.DUMMYFUNCTION("""COMPUTED_VALUE"""),7100)</f>
        <v>7100</v>
      </c>
      <c r="F1182" s="2">
        <f ca="1">IFERROR(__xludf.DUMMYFUNCTION("""COMPUTED_VALUE"""),23363800)</f>
        <v>23363800</v>
      </c>
    </row>
    <row r="1183" spans="1:6">
      <c r="A1183" s="1">
        <f ca="1">IFERROR(__xludf.DUMMYFUNCTION("""COMPUTED_VALUE"""),43790.625)</f>
        <v>43790.625</v>
      </c>
      <c r="B1183" s="2">
        <f ca="1">IFERROR(__xludf.DUMMYFUNCTION("""COMPUTED_VALUE"""),7000)</f>
        <v>7000</v>
      </c>
      <c r="C1183" s="2">
        <f ca="1">IFERROR(__xludf.DUMMYFUNCTION("""COMPUTED_VALUE"""),7200)</f>
        <v>7200</v>
      </c>
      <c r="D1183" s="2">
        <f ca="1">IFERROR(__xludf.DUMMYFUNCTION("""COMPUTED_VALUE"""),6950)</f>
        <v>6950</v>
      </c>
      <c r="E1183" s="2">
        <f ca="1">IFERROR(__xludf.DUMMYFUNCTION("""COMPUTED_VALUE"""),7175)</f>
        <v>7175</v>
      </c>
      <c r="F1183" s="2">
        <f ca="1">IFERROR(__xludf.DUMMYFUNCTION("""COMPUTED_VALUE"""),30472300)</f>
        <v>30472300</v>
      </c>
    </row>
    <row r="1184" spans="1:6">
      <c r="A1184" s="1">
        <f ca="1">IFERROR(__xludf.DUMMYFUNCTION("""COMPUTED_VALUE"""),43791.625)</f>
        <v>43791.625</v>
      </c>
      <c r="B1184" s="2">
        <f ca="1">IFERROR(__xludf.DUMMYFUNCTION("""COMPUTED_VALUE"""),7100)</f>
        <v>7100</v>
      </c>
      <c r="C1184" s="2">
        <f ca="1">IFERROR(__xludf.DUMMYFUNCTION("""COMPUTED_VALUE"""),7175)</f>
        <v>7175</v>
      </c>
      <c r="D1184" s="2">
        <f ca="1">IFERROR(__xludf.DUMMYFUNCTION("""COMPUTED_VALUE"""),7050)</f>
        <v>7050</v>
      </c>
      <c r="E1184" s="2">
        <f ca="1">IFERROR(__xludf.DUMMYFUNCTION("""COMPUTED_VALUE"""),7075)</f>
        <v>7075</v>
      </c>
      <c r="F1184" s="2">
        <f ca="1">IFERROR(__xludf.DUMMYFUNCTION("""COMPUTED_VALUE"""),20226400)</f>
        <v>20226400</v>
      </c>
    </row>
    <row r="1185" spans="1:6">
      <c r="A1185" s="1">
        <f ca="1">IFERROR(__xludf.DUMMYFUNCTION("""COMPUTED_VALUE"""),43794.625)</f>
        <v>43794.625</v>
      </c>
      <c r="B1185" s="2">
        <f ca="1">IFERROR(__xludf.DUMMYFUNCTION("""COMPUTED_VALUE"""),7000)</f>
        <v>7000</v>
      </c>
      <c r="C1185" s="2">
        <f ca="1">IFERROR(__xludf.DUMMYFUNCTION("""COMPUTED_VALUE"""),7050)</f>
        <v>7050</v>
      </c>
      <c r="D1185" s="2">
        <f ca="1">IFERROR(__xludf.DUMMYFUNCTION("""COMPUTED_VALUE"""),6925)</f>
        <v>6925</v>
      </c>
      <c r="E1185" s="2">
        <f ca="1">IFERROR(__xludf.DUMMYFUNCTION("""COMPUTED_VALUE"""),6975)</f>
        <v>6975</v>
      </c>
      <c r="F1185" s="2">
        <f ca="1">IFERROR(__xludf.DUMMYFUNCTION("""COMPUTED_VALUE"""),23838100)</f>
        <v>23838100</v>
      </c>
    </row>
    <row r="1186" spans="1:6">
      <c r="A1186" s="1">
        <f ca="1">IFERROR(__xludf.DUMMYFUNCTION("""COMPUTED_VALUE"""),43795.625)</f>
        <v>43795.625</v>
      </c>
      <c r="B1186" s="2">
        <f ca="1">IFERROR(__xludf.DUMMYFUNCTION("""COMPUTED_VALUE"""),7000)</f>
        <v>7000</v>
      </c>
      <c r="C1186" s="2">
        <f ca="1">IFERROR(__xludf.DUMMYFUNCTION("""COMPUTED_VALUE"""),7050)</f>
        <v>7050</v>
      </c>
      <c r="D1186" s="2">
        <f ca="1">IFERROR(__xludf.DUMMYFUNCTION("""COMPUTED_VALUE"""),6900)</f>
        <v>6900</v>
      </c>
      <c r="E1186" s="2">
        <f ca="1">IFERROR(__xludf.DUMMYFUNCTION("""COMPUTED_VALUE"""),6925)</f>
        <v>6925</v>
      </c>
      <c r="F1186" s="2">
        <f ca="1">IFERROR(__xludf.DUMMYFUNCTION("""COMPUTED_VALUE"""),86766600)</f>
        <v>86766600</v>
      </c>
    </row>
    <row r="1187" spans="1:6">
      <c r="A1187" s="1">
        <f ca="1">IFERROR(__xludf.DUMMYFUNCTION("""COMPUTED_VALUE"""),43796.625)</f>
        <v>43796.625</v>
      </c>
      <c r="B1187" s="2">
        <f ca="1">IFERROR(__xludf.DUMMYFUNCTION("""COMPUTED_VALUE"""),6825)</f>
        <v>6825</v>
      </c>
      <c r="C1187" s="2">
        <f ca="1">IFERROR(__xludf.DUMMYFUNCTION("""COMPUTED_VALUE"""),6975)</f>
        <v>6975</v>
      </c>
      <c r="D1187" s="2">
        <f ca="1">IFERROR(__xludf.DUMMYFUNCTION("""COMPUTED_VALUE"""),6800)</f>
        <v>6800</v>
      </c>
      <c r="E1187" s="2">
        <f ca="1">IFERROR(__xludf.DUMMYFUNCTION("""COMPUTED_VALUE"""),6900)</f>
        <v>6900</v>
      </c>
      <c r="F1187" s="2">
        <f ca="1">IFERROR(__xludf.DUMMYFUNCTION("""COMPUTED_VALUE"""),36464400)</f>
        <v>36464400</v>
      </c>
    </row>
    <row r="1188" spans="1:6">
      <c r="A1188" s="1">
        <f ca="1">IFERROR(__xludf.DUMMYFUNCTION("""COMPUTED_VALUE"""),43797.625)</f>
        <v>43797.625</v>
      </c>
      <c r="B1188" s="2">
        <f ca="1">IFERROR(__xludf.DUMMYFUNCTION("""COMPUTED_VALUE"""),6850)</f>
        <v>6850</v>
      </c>
      <c r="C1188" s="2">
        <f ca="1">IFERROR(__xludf.DUMMYFUNCTION("""COMPUTED_VALUE"""),6900)</f>
        <v>6900</v>
      </c>
      <c r="D1188" s="2">
        <f ca="1">IFERROR(__xludf.DUMMYFUNCTION("""COMPUTED_VALUE"""),6775)</f>
        <v>6775</v>
      </c>
      <c r="E1188" s="2">
        <f ca="1">IFERROR(__xludf.DUMMYFUNCTION("""COMPUTED_VALUE"""),6775)</f>
        <v>6775</v>
      </c>
      <c r="F1188" s="2">
        <f ca="1">IFERROR(__xludf.DUMMYFUNCTION("""COMPUTED_VALUE"""),28137600)</f>
        <v>28137600</v>
      </c>
    </row>
    <row r="1189" spans="1:6">
      <c r="A1189" s="1">
        <f ca="1">IFERROR(__xludf.DUMMYFUNCTION("""COMPUTED_VALUE"""),43798.625)</f>
        <v>43798.625</v>
      </c>
      <c r="B1189" s="2">
        <f ca="1">IFERROR(__xludf.DUMMYFUNCTION("""COMPUTED_VALUE"""),6775)</f>
        <v>6775</v>
      </c>
      <c r="C1189" s="2">
        <f ca="1">IFERROR(__xludf.DUMMYFUNCTION("""COMPUTED_VALUE"""),7000)</f>
        <v>7000</v>
      </c>
      <c r="D1189" s="2">
        <f ca="1">IFERROR(__xludf.DUMMYFUNCTION("""COMPUTED_VALUE"""),6775)</f>
        <v>6775</v>
      </c>
      <c r="E1189" s="2">
        <f ca="1">IFERROR(__xludf.DUMMYFUNCTION("""COMPUTED_VALUE"""),6975)</f>
        <v>6975</v>
      </c>
      <c r="F1189" s="2">
        <f ca="1">IFERROR(__xludf.DUMMYFUNCTION("""COMPUTED_VALUE"""),26625300)</f>
        <v>26625300</v>
      </c>
    </row>
    <row r="1190" spans="1:6">
      <c r="A1190" s="1">
        <f ca="1">IFERROR(__xludf.DUMMYFUNCTION("""COMPUTED_VALUE"""),43801.625)</f>
        <v>43801.625</v>
      </c>
      <c r="B1190" s="2">
        <f ca="1">IFERROR(__xludf.DUMMYFUNCTION("""COMPUTED_VALUE"""),6975)</f>
        <v>6975</v>
      </c>
      <c r="C1190" s="2">
        <f ca="1">IFERROR(__xludf.DUMMYFUNCTION("""COMPUTED_VALUE"""),7150)</f>
        <v>7150</v>
      </c>
      <c r="D1190" s="2">
        <f ca="1">IFERROR(__xludf.DUMMYFUNCTION("""COMPUTED_VALUE"""),6925)</f>
        <v>6925</v>
      </c>
      <c r="E1190" s="2">
        <f ca="1">IFERROR(__xludf.DUMMYFUNCTION("""COMPUTED_VALUE"""),7100)</f>
        <v>7100</v>
      </c>
      <c r="F1190" s="2">
        <f ca="1">IFERROR(__xludf.DUMMYFUNCTION("""COMPUTED_VALUE"""),37280500)</f>
        <v>37280500</v>
      </c>
    </row>
    <row r="1191" spans="1:6">
      <c r="A1191" s="1">
        <f ca="1">IFERROR(__xludf.DUMMYFUNCTION("""COMPUTED_VALUE"""),43802.625)</f>
        <v>43802.625</v>
      </c>
      <c r="B1191" s="2">
        <f ca="1">IFERROR(__xludf.DUMMYFUNCTION("""COMPUTED_VALUE"""),7050)</f>
        <v>7050</v>
      </c>
      <c r="C1191" s="2">
        <f ca="1">IFERROR(__xludf.DUMMYFUNCTION("""COMPUTED_VALUE"""),7175)</f>
        <v>7175</v>
      </c>
      <c r="D1191" s="2">
        <f ca="1">IFERROR(__xludf.DUMMYFUNCTION("""COMPUTED_VALUE"""),7025)</f>
        <v>7025</v>
      </c>
      <c r="E1191" s="2">
        <f ca="1">IFERROR(__xludf.DUMMYFUNCTION("""COMPUTED_VALUE"""),7175)</f>
        <v>7175</v>
      </c>
      <c r="F1191" s="2">
        <f ca="1">IFERROR(__xludf.DUMMYFUNCTION("""COMPUTED_VALUE"""),39519500)</f>
        <v>39519500</v>
      </c>
    </row>
    <row r="1192" spans="1:6">
      <c r="A1192" s="1">
        <f ca="1">IFERROR(__xludf.DUMMYFUNCTION("""COMPUTED_VALUE"""),43803.625)</f>
        <v>43803.625</v>
      </c>
      <c r="B1192" s="2">
        <f ca="1">IFERROR(__xludf.DUMMYFUNCTION("""COMPUTED_VALUE"""),7075)</f>
        <v>7075</v>
      </c>
      <c r="C1192" s="2">
        <f ca="1">IFERROR(__xludf.DUMMYFUNCTION("""COMPUTED_VALUE"""),7150)</f>
        <v>7150</v>
      </c>
      <c r="D1192" s="2">
        <f ca="1">IFERROR(__xludf.DUMMYFUNCTION("""COMPUTED_VALUE"""),7050)</f>
        <v>7050</v>
      </c>
      <c r="E1192" s="2">
        <f ca="1">IFERROR(__xludf.DUMMYFUNCTION("""COMPUTED_VALUE"""),7075)</f>
        <v>7075</v>
      </c>
      <c r="F1192" s="2">
        <f ca="1">IFERROR(__xludf.DUMMYFUNCTION("""COMPUTED_VALUE"""),32901100)</f>
        <v>32901100</v>
      </c>
    </row>
    <row r="1193" spans="1:6">
      <c r="A1193" s="1">
        <f ca="1">IFERROR(__xludf.DUMMYFUNCTION("""COMPUTED_VALUE"""),43804.625)</f>
        <v>43804.625</v>
      </c>
      <c r="B1193" s="2">
        <f ca="1">IFERROR(__xludf.DUMMYFUNCTION("""COMPUTED_VALUE"""),7100)</f>
        <v>7100</v>
      </c>
      <c r="C1193" s="2">
        <f ca="1">IFERROR(__xludf.DUMMYFUNCTION("""COMPUTED_VALUE"""),7200)</f>
        <v>7200</v>
      </c>
      <c r="D1193" s="2">
        <f ca="1">IFERROR(__xludf.DUMMYFUNCTION("""COMPUTED_VALUE"""),7075)</f>
        <v>7075</v>
      </c>
      <c r="E1193" s="2">
        <f ca="1">IFERROR(__xludf.DUMMYFUNCTION("""COMPUTED_VALUE"""),7175)</f>
        <v>7175</v>
      </c>
      <c r="F1193" s="2">
        <f ca="1">IFERROR(__xludf.DUMMYFUNCTION("""COMPUTED_VALUE"""),37108900)</f>
        <v>37108900</v>
      </c>
    </row>
    <row r="1194" spans="1:6">
      <c r="A1194" s="1">
        <f ca="1">IFERROR(__xludf.DUMMYFUNCTION("""COMPUTED_VALUE"""),43805.625)</f>
        <v>43805.625</v>
      </c>
      <c r="B1194" s="2">
        <f ca="1">IFERROR(__xludf.DUMMYFUNCTION("""COMPUTED_VALUE"""),7200)</f>
        <v>7200</v>
      </c>
      <c r="C1194" s="2">
        <f ca="1">IFERROR(__xludf.DUMMYFUNCTION("""COMPUTED_VALUE"""),7225)</f>
        <v>7225</v>
      </c>
      <c r="D1194" s="2">
        <f ca="1">IFERROR(__xludf.DUMMYFUNCTION("""COMPUTED_VALUE"""),7125)</f>
        <v>7125</v>
      </c>
      <c r="E1194" s="2">
        <f ca="1">IFERROR(__xludf.DUMMYFUNCTION("""COMPUTED_VALUE"""),7175)</f>
        <v>7175</v>
      </c>
      <c r="F1194" s="2">
        <f ca="1">IFERROR(__xludf.DUMMYFUNCTION("""COMPUTED_VALUE"""),26860300)</f>
        <v>26860300</v>
      </c>
    </row>
    <row r="1195" spans="1:6">
      <c r="A1195" s="1">
        <f ca="1">IFERROR(__xludf.DUMMYFUNCTION("""COMPUTED_VALUE"""),43808.625)</f>
        <v>43808.625</v>
      </c>
      <c r="B1195" s="2">
        <f ca="1">IFERROR(__xludf.DUMMYFUNCTION("""COMPUTED_VALUE"""),7200)</f>
        <v>7200</v>
      </c>
      <c r="C1195" s="2">
        <f ca="1">IFERROR(__xludf.DUMMYFUNCTION("""COMPUTED_VALUE"""),7300)</f>
        <v>7300</v>
      </c>
      <c r="D1195" s="2">
        <f ca="1">IFERROR(__xludf.DUMMYFUNCTION("""COMPUTED_VALUE"""),7200)</f>
        <v>7200</v>
      </c>
      <c r="E1195" s="2">
        <f ca="1">IFERROR(__xludf.DUMMYFUNCTION("""COMPUTED_VALUE"""),7250)</f>
        <v>7250</v>
      </c>
      <c r="F1195" s="2">
        <f ca="1">IFERROR(__xludf.DUMMYFUNCTION("""COMPUTED_VALUE"""),36049300)</f>
        <v>36049300</v>
      </c>
    </row>
    <row r="1196" spans="1:6">
      <c r="A1196" s="1">
        <f ca="1">IFERROR(__xludf.DUMMYFUNCTION("""COMPUTED_VALUE"""),43809.625)</f>
        <v>43809.625</v>
      </c>
      <c r="B1196" s="2">
        <f ca="1">IFERROR(__xludf.DUMMYFUNCTION("""COMPUTED_VALUE"""),7200)</f>
        <v>7200</v>
      </c>
      <c r="C1196" s="2">
        <f ca="1">IFERROR(__xludf.DUMMYFUNCTION("""COMPUTED_VALUE"""),7400)</f>
        <v>7400</v>
      </c>
      <c r="D1196" s="2">
        <f ca="1">IFERROR(__xludf.DUMMYFUNCTION("""COMPUTED_VALUE"""),7200)</f>
        <v>7200</v>
      </c>
      <c r="E1196" s="2">
        <f ca="1">IFERROR(__xludf.DUMMYFUNCTION("""COMPUTED_VALUE"""),7375)</f>
        <v>7375</v>
      </c>
      <c r="F1196" s="2">
        <f ca="1">IFERROR(__xludf.DUMMYFUNCTION("""COMPUTED_VALUE"""),66115000)</f>
        <v>66115000</v>
      </c>
    </row>
    <row r="1197" spans="1:6">
      <c r="A1197" s="1">
        <f ca="1">IFERROR(__xludf.DUMMYFUNCTION("""COMPUTED_VALUE"""),43810.625)</f>
        <v>43810.625</v>
      </c>
      <c r="B1197" s="2">
        <f ca="1">IFERROR(__xludf.DUMMYFUNCTION("""COMPUTED_VALUE"""),7350)</f>
        <v>7350</v>
      </c>
      <c r="C1197" s="2">
        <f ca="1">IFERROR(__xludf.DUMMYFUNCTION("""COMPUTED_VALUE"""),7400)</f>
        <v>7400</v>
      </c>
      <c r="D1197" s="2">
        <f ca="1">IFERROR(__xludf.DUMMYFUNCTION("""COMPUTED_VALUE"""),7325)</f>
        <v>7325</v>
      </c>
      <c r="E1197" s="2">
        <f ca="1">IFERROR(__xludf.DUMMYFUNCTION("""COMPUTED_VALUE"""),7350)</f>
        <v>7350</v>
      </c>
      <c r="F1197" s="2">
        <f ca="1">IFERROR(__xludf.DUMMYFUNCTION("""COMPUTED_VALUE"""),34227100)</f>
        <v>34227100</v>
      </c>
    </row>
    <row r="1198" spans="1:6">
      <c r="A1198" s="1">
        <f ca="1">IFERROR(__xludf.DUMMYFUNCTION("""COMPUTED_VALUE"""),43811.625)</f>
        <v>43811.625</v>
      </c>
      <c r="B1198" s="2">
        <f ca="1">IFERROR(__xludf.DUMMYFUNCTION("""COMPUTED_VALUE"""),7325)</f>
        <v>7325</v>
      </c>
      <c r="C1198" s="2">
        <f ca="1">IFERROR(__xludf.DUMMYFUNCTION("""COMPUTED_VALUE"""),7450)</f>
        <v>7450</v>
      </c>
      <c r="D1198" s="2">
        <f ca="1">IFERROR(__xludf.DUMMYFUNCTION("""COMPUTED_VALUE"""),7275)</f>
        <v>7275</v>
      </c>
      <c r="E1198" s="2">
        <f ca="1">IFERROR(__xludf.DUMMYFUNCTION("""COMPUTED_VALUE"""),7300)</f>
        <v>7300</v>
      </c>
      <c r="F1198" s="2">
        <f ca="1">IFERROR(__xludf.DUMMYFUNCTION("""COMPUTED_VALUE"""),39869300)</f>
        <v>39869300</v>
      </c>
    </row>
    <row r="1199" spans="1:6">
      <c r="A1199" s="1">
        <f ca="1">IFERROR(__xludf.DUMMYFUNCTION("""COMPUTED_VALUE"""),43812.625)</f>
        <v>43812.625</v>
      </c>
      <c r="B1199" s="2">
        <f ca="1">IFERROR(__xludf.DUMMYFUNCTION("""COMPUTED_VALUE"""),7400)</f>
        <v>7400</v>
      </c>
      <c r="C1199" s="2">
        <f ca="1">IFERROR(__xludf.DUMMYFUNCTION("""COMPUTED_VALUE"""),7450)</f>
        <v>7450</v>
      </c>
      <c r="D1199" s="2">
        <f ca="1">IFERROR(__xludf.DUMMYFUNCTION("""COMPUTED_VALUE"""),7350)</f>
        <v>7350</v>
      </c>
      <c r="E1199" s="2">
        <f ca="1">IFERROR(__xludf.DUMMYFUNCTION("""COMPUTED_VALUE"""),7375)</f>
        <v>7375</v>
      </c>
      <c r="F1199" s="2">
        <f ca="1">IFERROR(__xludf.DUMMYFUNCTION("""COMPUTED_VALUE"""),63736200)</f>
        <v>63736200</v>
      </c>
    </row>
    <row r="1200" spans="1:6">
      <c r="A1200" s="1">
        <f ca="1">IFERROR(__xludf.DUMMYFUNCTION("""COMPUTED_VALUE"""),43815.625)</f>
        <v>43815.625</v>
      </c>
      <c r="B1200" s="2">
        <f ca="1">IFERROR(__xludf.DUMMYFUNCTION("""COMPUTED_VALUE"""),7350)</f>
        <v>7350</v>
      </c>
      <c r="C1200" s="2">
        <f ca="1">IFERROR(__xludf.DUMMYFUNCTION("""COMPUTED_VALUE"""),7425)</f>
        <v>7425</v>
      </c>
      <c r="D1200" s="2">
        <f ca="1">IFERROR(__xludf.DUMMYFUNCTION("""COMPUTED_VALUE"""),7350)</f>
        <v>7350</v>
      </c>
      <c r="E1200" s="2">
        <f ca="1">IFERROR(__xludf.DUMMYFUNCTION("""COMPUTED_VALUE"""),7350)</f>
        <v>7350</v>
      </c>
      <c r="F1200" s="2">
        <f ca="1">IFERROR(__xludf.DUMMYFUNCTION("""COMPUTED_VALUE"""),48018700)</f>
        <v>48018700</v>
      </c>
    </row>
    <row r="1201" spans="1:6">
      <c r="A1201" s="1">
        <f ca="1">IFERROR(__xludf.DUMMYFUNCTION("""COMPUTED_VALUE"""),43816.625)</f>
        <v>43816.625</v>
      </c>
      <c r="B1201" s="2">
        <f ca="1">IFERROR(__xludf.DUMMYFUNCTION("""COMPUTED_VALUE"""),7350)</f>
        <v>7350</v>
      </c>
      <c r="C1201" s="2">
        <f ca="1">IFERROR(__xludf.DUMMYFUNCTION("""COMPUTED_VALUE"""),7400)</f>
        <v>7400</v>
      </c>
      <c r="D1201" s="2">
        <f ca="1">IFERROR(__xludf.DUMMYFUNCTION("""COMPUTED_VALUE"""),7325)</f>
        <v>7325</v>
      </c>
      <c r="E1201" s="2">
        <f ca="1">IFERROR(__xludf.DUMMYFUNCTION("""COMPUTED_VALUE"""),7350)</f>
        <v>7350</v>
      </c>
      <c r="F1201" s="2">
        <f ca="1">IFERROR(__xludf.DUMMYFUNCTION("""COMPUTED_VALUE"""),50395000)</f>
        <v>50395000</v>
      </c>
    </row>
    <row r="1202" spans="1:6">
      <c r="A1202" s="1">
        <f ca="1">IFERROR(__xludf.DUMMYFUNCTION("""COMPUTED_VALUE"""),43817.625)</f>
        <v>43817.625</v>
      </c>
      <c r="B1202" s="2">
        <f ca="1">IFERROR(__xludf.DUMMYFUNCTION("""COMPUTED_VALUE"""),7350)</f>
        <v>7350</v>
      </c>
      <c r="C1202" s="2">
        <f ca="1">IFERROR(__xludf.DUMMYFUNCTION("""COMPUTED_VALUE"""),7550)</f>
        <v>7550</v>
      </c>
      <c r="D1202" s="2">
        <f ca="1">IFERROR(__xludf.DUMMYFUNCTION("""COMPUTED_VALUE"""),7325)</f>
        <v>7325</v>
      </c>
      <c r="E1202" s="2">
        <f ca="1">IFERROR(__xludf.DUMMYFUNCTION("""COMPUTED_VALUE"""),7525)</f>
        <v>7525</v>
      </c>
      <c r="F1202" s="2">
        <f ca="1">IFERROR(__xludf.DUMMYFUNCTION("""COMPUTED_VALUE"""),61640800)</f>
        <v>61640800</v>
      </c>
    </row>
    <row r="1203" spans="1:6">
      <c r="A1203" s="1">
        <f ca="1">IFERROR(__xludf.DUMMYFUNCTION("""COMPUTED_VALUE"""),43818.625)</f>
        <v>43818.625</v>
      </c>
      <c r="B1203" s="2">
        <f ca="1">IFERROR(__xludf.DUMMYFUNCTION("""COMPUTED_VALUE"""),7525)</f>
        <v>7525</v>
      </c>
      <c r="C1203" s="2">
        <f ca="1">IFERROR(__xludf.DUMMYFUNCTION("""COMPUTED_VALUE"""),7600)</f>
        <v>7600</v>
      </c>
      <c r="D1203" s="2">
        <f ca="1">IFERROR(__xludf.DUMMYFUNCTION("""COMPUTED_VALUE"""),7475)</f>
        <v>7475</v>
      </c>
      <c r="E1203" s="2">
        <f ca="1">IFERROR(__xludf.DUMMYFUNCTION("""COMPUTED_VALUE"""),7600)</f>
        <v>7600</v>
      </c>
      <c r="F1203" s="2">
        <f ca="1">IFERROR(__xludf.DUMMYFUNCTION("""COMPUTED_VALUE"""),56451600)</f>
        <v>56451600</v>
      </c>
    </row>
    <row r="1204" spans="1:6">
      <c r="A1204" s="1">
        <f ca="1">IFERROR(__xludf.DUMMYFUNCTION("""COMPUTED_VALUE"""),43819.625)</f>
        <v>43819.625</v>
      </c>
      <c r="B1204" s="2">
        <f ca="1">IFERROR(__xludf.DUMMYFUNCTION("""COMPUTED_VALUE"""),7550)</f>
        <v>7550</v>
      </c>
      <c r="C1204" s="2">
        <f ca="1">IFERROR(__xludf.DUMMYFUNCTION("""COMPUTED_VALUE"""),7700)</f>
        <v>7700</v>
      </c>
      <c r="D1204" s="2">
        <f ca="1">IFERROR(__xludf.DUMMYFUNCTION("""COMPUTED_VALUE"""),7550)</f>
        <v>7550</v>
      </c>
      <c r="E1204" s="2">
        <f ca="1">IFERROR(__xludf.DUMMYFUNCTION("""COMPUTED_VALUE"""),7700)</f>
        <v>7700</v>
      </c>
      <c r="F1204" s="2">
        <f ca="1">IFERROR(__xludf.DUMMYFUNCTION("""COMPUTED_VALUE"""),75236100)</f>
        <v>75236100</v>
      </c>
    </row>
    <row r="1205" spans="1:6">
      <c r="A1205" s="1">
        <f ca="1">IFERROR(__xludf.DUMMYFUNCTION("""COMPUTED_VALUE"""),43822.625)</f>
        <v>43822.625</v>
      </c>
      <c r="B1205" s="2">
        <f ca="1">IFERROR(__xludf.DUMMYFUNCTION("""COMPUTED_VALUE"""),7800)</f>
        <v>7800</v>
      </c>
      <c r="C1205" s="2">
        <f ca="1">IFERROR(__xludf.DUMMYFUNCTION("""COMPUTED_VALUE"""),7800)</f>
        <v>7800</v>
      </c>
      <c r="D1205" s="2">
        <f ca="1">IFERROR(__xludf.DUMMYFUNCTION("""COMPUTED_VALUE"""),7675)</f>
        <v>7675</v>
      </c>
      <c r="E1205" s="2">
        <f ca="1">IFERROR(__xludf.DUMMYFUNCTION("""COMPUTED_VALUE"""),7725)</f>
        <v>7725</v>
      </c>
      <c r="F1205" s="2">
        <f ca="1">IFERROR(__xludf.DUMMYFUNCTION("""COMPUTED_VALUE"""),65623400)</f>
        <v>65623400</v>
      </c>
    </row>
    <row r="1206" spans="1:6">
      <c r="A1206" s="1">
        <f ca="1">IFERROR(__xludf.DUMMYFUNCTION("""COMPUTED_VALUE"""),43825.625)</f>
        <v>43825.625</v>
      </c>
      <c r="B1206" s="2">
        <f ca="1">IFERROR(__xludf.DUMMYFUNCTION("""COMPUTED_VALUE"""),7775)</f>
        <v>7775</v>
      </c>
      <c r="C1206" s="2">
        <f ca="1">IFERROR(__xludf.DUMMYFUNCTION("""COMPUTED_VALUE"""),7825)</f>
        <v>7825</v>
      </c>
      <c r="D1206" s="2">
        <f ca="1">IFERROR(__xludf.DUMMYFUNCTION("""COMPUTED_VALUE"""),7750)</f>
        <v>7750</v>
      </c>
      <c r="E1206" s="2">
        <f ca="1">IFERROR(__xludf.DUMMYFUNCTION("""COMPUTED_VALUE"""),7800)</f>
        <v>7800</v>
      </c>
      <c r="F1206" s="2">
        <f ca="1">IFERROR(__xludf.DUMMYFUNCTION("""COMPUTED_VALUE"""),70468200)</f>
        <v>70468200</v>
      </c>
    </row>
    <row r="1207" spans="1:6">
      <c r="A1207" s="1">
        <f ca="1">IFERROR(__xludf.DUMMYFUNCTION("""COMPUTED_VALUE"""),43826.625)</f>
        <v>43826.625</v>
      </c>
      <c r="B1207" s="2">
        <f ca="1">IFERROR(__xludf.DUMMYFUNCTION("""COMPUTED_VALUE"""),7825)</f>
        <v>7825</v>
      </c>
      <c r="C1207" s="2">
        <f ca="1">IFERROR(__xludf.DUMMYFUNCTION("""COMPUTED_VALUE"""),7825)</f>
        <v>7825</v>
      </c>
      <c r="D1207" s="2">
        <f ca="1">IFERROR(__xludf.DUMMYFUNCTION("""COMPUTED_VALUE"""),7725)</f>
        <v>7725</v>
      </c>
      <c r="E1207" s="2">
        <f ca="1">IFERROR(__xludf.DUMMYFUNCTION("""COMPUTED_VALUE"""),7750)</f>
        <v>7750</v>
      </c>
      <c r="F1207" s="2">
        <f ca="1">IFERROR(__xludf.DUMMYFUNCTION("""COMPUTED_VALUE"""),29091400)</f>
        <v>29091400</v>
      </c>
    </row>
    <row r="1208" spans="1:6">
      <c r="A1208" s="1">
        <f ca="1">IFERROR(__xludf.DUMMYFUNCTION("""COMPUTED_VALUE"""),43829.625)</f>
        <v>43829.625</v>
      </c>
      <c r="B1208" s="2">
        <f ca="1">IFERROR(__xludf.DUMMYFUNCTION("""COMPUTED_VALUE"""),7725)</f>
        <v>7725</v>
      </c>
      <c r="C1208" s="2">
        <f ca="1">IFERROR(__xludf.DUMMYFUNCTION("""COMPUTED_VALUE"""),7800)</f>
        <v>7800</v>
      </c>
      <c r="D1208" s="2">
        <f ca="1">IFERROR(__xludf.DUMMYFUNCTION("""COMPUTED_VALUE"""),7650)</f>
        <v>7650</v>
      </c>
      <c r="E1208" s="2">
        <f ca="1">IFERROR(__xludf.DUMMYFUNCTION("""COMPUTED_VALUE"""),7675)</f>
        <v>7675</v>
      </c>
      <c r="F1208" s="2">
        <f ca="1">IFERROR(__xludf.DUMMYFUNCTION("""COMPUTED_VALUE"""),39002900)</f>
        <v>39002900</v>
      </c>
    </row>
    <row r="1209" spans="1:6">
      <c r="A1209" s="1">
        <f ca="1">IFERROR(__xludf.DUMMYFUNCTION("""COMPUTED_VALUE"""),43832.625)</f>
        <v>43832.625</v>
      </c>
      <c r="B1209" s="2">
        <f ca="1">IFERROR(__xludf.DUMMYFUNCTION("""COMPUTED_VALUE"""),7675)</f>
        <v>7675</v>
      </c>
      <c r="C1209" s="2">
        <f ca="1">IFERROR(__xludf.DUMMYFUNCTION("""COMPUTED_VALUE"""),7775)</f>
        <v>7775</v>
      </c>
      <c r="D1209" s="2">
        <f ca="1">IFERROR(__xludf.DUMMYFUNCTION("""COMPUTED_VALUE"""),7650)</f>
        <v>7650</v>
      </c>
      <c r="E1209" s="2">
        <f ca="1">IFERROR(__xludf.DUMMYFUNCTION("""COMPUTED_VALUE"""),7750)</f>
        <v>7750</v>
      </c>
      <c r="F1209" s="2">
        <f ca="1">IFERROR(__xludf.DUMMYFUNCTION("""COMPUTED_VALUE"""),18689900)</f>
        <v>18689900</v>
      </c>
    </row>
    <row r="1210" spans="1:6">
      <c r="A1210" s="1">
        <f ca="1">IFERROR(__xludf.DUMMYFUNCTION("""COMPUTED_VALUE"""),43833.625)</f>
        <v>43833.625</v>
      </c>
      <c r="B1210" s="2">
        <f ca="1">IFERROR(__xludf.DUMMYFUNCTION("""COMPUTED_VALUE"""),7750)</f>
        <v>7750</v>
      </c>
      <c r="C1210" s="2">
        <f ca="1">IFERROR(__xludf.DUMMYFUNCTION("""COMPUTED_VALUE"""),7825)</f>
        <v>7825</v>
      </c>
      <c r="D1210" s="2">
        <f ca="1">IFERROR(__xludf.DUMMYFUNCTION("""COMPUTED_VALUE"""),7625)</f>
        <v>7625</v>
      </c>
      <c r="E1210" s="2">
        <f ca="1">IFERROR(__xludf.DUMMYFUNCTION("""COMPUTED_VALUE"""),7725)</f>
        <v>7725</v>
      </c>
      <c r="F1210" s="2">
        <f ca="1">IFERROR(__xludf.DUMMYFUNCTION("""COMPUTED_VALUE"""),35147300)</f>
        <v>35147300</v>
      </c>
    </row>
    <row r="1211" spans="1:6">
      <c r="A1211" s="1">
        <f ca="1">IFERROR(__xludf.DUMMYFUNCTION("""COMPUTED_VALUE"""),43836.625)</f>
        <v>43836.625</v>
      </c>
      <c r="B1211" s="2">
        <f ca="1">IFERROR(__xludf.DUMMYFUNCTION("""COMPUTED_VALUE"""),7650)</f>
        <v>7650</v>
      </c>
      <c r="C1211" s="2">
        <f ca="1">IFERROR(__xludf.DUMMYFUNCTION("""COMPUTED_VALUE"""),7675)</f>
        <v>7675</v>
      </c>
      <c r="D1211" s="2">
        <f ca="1">IFERROR(__xludf.DUMMYFUNCTION("""COMPUTED_VALUE"""),7525)</f>
        <v>7525</v>
      </c>
      <c r="E1211" s="2">
        <f ca="1">IFERROR(__xludf.DUMMYFUNCTION("""COMPUTED_VALUE"""),7600)</f>
        <v>7600</v>
      </c>
      <c r="F1211" s="2">
        <f ca="1">IFERROR(__xludf.DUMMYFUNCTION("""COMPUTED_VALUE"""),30946000)</f>
        <v>30946000</v>
      </c>
    </row>
    <row r="1212" spans="1:6">
      <c r="A1212" s="1">
        <f ca="1">IFERROR(__xludf.DUMMYFUNCTION("""COMPUTED_VALUE"""),43837.625)</f>
        <v>43837.625</v>
      </c>
      <c r="B1212" s="2">
        <f ca="1">IFERROR(__xludf.DUMMYFUNCTION("""COMPUTED_VALUE"""),7725)</f>
        <v>7725</v>
      </c>
      <c r="C1212" s="2">
        <f ca="1">IFERROR(__xludf.DUMMYFUNCTION("""COMPUTED_VALUE"""),7725)</f>
        <v>7725</v>
      </c>
      <c r="D1212" s="2">
        <f ca="1">IFERROR(__xludf.DUMMYFUNCTION("""COMPUTED_VALUE"""),7575)</f>
        <v>7575</v>
      </c>
      <c r="E1212" s="2">
        <f ca="1">IFERROR(__xludf.DUMMYFUNCTION("""COMPUTED_VALUE"""),7600)</f>
        <v>7600</v>
      </c>
      <c r="F1212" s="2">
        <f ca="1">IFERROR(__xludf.DUMMYFUNCTION("""COMPUTED_VALUE"""),35447800)</f>
        <v>35447800</v>
      </c>
    </row>
    <row r="1213" spans="1:6">
      <c r="A1213" s="1">
        <f ca="1">IFERROR(__xludf.DUMMYFUNCTION("""COMPUTED_VALUE"""),43838.625)</f>
        <v>43838.625</v>
      </c>
      <c r="B1213" s="2">
        <f ca="1">IFERROR(__xludf.DUMMYFUNCTION("""COMPUTED_VALUE"""),7550)</f>
        <v>7550</v>
      </c>
      <c r="C1213" s="2">
        <f ca="1">IFERROR(__xludf.DUMMYFUNCTION("""COMPUTED_VALUE"""),7550)</f>
        <v>7550</v>
      </c>
      <c r="D1213" s="2">
        <f ca="1">IFERROR(__xludf.DUMMYFUNCTION("""COMPUTED_VALUE"""),7375)</f>
        <v>7375</v>
      </c>
      <c r="E1213" s="2">
        <f ca="1">IFERROR(__xludf.DUMMYFUNCTION("""COMPUTED_VALUE"""),7500)</f>
        <v>7500</v>
      </c>
      <c r="F1213" s="2">
        <f ca="1">IFERROR(__xludf.DUMMYFUNCTION("""COMPUTED_VALUE"""),52540300)</f>
        <v>52540300</v>
      </c>
    </row>
    <row r="1214" spans="1:6">
      <c r="A1214" s="1">
        <f ca="1">IFERROR(__xludf.DUMMYFUNCTION("""COMPUTED_VALUE"""),43839.625)</f>
        <v>43839.625</v>
      </c>
      <c r="B1214" s="2">
        <f ca="1">IFERROR(__xludf.DUMMYFUNCTION("""COMPUTED_VALUE"""),7550)</f>
        <v>7550</v>
      </c>
      <c r="C1214" s="2">
        <f ca="1">IFERROR(__xludf.DUMMYFUNCTION("""COMPUTED_VALUE"""),7725)</f>
        <v>7725</v>
      </c>
      <c r="D1214" s="2">
        <f ca="1">IFERROR(__xludf.DUMMYFUNCTION("""COMPUTED_VALUE"""),7525)</f>
        <v>7525</v>
      </c>
      <c r="E1214" s="2">
        <f ca="1">IFERROR(__xludf.DUMMYFUNCTION("""COMPUTED_VALUE"""),7700)</f>
        <v>7700</v>
      </c>
      <c r="F1214" s="2">
        <f ca="1">IFERROR(__xludf.DUMMYFUNCTION("""COMPUTED_VALUE"""),37793500)</f>
        <v>37793500</v>
      </c>
    </row>
    <row r="1215" spans="1:6">
      <c r="A1215" s="1">
        <f ca="1">IFERROR(__xludf.DUMMYFUNCTION("""COMPUTED_VALUE"""),43840.625)</f>
        <v>43840.625</v>
      </c>
      <c r="B1215" s="2">
        <f ca="1">IFERROR(__xludf.DUMMYFUNCTION("""COMPUTED_VALUE"""),7700)</f>
        <v>7700</v>
      </c>
      <c r="C1215" s="2">
        <f ca="1">IFERROR(__xludf.DUMMYFUNCTION("""COMPUTED_VALUE"""),7725)</f>
        <v>7725</v>
      </c>
      <c r="D1215" s="2">
        <f ca="1">IFERROR(__xludf.DUMMYFUNCTION("""COMPUTED_VALUE"""),7650)</f>
        <v>7650</v>
      </c>
      <c r="E1215" s="2">
        <f ca="1">IFERROR(__xludf.DUMMYFUNCTION("""COMPUTED_VALUE"""),7725)</f>
        <v>7725</v>
      </c>
      <c r="F1215" s="2">
        <f ca="1">IFERROR(__xludf.DUMMYFUNCTION("""COMPUTED_VALUE"""),32115900)</f>
        <v>32115900</v>
      </c>
    </row>
    <row r="1216" spans="1:6">
      <c r="A1216" s="1">
        <f ca="1">IFERROR(__xludf.DUMMYFUNCTION("""COMPUTED_VALUE"""),43843.625)</f>
        <v>43843.625</v>
      </c>
      <c r="B1216" s="2">
        <f ca="1">IFERROR(__xludf.DUMMYFUNCTION("""COMPUTED_VALUE"""),7725)</f>
        <v>7725</v>
      </c>
      <c r="C1216" s="2">
        <f ca="1">IFERROR(__xludf.DUMMYFUNCTION("""COMPUTED_VALUE"""),7750)</f>
        <v>7750</v>
      </c>
      <c r="D1216" s="2">
        <f ca="1">IFERROR(__xludf.DUMMYFUNCTION("""COMPUTED_VALUE"""),7650)</f>
        <v>7650</v>
      </c>
      <c r="E1216" s="2">
        <f ca="1">IFERROR(__xludf.DUMMYFUNCTION("""COMPUTED_VALUE"""),7725)</f>
        <v>7725</v>
      </c>
      <c r="F1216" s="2">
        <f ca="1">IFERROR(__xludf.DUMMYFUNCTION("""COMPUTED_VALUE"""),37699800)</f>
        <v>37699800</v>
      </c>
    </row>
    <row r="1217" spans="1:6">
      <c r="A1217" s="1">
        <f ca="1">IFERROR(__xludf.DUMMYFUNCTION("""COMPUTED_VALUE"""),43844.625)</f>
        <v>43844.625</v>
      </c>
      <c r="B1217" s="2">
        <f ca="1">IFERROR(__xludf.DUMMYFUNCTION("""COMPUTED_VALUE"""),7800)</f>
        <v>7800</v>
      </c>
      <c r="C1217" s="2">
        <f ca="1">IFERROR(__xludf.DUMMYFUNCTION("""COMPUTED_VALUE"""),7800)</f>
        <v>7800</v>
      </c>
      <c r="D1217" s="2">
        <f ca="1">IFERROR(__xludf.DUMMYFUNCTION("""COMPUTED_VALUE"""),7700)</f>
        <v>7700</v>
      </c>
      <c r="E1217" s="2">
        <f ca="1">IFERROR(__xludf.DUMMYFUNCTION("""COMPUTED_VALUE"""),7750)</f>
        <v>7750</v>
      </c>
      <c r="F1217" s="2">
        <f ca="1">IFERROR(__xludf.DUMMYFUNCTION("""COMPUTED_VALUE"""),52067200)</f>
        <v>52067200</v>
      </c>
    </row>
    <row r="1218" spans="1:6">
      <c r="A1218" s="1">
        <f ca="1">IFERROR(__xludf.DUMMYFUNCTION("""COMPUTED_VALUE"""),43845.625)</f>
        <v>43845.625</v>
      </c>
      <c r="B1218" s="2">
        <f ca="1">IFERROR(__xludf.DUMMYFUNCTION("""COMPUTED_VALUE"""),7750)</f>
        <v>7750</v>
      </c>
      <c r="C1218" s="2">
        <f ca="1">IFERROR(__xludf.DUMMYFUNCTION("""COMPUTED_VALUE"""),7800)</f>
        <v>7800</v>
      </c>
      <c r="D1218" s="2">
        <f ca="1">IFERROR(__xludf.DUMMYFUNCTION("""COMPUTED_VALUE"""),7600)</f>
        <v>7600</v>
      </c>
      <c r="E1218" s="2">
        <f ca="1">IFERROR(__xludf.DUMMYFUNCTION("""COMPUTED_VALUE"""),7650)</f>
        <v>7650</v>
      </c>
      <c r="F1218" s="2">
        <f ca="1">IFERROR(__xludf.DUMMYFUNCTION("""COMPUTED_VALUE"""),44897600)</f>
        <v>44897600</v>
      </c>
    </row>
    <row r="1219" spans="1:6">
      <c r="A1219" s="1">
        <f ca="1">IFERROR(__xludf.DUMMYFUNCTION("""COMPUTED_VALUE"""),43846.625)</f>
        <v>43846.625</v>
      </c>
      <c r="B1219" s="2">
        <f ca="1">IFERROR(__xludf.DUMMYFUNCTION("""COMPUTED_VALUE"""),7600)</f>
        <v>7600</v>
      </c>
      <c r="C1219" s="2">
        <f ca="1">IFERROR(__xludf.DUMMYFUNCTION("""COMPUTED_VALUE"""),7675)</f>
        <v>7675</v>
      </c>
      <c r="D1219" s="2">
        <f ca="1">IFERROR(__xludf.DUMMYFUNCTION("""COMPUTED_VALUE"""),7525)</f>
        <v>7525</v>
      </c>
      <c r="E1219" s="2">
        <f ca="1">IFERROR(__xludf.DUMMYFUNCTION("""COMPUTED_VALUE"""),7550)</f>
        <v>7550</v>
      </c>
      <c r="F1219" s="2">
        <f ca="1">IFERROR(__xludf.DUMMYFUNCTION("""COMPUTED_VALUE"""),72716100)</f>
        <v>72716100</v>
      </c>
    </row>
    <row r="1220" spans="1:6">
      <c r="A1220" s="1">
        <f ca="1">IFERROR(__xludf.DUMMYFUNCTION("""COMPUTED_VALUE"""),43847.625)</f>
        <v>43847.625</v>
      </c>
      <c r="B1220" s="2">
        <f ca="1">IFERROR(__xludf.DUMMYFUNCTION("""COMPUTED_VALUE"""),7575)</f>
        <v>7575</v>
      </c>
      <c r="C1220" s="2">
        <f ca="1">IFERROR(__xludf.DUMMYFUNCTION("""COMPUTED_VALUE"""),7750)</f>
        <v>7750</v>
      </c>
      <c r="D1220" s="2">
        <f ca="1">IFERROR(__xludf.DUMMYFUNCTION("""COMPUTED_VALUE"""),7525)</f>
        <v>7525</v>
      </c>
      <c r="E1220" s="2">
        <f ca="1">IFERROR(__xludf.DUMMYFUNCTION("""COMPUTED_VALUE"""),7725)</f>
        <v>7725</v>
      </c>
      <c r="F1220" s="2">
        <f ca="1">IFERROR(__xludf.DUMMYFUNCTION("""COMPUTED_VALUE"""),65250100)</f>
        <v>65250100</v>
      </c>
    </row>
    <row r="1221" spans="1:6">
      <c r="A1221" s="1">
        <f ca="1">IFERROR(__xludf.DUMMYFUNCTION("""COMPUTED_VALUE"""),43850.625)</f>
        <v>43850.625</v>
      </c>
      <c r="B1221" s="2">
        <f ca="1">IFERROR(__xludf.DUMMYFUNCTION("""COMPUTED_VALUE"""),7800)</f>
        <v>7800</v>
      </c>
      <c r="C1221" s="2">
        <f ca="1">IFERROR(__xludf.DUMMYFUNCTION("""COMPUTED_VALUE"""),7800)</f>
        <v>7800</v>
      </c>
      <c r="D1221" s="2">
        <f ca="1">IFERROR(__xludf.DUMMYFUNCTION("""COMPUTED_VALUE"""),7600)</f>
        <v>7600</v>
      </c>
      <c r="E1221" s="2">
        <f ca="1">IFERROR(__xludf.DUMMYFUNCTION("""COMPUTED_VALUE"""),7625)</f>
        <v>7625</v>
      </c>
      <c r="F1221" s="2">
        <f ca="1">IFERROR(__xludf.DUMMYFUNCTION("""COMPUTED_VALUE"""),12015900)</f>
        <v>12015900</v>
      </c>
    </row>
    <row r="1222" spans="1:6">
      <c r="A1222" s="1">
        <f ca="1">IFERROR(__xludf.DUMMYFUNCTION("""COMPUTED_VALUE"""),43851.625)</f>
        <v>43851.625</v>
      </c>
      <c r="B1222" s="2">
        <f ca="1">IFERROR(__xludf.DUMMYFUNCTION("""COMPUTED_VALUE"""),7750)</f>
        <v>7750</v>
      </c>
      <c r="C1222" s="2">
        <f ca="1">IFERROR(__xludf.DUMMYFUNCTION("""COMPUTED_VALUE"""),7750)</f>
        <v>7750</v>
      </c>
      <c r="D1222" s="2">
        <f ca="1">IFERROR(__xludf.DUMMYFUNCTION("""COMPUTED_VALUE"""),7625)</f>
        <v>7625</v>
      </c>
      <c r="E1222" s="2">
        <f ca="1">IFERROR(__xludf.DUMMYFUNCTION("""COMPUTED_VALUE"""),7700)</f>
        <v>7700</v>
      </c>
      <c r="F1222" s="2">
        <f ca="1">IFERROR(__xludf.DUMMYFUNCTION("""COMPUTED_VALUE"""),19583300)</f>
        <v>19583300</v>
      </c>
    </row>
    <row r="1223" spans="1:6">
      <c r="A1223" s="1">
        <f ca="1">IFERROR(__xludf.DUMMYFUNCTION("""COMPUTED_VALUE"""),43852.625)</f>
        <v>43852.625</v>
      </c>
      <c r="B1223" s="2">
        <f ca="1">IFERROR(__xludf.DUMMYFUNCTION("""COMPUTED_VALUE"""),7750)</f>
        <v>7750</v>
      </c>
      <c r="C1223" s="2">
        <f ca="1">IFERROR(__xludf.DUMMYFUNCTION("""COMPUTED_VALUE"""),7850)</f>
        <v>7850</v>
      </c>
      <c r="D1223" s="2">
        <f ca="1">IFERROR(__xludf.DUMMYFUNCTION("""COMPUTED_VALUE"""),7725)</f>
        <v>7725</v>
      </c>
      <c r="E1223" s="2">
        <f ca="1">IFERROR(__xludf.DUMMYFUNCTION("""COMPUTED_VALUE"""),7800)</f>
        <v>7800</v>
      </c>
      <c r="F1223" s="2">
        <f ca="1">IFERROR(__xludf.DUMMYFUNCTION("""COMPUTED_VALUE"""),61087600)</f>
        <v>61087600</v>
      </c>
    </row>
    <row r="1224" spans="1:6">
      <c r="A1224" s="1">
        <f ca="1">IFERROR(__xludf.DUMMYFUNCTION("""COMPUTED_VALUE"""),43853.625)</f>
        <v>43853.625</v>
      </c>
      <c r="B1224" s="2">
        <f ca="1">IFERROR(__xludf.DUMMYFUNCTION("""COMPUTED_VALUE"""),7800)</f>
        <v>7800</v>
      </c>
      <c r="C1224" s="2">
        <f ca="1">IFERROR(__xludf.DUMMYFUNCTION("""COMPUTED_VALUE"""),7825)</f>
        <v>7825</v>
      </c>
      <c r="D1224" s="2">
        <f ca="1">IFERROR(__xludf.DUMMYFUNCTION("""COMPUTED_VALUE"""),7700)</f>
        <v>7700</v>
      </c>
      <c r="E1224" s="2">
        <f ca="1">IFERROR(__xludf.DUMMYFUNCTION("""COMPUTED_VALUE"""),7775)</f>
        <v>7775</v>
      </c>
      <c r="F1224" s="2">
        <f ca="1">IFERROR(__xludf.DUMMYFUNCTION("""COMPUTED_VALUE"""),41563900)</f>
        <v>41563900</v>
      </c>
    </row>
    <row r="1225" spans="1:6">
      <c r="A1225" s="1">
        <f ca="1">IFERROR(__xludf.DUMMYFUNCTION("""COMPUTED_VALUE"""),43854.625)</f>
        <v>43854.625</v>
      </c>
      <c r="B1225" s="2">
        <f ca="1">IFERROR(__xludf.DUMMYFUNCTION("""COMPUTED_VALUE"""),7825)</f>
        <v>7825</v>
      </c>
      <c r="C1225" s="2">
        <f ca="1">IFERROR(__xludf.DUMMYFUNCTION("""COMPUTED_VALUE"""),8000)</f>
        <v>8000</v>
      </c>
      <c r="D1225" s="2">
        <f ca="1">IFERROR(__xludf.DUMMYFUNCTION("""COMPUTED_VALUE"""),7725)</f>
        <v>7725</v>
      </c>
      <c r="E1225" s="2">
        <f ca="1">IFERROR(__xludf.DUMMYFUNCTION("""COMPUTED_VALUE"""),7925)</f>
        <v>7925</v>
      </c>
      <c r="F1225" s="2">
        <f ca="1">IFERROR(__xludf.DUMMYFUNCTION("""COMPUTED_VALUE"""),77351000)</f>
        <v>77351000</v>
      </c>
    </row>
    <row r="1226" spans="1:6">
      <c r="A1226" s="1">
        <f ca="1">IFERROR(__xludf.DUMMYFUNCTION("""COMPUTED_VALUE"""),43857.625)</f>
        <v>43857.625</v>
      </c>
      <c r="B1226" s="2">
        <f ca="1">IFERROR(__xludf.DUMMYFUNCTION("""COMPUTED_VALUE"""),7950)</f>
        <v>7950</v>
      </c>
      <c r="C1226" s="2">
        <f ca="1">IFERROR(__xludf.DUMMYFUNCTION("""COMPUTED_VALUE"""),7975)</f>
        <v>7975</v>
      </c>
      <c r="D1226" s="2">
        <f ca="1">IFERROR(__xludf.DUMMYFUNCTION("""COMPUTED_VALUE"""),7700)</f>
        <v>7700</v>
      </c>
      <c r="E1226" s="2">
        <f ca="1">IFERROR(__xludf.DUMMYFUNCTION("""COMPUTED_VALUE"""),7725)</f>
        <v>7725</v>
      </c>
      <c r="F1226" s="2">
        <f ca="1">IFERROR(__xludf.DUMMYFUNCTION("""COMPUTED_VALUE"""),49140000)</f>
        <v>49140000</v>
      </c>
    </row>
    <row r="1227" spans="1:6">
      <c r="A1227" s="1">
        <f ca="1">IFERROR(__xludf.DUMMYFUNCTION("""COMPUTED_VALUE"""),43858.625)</f>
        <v>43858.625</v>
      </c>
      <c r="B1227" s="2">
        <f ca="1">IFERROR(__xludf.DUMMYFUNCTION("""COMPUTED_VALUE"""),7650)</f>
        <v>7650</v>
      </c>
      <c r="C1227" s="2">
        <f ca="1">IFERROR(__xludf.DUMMYFUNCTION("""COMPUTED_VALUE"""),7825)</f>
        <v>7825</v>
      </c>
      <c r="D1227" s="2">
        <f ca="1">IFERROR(__xludf.DUMMYFUNCTION("""COMPUTED_VALUE"""),7600)</f>
        <v>7600</v>
      </c>
      <c r="E1227" s="2">
        <f ca="1">IFERROR(__xludf.DUMMYFUNCTION("""COMPUTED_VALUE"""),7750)</f>
        <v>7750</v>
      </c>
      <c r="F1227" s="2">
        <f ca="1">IFERROR(__xludf.DUMMYFUNCTION("""COMPUTED_VALUE"""),34674800)</f>
        <v>34674800</v>
      </c>
    </row>
    <row r="1228" spans="1:6">
      <c r="A1228" s="1">
        <f ca="1">IFERROR(__xludf.DUMMYFUNCTION("""COMPUTED_VALUE"""),43859.625)</f>
        <v>43859.625</v>
      </c>
      <c r="B1228" s="2">
        <f ca="1">IFERROR(__xludf.DUMMYFUNCTION("""COMPUTED_VALUE"""),7825)</f>
        <v>7825</v>
      </c>
      <c r="C1228" s="2">
        <f ca="1">IFERROR(__xludf.DUMMYFUNCTION("""COMPUTED_VALUE"""),7925)</f>
        <v>7925</v>
      </c>
      <c r="D1228" s="2">
        <f ca="1">IFERROR(__xludf.DUMMYFUNCTION("""COMPUTED_VALUE"""),7775)</f>
        <v>7775</v>
      </c>
      <c r="E1228" s="2">
        <f ca="1">IFERROR(__xludf.DUMMYFUNCTION("""COMPUTED_VALUE"""),7800)</f>
        <v>7800</v>
      </c>
      <c r="F1228" s="2">
        <f ca="1">IFERROR(__xludf.DUMMYFUNCTION("""COMPUTED_VALUE"""),54830500)</f>
        <v>54830500</v>
      </c>
    </row>
    <row r="1229" spans="1:6">
      <c r="A1229" s="1">
        <f ca="1">IFERROR(__xludf.DUMMYFUNCTION("""COMPUTED_VALUE"""),43860.625)</f>
        <v>43860.625</v>
      </c>
      <c r="B1229" s="2">
        <f ca="1">IFERROR(__xludf.DUMMYFUNCTION("""COMPUTED_VALUE"""),7800)</f>
        <v>7800</v>
      </c>
      <c r="C1229" s="2">
        <f ca="1">IFERROR(__xludf.DUMMYFUNCTION("""COMPUTED_VALUE"""),7825)</f>
        <v>7825</v>
      </c>
      <c r="D1229" s="2">
        <f ca="1">IFERROR(__xludf.DUMMYFUNCTION("""COMPUTED_VALUE"""),7600)</f>
        <v>7600</v>
      </c>
      <c r="E1229" s="2">
        <f ca="1">IFERROR(__xludf.DUMMYFUNCTION("""COMPUTED_VALUE"""),7650)</f>
        <v>7650</v>
      </c>
      <c r="F1229" s="2">
        <f ca="1">IFERROR(__xludf.DUMMYFUNCTION("""COMPUTED_VALUE"""),42697800)</f>
        <v>42697800</v>
      </c>
    </row>
    <row r="1230" spans="1:6">
      <c r="A1230" s="1">
        <f ca="1">IFERROR(__xludf.DUMMYFUNCTION("""COMPUTED_VALUE"""),43861.625)</f>
        <v>43861.625</v>
      </c>
      <c r="B1230" s="2">
        <f ca="1">IFERROR(__xludf.DUMMYFUNCTION("""COMPUTED_VALUE"""),7675)</f>
        <v>7675</v>
      </c>
      <c r="C1230" s="2">
        <f ca="1">IFERROR(__xludf.DUMMYFUNCTION("""COMPUTED_VALUE"""),7700)</f>
        <v>7700</v>
      </c>
      <c r="D1230" s="2">
        <f ca="1">IFERROR(__xludf.DUMMYFUNCTION("""COMPUTED_VALUE"""),7450)</f>
        <v>7450</v>
      </c>
      <c r="E1230" s="2">
        <f ca="1">IFERROR(__xludf.DUMMYFUNCTION("""COMPUTED_VALUE"""),7550)</f>
        <v>7550</v>
      </c>
      <c r="F1230" s="2">
        <f ca="1">IFERROR(__xludf.DUMMYFUNCTION("""COMPUTED_VALUE"""),78830500)</f>
        <v>78830500</v>
      </c>
    </row>
    <row r="1231" spans="1:6">
      <c r="A1231" s="1">
        <f ca="1">IFERROR(__xludf.DUMMYFUNCTION("""COMPUTED_VALUE"""),43864.625)</f>
        <v>43864.625</v>
      </c>
      <c r="B1231" s="2">
        <f ca="1">IFERROR(__xludf.DUMMYFUNCTION("""COMPUTED_VALUE"""),7400)</f>
        <v>7400</v>
      </c>
      <c r="C1231" s="2">
        <f ca="1">IFERROR(__xludf.DUMMYFUNCTION("""COMPUTED_VALUE"""),7575)</f>
        <v>7575</v>
      </c>
      <c r="D1231" s="2">
        <f ca="1">IFERROR(__xludf.DUMMYFUNCTION("""COMPUTED_VALUE"""),7350)</f>
        <v>7350</v>
      </c>
      <c r="E1231" s="2">
        <f ca="1">IFERROR(__xludf.DUMMYFUNCTION("""COMPUTED_VALUE"""),7500)</f>
        <v>7500</v>
      </c>
      <c r="F1231" s="2">
        <f ca="1">IFERROR(__xludf.DUMMYFUNCTION("""COMPUTED_VALUE"""),43635900)</f>
        <v>43635900</v>
      </c>
    </row>
    <row r="1232" spans="1:6">
      <c r="A1232" s="1">
        <f ca="1">IFERROR(__xludf.DUMMYFUNCTION("""COMPUTED_VALUE"""),43865.625)</f>
        <v>43865.625</v>
      </c>
      <c r="B1232" s="2">
        <f ca="1">IFERROR(__xludf.DUMMYFUNCTION("""COMPUTED_VALUE"""),7600)</f>
        <v>7600</v>
      </c>
      <c r="C1232" s="2">
        <f ca="1">IFERROR(__xludf.DUMMYFUNCTION("""COMPUTED_VALUE"""),7675)</f>
        <v>7675</v>
      </c>
      <c r="D1232" s="2">
        <f ca="1">IFERROR(__xludf.DUMMYFUNCTION("""COMPUTED_VALUE"""),7500)</f>
        <v>7500</v>
      </c>
      <c r="E1232" s="2">
        <f ca="1">IFERROR(__xludf.DUMMYFUNCTION("""COMPUTED_VALUE"""),7525)</f>
        <v>7525</v>
      </c>
      <c r="F1232" s="2">
        <f ca="1">IFERROR(__xludf.DUMMYFUNCTION("""COMPUTED_VALUE"""),69428700)</f>
        <v>69428700</v>
      </c>
    </row>
    <row r="1233" spans="1:6">
      <c r="A1233" s="1">
        <f ca="1">IFERROR(__xludf.DUMMYFUNCTION("""COMPUTED_VALUE"""),43866.625)</f>
        <v>43866.625</v>
      </c>
      <c r="B1233" s="2">
        <f ca="1">IFERROR(__xludf.DUMMYFUNCTION("""COMPUTED_VALUE"""),7600)</f>
        <v>7600</v>
      </c>
      <c r="C1233" s="2">
        <f ca="1">IFERROR(__xludf.DUMMYFUNCTION("""COMPUTED_VALUE"""),7700)</f>
        <v>7700</v>
      </c>
      <c r="D1233" s="2">
        <f ca="1">IFERROR(__xludf.DUMMYFUNCTION("""COMPUTED_VALUE"""),7550)</f>
        <v>7550</v>
      </c>
      <c r="E1233" s="2">
        <f ca="1">IFERROR(__xludf.DUMMYFUNCTION("""COMPUTED_VALUE"""),7700)</f>
        <v>7700</v>
      </c>
      <c r="F1233" s="2">
        <f ca="1">IFERROR(__xludf.DUMMYFUNCTION("""COMPUTED_VALUE"""),65105600)</f>
        <v>65105600</v>
      </c>
    </row>
    <row r="1234" spans="1:6">
      <c r="A1234" s="1">
        <f ca="1">IFERROR(__xludf.DUMMYFUNCTION("""COMPUTED_VALUE"""),43867.625)</f>
        <v>43867.625</v>
      </c>
      <c r="B1234" s="2">
        <f ca="1">IFERROR(__xludf.DUMMYFUNCTION("""COMPUTED_VALUE"""),7800)</f>
        <v>7800</v>
      </c>
      <c r="C1234" s="2">
        <f ca="1">IFERROR(__xludf.DUMMYFUNCTION("""COMPUTED_VALUE"""),7850)</f>
        <v>7850</v>
      </c>
      <c r="D1234" s="2">
        <f ca="1">IFERROR(__xludf.DUMMYFUNCTION("""COMPUTED_VALUE"""),7675)</f>
        <v>7675</v>
      </c>
      <c r="E1234" s="2">
        <f ca="1">IFERROR(__xludf.DUMMYFUNCTION("""COMPUTED_VALUE"""),7700)</f>
        <v>7700</v>
      </c>
      <c r="F1234" s="2">
        <f ca="1">IFERROR(__xludf.DUMMYFUNCTION("""COMPUTED_VALUE"""),55514700)</f>
        <v>55514700</v>
      </c>
    </row>
    <row r="1235" spans="1:6">
      <c r="A1235" s="1">
        <f ca="1">IFERROR(__xludf.DUMMYFUNCTION("""COMPUTED_VALUE"""),43868.625)</f>
        <v>43868.625</v>
      </c>
      <c r="B1235" s="2">
        <f ca="1">IFERROR(__xludf.DUMMYFUNCTION("""COMPUTED_VALUE"""),7675)</f>
        <v>7675</v>
      </c>
      <c r="C1235" s="2">
        <f ca="1">IFERROR(__xludf.DUMMYFUNCTION("""COMPUTED_VALUE"""),7750)</f>
        <v>7750</v>
      </c>
      <c r="D1235" s="2">
        <f ca="1">IFERROR(__xludf.DUMMYFUNCTION("""COMPUTED_VALUE"""),7675)</f>
        <v>7675</v>
      </c>
      <c r="E1235" s="2">
        <f ca="1">IFERROR(__xludf.DUMMYFUNCTION("""COMPUTED_VALUE"""),7725)</f>
        <v>7725</v>
      </c>
      <c r="F1235" s="2">
        <f ca="1">IFERROR(__xludf.DUMMYFUNCTION("""COMPUTED_VALUE"""),43219300)</f>
        <v>43219300</v>
      </c>
    </row>
    <row r="1236" spans="1:6">
      <c r="A1236" s="1">
        <f ca="1">IFERROR(__xludf.DUMMYFUNCTION("""COMPUTED_VALUE"""),43871.625)</f>
        <v>43871.625</v>
      </c>
      <c r="B1236" s="2">
        <f ca="1">IFERROR(__xludf.DUMMYFUNCTION("""COMPUTED_VALUE"""),7700)</f>
        <v>7700</v>
      </c>
      <c r="C1236" s="2">
        <f ca="1">IFERROR(__xludf.DUMMYFUNCTION("""COMPUTED_VALUE"""),7750)</f>
        <v>7750</v>
      </c>
      <c r="D1236" s="2">
        <f ca="1">IFERROR(__xludf.DUMMYFUNCTION("""COMPUTED_VALUE"""),7600)</f>
        <v>7600</v>
      </c>
      <c r="E1236" s="2">
        <f ca="1">IFERROR(__xludf.DUMMYFUNCTION("""COMPUTED_VALUE"""),7725)</f>
        <v>7725</v>
      </c>
      <c r="F1236" s="2">
        <f ca="1">IFERROR(__xludf.DUMMYFUNCTION("""COMPUTED_VALUE"""),39276900)</f>
        <v>39276900</v>
      </c>
    </row>
    <row r="1237" spans="1:6">
      <c r="A1237" s="1">
        <f ca="1">IFERROR(__xludf.DUMMYFUNCTION("""COMPUTED_VALUE"""),43872.625)</f>
        <v>43872.625</v>
      </c>
      <c r="B1237" s="2">
        <f ca="1">IFERROR(__xludf.DUMMYFUNCTION("""COMPUTED_VALUE"""),7725)</f>
        <v>7725</v>
      </c>
      <c r="C1237" s="2">
        <f ca="1">IFERROR(__xludf.DUMMYFUNCTION("""COMPUTED_VALUE"""),7825)</f>
        <v>7825</v>
      </c>
      <c r="D1237" s="2">
        <f ca="1">IFERROR(__xludf.DUMMYFUNCTION("""COMPUTED_VALUE"""),7675)</f>
        <v>7675</v>
      </c>
      <c r="E1237" s="2">
        <f ca="1">IFERROR(__xludf.DUMMYFUNCTION("""COMPUTED_VALUE"""),7775)</f>
        <v>7775</v>
      </c>
      <c r="F1237" s="2">
        <f ca="1">IFERROR(__xludf.DUMMYFUNCTION("""COMPUTED_VALUE"""),49260100)</f>
        <v>49260100</v>
      </c>
    </row>
    <row r="1238" spans="1:6">
      <c r="A1238" s="1">
        <f ca="1">IFERROR(__xludf.DUMMYFUNCTION("""COMPUTED_VALUE"""),43873.625)</f>
        <v>43873.625</v>
      </c>
      <c r="B1238" s="2">
        <f ca="1">IFERROR(__xludf.DUMMYFUNCTION("""COMPUTED_VALUE"""),7825)</f>
        <v>7825</v>
      </c>
      <c r="C1238" s="2">
        <f ca="1">IFERROR(__xludf.DUMMYFUNCTION("""COMPUTED_VALUE"""),7900)</f>
        <v>7900</v>
      </c>
      <c r="D1238" s="2">
        <f ca="1">IFERROR(__xludf.DUMMYFUNCTION("""COMPUTED_VALUE"""),7775)</f>
        <v>7775</v>
      </c>
      <c r="E1238" s="2">
        <f ca="1">IFERROR(__xludf.DUMMYFUNCTION("""COMPUTED_VALUE"""),7800)</f>
        <v>7800</v>
      </c>
      <c r="F1238" s="2">
        <f ca="1">IFERROR(__xludf.DUMMYFUNCTION("""COMPUTED_VALUE"""),52339400)</f>
        <v>52339400</v>
      </c>
    </row>
    <row r="1239" spans="1:6">
      <c r="A1239" s="1">
        <f ca="1">IFERROR(__xludf.DUMMYFUNCTION("""COMPUTED_VALUE"""),43874.625)</f>
        <v>43874.625</v>
      </c>
      <c r="B1239" s="2">
        <f ca="1">IFERROR(__xludf.DUMMYFUNCTION("""COMPUTED_VALUE"""),7825)</f>
        <v>7825</v>
      </c>
      <c r="C1239" s="2">
        <f ca="1">IFERROR(__xludf.DUMMYFUNCTION("""COMPUTED_VALUE"""),7950)</f>
        <v>7950</v>
      </c>
      <c r="D1239" s="2">
        <f ca="1">IFERROR(__xludf.DUMMYFUNCTION("""COMPUTED_VALUE"""),7800)</f>
        <v>7800</v>
      </c>
      <c r="E1239" s="2">
        <f ca="1">IFERROR(__xludf.DUMMYFUNCTION("""COMPUTED_VALUE"""),7850)</f>
        <v>7850</v>
      </c>
      <c r="F1239" s="2">
        <f ca="1">IFERROR(__xludf.DUMMYFUNCTION("""COMPUTED_VALUE"""),43952000)</f>
        <v>43952000</v>
      </c>
    </row>
    <row r="1240" spans="1:6">
      <c r="A1240" s="1">
        <f ca="1">IFERROR(__xludf.DUMMYFUNCTION("""COMPUTED_VALUE"""),43875.625)</f>
        <v>43875.625</v>
      </c>
      <c r="B1240" s="2">
        <f ca="1">IFERROR(__xludf.DUMMYFUNCTION("""COMPUTED_VALUE"""),7750)</f>
        <v>7750</v>
      </c>
      <c r="C1240" s="2">
        <f ca="1">IFERROR(__xludf.DUMMYFUNCTION("""COMPUTED_VALUE"""),7850)</f>
        <v>7850</v>
      </c>
      <c r="D1240" s="2">
        <f ca="1">IFERROR(__xludf.DUMMYFUNCTION("""COMPUTED_VALUE"""),7750)</f>
        <v>7750</v>
      </c>
      <c r="E1240" s="2">
        <f ca="1">IFERROR(__xludf.DUMMYFUNCTION("""COMPUTED_VALUE"""),7825)</f>
        <v>7825</v>
      </c>
      <c r="F1240" s="2">
        <f ca="1">IFERROR(__xludf.DUMMYFUNCTION("""COMPUTED_VALUE"""),20672600)</f>
        <v>20672600</v>
      </c>
    </row>
    <row r="1241" spans="1:6">
      <c r="A1241" s="1">
        <f ca="1">IFERROR(__xludf.DUMMYFUNCTION("""COMPUTED_VALUE"""),43878.625)</f>
        <v>43878.625</v>
      </c>
      <c r="B1241" s="2">
        <f ca="1">IFERROR(__xludf.DUMMYFUNCTION("""COMPUTED_VALUE"""),7850)</f>
        <v>7850</v>
      </c>
      <c r="C1241" s="2">
        <f ca="1">IFERROR(__xludf.DUMMYFUNCTION("""COMPUTED_VALUE"""),7875)</f>
        <v>7875</v>
      </c>
      <c r="D1241" s="2">
        <f ca="1">IFERROR(__xludf.DUMMYFUNCTION("""COMPUTED_VALUE"""),7800)</f>
        <v>7800</v>
      </c>
      <c r="E1241" s="2">
        <f ca="1">IFERROR(__xludf.DUMMYFUNCTION("""COMPUTED_VALUE"""),7850)</f>
        <v>7850</v>
      </c>
      <c r="F1241" s="2">
        <f ca="1">IFERROR(__xludf.DUMMYFUNCTION("""COMPUTED_VALUE"""),14908300)</f>
        <v>14908300</v>
      </c>
    </row>
    <row r="1242" spans="1:6">
      <c r="A1242" s="1">
        <f ca="1">IFERROR(__xludf.DUMMYFUNCTION("""COMPUTED_VALUE"""),43879.625)</f>
        <v>43879.625</v>
      </c>
      <c r="B1242" s="2">
        <f ca="1">IFERROR(__xludf.DUMMYFUNCTION("""COMPUTED_VALUE"""),7800)</f>
        <v>7800</v>
      </c>
      <c r="C1242" s="2">
        <f ca="1">IFERROR(__xludf.DUMMYFUNCTION("""COMPUTED_VALUE"""),7850)</f>
        <v>7850</v>
      </c>
      <c r="D1242" s="2">
        <f ca="1">IFERROR(__xludf.DUMMYFUNCTION("""COMPUTED_VALUE"""),7800)</f>
        <v>7800</v>
      </c>
      <c r="E1242" s="2">
        <f ca="1">IFERROR(__xludf.DUMMYFUNCTION("""COMPUTED_VALUE"""),7825)</f>
        <v>7825</v>
      </c>
      <c r="F1242" s="2">
        <f ca="1">IFERROR(__xludf.DUMMYFUNCTION("""COMPUTED_VALUE"""),32721000)</f>
        <v>32721000</v>
      </c>
    </row>
    <row r="1243" spans="1:6">
      <c r="A1243" s="1">
        <f ca="1">IFERROR(__xludf.DUMMYFUNCTION("""COMPUTED_VALUE"""),43880.625)</f>
        <v>43880.625</v>
      </c>
      <c r="B1243" s="2">
        <f ca="1">IFERROR(__xludf.DUMMYFUNCTION("""COMPUTED_VALUE"""),7850)</f>
        <v>7850</v>
      </c>
      <c r="C1243" s="2">
        <f ca="1">IFERROR(__xludf.DUMMYFUNCTION("""COMPUTED_VALUE"""),7950)</f>
        <v>7950</v>
      </c>
      <c r="D1243" s="2">
        <f ca="1">IFERROR(__xludf.DUMMYFUNCTION("""COMPUTED_VALUE"""),7800)</f>
        <v>7800</v>
      </c>
      <c r="E1243" s="2">
        <f ca="1">IFERROR(__xludf.DUMMYFUNCTION("""COMPUTED_VALUE"""),7950)</f>
        <v>7950</v>
      </c>
      <c r="F1243" s="2">
        <f ca="1">IFERROR(__xludf.DUMMYFUNCTION("""COMPUTED_VALUE"""),60807100)</f>
        <v>60807100</v>
      </c>
    </row>
    <row r="1244" spans="1:6">
      <c r="A1244" s="1">
        <f ca="1">IFERROR(__xludf.DUMMYFUNCTION("""COMPUTED_VALUE"""),43881.625)</f>
        <v>43881.625</v>
      </c>
      <c r="B1244" s="2">
        <f ca="1">IFERROR(__xludf.DUMMYFUNCTION("""COMPUTED_VALUE"""),8025)</f>
        <v>8025</v>
      </c>
      <c r="C1244" s="2">
        <f ca="1">IFERROR(__xludf.DUMMYFUNCTION("""COMPUTED_VALUE"""),8050)</f>
        <v>8050</v>
      </c>
      <c r="D1244" s="2">
        <f ca="1">IFERROR(__xludf.DUMMYFUNCTION("""COMPUTED_VALUE"""),7925)</f>
        <v>7925</v>
      </c>
      <c r="E1244" s="2">
        <f ca="1">IFERROR(__xludf.DUMMYFUNCTION("""COMPUTED_VALUE"""),8000)</f>
        <v>8000</v>
      </c>
      <c r="F1244" s="2">
        <f ca="1">IFERROR(__xludf.DUMMYFUNCTION("""COMPUTED_VALUE"""),57268800)</f>
        <v>57268800</v>
      </c>
    </row>
    <row r="1245" spans="1:6">
      <c r="A1245" s="1">
        <f ca="1">IFERROR(__xludf.DUMMYFUNCTION("""COMPUTED_VALUE"""),43882.625)</f>
        <v>43882.625</v>
      </c>
      <c r="B1245" s="2">
        <f ca="1">IFERROR(__xludf.DUMMYFUNCTION("""COMPUTED_VALUE"""),7950)</f>
        <v>7950</v>
      </c>
      <c r="C1245" s="2">
        <f ca="1">IFERROR(__xludf.DUMMYFUNCTION("""COMPUTED_VALUE"""),8000)</f>
        <v>8000</v>
      </c>
      <c r="D1245" s="2">
        <f ca="1">IFERROR(__xludf.DUMMYFUNCTION("""COMPUTED_VALUE"""),7825)</f>
        <v>7825</v>
      </c>
      <c r="E1245" s="2">
        <f ca="1">IFERROR(__xludf.DUMMYFUNCTION("""COMPUTED_VALUE"""),7900)</f>
        <v>7900</v>
      </c>
      <c r="F1245" s="2">
        <f ca="1">IFERROR(__xludf.DUMMYFUNCTION("""COMPUTED_VALUE"""),45899000)</f>
        <v>45899000</v>
      </c>
    </row>
    <row r="1246" spans="1:6">
      <c r="A1246" s="1">
        <f ca="1">IFERROR(__xludf.DUMMYFUNCTION("""COMPUTED_VALUE"""),43885.625)</f>
        <v>43885.625</v>
      </c>
      <c r="B1246" s="2">
        <f ca="1">IFERROR(__xludf.DUMMYFUNCTION("""COMPUTED_VALUE"""),7800)</f>
        <v>7800</v>
      </c>
      <c r="C1246" s="2">
        <f ca="1">IFERROR(__xludf.DUMMYFUNCTION("""COMPUTED_VALUE"""),7825)</f>
        <v>7825</v>
      </c>
      <c r="D1246" s="2">
        <f ca="1">IFERROR(__xludf.DUMMYFUNCTION("""COMPUTED_VALUE"""),7650)</f>
        <v>7650</v>
      </c>
      <c r="E1246" s="2">
        <f ca="1">IFERROR(__xludf.DUMMYFUNCTION("""COMPUTED_VALUE"""),7775)</f>
        <v>7775</v>
      </c>
      <c r="F1246" s="2">
        <f ca="1">IFERROR(__xludf.DUMMYFUNCTION("""COMPUTED_VALUE"""),64384400)</f>
        <v>64384400</v>
      </c>
    </row>
    <row r="1247" spans="1:6">
      <c r="A1247" s="1">
        <f ca="1">IFERROR(__xludf.DUMMYFUNCTION("""COMPUTED_VALUE"""),43886.625)</f>
        <v>43886.625</v>
      </c>
      <c r="B1247" s="2">
        <f ca="1">IFERROR(__xludf.DUMMYFUNCTION("""COMPUTED_VALUE"""),7775)</f>
        <v>7775</v>
      </c>
      <c r="C1247" s="2">
        <f ca="1">IFERROR(__xludf.DUMMYFUNCTION("""COMPUTED_VALUE"""),7900)</f>
        <v>7900</v>
      </c>
      <c r="D1247" s="2">
        <f ca="1">IFERROR(__xludf.DUMMYFUNCTION("""COMPUTED_VALUE"""),7700)</f>
        <v>7700</v>
      </c>
      <c r="E1247" s="2">
        <f ca="1">IFERROR(__xludf.DUMMYFUNCTION("""COMPUTED_VALUE"""),7800)</f>
        <v>7800</v>
      </c>
      <c r="F1247" s="2">
        <f ca="1">IFERROR(__xludf.DUMMYFUNCTION("""COMPUTED_VALUE"""),52975900)</f>
        <v>52975900</v>
      </c>
    </row>
    <row r="1248" spans="1:6">
      <c r="A1248" s="1">
        <f ca="1">IFERROR(__xludf.DUMMYFUNCTION("""COMPUTED_VALUE"""),43887.625)</f>
        <v>43887.625</v>
      </c>
      <c r="B1248" s="2">
        <f ca="1">IFERROR(__xludf.DUMMYFUNCTION("""COMPUTED_VALUE"""),7750)</f>
        <v>7750</v>
      </c>
      <c r="C1248" s="2">
        <f ca="1">IFERROR(__xludf.DUMMYFUNCTION("""COMPUTED_VALUE"""),7750)</f>
        <v>7750</v>
      </c>
      <c r="D1248" s="2">
        <f ca="1">IFERROR(__xludf.DUMMYFUNCTION("""COMPUTED_VALUE"""),7650)</f>
        <v>7650</v>
      </c>
      <c r="E1248" s="2">
        <f ca="1">IFERROR(__xludf.DUMMYFUNCTION("""COMPUTED_VALUE"""),7650)</f>
        <v>7650</v>
      </c>
      <c r="F1248" s="2">
        <f ca="1">IFERROR(__xludf.DUMMYFUNCTION("""COMPUTED_VALUE"""),99085500)</f>
        <v>99085500</v>
      </c>
    </row>
    <row r="1249" spans="1:6">
      <c r="A1249" s="1">
        <f ca="1">IFERROR(__xludf.DUMMYFUNCTION("""COMPUTED_VALUE"""),43888.625)</f>
        <v>43888.625</v>
      </c>
      <c r="B1249" s="2">
        <f ca="1">IFERROR(__xludf.DUMMYFUNCTION("""COMPUTED_VALUE"""),7650)</f>
        <v>7650</v>
      </c>
      <c r="C1249" s="2">
        <f ca="1">IFERROR(__xludf.DUMMYFUNCTION("""COMPUTED_VALUE"""),7700)</f>
        <v>7700</v>
      </c>
      <c r="D1249" s="2">
        <f ca="1">IFERROR(__xludf.DUMMYFUNCTION("""COMPUTED_VALUE"""),7250)</f>
        <v>7250</v>
      </c>
      <c r="E1249" s="2">
        <f ca="1">IFERROR(__xludf.DUMMYFUNCTION("""COMPUTED_VALUE"""),7350)</f>
        <v>7350</v>
      </c>
      <c r="F1249" s="2">
        <f ca="1">IFERROR(__xludf.DUMMYFUNCTION("""COMPUTED_VALUE"""),111544300)</f>
        <v>111544300</v>
      </c>
    </row>
    <row r="1250" spans="1:6">
      <c r="A1250" s="1">
        <f ca="1">IFERROR(__xludf.DUMMYFUNCTION("""COMPUTED_VALUE"""),43889.625)</f>
        <v>43889.625</v>
      </c>
      <c r="B1250" s="2">
        <f ca="1">IFERROR(__xludf.DUMMYFUNCTION("""COMPUTED_VALUE"""),6750)</f>
        <v>6750</v>
      </c>
      <c r="C1250" s="2">
        <f ca="1">IFERROR(__xludf.DUMMYFUNCTION("""COMPUTED_VALUE"""),7275)</f>
        <v>7275</v>
      </c>
      <c r="D1250" s="2">
        <f ca="1">IFERROR(__xludf.DUMMYFUNCTION("""COMPUTED_VALUE"""),6550)</f>
        <v>6550</v>
      </c>
      <c r="E1250" s="2">
        <f ca="1">IFERROR(__xludf.DUMMYFUNCTION("""COMPUTED_VALUE"""),7275)</f>
        <v>7275</v>
      </c>
      <c r="F1250" s="2">
        <f ca="1">IFERROR(__xludf.DUMMYFUNCTION("""COMPUTED_VALUE"""),94434100)</f>
        <v>94434100</v>
      </c>
    </row>
    <row r="1251" spans="1:6">
      <c r="A1251" s="1">
        <f ca="1">IFERROR(__xludf.DUMMYFUNCTION("""COMPUTED_VALUE"""),43892.625)</f>
        <v>43892.625</v>
      </c>
      <c r="B1251" s="2">
        <f ca="1">IFERROR(__xludf.DUMMYFUNCTION("""COMPUTED_VALUE"""),7150)</f>
        <v>7150</v>
      </c>
      <c r="C1251" s="2">
        <f ca="1">IFERROR(__xludf.DUMMYFUNCTION("""COMPUTED_VALUE"""),7250)</f>
        <v>7250</v>
      </c>
      <c r="D1251" s="2">
        <f ca="1">IFERROR(__xludf.DUMMYFUNCTION("""COMPUTED_VALUE"""),6950)</f>
        <v>6950</v>
      </c>
      <c r="E1251" s="2">
        <f ca="1">IFERROR(__xludf.DUMMYFUNCTION("""COMPUTED_VALUE"""),6950)</f>
        <v>6950</v>
      </c>
      <c r="F1251" s="2">
        <f ca="1">IFERROR(__xludf.DUMMYFUNCTION("""COMPUTED_VALUE"""),50775100)</f>
        <v>50775100</v>
      </c>
    </row>
    <row r="1252" spans="1:6">
      <c r="A1252" s="1">
        <f ca="1">IFERROR(__xludf.DUMMYFUNCTION("""COMPUTED_VALUE"""),43893.625)</f>
        <v>43893.625</v>
      </c>
      <c r="B1252" s="2">
        <f ca="1">IFERROR(__xludf.DUMMYFUNCTION("""COMPUTED_VALUE"""),7100)</f>
        <v>7100</v>
      </c>
      <c r="C1252" s="2">
        <f ca="1">IFERROR(__xludf.DUMMYFUNCTION("""COMPUTED_VALUE"""),7350)</f>
        <v>7350</v>
      </c>
      <c r="D1252" s="2">
        <f ca="1">IFERROR(__xludf.DUMMYFUNCTION("""COMPUTED_VALUE"""),7025)</f>
        <v>7025</v>
      </c>
      <c r="E1252" s="2">
        <f ca="1">IFERROR(__xludf.DUMMYFUNCTION("""COMPUTED_VALUE"""),7200)</f>
        <v>7200</v>
      </c>
      <c r="F1252" s="2">
        <f ca="1">IFERROR(__xludf.DUMMYFUNCTION("""COMPUTED_VALUE"""),48222600)</f>
        <v>48222600</v>
      </c>
    </row>
    <row r="1253" spans="1:6">
      <c r="A1253" s="1">
        <f ca="1">IFERROR(__xludf.DUMMYFUNCTION("""COMPUTED_VALUE"""),43894.625)</f>
        <v>43894.625</v>
      </c>
      <c r="B1253" s="2">
        <f ca="1">IFERROR(__xludf.DUMMYFUNCTION("""COMPUTED_VALUE"""),7250)</f>
        <v>7250</v>
      </c>
      <c r="C1253" s="2">
        <f ca="1">IFERROR(__xludf.DUMMYFUNCTION("""COMPUTED_VALUE"""),7500)</f>
        <v>7500</v>
      </c>
      <c r="D1253" s="2">
        <f ca="1">IFERROR(__xludf.DUMMYFUNCTION("""COMPUTED_VALUE"""),7225)</f>
        <v>7225</v>
      </c>
      <c r="E1253" s="2">
        <f ca="1">IFERROR(__xludf.DUMMYFUNCTION("""COMPUTED_VALUE"""),7475)</f>
        <v>7475</v>
      </c>
      <c r="F1253" s="2">
        <f ca="1">IFERROR(__xludf.DUMMYFUNCTION("""COMPUTED_VALUE"""),46277700)</f>
        <v>46277700</v>
      </c>
    </row>
    <row r="1254" spans="1:6">
      <c r="A1254" s="1">
        <f ca="1">IFERROR(__xludf.DUMMYFUNCTION("""COMPUTED_VALUE"""),43895.625)</f>
        <v>43895.625</v>
      </c>
      <c r="B1254" s="2">
        <f ca="1">IFERROR(__xludf.DUMMYFUNCTION("""COMPUTED_VALUE"""),7550)</f>
        <v>7550</v>
      </c>
      <c r="C1254" s="2">
        <f ca="1">IFERROR(__xludf.DUMMYFUNCTION("""COMPUTED_VALUE"""),7650)</f>
        <v>7650</v>
      </c>
      <c r="D1254" s="2">
        <f ca="1">IFERROR(__xludf.DUMMYFUNCTION("""COMPUTED_VALUE"""),7500)</f>
        <v>7500</v>
      </c>
      <c r="E1254" s="2">
        <f ca="1">IFERROR(__xludf.DUMMYFUNCTION("""COMPUTED_VALUE"""),7600)</f>
        <v>7600</v>
      </c>
      <c r="F1254" s="2">
        <f ca="1">IFERROR(__xludf.DUMMYFUNCTION("""COMPUTED_VALUE"""),52374300)</f>
        <v>52374300</v>
      </c>
    </row>
    <row r="1255" spans="1:6">
      <c r="A1255" s="1">
        <f ca="1">IFERROR(__xludf.DUMMYFUNCTION("""COMPUTED_VALUE"""),43896.625)</f>
        <v>43896.625</v>
      </c>
      <c r="B1255" s="2">
        <f ca="1">IFERROR(__xludf.DUMMYFUNCTION("""COMPUTED_VALUE"""),7400)</f>
        <v>7400</v>
      </c>
      <c r="C1255" s="2">
        <f ca="1">IFERROR(__xludf.DUMMYFUNCTION("""COMPUTED_VALUE"""),7400)</f>
        <v>7400</v>
      </c>
      <c r="D1255" s="2">
        <f ca="1">IFERROR(__xludf.DUMMYFUNCTION("""COMPUTED_VALUE"""),7225)</f>
        <v>7225</v>
      </c>
      <c r="E1255" s="2">
        <f ca="1">IFERROR(__xludf.DUMMYFUNCTION("""COMPUTED_VALUE"""),7250)</f>
        <v>7250</v>
      </c>
      <c r="F1255" s="2">
        <f ca="1">IFERROR(__xludf.DUMMYFUNCTION("""COMPUTED_VALUE"""),36155600)</f>
        <v>36155600</v>
      </c>
    </row>
    <row r="1256" spans="1:6">
      <c r="A1256" s="1">
        <f ca="1">IFERROR(__xludf.DUMMYFUNCTION("""COMPUTED_VALUE"""),43899.625)</f>
        <v>43899.625</v>
      </c>
      <c r="B1256" s="2">
        <f ca="1">IFERROR(__xludf.DUMMYFUNCTION("""COMPUTED_VALUE"""),7000)</f>
        <v>7000</v>
      </c>
      <c r="C1256" s="2">
        <f ca="1">IFERROR(__xludf.DUMMYFUNCTION("""COMPUTED_VALUE"""),7000)</f>
        <v>7000</v>
      </c>
      <c r="D1256" s="2">
        <f ca="1">IFERROR(__xludf.DUMMYFUNCTION("""COMPUTED_VALUE"""),6575)</f>
        <v>6575</v>
      </c>
      <c r="E1256" s="2">
        <f ca="1">IFERROR(__xludf.DUMMYFUNCTION("""COMPUTED_VALUE"""),6575)</f>
        <v>6575</v>
      </c>
      <c r="F1256" s="2">
        <f ca="1">IFERROR(__xludf.DUMMYFUNCTION("""COMPUTED_VALUE"""),56566200)</f>
        <v>56566200</v>
      </c>
    </row>
    <row r="1257" spans="1:6">
      <c r="A1257" s="1">
        <f ca="1">IFERROR(__xludf.DUMMYFUNCTION("""COMPUTED_VALUE"""),43900.625)</f>
        <v>43900.625</v>
      </c>
      <c r="B1257" s="2">
        <f ca="1">IFERROR(__xludf.DUMMYFUNCTION("""COMPUTED_VALUE"""),6650)</f>
        <v>6650</v>
      </c>
      <c r="C1257" s="2">
        <f ca="1">IFERROR(__xludf.DUMMYFUNCTION("""COMPUTED_VALUE"""),7000)</f>
        <v>7000</v>
      </c>
      <c r="D1257" s="2">
        <f ca="1">IFERROR(__xludf.DUMMYFUNCTION("""COMPUTED_VALUE"""),6650)</f>
        <v>6650</v>
      </c>
      <c r="E1257" s="2">
        <f ca="1">IFERROR(__xludf.DUMMYFUNCTION("""COMPUTED_VALUE"""),6875)</f>
        <v>6875</v>
      </c>
      <c r="F1257" s="2">
        <f ca="1">IFERROR(__xludf.DUMMYFUNCTION("""COMPUTED_VALUE"""),57026000)</f>
        <v>57026000</v>
      </c>
    </row>
    <row r="1258" spans="1:6">
      <c r="A1258" s="1">
        <f ca="1">IFERROR(__xludf.DUMMYFUNCTION("""COMPUTED_VALUE"""),43901.625)</f>
        <v>43901.625</v>
      </c>
      <c r="B1258" s="2">
        <f ca="1">IFERROR(__xludf.DUMMYFUNCTION("""COMPUTED_VALUE"""),6925)</f>
        <v>6925</v>
      </c>
      <c r="C1258" s="2">
        <f ca="1">IFERROR(__xludf.DUMMYFUNCTION("""COMPUTED_VALUE"""),7050)</f>
        <v>7050</v>
      </c>
      <c r="D1258" s="2">
        <f ca="1">IFERROR(__xludf.DUMMYFUNCTION("""COMPUTED_VALUE"""),6625)</f>
        <v>6625</v>
      </c>
      <c r="E1258" s="2">
        <f ca="1">IFERROR(__xludf.DUMMYFUNCTION("""COMPUTED_VALUE"""),6825)</f>
        <v>6825</v>
      </c>
      <c r="F1258" s="2">
        <f ca="1">IFERROR(__xludf.DUMMYFUNCTION("""COMPUTED_VALUE"""),48584400)</f>
        <v>48584400</v>
      </c>
    </row>
    <row r="1259" spans="1:6">
      <c r="A1259" s="1">
        <f ca="1">IFERROR(__xludf.DUMMYFUNCTION("""COMPUTED_VALUE"""),43902.625)</f>
        <v>43902.625</v>
      </c>
      <c r="B1259" s="2">
        <f ca="1">IFERROR(__xludf.DUMMYFUNCTION("""COMPUTED_VALUE"""),6475)</f>
        <v>6475</v>
      </c>
      <c r="C1259" s="2">
        <f ca="1">IFERROR(__xludf.DUMMYFUNCTION("""COMPUTED_VALUE"""),6675)</f>
        <v>6675</v>
      </c>
      <c r="D1259" s="2">
        <f ca="1">IFERROR(__xludf.DUMMYFUNCTION("""COMPUTED_VALUE"""),6225)</f>
        <v>6225</v>
      </c>
      <c r="E1259" s="2">
        <f ca="1">IFERROR(__xludf.DUMMYFUNCTION("""COMPUTED_VALUE"""),6425)</f>
        <v>6425</v>
      </c>
      <c r="F1259" s="2">
        <f ca="1">IFERROR(__xludf.DUMMYFUNCTION("""COMPUTED_VALUE"""),45789100)</f>
        <v>45789100</v>
      </c>
    </row>
    <row r="1260" spans="1:6">
      <c r="A1260" s="1">
        <f ca="1">IFERROR(__xludf.DUMMYFUNCTION("""COMPUTED_VALUE"""),43903.625)</f>
        <v>43903.625</v>
      </c>
      <c r="B1260" s="2">
        <f ca="1">IFERROR(__xludf.DUMMYFUNCTION("""COMPUTED_VALUE"""),6200)</f>
        <v>6200</v>
      </c>
      <c r="C1260" s="2">
        <f ca="1">IFERROR(__xludf.DUMMYFUNCTION("""COMPUTED_VALUE"""),6475)</f>
        <v>6475</v>
      </c>
      <c r="D1260" s="2">
        <f ca="1">IFERROR(__xludf.DUMMYFUNCTION("""COMPUTED_VALUE"""),6000)</f>
        <v>6000</v>
      </c>
      <c r="E1260" s="2">
        <f ca="1">IFERROR(__xludf.DUMMYFUNCTION("""COMPUTED_VALUE"""),6350)</f>
        <v>6350</v>
      </c>
      <c r="F1260" s="2">
        <f ca="1">IFERROR(__xludf.DUMMYFUNCTION("""COMPUTED_VALUE"""),119311900)</f>
        <v>119311900</v>
      </c>
    </row>
    <row r="1261" spans="1:6">
      <c r="A1261" s="1">
        <f ca="1">IFERROR(__xludf.DUMMYFUNCTION("""COMPUTED_VALUE"""),43906.625)</f>
        <v>43906.625</v>
      </c>
      <c r="B1261" s="2">
        <f ca="1">IFERROR(__xludf.DUMMYFUNCTION("""COMPUTED_VALUE"""),6200)</f>
        <v>6200</v>
      </c>
      <c r="C1261" s="2">
        <f ca="1">IFERROR(__xludf.DUMMYFUNCTION("""COMPUTED_VALUE"""),6200)</f>
        <v>6200</v>
      </c>
      <c r="D1261" s="2">
        <f ca="1">IFERROR(__xludf.DUMMYFUNCTION("""COMPUTED_VALUE"""),5925)</f>
        <v>5925</v>
      </c>
      <c r="E1261" s="2">
        <f ca="1">IFERROR(__xludf.DUMMYFUNCTION("""COMPUTED_VALUE"""),5925)</f>
        <v>5925</v>
      </c>
      <c r="F1261" s="2">
        <f ca="1">IFERROR(__xludf.DUMMYFUNCTION("""COMPUTED_VALUE"""),61134800)</f>
        <v>61134800</v>
      </c>
    </row>
    <row r="1262" spans="1:6">
      <c r="A1262" s="1">
        <f ca="1">IFERROR(__xludf.DUMMYFUNCTION("""COMPUTED_VALUE"""),43907.625)</f>
        <v>43907.625</v>
      </c>
      <c r="B1262" s="2">
        <f ca="1">IFERROR(__xludf.DUMMYFUNCTION("""COMPUTED_VALUE"""),5925)</f>
        <v>5925</v>
      </c>
      <c r="C1262" s="2">
        <f ca="1">IFERROR(__xludf.DUMMYFUNCTION("""COMPUTED_VALUE"""),5925)</f>
        <v>5925</v>
      </c>
      <c r="D1262" s="2">
        <f ca="1">IFERROR(__xludf.DUMMYFUNCTION("""COMPUTED_VALUE"""),5525)</f>
        <v>5525</v>
      </c>
      <c r="E1262" s="2">
        <f ca="1">IFERROR(__xludf.DUMMYFUNCTION("""COMPUTED_VALUE"""),5525)</f>
        <v>5525</v>
      </c>
      <c r="F1262" s="2">
        <f ca="1">IFERROR(__xludf.DUMMYFUNCTION("""COMPUTED_VALUE"""),93190200)</f>
        <v>93190200</v>
      </c>
    </row>
    <row r="1263" spans="1:6">
      <c r="A1263" s="1">
        <f ca="1">IFERROR(__xludf.DUMMYFUNCTION("""COMPUTED_VALUE"""),43908.625)</f>
        <v>43908.625</v>
      </c>
      <c r="B1263" s="2">
        <f ca="1">IFERROR(__xludf.DUMMYFUNCTION("""COMPUTED_VALUE"""),5600)</f>
        <v>5600</v>
      </c>
      <c r="C1263" s="2">
        <f ca="1">IFERROR(__xludf.DUMMYFUNCTION("""COMPUTED_VALUE"""),5650)</f>
        <v>5650</v>
      </c>
      <c r="D1263" s="2">
        <f ca="1">IFERROR(__xludf.DUMMYFUNCTION("""COMPUTED_VALUE"""),5150)</f>
        <v>5150</v>
      </c>
      <c r="E1263" s="2">
        <f ca="1">IFERROR(__xludf.DUMMYFUNCTION("""COMPUTED_VALUE"""),5150)</f>
        <v>5150</v>
      </c>
      <c r="F1263" s="2">
        <f ca="1">IFERROR(__xludf.DUMMYFUNCTION("""COMPUTED_VALUE"""),107551700)</f>
        <v>107551700</v>
      </c>
    </row>
    <row r="1264" spans="1:6">
      <c r="A1264" s="1">
        <f ca="1">IFERROR(__xludf.DUMMYFUNCTION("""COMPUTED_VALUE"""),43909.625)</f>
        <v>43909.625</v>
      </c>
      <c r="B1264" s="2">
        <f ca="1">IFERROR(__xludf.DUMMYFUNCTION("""COMPUTED_VALUE"""),5000)</f>
        <v>5000</v>
      </c>
      <c r="C1264" s="2">
        <f ca="1">IFERROR(__xludf.DUMMYFUNCTION("""COMPUTED_VALUE"""),5000)</f>
        <v>5000</v>
      </c>
      <c r="D1264" s="2">
        <f ca="1">IFERROR(__xludf.DUMMYFUNCTION("""COMPUTED_VALUE"""),4790)</f>
        <v>4790</v>
      </c>
      <c r="E1264" s="2">
        <f ca="1">IFERROR(__xludf.DUMMYFUNCTION("""COMPUTED_VALUE"""),4790)</f>
        <v>4790</v>
      </c>
      <c r="F1264" s="2">
        <f ca="1">IFERROR(__xludf.DUMMYFUNCTION("""COMPUTED_VALUE"""),83938100)</f>
        <v>83938100</v>
      </c>
    </row>
    <row r="1265" spans="1:6">
      <c r="A1265" s="1">
        <f ca="1">IFERROR(__xludf.DUMMYFUNCTION("""COMPUTED_VALUE"""),43910.625)</f>
        <v>43910.625</v>
      </c>
      <c r="B1265" s="2">
        <f ca="1">IFERROR(__xludf.DUMMYFUNCTION("""COMPUTED_VALUE"""),4740)</f>
        <v>4740</v>
      </c>
      <c r="C1265" s="2">
        <f ca="1">IFERROR(__xludf.DUMMYFUNCTION("""COMPUTED_VALUE"""),4740)</f>
        <v>4740</v>
      </c>
      <c r="D1265" s="2">
        <f ca="1">IFERROR(__xludf.DUMMYFUNCTION("""COMPUTED_VALUE"""),4460)</f>
        <v>4460</v>
      </c>
      <c r="E1265" s="2">
        <f ca="1">IFERROR(__xludf.DUMMYFUNCTION("""COMPUTED_VALUE"""),4460)</f>
        <v>4460</v>
      </c>
      <c r="F1265" s="2">
        <f ca="1">IFERROR(__xludf.DUMMYFUNCTION("""COMPUTED_VALUE"""),239118300)</f>
        <v>239118300</v>
      </c>
    </row>
    <row r="1266" spans="1:6">
      <c r="A1266" s="1">
        <f ca="1">IFERROR(__xludf.DUMMYFUNCTION("""COMPUTED_VALUE"""),43913.625)</f>
        <v>43913.625</v>
      </c>
      <c r="B1266" s="2">
        <f ca="1">IFERROR(__xludf.DUMMYFUNCTION("""COMPUTED_VALUE"""),4350)</f>
        <v>4350</v>
      </c>
      <c r="C1266" s="2">
        <f ca="1">IFERROR(__xludf.DUMMYFUNCTION("""COMPUTED_VALUE"""),4350)</f>
        <v>4350</v>
      </c>
      <c r="D1266" s="2">
        <f ca="1">IFERROR(__xludf.DUMMYFUNCTION("""COMPUTED_VALUE"""),4150)</f>
        <v>4150</v>
      </c>
      <c r="E1266" s="2">
        <f ca="1">IFERROR(__xludf.DUMMYFUNCTION("""COMPUTED_VALUE"""),4150)</f>
        <v>4150</v>
      </c>
      <c r="F1266" s="2">
        <f ca="1">IFERROR(__xludf.DUMMYFUNCTION("""COMPUTED_VALUE"""),29992900)</f>
        <v>29992900</v>
      </c>
    </row>
    <row r="1267" spans="1:6">
      <c r="A1267" s="1">
        <f ca="1">IFERROR(__xludf.DUMMYFUNCTION("""COMPUTED_VALUE"""),43914.625)</f>
        <v>43914.625</v>
      </c>
      <c r="B1267" s="2">
        <f ca="1">IFERROR(__xludf.DUMMYFUNCTION("""COMPUTED_VALUE"""),4150)</f>
        <v>4150</v>
      </c>
      <c r="C1267" s="2">
        <f ca="1">IFERROR(__xludf.DUMMYFUNCTION("""COMPUTED_VALUE"""),4230)</f>
        <v>4230</v>
      </c>
      <c r="D1267" s="2">
        <f ca="1">IFERROR(__xludf.DUMMYFUNCTION("""COMPUTED_VALUE"""),3860)</f>
        <v>3860</v>
      </c>
      <c r="E1267" s="2">
        <f ca="1">IFERROR(__xludf.DUMMYFUNCTION("""COMPUTED_VALUE"""),3860)</f>
        <v>3860</v>
      </c>
      <c r="F1267" s="2">
        <f ca="1">IFERROR(__xludf.DUMMYFUNCTION("""COMPUTED_VALUE"""),118648100)</f>
        <v>118648100</v>
      </c>
    </row>
    <row r="1268" spans="1:6">
      <c r="A1268" s="1">
        <f ca="1">IFERROR(__xludf.DUMMYFUNCTION("""COMPUTED_VALUE"""),43916.625)</f>
        <v>43916.625</v>
      </c>
      <c r="B1268" s="2">
        <f ca="1">IFERROR(__xludf.DUMMYFUNCTION("""COMPUTED_VALUE"""),3800)</f>
        <v>3800</v>
      </c>
      <c r="C1268" s="2">
        <f ca="1">IFERROR(__xludf.DUMMYFUNCTION("""COMPUTED_VALUE"""),4580)</f>
        <v>4580</v>
      </c>
      <c r="D1268" s="2">
        <f ca="1">IFERROR(__xludf.DUMMYFUNCTION("""COMPUTED_VALUE"""),3780)</f>
        <v>3780</v>
      </c>
      <c r="E1268" s="2">
        <f ca="1">IFERROR(__xludf.DUMMYFUNCTION("""COMPUTED_VALUE"""),4470)</f>
        <v>4470</v>
      </c>
      <c r="F1268" s="2">
        <f ca="1">IFERROR(__xludf.DUMMYFUNCTION("""COMPUTED_VALUE"""),193278600)</f>
        <v>193278600</v>
      </c>
    </row>
    <row r="1269" spans="1:6">
      <c r="A1269" s="1">
        <f ca="1">IFERROR(__xludf.DUMMYFUNCTION("""COMPUTED_VALUE"""),43917.625)</f>
        <v>43917.625</v>
      </c>
      <c r="B1269" s="2">
        <f ca="1">IFERROR(__xludf.DUMMYFUNCTION("""COMPUTED_VALUE"""),4510)</f>
        <v>4510</v>
      </c>
      <c r="C1269" s="2">
        <f ca="1">IFERROR(__xludf.DUMMYFUNCTION("""COMPUTED_VALUE"""),5225)</f>
        <v>5225</v>
      </c>
      <c r="D1269" s="2">
        <f ca="1">IFERROR(__xludf.DUMMYFUNCTION("""COMPUTED_VALUE"""),4500)</f>
        <v>4500</v>
      </c>
      <c r="E1269" s="2">
        <f ca="1">IFERROR(__xludf.DUMMYFUNCTION("""COMPUTED_VALUE"""),4940)</f>
        <v>4940</v>
      </c>
      <c r="F1269" s="2">
        <f ca="1">IFERROR(__xludf.DUMMYFUNCTION("""COMPUTED_VALUE"""),198406000)</f>
        <v>198406000</v>
      </c>
    </row>
    <row r="1270" spans="1:6">
      <c r="A1270" s="1">
        <f ca="1">IFERROR(__xludf.DUMMYFUNCTION("""COMPUTED_VALUE"""),43920.625)</f>
        <v>43920.625</v>
      </c>
      <c r="B1270" s="2">
        <f ca="1">IFERROR(__xludf.DUMMYFUNCTION("""COMPUTED_VALUE"""),4840)</f>
        <v>4840</v>
      </c>
      <c r="C1270" s="2">
        <f ca="1">IFERROR(__xludf.DUMMYFUNCTION("""COMPUTED_VALUE"""),4840)</f>
        <v>4840</v>
      </c>
      <c r="D1270" s="2">
        <f ca="1">IFERROR(__xludf.DUMMYFUNCTION("""COMPUTED_VALUE"""),4600)</f>
        <v>4600</v>
      </c>
      <c r="E1270" s="2">
        <f ca="1">IFERROR(__xludf.DUMMYFUNCTION("""COMPUTED_VALUE"""),4600)</f>
        <v>4600</v>
      </c>
      <c r="F1270" s="2">
        <f ca="1">IFERROR(__xludf.DUMMYFUNCTION("""COMPUTED_VALUE"""),19883300)</f>
        <v>19883300</v>
      </c>
    </row>
    <row r="1271" spans="1:6">
      <c r="A1271" s="1">
        <f ca="1">IFERROR(__xludf.DUMMYFUNCTION("""COMPUTED_VALUE"""),43921.625)</f>
        <v>43921.625</v>
      </c>
      <c r="B1271" s="2">
        <f ca="1">IFERROR(__xludf.DUMMYFUNCTION("""COMPUTED_VALUE"""),4650)</f>
        <v>4650</v>
      </c>
      <c r="C1271" s="2">
        <f ca="1">IFERROR(__xludf.DUMMYFUNCTION("""COMPUTED_VALUE"""),4820)</f>
        <v>4820</v>
      </c>
      <c r="D1271" s="2">
        <f ca="1">IFERROR(__xludf.DUMMYFUNCTION("""COMPUTED_VALUE"""),4450)</f>
        <v>4450</v>
      </c>
      <c r="E1271" s="2">
        <f ca="1">IFERROR(__xludf.DUMMYFUNCTION("""COMPUTED_VALUE"""),4680)</f>
        <v>4680</v>
      </c>
      <c r="F1271" s="2">
        <f ca="1">IFERROR(__xludf.DUMMYFUNCTION("""COMPUTED_VALUE"""),104023800)</f>
        <v>104023800</v>
      </c>
    </row>
    <row r="1272" spans="1:6">
      <c r="A1272" s="1">
        <f ca="1">IFERROR(__xludf.DUMMYFUNCTION("""COMPUTED_VALUE"""),43922.625)</f>
        <v>43922.625</v>
      </c>
      <c r="B1272" s="2">
        <f ca="1">IFERROR(__xludf.DUMMYFUNCTION("""COMPUTED_VALUE"""),4650)</f>
        <v>4650</v>
      </c>
      <c r="C1272" s="2">
        <f ca="1">IFERROR(__xludf.DUMMYFUNCTION("""COMPUTED_VALUE"""),4880)</f>
        <v>4880</v>
      </c>
      <c r="D1272" s="2">
        <f ca="1">IFERROR(__xludf.DUMMYFUNCTION("""COMPUTED_VALUE"""),4440)</f>
        <v>4440</v>
      </c>
      <c r="E1272" s="2">
        <f ca="1">IFERROR(__xludf.DUMMYFUNCTION("""COMPUTED_VALUE"""),4610)</f>
        <v>4610</v>
      </c>
      <c r="F1272" s="2">
        <f ca="1">IFERROR(__xludf.DUMMYFUNCTION("""COMPUTED_VALUE"""),76183500)</f>
        <v>76183500</v>
      </c>
    </row>
    <row r="1273" spans="1:6">
      <c r="A1273" s="1">
        <f ca="1">IFERROR(__xludf.DUMMYFUNCTION("""COMPUTED_VALUE"""),43923.625)</f>
        <v>43923.625</v>
      </c>
      <c r="B1273" s="2">
        <f ca="1">IFERROR(__xludf.DUMMYFUNCTION("""COMPUTED_VALUE"""),4570)</f>
        <v>4570</v>
      </c>
      <c r="C1273" s="2">
        <f ca="1">IFERROR(__xludf.DUMMYFUNCTION("""COMPUTED_VALUE"""),4750)</f>
        <v>4750</v>
      </c>
      <c r="D1273" s="2">
        <f ca="1">IFERROR(__xludf.DUMMYFUNCTION("""COMPUTED_VALUE"""),4360)</f>
        <v>4360</v>
      </c>
      <c r="E1273" s="2">
        <f ca="1">IFERROR(__xludf.DUMMYFUNCTION("""COMPUTED_VALUE"""),4750)</f>
        <v>4750</v>
      </c>
      <c r="F1273" s="2">
        <f ca="1">IFERROR(__xludf.DUMMYFUNCTION("""COMPUTED_VALUE"""),66112600)</f>
        <v>66112600</v>
      </c>
    </row>
    <row r="1274" spans="1:6">
      <c r="A1274" s="1">
        <f ca="1">IFERROR(__xludf.DUMMYFUNCTION("""COMPUTED_VALUE"""),43924.625)</f>
        <v>43924.625</v>
      </c>
      <c r="B1274" s="2">
        <f ca="1">IFERROR(__xludf.DUMMYFUNCTION("""COMPUTED_VALUE"""),4800)</f>
        <v>4800</v>
      </c>
      <c r="C1274" s="2">
        <f ca="1">IFERROR(__xludf.DUMMYFUNCTION("""COMPUTED_VALUE"""),5025)</f>
        <v>5025</v>
      </c>
      <c r="D1274" s="2">
        <f ca="1">IFERROR(__xludf.DUMMYFUNCTION("""COMPUTED_VALUE"""),4800)</f>
        <v>4800</v>
      </c>
      <c r="E1274" s="2">
        <f ca="1">IFERROR(__xludf.DUMMYFUNCTION("""COMPUTED_VALUE"""),5025)</f>
        <v>5025</v>
      </c>
      <c r="F1274" s="2">
        <f ca="1">IFERROR(__xludf.DUMMYFUNCTION("""COMPUTED_VALUE"""),52612800)</f>
        <v>52612800</v>
      </c>
    </row>
    <row r="1275" spans="1:6">
      <c r="A1275" s="1">
        <f ca="1">IFERROR(__xludf.DUMMYFUNCTION("""COMPUTED_VALUE"""),43927.625)</f>
        <v>43927.625</v>
      </c>
      <c r="B1275" s="2">
        <f ca="1">IFERROR(__xludf.DUMMYFUNCTION("""COMPUTED_VALUE"""),5025)</f>
        <v>5025</v>
      </c>
      <c r="C1275" s="2">
        <f ca="1">IFERROR(__xludf.DUMMYFUNCTION("""COMPUTED_VALUE"""),5225)</f>
        <v>5225</v>
      </c>
      <c r="D1275" s="2">
        <f ca="1">IFERROR(__xludf.DUMMYFUNCTION("""COMPUTED_VALUE"""),4900)</f>
        <v>4900</v>
      </c>
      <c r="E1275" s="2">
        <f ca="1">IFERROR(__xludf.DUMMYFUNCTION("""COMPUTED_VALUE"""),5200)</f>
        <v>5200</v>
      </c>
      <c r="F1275" s="2">
        <f ca="1">IFERROR(__xludf.DUMMYFUNCTION("""COMPUTED_VALUE"""),56990200)</f>
        <v>56990200</v>
      </c>
    </row>
    <row r="1276" spans="1:6">
      <c r="A1276" s="1">
        <f ca="1">IFERROR(__xludf.DUMMYFUNCTION("""COMPUTED_VALUE"""),43928.625)</f>
        <v>43928.625</v>
      </c>
      <c r="B1276" s="2">
        <f ca="1">IFERROR(__xludf.DUMMYFUNCTION("""COMPUTED_VALUE"""),5400)</f>
        <v>5400</v>
      </c>
      <c r="C1276" s="2">
        <f ca="1">IFERROR(__xludf.DUMMYFUNCTION("""COMPUTED_VALUE"""),5600)</f>
        <v>5600</v>
      </c>
      <c r="D1276" s="2">
        <f ca="1">IFERROR(__xludf.DUMMYFUNCTION("""COMPUTED_VALUE"""),4970)</f>
        <v>4970</v>
      </c>
      <c r="E1276" s="2">
        <f ca="1">IFERROR(__xludf.DUMMYFUNCTION("""COMPUTED_VALUE"""),5125)</f>
        <v>5125</v>
      </c>
      <c r="F1276" s="2">
        <f ca="1">IFERROR(__xludf.DUMMYFUNCTION("""COMPUTED_VALUE"""),95732300)</f>
        <v>95732300</v>
      </c>
    </row>
    <row r="1277" spans="1:6">
      <c r="A1277" s="1">
        <f ca="1">IFERROR(__xludf.DUMMYFUNCTION("""COMPUTED_VALUE"""),43929.625)</f>
        <v>43929.625</v>
      </c>
      <c r="B1277" s="2">
        <f ca="1">IFERROR(__xludf.DUMMYFUNCTION("""COMPUTED_VALUE"""),5175)</f>
        <v>5175</v>
      </c>
      <c r="C1277" s="2">
        <f ca="1">IFERROR(__xludf.DUMMYFUNCTION("""COMPUTED_VALUE"""),5175)</f>
        <v>5175</v>
      </c>
      <c r="D1277" s="2">
        <f ca="1">IFERROR(__xludf.DUMMYFUNCTION("""COMPUTED_VALUE"""),4770)</f>
        <v>4770</v>
      </c>
      <c r="E1277" s="2">
        <f ca="1">IFERROR(__xludf.DUMMYFUNCTION("""COMPUTED_VALUE"""),4770)</f>
        <v>4770</v>
      </c>
      <c r="F1277" s="2">
        <f ca="1">IFERROR(__xludf.DUMMYFUNCTION("""COMPUTED_VALUE"""),77917400)</f>
        <v>77917400</v>
      </c>
    </row>
    <row r="1278" spans="1:6">
      <c r="A1278" s="1">
        <f ca="1">IFERROR(__xludf.DUMMYFUNCTION("""COMPUTED_VALUE"""),43930.625)</f>
        <v>43930.625</v>
      </c>
      <c r="B1278" s="2">
        <f ca="1">IFERROR(__xludf.DUMMYFUNCTION("""COMPUTED_VALUE"""),4800)</f>
        <v>4800</v>
      </c>
      <c r="C1278" s="2">
        <f ca="1">IFERROR(__xludf.DUMMYFUNCTION("""COMPUTED_VALUE"""),4900)</f>
        <v>4900</v>
      </c>
      <c r="D1278" s="2">
        <f ca="1">IFERROR(__xludf.DUMMYFUNCTION("""COMPUTED_VALUE"""),4610)</f>
        <v>4610</v>
      </c>
      <c r="E1278" s="2">
        <f ca="1">IFERROR(__xludf.DUMMYFUNCTION("""COMPUTED_VALUE"""),4670)</f>
        <v>4670</v>
      </c>
      <c r="F1278" s="2">
        <f ca="1">IFERROR(__xludf.DUMMYFUNCTION("""COMPUTED_VALUE"""),81785400)</f>
        <v>81785400</v>
      </c>
    </row>
    <row r="1279" spans="1:6">
      <c r="A1279" s="1">
        <f ca="1">IFERROR(__xludf.DUMMYFUNCTION("""COMPUTED_VALUE"""),43934.625)</f>
        <v>43934.625</v>
      </c>
      <c r="B1279" s="2">
        <f ca="1">IFERROR(__xludf.DUMMYFUNCTION("""COMPUTED_VALUE"""),4680)</f>
        <v>4680</v>
      </c>
      <c r="C1279" s="2">
        <f ca="1">IFERROR(__xludf.DUMMYFUNCTION("""COMPUTED_VALUE"""),4680)</f>
        <v>4680</v>
      </c>
      <c r="D1279" s="2">
        <f ca="1">IFERROR(__xludf.DUMMYFUNCTION("""COMPUTED_VALUE"""),4470)</f>
        <v>4470</v>
      </c>
      <c r="E1279" s="2">
        <f ca="1">IFERROR(__xludf.DUMMYFUNCTION("""COMPUTED_VALUE"""),4470)</f>
        <v>4470</v>
      </c>
      <c r="F1279" s="2">
        <f ca="1">IFERROR(__xludf.DUMMYFUNCTION("""COMPUTED_VALUE"""),57665500)</f>
        <v>57665500</v>
      </c>
    </row>
    <row r="1280" spans="1:6">
      <c r="A1280" s="1">
        <f ca="1">IFERROR(__xludf.DUMMYFUNCTION("""COMPUTED_VALUE"""),43935.625)</f>
        <v>43935.625</v>
      </c>
      <c r="B1280" s="2">
        <f ca="1">IFERROR(__xludf.DUMMYFUNCTION("""COMPUTED_VALUE"""),4480)</f>
        <v>4480</v>
      </c>
      <c r="C1280" s="2">
        <f ca="1">IFERROR(__xludf.DUMMYFUNCTION("""COMPUTED_VALUE"""),4640)</f>
        <v>4640</v>
      </c>
      <c r="D1280" s="2">
        <f ca="1">IFERROR(__xludf.DUMMYFUNCTION("""COMPUTED_VALUE"""),4400)</f>
        <v>4400</v>
      </c>
      <c r="E1280" s="2">
        <f ca="1">IFERROR(__xludf.DUMMYFUNCTION("""COMPUTED_VALUE"""),4570)</f>
        <v>4570</v>
      </c>
      <c r="F1280" s="2">
        <f ca="1">IFERROR(__xludf.DUMMYFUNCTION("""COMPUTED_VALUE"""),66424000)</f>
        <v>66424000</v>
      </c>
    </row>
    <row r="1281" spans="1:6">
      <c r="A1281" s="1">
        <f ca="1">IFERROR(__xludf.DUMMYFUNCTION("""COMPUTED_VALUE"""),43936.625)</f>
        <v>43936.625</v>
      </c>
      <c r="B1281" s="2">
        <f ca="1">IFERROR(__xludf.DUMMYFUNCTION("""COMPUTED_VALUE"""),4640)</f>
        <v>4640</v>
      </c>
      <c r="C1281" s="2">
        <f ca="1">IFERROR(__xludf.DUMMYFUNCTION("""COMPUTED_VALUE"""),4690)</f>
        <v>4690</v>
      </c>
      <c r="D1281" s="2">
        <f ca="1">IFERROR(__xludf.DUMMYFUNCTION("""COMPUTED_VALUE"""),4400)</f>
        <v>4400</v>
      </c>
      <c r="E1281" s="2">
        <f ca="1">IFERROR(__xludf.DUMMYFUNCTION("""COMPUTED_VALUE"""),4400)</f>
        <v>4400</v>
      </c>
      <c r="F1281" s="2">
        <f ca="1">IFERROR(__xludf.DUMMYFUNCTION("""COMPUTED_VALUE"""),62330500)</f>
        <v>62330500</v>
      </c>
    </row>
    <row r="1282" spans="1:6">
      <c r="A1282" s="1">
        <f ca="1">IFERROR(__xludf.DUMMYFUNCTION("""COMPUTED_VALUE"""),43937.625)</f>
        <v>43937.625</v>
      </c>
      <c r="B1282" s="2">
        <f ca="1">IFERROR(__xludf.DUMMYFUNCTION("""COMPUTED_VALUE"""),4400)</f>
        <v>4400</v>
      </c>
      <c r="C1282" s="2">
        <f ca="1">IFERROR(__xludf.DUMMYFUNCTION("""COMPUTED_VALUE"""),4400)</f>
        <v>4400</v>
      </c>
      <c r="D1282" s="2">
        <f ca="1">IFERROR(__xludf.DUMMYFUNCTION("""COMPUTED_VALUE"""),4150)</f>
        <v>4150</v>
      </c>
      <c r="E1282" s="2">
        <f ca="1">IFERROR(__xludf.DUMMYFUNCTION("""COMPUTED_VALUE"""),4210)</f>
        <v>4210</v>
      </c>
      <c r="F1282" s="2">
        <f ca="1">IFERROR(__xludf.DUMMYFUNCTION("""COMPUTED_VALUE"""),107612000)</f>
        <v>107612000</v>
      </c>
    </row>
    <row r="1283" spans="1:6">
      <c r="A1283" s="1">
        <f ca="1">IFERROR(__xludf.DUMMYFUNCTION("""COMPUTED_VALUE"""),43938.625)</f>
        <v>43938.625</v>
      </c>
      <c r="B1283" s="2">
        <f ca="1">IFERROR(__xludf.DUMMYFUNCTION("""COMPUTED_VALUE"""),4220)</f>
        <v>4220</v>
      </c>
      <c r="C1283" s="2">
        <f ca="1">IFERROR(__xludf.DUMMYFUNCTION("""COMPUTED_VALUE"""),4420)</f>
        <v>4420</v>
      </c>
      <c r="D1283" s="2">
        <f ca="1">IFERROR(__xludf.DUMMYFUNCTION("""COMPUTED_VALUE"""),4220)</f>
        <v>4220</v>
      </c>
      <c r="E1283" s="2">
        <f ca="1">IFERROR(__xludf.DUMMYFUNCTION("""COMPUTED_VALUE"""),4380)</f>
        <v>4380</v>
      </c>
      <c r="F1283" s="2">
        <f ca="1">IFERROR(__xludf.DUMMYFUNCTION("""COMPUTED_VALUE"""),81703800)</f>
        <v>81703800</v>
      </c>
    </row>
    <row r="1284" spans="1:6">
      <c r="A1284" s="1">
        <f ca="1">IFERROR(__xludf.DUMMYFUNCTION("""COMPUTED_VALUE"""),43941.625)</f>
        <v>43941.625</v>
      </c>
      <c r="B1284" s="2">
        <f ca="1">IFERROR(__xludf.DUMMYFUNCTION("""COMPUTED_VALUE"""),4450)</f>
        <v>4450</v>
      </c>
      <c r="C1284" s="2">
        <f ca="1">IFERROR(__xludf.DUMMYFUNCTION("""COMPUTED_VALUE"""),4530)</f>
        <v>4530</v>
      </c>
      <c r="D1284" s="2">
        <f ca="1">IFERROR(__xludf.DUMMYFUNCTION("""COMPUTED_VALUE"""),4270)</f>
        <v>4270</v>
      </c>
      <c r="E1284" s="2">
        <f ca="1">IFERROR(__xludf.DUMMYFUNCTION("""COMPUTED_VALUE"""),4370)</f>
        <v>4370</v>
      </c>
      <c r="F1284" s="2">
        <f ca="1">IFERROR(__xludf.DUMMYFUNCTION("""COMPUTED_VALUE"""),60336000)</f>
        <v>60336000</v>
      </c>
    </row>
    <row r="1285" spans="1:6">
      <c r="A1285" s="1">
        <f ca="1">IFERROR(__xludf.DUMMYFUNCTION("""COMPUTED_VALUE"""),43942.625)</f>
        <v>43942.625</v>
      </c>
      <c r="B1285" s="2">
        <f ca="1">IFERROR(__xludf.DUMMYFUNCTION("""COMPUTED_VALUE"""),4370)</f>
        <v>4370</v>
      </c>
      <c r="C1285" s="2">
        <f ca="1">IFERROR(__xludf.DUMMYFUNCTION("""COMPUTED_VALUE"""),4410)</f>
        <v>4410</v>
      </c>
      <c r="D1285" s="2">
        <f ca="1">IFERROR(__xludf.DUMMYFUNCTION("""COMPUTED_VALUE"""),4250)</f>
        <v>4250</v>
      </c>
      <c r="E1285" s="2">
        <f ca="1">IFERROR(__xludf.DUMMYFUNCTION("""COMPUTED_VALUE"""),4350)</f>
        <v>4350</v>
      </c>
      <c r="F1285" s="2">
        <f ca="1">IFERROR(__xludf.DUMMYFUNCTION("""COMPUTED_VALUE"""),46101600)</f>
        <v>46101600</v>
      </c>
    </row>
    <row r="1286" spans="1:6">
      <c r="A1286" s="1">
        <f ca="1">IFERROR(__xludf.DUMMYFUNCTION("""COMPUTED_VALUE"""),43943.625)</f>
        <v>43943.625</v>
      </c>
      <c r="B1286" s="2">
        <f ca="1">IFERROR(__xludf.DUMMYFUNCTION("""COMPUTED_VALUE"""),4330)</f>
        <v>4330</v>
      </c>
      <c r="C1286" s="2">
        <f ca="1">IFERROR(__xludf.DUMMYFUNCTION("""COMPUTED_VALUE"""),4500)</f>
        <v>4500</v>
      </c>
      <c r="D1286" s="2">
        <f ca="1">IFERROR(__xludf.DUMMYFUNCTION("""COMPUTED_VALUE"""),4250)</f>
        <v>4250</v>
      </c>
      <c r="E1286" s="2">
        <f ca="1">IFERROR(__xludf.DUMMYFUNCTION("""COMPUTED_VALUE"""),4490)</f>
        <v>4490</v>
      </c>
      <c r="F1286" s="2">
        <f ca="1">IFERROR(__xludf.DUMMYFUNCTION("""COMPUTED_VALUE"""),63393400)</f>
        <v>63393400</v>
      </c>
    </row>
    <row r="1287" spans="1:6">
      <c r="A1287" s="1">
        <f ca="1">IFERROR(__xludf.DUMMYFUNCTION("""COMPUTED_VALUE"""),43944.625)</f>
        <v>43944.625</v>
      </c>
      <c r="B1287" s="2">
        <f ca="1">IFERROR(__xludf.DUMMYFUNCTION("""COMPUTED_VALUE"""),4490)</f>
        <v>4490</v>
      </c>
      <c r="C1287" s="2">
        <f ca="1">IFERROR(__xludf.DUMMYFUNCTION("""COMPUTED_VALUE"""),4570)</f>
        <v>4570</v>
      </c>
      <c r="D1287" s="2">
        <f ca="1">IFERROR(__xludf.DUMMYFUNCTION("""COMPUTED_VALUE"""),4480)</f>
        <v>4480</v>
      </c>
      <c r="E1287" s="2">
        <f ca="1">IFERROR(__xludf.DUMMYFUNCTION("""COMPUTED_VALUE"""),4500)</f>
        <v>4500</v>
      </c>
      <c r="F1287" s="2">
        <f ca="1">IFERROR(__xludf.DUMMYFUNCTION("""COMPUTED_VALUE"""),57668200)</f>
        <v>57668200</v>
      </c>
    </row>
    <row r="1288" spans="1:6">
      <c r="A1288" s="1">
        <f ca="1">IFERROR(__xludf.DUMMYFUNCTION("""COMPUTED_VALUE"""),43945.625)</f>
        <v>43945.625</v>
      </c>
      <c r="B1288" s="2">
        <f ca="1">IFERROR(__xludf.DUMMYFUNCTION("""COMPUTED_VALUE"""),4500)</f>
        <v>4500</v>
      </c>
      <c r="C1288" s="2">
        <f ca="1">IFERROR(__xludf.DUMMYFUNCTION("""COMPUTED_VALUE"""),4500)</f>
        <v>4500</v>
      </c>
      <c r="D1288" s="2">
        <f ca="1">IFERROR(__xludf.DUMMYFUNCTION("""COMPUTED_VALUE"""),4280)</f>
        <v>4280</v>
      </c>
      <c r="E1288" s="2">
        <f ca="1">IFERROR(__xludf.DUMMYFUNCTION("""COMPUTED_VALUE"""),4280)</f>
        <v>4280</v>
      </c>
      <c r="F1288" s="2">
        <f ca="1">IFERROR(__xludf.DUMMYFUNCTION("""COMPUTED_VALUE"""),65815700)</f>
        <v>65815700</v>
      </c>
    </row>
    <row r="1289" spans="1:6">
      <c r="A1289" s="1">
        <f ca="1">IFERROR(__xludf.DUMMYFUNCTION("""COMPUTED_VALUE"""),43948.625)</f>
        <v>43948.625</v>
      </c>
      <c r="B1289" s="2">
        <f ca="1">IFERROR(__xludf.DUMMYFUNCTION("""COMPUTED_VALUE"""),4310)</f>
        <v>4310</v>
      </c>
      <c r="C1289" s="2">
        <f ca="1">IFERROR(__xludf.DUMMYFUNCTION("""COMPUTED_VALUE"""),4350)</f>
        <v>4350</v>
      </c>
      <c r="D1289" s="2">
        <f ca="1">IFERROR(__xludf.DUMMYFUNCTION("""COMPUTED_VALUE"""),4090)</f>
        <v>4090</v>
      </c>
      <c r="E1289" s="2">
        <f ca="1">IFERROR(__xludf.DUMMYFUNCTION("""COMPUTED_VALUE"""),4150)</f>
        <v>4150</v>
      </c>
      <c r="F1289" s="2">
        <f ca="1">IFERROR(__xludf.DUMMYFUNCTION("""COMPUTED_VALUE"""),102691300)</f>
        <v>102691300</v>
      </c>
    </row>
    <row r="1290" spans="1:6">
      <c r="A1290" s="1">
        <f ca="1">IFERROR(__xludf.DUMMYFUNCTION("""COMPUTED_VALUE"""),43949.625)</f>
        <v>43949.625</v>
      </c>
      <c r="B1290" s="2">
        <f ca="1">IFERROR(__xludf.DUMMYFUNCTION("""COMPUTED_VALUE"""),4190)</f>
        <v>4190</v>
      </c>
      <c r="C1290" s="2">
        <f ca="1">IFERROR(__xludf.DUMMYFUNCTION("""COMPUTED_VALUE"""),4240)</f>
        <v>4240</v>
      </c>
      <c r="D1290" s="2">
        <f ca="1">IFERROR(__xludf.DUMMYFUNCTION("""COMPUTED_VALUE"""),4070)</f>
        <v>4070</v>
      </c>
      <c r="E1290" s="2">
        <f ca="1">IFERROR(__xludf.DUMMYFUNCTION("""COMPUTED_VALUE"""),4150)</f>
        <v>4150</v>
      </c>
      <c r="F1290" s="2">
        <f ca="1">IFERROR(__xludf.DUMMYFUNCTION("""COMPUTED_VALUE"""),78685300)</f>
        <v>78685300</v>
      </c>
    </row>
    <row r="1291" spans="1:6">
      <c r="A1291" s="1">
        <f ca="1">IFERROR(__xludf.DUMMYFUNCTION("""COMPUTED_VALUE"""),43950.625)</f>
        <v>43950.625</v>
      </c>
      <c r="B1291" s="2">
        <f ca="1">IFERROR(__xludf.DUMMYFUNCTION("""COMPUTED_VALUE"""),4200)</f>
        <v>4200</v>
      </c>
      <c r="C1291" s="2">
        <f ca="1">IFERROR(__xludf.DUMMYFUNCTION("""COMPUTED_VALUE"""),4220)</f>
        <v>4220</v>
      </c>
      <c r="D1291" s="2">
        <f ca="1">IFERROR(__xludf.DUMMYFUNCTION("""COMPUTED_VALUE"""),4000)</f>
        <v>4000</v>
      </c>
      <c r="E1291" s="2">
        <f ca="1">IFERROR(__xludf.DUMMYFUNCTION("""COMPUTED_VALUE"""),4000)</f>
        <v>4000</v>
      </c>
      <c r="F1291" s="2">
        <f ca="1">IFERROR(__xludf.DUMMYFUNCTION("""COMPUTED_VALUE"""),96325100)</f>
        <v>96325100</v>
      </c>
    </row>
    <row r="1292" spans="1:6">
      <c r="A1292" s="1">
        <f ca="1">IFERROR(__xludf.DUMMYFUNCTION("""COMPUTED_VALUE"""),43951.625)</f>
        <v>43951.625</v>
      </c>
      <c r="B1292" s="2">
        <f ca="1">IFERROR(__xludf.DUMMYFUNCTION("""COMPUTED_VALUE"""),4070)</f>
        <v>4070</v>
      </c>
      <c r="C1292" s="2">
        <f ca="1">IFERROR(__xludf.DUMMYFUNCTION("""COMPUTED_VALUE"""),4480)</f>
        <v>4480</v>
      </c>
      <c r="D1292" s="2">
        <f ca="1">IFERROR(__xludf.DUMMYFUNCTION("""COMPUTED_VALUE"""),4060)</f>
        <v>4060</v>
      </c>
      <c r="E1292" s="2">
        <f ca="1">IFERROR(__xludf.DUMMYFUNCTION("""COMPUTED_VALUE"""),4460)</f>
        <v>4460</v>
      </c>
      <c r="F1292" s="2">
        <f ca="1">IFERROR(__xludf.DUMMYFUNCTION("""COMPUTED_VALUE"""),114754800)</f>
        <v>114754800</v>
      </c>
    </row>
    <row r="1293" spans="1:6">
      <c r="A1293" s="1">
        <f ca="1">IFERROR(__xludf.DUMMYFUNCTION("""COMPUTED_VALUE"""),43955.625)</f>
        <v>43955.625</v>
      </c>
      <c r="B1293" s="2">
        <f ca="1">IFERROR(__xludf.DUMMYFUNCTION("""COMPUTED_VALUE"""),4460)</f>
        <v>4460</v>
      </c>
      <c r="C1293" s="2">
        <f ca="1">IFERROR(__xludf.DUMMYFUNCTION("""COMPUTED_VALUE"""),4460)</f>
        <v>4460</v>
      </c>
      <c r="D1293" s="2">
        <f ca="1">IFERROR(__xludf.DUMMYFUNCTION("""COMPUTED_VALUE"""),4240)</f>
        <v>4240</v>
      </c>
      <c r="E1293" s="2">
        <f ca="1">IFERROR(__xludf.DUMMYFUNCTION("""COMPUTED_VALUE"""),4290)</f>
        <v>4290</v>
      </c>
      <c r="F1293" s="2">
        <f ca="1">IFERROR(__xludf.DUMMYFUNCTION("""COMPUTED_VALUE"""),40286300)</f>
        <v>40286300</v>
      </c>
    </row>
    <row r="1294" spans="1:6">
      <c r="A1294" s="1">
        <f ca="1">IFERROR(__xludf.DUMMYFUNCTION("""COMPUTED_VALUE"""),43956.625)</f>
        <v>43956.625</v>
      </c>
      <c r="B1294" s="2">
        <f ca="1">IFERROR(__xludf.DUMMYFUNCTION("""COMPUTED_VALUE"""),4300)</f>
        <v>4300</v>
      </c>
      <c r="C1294" s="2">
        <f ca="1">IFERROR(__xludf.DUMMYFUNCTION("""COMPUTED_VALUE"""),4400)</f>
        <v>4400</v>
      </c>
      <c r="D1294" s="2">
        <f ca="1">IFERROR(__xludf.DUMMYFUNCTION("""COMPUTED_VALUE"""),4160)</f>
        <v>4160</v>
      </c>
      <c r="E1294" s="2">
        <f ca="1">IFERROR(__xludf.DUMMYFUNCTION("""COMPUTED_VALUE"""),4220)</f>
        <v>4220</v>
      </c>
      <c r="F1294" s="2">
        <f ca="1">IFERROR(__xludf.DUMMYFUNCTION("""COMPUTED_VALUE"""),92641200)</f>
        <v>92641200</v>
      </c>
    </row>
    <row r="1295" spans="1:6">
      <c r="A1295" s="1">
        <f ca="1">IFERROR(__xludf.DUMMYFUNCTION("""COMPUTED_VALUE"""),43957.625)</f>
        <v>43957.625</v>
      </c>
      <c r="B1295" s="2">
        <f ca="1">IFERROR(__xludf.DUMMYFUNCTION("""COMPUTED_VALUE"""),4250)</f>
        <v>4250</v>
      </c>
      <c r="C1295" s="2">
        <f ca="1">IFERROR(__xludf.DUMMYFUNCTION("""COMPUTED_VALUE"""),4260)</f>
        <v>4260</v>
      </c>
      <c r="D1295" s="2">
        <f ca="1">IFERROR(__xludf.DUMMYFUNCTION("""COMPUTED_VALUE"""),4160)</f>
        <v>4160</v>
      </c>
      <c r="E1295" s="2">
        <f ca="1">IFERROR(__xludf.DUMMYFUNCTION("""COMPUTED_VALUE"""),4160)</f>
        <v>4160</v>
      </c>
      <c r="F1295" s="2">
        <f ca="1">IFERROR(__xludf.DUMMYFUNCTION("""COMPUTED_VALUE"""),69366500)</f>
        <v>69366500</v>
      </c>
    </row>
    <row r="1296" spans="1:6">
      <c r="A1296" s="1">
        <f ca="1">IFERROR(__xludf.DUMMYFUNCTION("""COMPUTED_VALUE"""),43959.625)</f>
        <v>43959.625</v>
      </c>
      <c r="B1296" s="2">
        <f ca="1">IFERROR(__xludf.DUMMYFUNCTION("""COMPUTED_VALUE"""),4200)</f>
        <v>4200</v>
      </c>
      <c r="C1296" s="2">
        <f ca="1">IFERROR(__xludf.DUMMYFUNCTION("""COMPUTED_VALUE"""),4310)</f>
        <v>4310</v>
      </c>
      <c r="D1296" s="2">
        <f ca="1">IFERROR(__xludf.DUMMYFUNCTION("""COMPUTED_VALUE"""),4180)</f>
        <v>4180</v>
      </c>
      <c r="E1296" s="2">
        <f ca="1">IFERROR(__xludf.DUMMYFUNCTION("""COMPUTED_VALUE"""),4200)</f>
        <v>4200</v>
      </c>
      <c r="F1296" s="2">
        <f ca="1">IFERROR(__xludf.DUMMYFUNCTION("""COMPUTED_VALUE"""),63741100)</f>
        <v>63741100</v>
      </c>
    </row>
    <row r="1297" spans="1:6">
      <c r="A1297" s="1">
        <f ca="1">IFERROR(__xludf.DUMMYFUNCTION("""COMPUTED_VALUE"""),43962.625)</f>
        <v>43962.625</v>
      </c>
      <c r="B1297" s="2">
        <f ca="1">IFERROR(__xludf.DUMMYFUNCTION("""COMPUTED_VALUE"""),4280)</f>
        <v>4280</v>
      </c>
      <c r="C1297" s="2">
        <f ca="1">IFERROR(__xludf.DUMMYFUNCTION("""COMPUTED_VALUE"""),4280)</f>
        <v>4280</v>
      </c>
      <c r="D1297" s="2">
        <f ca="1">IFERROR(__xludf.DUMMYFUNCTION("""COMPUTED_VALUE"""),4190)</f>
        <v>4190</v>
      </c>
      <c r="E1297" s="2">
        <f ca="1">IFERROR(__xludf.DUMMYFUNCTION("""COMPUTED_VALUE"""),4230)</f>
        <v>4230</v>
      </c>
      <c r="F1297" s="2">
        <f ca="1">IFERROR(__xludf.DUMMYFUNCTION("""COMPUTED_VALUE"""),41776100)</f>
        <v>41776100</v>
      </c>
    </row>
    <row r="1298" spans="1:6">
      <c r="A1298" s="1">
        <f ca="1">IFERROR(__xludf.DUMMYFUNCTION("""COMPUTED_VALUE"""),43963.625)</f>
        <v>43963.625</v>
      </c>
      <c r="B1298" s="2">
        <f ca="1">IFERROR(__xludf.DUMMYFUNCTION("""COMPUTED_VALUE"""),4230)</f>
        <v>4230</v>
      </c>
      <c r="C1298" s="2">
        <f ca="1">IFERROR(__xludf.DUMMYFUNCTION("""COMPUTED_VALUE"""),4230)</f>
        <v>4230</v>
      </c>
      <c r="D1298" s="2">
        <f ca="1">IFERROR(__xludf.DUMMYFUNCTION("""COMPUTED_VALUE"""),4000)</f>
        <v>4000</v>
      </c>
      <c r="E1298" s="2">
        <f ca="1">IFERROR(__xludf.DUMMYFUNCTION("""COMPUTED_VALUE"""),4010)</f>
        <v>4010</v>
      </c>
      <c r="F1298" s="2">
        <f ca="1">IFERROR(__xludf.DUMMYFUNCTION("""COMPUTED_VALUE"""),94289000)</f>
        <v>94289000</v>
      </c>
    </row>
    <row r="1299" spans="1:6">
      <c r="A1299" s="1">
        <f ca="1">IFERROR(__xludf.DUMMYFUNCTION("""COMPUTED_VALUE"""),43964.625)</f>
        <v>43964.625</v>
      </c>
      <c r="B1299" s="2">
        <f ca="1">IFERROR(__xludf.DUMMYFUNCTION("""COMPUTED_VALUE"""),3990)</f>
        <v>3990</v>
      </c>
      <c r="C1299" s="2">
        <f ca="1">IFERROR(__xludf.DUMMYFUNCTION("""COMPUTED_VALUE"""),4050)</f>
        <v>4050</v>
      </c>
      <c r="D1299" s="2">
        <f ca="1">IFERROR(__xludf.DUMMYFUNCTION("""COMPUTED_VALUE"""),3900)</f>
        <v>3900</v>
      </c>
      <c r="E1299" s="2">
        <f ca="1">IFERROR(__xludf.DUMMYFUNCTION("""COMPUTED_VALUE"""),4010)</f>
        <v>4010</v>
      </c>
      <c r="F1299" s="2">
        <f ca="1">IFERROR(__xludf.DUMMYFUNCTION("""COMPUTED_VALUE"""),67410800)</f>
        <v>67410800</v>
      </c>
    </row>
    <row r="1300" spans="1:6">
      <c r="A1300" s="1">
        <f ca="1">IFERROR(__xludf.DUMMYFUNCTION("""COMPUTED_VALUE"""),43965.625)</f>
        <v>43965.625</v>
      </c>
      <c r="B1300" s="2">
        <f ca="1">IFERROR(__xludf.DUMMYFUNCTION("""COMPUTED_VALUE"""),3970)</f>
        <v>3970</v>
      </c>
      <c r="C1300" s="2">
        <f ca="1">IFERROR(__xludf.DUMMYFUNCTION("""COMPUTED_VALUE"""),4010)</f>
        <v>4010</v>
      </c>
      <c r="D1300" s="2">
        <f ca="1">IFERROR(__xludf.DUMMYFUNCTION("""COMPUTED_VALUE"""),3900)</f>
        <v>3900</v>
      </c>
      <c r="E1300" s="2">
        <f ca="1">IFERROR(__xludf.DUMMYFUNCTION("""COMPUTED_VALUE"""),3950)</f>
        <v>3950</v>
      </c>
      <c r="F1300" s="2">
        <f ca="1">IFERROR(__xludf.DUMMYFUNCTION("""COMPUTED_VALUE"""),70694400)</f>
        <v>70694400</v>
      </c>
    </row>
    <row r="1301" spans="1:6">
      <c r="A1301" s="1">
        <f ca="1">IFERROR(__xludf.DUMMYFUNCTION("""COMPUTED_VALUE"""),43966.625)</f>
        <v>43966.625</v>
      </c>
      <c r="B1301" s="2">
        <f ca="1">IFERROR(__xludf.DUMMYFUNCTION("""COMPUTED_VALUE"""),3950)</f>
        <v>3950</v>
      </c>
      <c r="C1301" s="2">
        <f ca="1">IFERROR(__xludf.DUMMYFUNCTION("""COMPUTED_VALUE"""),3990)</f>
        <v>3990</v>
      </c>
      <c r="D1301" s="2">
        <f ca="1">IFERROR(__xludf.DUMMYFUNCTION("""COMPUTED_VALUE"""),3680)</f>
        <v>3680</v>
      </c>
      <c r="E1301" s="2">
        <f ca="1">IFERROR(__xludf.DUMMYFUNCTION("""COMPUTED_VALUE"""),3760)</f>
        <v>3760</v>
      </c>
      <c r="F1301" s="2">
        <f ca="1">IFERROR(__xludf.DUMMYFUNCTION("""COMPUTED_VALUE"""),113617100)</f>
        <v>113617100</v>
      </c>
    </row>
    <row r="1302" spans="1:6">
      <c r="A1302" s="1">
        <f ca="1">IFERROR(__xludf.DUMMYFUNCTION("""COMPUTED_VALUE"""),43969.625)</f>
        <v>43969.625</v>
      </c>
      <c r="B1302" s="2">
        <f ca="1">IFERROR(__xludf.DUMMYFUNCTION("""COMPUTED_VALUE"""),3800)</f>
        <v>3800</v>
      </c>
      <c r="C1302" s="2">
        <f ca="1">IFERROR(__xludf.DUMMYFUNCTION("""COMPUTED_VALUE"""),3800)</f>
        <v>3800</v>
      </c>
      <c r="D1302" s="2">
        <f ca="1">IFERROR(__xludf.DUMMYFUNCTION("""COMPUTED_VALUE"""),3660)</f>
        <v>3660</v>
      </c>
      <c r="E1302" s="2">
        <f ca="1">IFERROR(__xludf.DUMMYFUNCTION("""COMPUTED_VALUE"""),3720)</f>
        <v>3720</v>
      </c>
      <c r="F1302" s="2">
        <f ca="1">IFERROR(__xludf.DUMMYFUNCTION("""COMPUTED_VALUE"""),79355300)</f>
        <v>79355300</v>
      </c>
    </row>
    <row r="1303" spans="1:6">
      <c r="A1303" s="1">
        <f ca="1">IFERROR(__xludf.DUMMYFUNCTION("""COMPUTED_VALUE"""),43970.625)</f>
        <v>43970.625</v>
      </c>
      <c r="B1303" s="2">
        <f ca="1">IFERROR(__xludf.DUMMYFUNCTION("""COMPUTED_VALUE"""),3760)</f>
        <v>3760</v>
      </c>
      <c r="C1303" s="2">
        <f ca="1">IFERROR(__xludf.DUMMYFUNCTION("""COMPUTED_VALUE"""),4000)</f>
        <v>4000</v>
      </c>
      <c r="D1303" s="2">
        <f ca="1">IFERROR(__xludf.DUMMYFUNCTION("""COMPUTED_VALUE"""),3760)</f>
        <v>3760</v>
      </c>
      <c r="E1303" s="2">
        <f ca="1">IFERROR(__xludf.DUMMYFUNCTION("""COMPUTED_VALUE"""),3860)</f>
        <v>3860</v>
      </c>
      <c r="F1303" s="2">
        <f ca="1">IFERROR(__xludf.DUMMYFUNCTION("""COMPUTED_VALUE"""),99827500)</f>
        <v>99827500</v>
      </c>
    </row>
    <row r="1304" spans="1:6">
      <c r="A1304" s="1">
        <f ca="1">IFERROR(__xludf.DUMMYFUNCTION("""COMPUTED_VALUE"""),43971.625)</f>
        <v>43971.625</v>
      </c>
      <c r="B1304" s="2">
        <f ca="1">IFERROR(__xludf.DUMMYFUNCTION("""COMPUTED_VALUE"""),3850)</f>
        <v>3850</v>
      </c>
      <c r="C1304" s="2">
        <f ca="1">IFERROR(__xludf.DUMMYFUNCTION("""COMPUTED_VALUE"""),4120)</f>
        <v>4120</v>
      </c>
      <c r="D1304" s="2">
        <f ca="1">IFERROR(__xludf.DUMMYFUNCTION("""COMPUTED_VALUE"""),3830)</f>
        <v>3830</v>
      </c>
      <c r="E1304" s="2">
        <f ca="1">IFERROR(__xludf.DUMMYFUNCTION("""COMPUTED_VALUE"""),4070)</f>
        <v>4070</v>
      </c>
      <c r="F1304" s="2">
        <f ca="1">IFERROR(__xludf.DUMMYFUNCTION("""COMPUTED_VALUE"""),118822200)</f>
        <v>118822200</v>
      </c>
    </row>
    <row r="1305" spans="1:6">
      <c r="A1305" s="1">
        <f ca="1">IFERROR(__xludf.DUMMYFUNCTION("""COMPUTED_VALUE"""),43977.625)</f>
        <v>43977.625</v>
      </c>
      <c r="B1305" s="2">
        <f ca="1">IFERROR(__xludf.DUMMYFUNCTION("""COMPUTED_VALUE"""),4130)</f>
        <v>4130</v>
      </c>
      <c r="C1305" s="2">
        <f ca="1">IFERROR(__xludf.DUMMYFUNCTION("""COMPUTED_VALUE"""),4160)</f>
        <v>4160</v>
      </c>
      <c r="D1305" s="2">
        <f ca="1">IFERROR(__xludf.DUMMYFUNCTION("""COMPUTED_VALUE"""),4060)</f>
        <v>4060</v>
      </c>
      <c r="E1305" s="2">
        <f ca="1">IFERROR(__xludf.DUMMYFUNCTION("""COMPUTED_VALUE"""),4100)</f>
        <v>4100</v>
      </c>
      <c r="F1305" s="2">
        <f ca="1">IFERROR(__xludf.DUMMYFUNCTION("""COMPUTED_VALUE"""),90272500)</f>
        <v>90272500</v>
      </c>
    </row>
    <row r="1306" spans="1:6">
      <c r="A1306" s="1">
        <f ca="1">IFERROR(__xludf.DUMMYFUNCTION("""COMPUTED_VALUE"""),43978.625)</f>
        <v>43978.625</v>
      </c>
      <c r="B1306" s="2">
        <f ca="1">IFERROR(__xludf.DUMMYFUNCTION("""COMPUTED_VALUE"""),4150)</f>
        <v>4150</v>
      </c>
      <c r="C1306" s="2">
        <f ca="1">IFERROR(__xludf.DUMMYFUNCTION("""COMPUTED_VALUE"""),4200)</f>
        <v>4200</v>
      </c>
      <c r="D1306" s="2">
        <f ca="1">IFERROR(__xludf.DUMMYFUNCTION("""COMPUTED_VALUE"""),4010)</f>
        <v>4010</v>
      </c>
      <c r="E1306" s="2">
        <f ca="1">IFERROR(__xludf.DUMMYFUNCTION("""COMPUTED_VALUE"""),4110)</f>
        <v>4110</v>
      </c>
      <c r="F1306" s="2">
        <f ca="1">IFERROR(__xludf.DUMMYFUNCTION("""COMPUTED_VALUE"""),62164800)</f>
        <v>62164800</v>
      </c>
    </row>
    <row r="1307" spans="1:6">
      <c r="A1307" s="1">
        <f ca="1">IFERROR(__xludf.DUMMYFUNCTION("""COMPUTED_VALUE"""),43979.625)</f>
        <v>43979.625</v>
      </c>
      <c r="B1307" s="2">
        <f ca="1">IFERROR(__xludf.DUMMYFUNCTION("""COMPUTED_VALUE"""),4150)</f>
        <v>4150</v>
      </c>
      <c r="C1307" s="2">
        <f ca="1">IFERROR(__xludf.DUMMYFUNCTION("""COMPUTED_VALUE"""),4340)</f>
        <v>4340</v>
      </c>
      <c r="D1307" s="2">
        <f ca="1">IFERROR(__xludf.DUMMYFUNCTION("""COMPUTED_VALUE"""),4150)</f>
        <v>4150</v>
      </c>
      <c r="E1307" s="2">
        <f ca="1">IFERROR(__xludf.DUMMYFUNCTION("""COMPUTED_VALUE"""),4290)</f>
        <v>4290</v>
      </c>
      <c r="F1307" s="2">
        <f ca="1">IFERROR(__xludf.DUMMYFUNCTION("""COMPUTED_VALUE"""),132730100)</f>
        <v>132730100</v>
      </c>
    </row>
    <row r="1308" spans="1:6">
      <c r="A1308" s="1">
        <f ca="1">IFERROR(__xludf.DUMMYFUNCTION("""COMPUTED_VALUE"""),43980.625)</f>
        <v>43980.625</v>
      </c>
      <c r="B1308" s="2">
        <f ca="1">IFERROR(__xludf.DUMMYFUNCTION("""COMPUTED_VALUE"""),4290)</f>
        <v>4290</v>
      </c>
      <c r="C1308" s="2">
        <f ca="1">IFERROR(__xludf.DUMMYFUNCTION("""COMPUTED_VALUE"""),4490)</f>
        <v>4490</v>
      </c>
      <c r="D1308" s="2">
        <f ca="1">IFERROR(__xludf.DUMMYFUNCTION("""COMPUTED_VALUE"""),4250)</f>
        <v>4250</v>
      </c>
      <c r="E1308" s="2">
        <f ca="1">IFERROR(__xludf.DUMMYFUNCTION("""COMPUTED_VALUE"""),4470)</f>
        <v>4470</v>
      </c>
      <c r="F1308" s="2">
        <f ca="1">IFERROR(__xludf.DUMMYFUNCTION("""COMPUTED_VALUE"""),175273400)</f>
        <v>175273400</v>
      </c>
    </row>
    <row r="1309" spans="1:6">
      <c r="A1309" s="1">
        <f ca="1">IFERROR(__xludf.DUMMYFUNCTION("""COMPUTED_VALUE"""),43984.625)</f>
        <v>43984.625</v>
      </c>
      <c r="B1309" s="2">
        <f ca="1">IFERROR(__xludf.DUMMYFUNCTION("""COMPUTED_VALUE"""),4550)</f>
        <v>4550</v>
      </c>
      <c r="C1309" s="2">
        <f ca="1">IFERROR(__xludf.DUMMYFUNCTION("""COMPUTED_VALUE"""),4990)</f>
        <v>4990</v>
      </c>
      <c r="D1309" s="2">
        <f ca="1">IFERROR(__xludf.DUMMYFUNCTION("""COMPUTED_VALUE"""),4530)</f>
        <v>4530</v>
      </c>
      <c r="E1309" s="2">
        <f ca="1">IFERROR(__xludf.DUMMYFUNCTION("""COMPUTED_VALUE"""),4620)</f>
        <v>4620</v>
      </c>
      <c r="F1309" s="2">
        <f ca="1">IFERROR(__xludf.DUMMYFUNCTION("""COMPUTED_VALUE"""),103817700)</f>
        <v>103817700</v>
      </c>
    </row>
    <row r="1310" spans="1:6">
      <c r="A1310" s="1">
        <f ca="1">IFERROR(__xludf.DUMMYFUNCTION("""COMPUTED_VALUE"""),43985.625)</f>
        <v>43985.625</v>
      </c>
      <c r="B1310" s="2">
        <f ca="1">IFERROR(__xludf.DUMMYFUNCTION("""COMPUTED_VALUE"""),4670)</f>
        <v>4670</v>
      </c>
      <c r="C1310" s="2">
        <f ca="1">IFERROR(__xludf.DUMMYFUNCTION("""COMPUTED_VALUE"""),4950)</f>
        <v>4950</v>
      </c>
      <c r="D1310" s="2">
        <f ca="1">IFERROR(__xludf.DUMMYFUNCTION("""COMPUTED_VALUE"""),4590)</f>
        <v>4590</v>
      </c>
      <c r="E1310" s="2">
        <f ca="1">IFERROR(__xludf.DUMMYFUNCTION("""COMPUTED_VALUE"""),4860)</f>
        <v>4860</v>
      </c>
      <c r="F1310" s="2">
        <f ca="1">IFERROR(__xludf.DUMMYFUNCTION("""COMPUTED_VALUE"""),148303900)</f>
        <v>148303900</v>
      </c>
    </row>
    <row r="1311" spans="1:6">
      <c r="A1311" s="1">
        <f ca="1">IFERROR(__xludf.DUMMYFUNCTION("""COMPUTED_VALUE"""),43986.625)</f>
        <v>43986.625</v>
      </c>
      <c r="B1311" s="2">
        <f ca="1">IFERROR(__xludf.DUMMYFUNCTION("""COMPUTED_VALUE"""),4900)</f>
        <v>4900</v>
      </c>
      <c r="C1311" s="2">
        <f ca="1">IFERROR(__xludf.DUMMYFUNCTION("""COMPUTED_VALUE"""),5000)</f>
        <v>5000</v>
      </c>
      <c r="D1311" s="2">
        <f ca="1">IFERROR(__xludf.DUMMYFUNCTION("""COMPUTED_VALUE"""),4720)</f>
        <v>4720</v>
      </c>
      <c r="E1311" s="2">
        <f ca="1">IFERROR(__xludf.DUMMYFUNCTION("""COMPUTED_VALUE"""),4730)</f>
        <v>4730</v>
      </c>
      <c r="F1311" s="2">
        <f ca="1">IFERROR(__xludf.DUMMYFUNCTION("""COMPUTED_VALUE"""),84918100)</f>
        <v>84918100</v>
      </c>
    </row>
    <row r="1312" spans="1:6">
      <c r="A1312" s="1">
        <f ca="1">IFERROR(__xludf.DUMMYFUNCTION("""COMPUTED_VALUE"""),43987.625)</f>
        <v>43987.625</v>
      </c>
      <c r="B1312" s="2">
        <f ca="1">IFERROR(__xludf.DUMMYFUNCTION("""COMPUTED_VALUE"""),4730)</f>
        <v>4730</v>
      </c>
      <c r="C1312" s="2">
        <f ca="1">IFERROR(__xludf.DUMMYFUNCTION("""COMPUTED_VALUE"""),4870)</f>
        <v>4870</v>
      </c>
      <c r="D1312" s="2">
        <f ca="1">IFERROR(__xludf.DUMMYFUNCTION("""COMPUTED_VALUE"""),4600)</f>
        <v>4600</v>
      </c>
      <c r="E1312" s="2">
        <f ca="1">IFERROR(__xludf.DUMMYFUNCTION("""COMPUTED_VALUE"""),4850)</f>
        <v>4850</v>
      </c>
      <c r="F1312" s="2">
        <f ca="1">IFERROR(__xludf.DUMMYFUNCTION("""COMPUTED_VALUE"""),92695500)</f>
        <v>92695500</v>
      </c>
    </row>
    <row r="1313" spans="1:6">
      <c r="A1313" s="1">
        <f ca="1">IFERROR(__xludf.DUMMYFUNCTION("""COMPUTED_VALUE"""),43990.625)</f>
        <v>43990.625</v>
      </c>
      <c r="B1313" s="2">
        <f ca="1">IFERROR(__xludf.DUMMYFUNCTION("""COMPUTED_VALUE"""),5000)</f>
        <v>5000</v>
      </c>
      <c r="C1313" s="2">
        <f ca="1">IFERROR(__xludf.DUMMYFUNCTION("""COMPUTED_VALUE"""),5325)</f>
        <v>5325</v>
      </c>
      <c r="D1313" s="2">
        <f ca="1">IFERROR(__xludf.DUMMYFUNCTION("""COMPUTED_VALUE"""),4950)</f>
        <v>4950</v>
      </c>
      <c r="E1313" s="2">
        <f ca="1">IFERROR(__xludf.DUMMYFUNCTION("""COMPUTED_VALUE"""),5250)</f>
        <v>5250</v>
      </c>
      <c r="F1313" s="2">
        <f ca="1">IFERROR(__xludf.DUMMYFUNCTION("""COMPUTED_VALUE"""),146302600)</f>
        <v>146302600</v>
      </c>
    </row>
    <row r="1314" spans="1:6">
      <c r="A1314" s="1">
        <f ca="1">IFERROR(__xludf.DUMMYFUNCTION("""COMPUTED_VALUE"""),43991.625)</f>
        <v>43991.625</v>
      </c>
      <c r="B1314" s="2">
        <f ca="1">IFERROR(__xludf.DUMMYFUNCTION("""COMPUTED_VALUE"""),5300)</f>
        <v>5300</v>
      </c>
      <c r="C1314" s="2">
        <f ca="1">IFERROR(__xludf.DUMMYFUNCTION("""COMPUTED_VALUE"""),5450)</f>
        <v>5450</v>
      </c>
      <c r="D1314" s="2">
        <f ca="1">IFERROR(__xludf.DUMMYFUNCTION("""COMPUTED_VALUE"""),5150)</f>
        <v>5150</v>
      </c>
      <c r="E1314" s="2">
        <f ca="1">IFERROR(__xludf.DUMMYFUNCTION("""COMPUTED_VALUE"""),5275)</f>
        <v>5275</v>
      </c>
      <c r="F1314" s="2">
        <f ca="1">IFERROR(__xludf.DUMMYFUNCTION("""COMPUTED_VALUE"""),73706800)</f>
        <v>73706800</v>
      </c>
    </row>
    <row r="1315" spans="1:6">
      <c r="A1315" s="1">
        <f ca="1">IFERROR(__xludf.DUMMYFUNCTION("""COMPUTED_VALUE"""),43992.625)</f>
        <v>43992.625</v>
      </c>
      <c r="B1315" s="2">
        <f ca="1">IFERROR(__xludf.DUMMYFUNCTION("""COMPUTED_VALUE"""),5200)</f>
        <v>5200</v>
      </c>
      <c r="C1315" s="2">
        <f ca="1">IFERROR(__xludf.DUMMYFUNCTION("""COMPUTED_VALUE"""),5225)</f>
        <v>5225</v>
      </c>
      <c r="D1315" s="2">
        <f ca="1">IFERROR(__xludf.DUMMYFUNCTION("""COMPUTED_VALUE"""),4910)</f>
        <v>4910</v>
      </c>
      <c r="E1315" s="2">
        <f ca="1">IFERROR(__xludf.DUMMYFUNCTION("""COMPUTED_VALUE"""),4910)</f>
        <v>4910</v>
      </c>
      <c r="F1315" s="2">
        <f ca="1">IFERROR(__xludf.DUMMYFUNCTION("""COMPUTED_VALUE"""),144822100)</f>
        <v>144822100</v>
      </c>
    </row>
    <row r="1316" spans="1:6">
      <c r="A1316" s="1">
        <f ca="1">IFERROR(__xludf.DUMMYFUNCTION("""COMPUTED_VALUE"""),43993.625)</f>
        <v>43993.625</v>
      </c>
      <c r="B1316" s="2">
        <f ca="1">IFERROR(__xludf.DUMMYFUNCTION("""COMPUTED_VALUE"""),4800)</f>
        <v>4800</v>
      </c>
      <c r="C1316" s="2">
        <f ca="1">IFERROR(__xludf.DUMMYFUNCTION("""COMPUTED_VALUE"""),4870)</f>
        <v>4870</v>
      </c>
      <c r="D1316" s="2">
        <f ca="1">IFERROR(__xludf.DUMMYFUNCTION("""COMPUTED_VALUE"""),4570)</f>
        <v>4570</v>
      </c>
      <c r="E1316" s="2">
        <f ca="1">IFERROR(__xludf.DUMMYFUNCTION("""COMPUTED_VALUE"""),4690)</f>
        <v>4690</v>
      </c>
      <c r="F1316" s="2">
        <f ca="1">IFERROR(__xludf.DUMMYFUNCTION("""COMPUTED_VALUE"""),182391900)</f>
        <v>182391900</v>
      </c>
    </row>
    <row r="1317" spans="1:6">
      <c r="A1317" s="1">
        <f ca="1">IFERROR(__xludf.DUMMYFUNCTION("""COMPUTED_VALUE"""),43994.625)</f>
        <v>43994.625</v>
      </c>
      <c r="B1317" s="2">
        <f ca="1">IFERROR(__xludf.DUMMYFUNCTION("""COMPUTED_VALUE"""),4590)</f>
        <v>4590</v>
      </c>
      <c r="C1317" s="2">
        <f ca="1">IFERROR(__xludf.DUMMYFUNCTION("""COMPUTED_VALUE"""),4900)</f>
        <v>4900</v>
      </c>
      <c r="D1317" s="2">
        <f ca="1">IFERROR(__xludf.DUMMYFUNCTION("""COMPUTED_VALUE"""),4430)</f>
        <v>4430</v>
      </c>
      <c r="E1317" s="2">
        <f ca="1">IFERROR(__xludf.DUMMYFUNCTION("""COMPUTED_VALUE"""),4890)</f>
        <v>4890</v>
      </c>
      <c r="F1317" s="2">
        <f ca="1">IFERROR(__xludf.DUMMYFUNCTION("""COMPUTED_VALUE"""),144979700)</f>
        <v>144979700</v>
      </c>
    </row>
    <row r="1318" spans="1:6">
      <c r="A1318" s="1">
        <f ca="1">IFERROR(__xludf.DUMMYFUNCTION("""COMPUTED_VALUE"""),43997.625)</f>
        <v>43997.625</v>
      </c>
      <c r="B1318" s="2">
        <f ca="1">IFERROR(__xludf.DUMMYFUNCTION("""COMPUTED_VALUE"""),4850)</f>
        <v>4850</v>
      </c>
      <c r="C1318" s="2">
        <f ca="1">IFERROR(__xludf.DUMMYFUNCTION("""COMPUTED_VALUE"""),4910)</f>
        <v>4910</v>
      </c>
      <c r="D1318" s="2">
        <f ca="1">IFERROR(__xludf.DUMMYFUNCTION("""COMPUTED_VALUE"""),4690)</f>
        <v>4690</v>
      </c>
      <c r="E1318" s="2">
        <f ca="1">IFERROR(__xludf.DUMMYFUNCTION("""COMPUTED_VALUE"""),4720)</f>
        <v>4720</v>
      </c>
      <c r="F1318" s="2">
        <f ca="1">IFERROR(__xludf.DUMMYFUNCTION("""COMPUTED_VALUE"""),84907300)</f>
        <v>84907300</v>
      </c>
    </row>
    <row r="1319" spans="1:6">
      <c r="A1319" s="1">
        <f ca="1">IFERROR(__xludf.DUMMYFUNCTION("""COMPUTED_VALUE"""),43998.625)</f>
        <v>43998.625</v>
      </c>
      <c r="B1319" s="2">
        <f ca="1">IFERROR(__xludf.DUMMYFUNCTION("""COMPUTED_VALUE"""),4820)</f>
        <v>4820</v>
      </c>
      <c r="C1319" s="2">
        <f ca="1">IFERROR(__xludf.DUMMYFUNCTION("""COMPUTED_VALUE"""),5050)</f>
        <v>5050</v>
      </c>
      <c r="D1319" s="2">
        <f ca="1">IFERROR(__xludf.DUMMYFUNCTION("""COMPUTED_VALUE"""),4820)</f>
        <v>4820</v>
      </c>
      <c r="E1319" s="2">
        <f ca="1">IFERROR(__xludf.DUMMYFUNCTION("""COMPUTED_VALUE"""),5025)</f>
        <v>5025</v>
      </c>
      <c r="F1319" s="2">
        <f ca="1">IFERROR(__xludf.DUMMYFUNCTION("""COMPUTED_VALUE"""),73058300)</f>
        <v>73058300</v>
      </c>
    </row>
    <row r="1320" spans="1:6">
      <c r="A1320" s="1">
        <f ca="1">IFERROR(__xludf.DUMMYFUNCTION("""COMPUTED_VALUE"""),43999.625)</f>
        <v>43999.625</v>
      </c>
      <c r="B1320" s="2">
        <f ca="1">IFERROR(__xludf.DUMMYFUNCTION("""COMPUTED_VALUE"""),5100)</f>
        <v>5100</v>
      </c>
      <c r="C1320" s="2">
        <f ca="1">IFERROR(__xludf.DUMMYFUNCTION("""COMPUTED_VALUE"""),5200)</f>
        <v>5200</v>
      </c>
      <c r="D1320" s="2">
        <f ca="1">IFERROR(__xludf.DUMMYFUNCTION("""COMPUTED_VALUE"""),4890)</f>
        <v>4890</v>
      </c>
      <c r="E1320" s="2">
        <f ca="1">IFERROR(__xludf.DUMMYFUNCTION("""COMPUTED_VALUE"""),4900)</f>
        <v>4900</v>
      </c>
      <c r="F1320" s="2">
        <f ca="1">IFERROR(__xludf.DUMMYFUNCTION("""COMPUTED_VALUE"""),106972300)</f>
        <v>106972300</v>
      </c>
    </row>
    <row r="1321" spans="1:6">
      <c r="A1321" s="1">
        <f ca="1">IFERROR(__xludf.DUMMYFUNCTION("""COMPUTED_VALUE"""),44000.625)</f>
        <v>44000.625</v>
      </c>
      <c r="B1321" s="2">
        <f ca="1">IFERROR(__xludf.DUMMYFUNCTION("""COMPUTED_VALUE"""),4840)</f>
        <v>4840</v>
      </c>
      <c r="C1321" s="2">
        <f ca="1">IFERROR(__xludf.DUMMYFUNCTION("""COMPUTED_VALUE"""),4970)</f>
        <v>4970</v>
      </c>
      <c r="D1321" s="2">
        <f ca="1">IFERROR(__xludf.DUMMYFUNCTION("""COMPUTED_VALUE"""),4780)</f>
        <v>4780</v>
      </c>
      <c r="E1321" s="2">
        <f ca="1">IFERROR(__xludf.DUMMYFUNCTION("""COMPUTED_VALUE"""),4820)</f>
        <v>4820</v>
      </c>
      <c r="F1321" s="2">
        <f ca="1">IFERROR(__xludf.DUMMYFUNCTION("""COMPUTED_VALUE"""),76087600)</f>
        <v>76087600</v>
      </c>
    </row>
    <row r="1322" spans="1:6">
      <c r="A1322" s="1">
        <f ca="1">IFERROR(__xludf.DUMMYFUNCTION("""COMPUTED_VALUE"""),44001.625)</f>
        <v>44001.625</v>
      </c>
      <c r="B1322" s="2">
        <f ca="1">IFERROR(__xludf.DUMMYFUNCTION("""COMPUTED_VALUE"""),4880)</f>
        <v>4880</v>
      </c>
      <c r="C1322" s="2">
        <f ca="1">IFERROR(__xludf.DUMMYFUNCTION("""COMPUTED_VALUE"""),4950)</f>
        <v>4950</v>
      </c>
      <c r="D1322" s="2">
        <f ca="1">IFERROR(__xludf.DUMMYFUNCTION("""COMPUTED_VALUE"""),4820)</f>
        <v>4820</v>
      </c>
      <c r="E1322" s="2">
        <f ca="1">IFERROR(__xludf.DUMMYFUNCTION("""COMPUTED_VALUE"""),4880)</f>
        <v>4880</v>
      </c>
      <c r="F1322" s="2">
        <f ca="1">IFERROR(__xludf.DUMMYFUNCTION("""COMPUTED_VALUE"""),63178400)</f>
        <v>63178400</v>
      </c>
    </row>
    <row r="1323" spans="1:6">
      <c r="A1323" s="1">
        <f ca="1">IFERROR(__xludf.DUMMYFUNCTION("""COMPUTED_VALUE"""),44004.625)</f>
        <v>44004.625</v>
      </c>
      <c r="B1323" s="2">
        <f ca="1">IFERROR(__xludf.DUMMYFUNCTION("""COMPUTED_VALUE"""),4880)</f>
        <v>4880</v>
      </c>
      <c r="C1323" s="2">
        <f ca="1">IFERROR(__xludf.DUMMYFUNCTION("""COMPUTED_VALUE"""),4910)</f>
        <v>4910</v>
      </c>
      <c r="D1323" s="2">
        <f ca="1">IFERROR(__xludf.DUMMYFUNCTION("""COMPUTED_VALUE"""),4800)</f>
        <v>4800</v>
      </c>
      <c r="E1323" s="2">
        <f ca="1">IFERROR(__xludf.DUMMYFUNCTION("""COMPUTED_VALUE"""),4810)</f>
        <v>4810</v>
      </c>
      <c r="F1323" s="2">
        <f ca="1">IFERROR(__xludf.DUMMYFUNCTION("""COMPUTED_VALUE"""),33412500)</f>
        <v>33412500</v>
      </c>
    </row>
    <row r="1324" spans="1:6">
      <c r="A1324" s="1">
        <f ca="1">IFERROR(__xludf.DUMMYFUNCTION("""COMPUTED_VALUE"""),44005.625)</f>
        <v>44005.625</v>
      </c>
      <c r="B1324" s="2">
        <f ca="1">IFERROR(__xludf.DUMMYFUNCTION("""COMPUTED_VALUE"""),4850)</f>
        <v>4850</v>
      </c>
      <c r="C1324" s="2">
        <f ca="1">IFERROR(__xludf.DUMMYFUNCTION("""COMPUTED_VALUE"""),4850)</f>
        <v>4850</v>
      </c>
      <c r="D1324" s="2">
        <f ca="1">IFERROR(__xludf.DUMMYFUNCTION("""COMPUTED_VALUE"""),4690)</f>
        <v>4690</v>
      </c>
      <c r="E1324" s="2">
        <f ca="1">IFERROR(__xludf.DUMMYFUNCTION("""COMPUTED_VALUE"""),4790)</f>
        <v>4790</v>
      </c>
      <c r="F1324" s="2">
        <f ca="1">IFERROR(__xludf.DUMMYFUNCTION("""COMPUTED_VALUE"""),47505200)</f>
        <v>47505200</v>
      </c>
    </row>
    <row r="1325" spans="1:6">
      <c r="A1325" s="1">
        <f ca="1">IFERROR(__xludf.DUMMYFUNCTION("""COMPUTED_VALUE"""),44006.625)</f>
        <v>44006.625</v>
      </c>
      <c r="B1325" s="2">
        <f ca="1">IFERROR(__xludf.DUMMYFUNCTION("""COMPUTED_VALUE"""),4890)</f>
        <v>4890</v>
      </c>
      <c r="C1325" s="2">
        <f ca="1">IFERROR(__xludf.DUMMYFUNCTION("""COMPUTED_VALUE"""),5200)</f>
        <v>5200</v>
      </c>
      <c r="D1325" s="2">
        <f ca="1">IFERROR(__xludf.DUMMYFUNCTION("""COMPUTED_VALUE"""),4890)</f>
        <v>4890</v>
      </c>
      <c r="E1325" s="2">
        <f ca="1">IFERROR(__xludf.DUMMYFUNCTION("""COMPUTED_VALUE"""),5150)</f>
        <v>5150</v>
      </c>
      <c r="F1325" s="2">
        <f ca="1">IFERROR(__xludf.DUMMYFUNCTION("""COMPUTED_VALUE"""),139208500)</f>
        <v>139208500</v>
      </c>
    </row>
    <row r="1326" spans="1:6">
      <c r="A1326" s="1">
        <f ca="1">IFERROR(__xludf.DUMMYFUNCTION("""COMPUTED_VALUE"""),44007.625)</f>
        <v>44007.625</v>
      </c>
      <c r="B1326" s="2">
        <f ca="1">IFERROR(__xludf.DUMMYFUNCTION("""COMPUTED_VALUE"""),5075)</f>
        <v>5075</v>
      </c>
      <c r="C1326" s="2">
        <f ca="1">IFERROR(__xludf.DUMMYFUNCTION("""COMPUTED_VALUE"""),5200)</f>
        <v>5200</v>
      </c>
      <c r="D1326" s="2">
        <f ca="1">IFERROR(__xludf.DUMMYFUNCTION("""COMPUTED_VALUE"""),4940)</f>
        <v>4940</v>
      </c>
      <c r="E1326" s="2">
        <f ca="1">IFERROR(__xludf.DUMMYFUNCTION("""COMPUTED_VALUE"""),5025)</f>
        <v>5025</v>
      </c>
      <c r="F1326" s="2">
        <f ca="1">IFERROR(__xludf.DUMMYFUNCTION("""COMPUTED_VALUE"""),73061500)</f>
        <v>73061500</v>
      </c>
    </row>
    <row r="1327" spans="1:6">
      <c r="A1327" s="1">
        <f ca="1">IFERROR(__xludf.DUMMYFUNCTION("""COMPUTED_VALUE"""),44008.625)</f>
        <v>44008.625</v>
      </c>
      <c r="B1327" s="2">
        <f ca="1">IFERROR(__xludf.DUMMYFUNCTION("""COMPUTED_VALUE"""),5125)</f>
        <v>5125</v>
      </c>
      <c r="C1327" s="2">
        <f ca="1">IFERROR(__xludf.DUMMYFUNCTION("""COMPUTED_VALUE"""),5150)</f>
        <v>5150</v>
      </c>
      <c r="D1327" s="2">
        <f ca="1">IFERROR(__xludf.DUMMYFUNCTION("""COMPUTED_VALUE"""),4980)</f>
        <v>4980</v>
      </c>
      <c r="E1327" s="2">
        <f ca="1">IFERROR(__xludf.DUMMYFUNCTION("""COMPUTED_VALUE"""),5000)</f>
        <v>5000</v>
      </c>
      <c r="F1327" s="2">
        <f ca="1">IFERROR(__xludf.DUMMYFUNCTION("""COMPUTED_VALUE"""),42914500)</f>
        <v>42914500</v>
      </c>
    </row>
    <row r="1328" spans="1:6">
      <c r="A1328" s="1">
        <f ca="1">IFERROR(__xludf.DUMMYFUNCTION("""COMPUTED_VALUE"""),44011.625)</f>
        <v>44011.625</v>
      </c>
      <c r="B1328" s="2">
        <f ca="1">IFERROR(__xludf.DUMMYFUNCTION("""COMPUTED_VALUE"""),4980)</f>
        <v>4980</v>
      </c>
      <c r="C1328" s="2">
        <f ca="1">IFERROR(__xludf.DUMMYFUNCTION("""COMPUTED_VALUE"""),5000)</f>
        <v>5000</v>
      </c>
      <c r="D1328" s="2">
        <f ca="1">IFERROR(__xludf.DUMMYFUNCTION("""COMPUTED_VALUE"""),4870)</f>
        <v>4870</v>
      </c>
      <c r="E1328" s="2">
        <f ca="1">IFERROR(__xludf.DUMMYFUNCTION("""COMPUTED_VALUE"""),4940)</f>
        <v>4940</v>
      </c>
      <c r="F1328" s="2">
        <f ca="1">IFERROR(__xludf.DUMMYFUNCTION("""COMPUTED_VALUE"""),49561500)</f>
        <v>49561500</v>
      </c>
    </row>
    <row r="1329" spans="1:6">
      <c r="A1329" s="1">
        <f ca="1">IFERROR(__xludf.DUMMYFUNCTION("""COMPUTED_VALUE"""),44012.625)</f>
        <v>44012.625</v>
      </c>
      <c r="B1329" s="2">
        <f ca="1">IFERROR(__xludf.DUMMYFUNCTION("""COMPUTED_VALUE"""),5025)</f>
        <v>5025</v>
      </c>
      <c r="C1329" s="2">
        <f ca="1">IFERROR(__xludf.DUMMYFUNCTION("""COMPUTED_VALUE"""),5050)</f>
        <v>5050</v>
      </c>
      <c r="D1329" s="2">
        <f ca="1">IFERROR(__xludf.DUMMYFUNCTION("""COMPUTED_VALUE"""),4950)</f>
        <v>4950</v>
      </c>
      <c r="E1329" s="2">
        <f ca="1">IFERROR(__xludf.DUMMYFUNCTION("""COMPUTED_VALUE"""),4950)</f>
        <v>4950</v>
      </c>
      <c r="F1329" s="2">
        <f ca="1">IFERROR(__xludf.DUMMYFUNCTION("""COMPUTED_VALUE"""),56997200)</f>
        <v>56997200</v>
      </c>
    </row>
    <row r="1330" spans="1:6">
      <c r="A1330" s="1">
        <f ca="1">IFERROR(__xludf.DUMMYFUNCTION("""COMPUTED_VALUE"""),44013.625)</f>
        <v>44013.625</v>
      </c>
      <c r="B1330" s="2">
        <f ca="1">IFERROR(__xludf.DUMMYFUNCTION("""COMPUTED_VALUE"""),5000)</f>
        <v>5000</v>
      </c>
      <c r="C1330" s="2">
        <f ca="1">IFERROR(__xludf.DUMMYFUNCTION("""COMPUTED_VALUE"""),5025)</f>
        <v>5025</v>
      </c>
      <c r="D1330" s="2">
        <f ca="1">IFERROR(__xludf.DUMMYFUNCTION("""COMPUTED_VALUE"""),4910)</f>
        <v>4910</v>
      </c>
      <c r="E1330" s="2">
        <f ca="1">IFERROR(__xludf.DUMMYFUNCTION("""COMPUTED_VALUE"""),4990)</f>
        <v>4990</v>
      </c>
      <c r="F1330" s="2">
        <f ca="1">IFERROR(__xludf.DUMMYFUNCTION("""COMPUTED_VALUE"""),33873800)</f>
        <v>33873800</v>
      </c>
    </row>
    <row r="1331" spans="1:6">
      <c r="A1331" s="1">
        <f ca="1">IFERROR(__xludf.DUMMYFUNCTION("""COMPUTED_VALUE"""),44014.625)</f>
        <v>44014.625</v>
      </c>
      <c r="B1331" s="2">
        <f ca="1">IFERROR(__xludf.DUMMYFUNCTION("""COMPUTED_VALUE"""),4980)</f>
        <v>4980</v>
      </c>
      <c r="C1331" s="2">
        <f ca="1">IFERROR(__xludf.DUMMYFUNCTION("""COMPUTED_VALUE"""),5025)</f>
        <v>5025</v>
      </c>
      <c r="D1331" s="2">
        <f ca="1">IFERROR(__xludf.DUMMYFUNCTION("""COMPUTED_VALUE"""),4960)</f>
        <v>4960</v>
      </c>
      <c r="E1331" s="2">
        <f ca="1">IFERROR(__xludf.DUMMYFUNCTION("""COMPUTED_VALUE"""),5000)</f>
        <v>5000</v>
      </c>
      <c r="F1331" s="2">
        <f ca="1">IFERROR(__xludf.DUMMYFUNCTION("""COMPUTED_VALUE"""),40303300)</f>
        <v>40303300</v>
      </c>
    </row>
    <row r="1332" spans="1:6">
      <c r="A1332" s="1">
        <f ca="1">IFERROR(__xludf.DUMMYFUNCTION("""COMPUTED_VALUE"""),44015.625)</f>
        <v>44015.625</v>
      </c>
      <c r="B1332" s="2">
        <f ca="1">IFERROR(__xludf.DUMMYFUNCTION("""COMPUTED_VALUE"""),4960)</f>
        <v>4960</v>
      </c>
      <c r="C1332" s="2">
        <f ca="1">IFERROR(__xludf.DUMMYFUNCTION("""COMPUTED_VALUE"""),5075)</f>
        <v>5075</v>
      </c>
      <c r="D1332" s="2">
        <f ca="1">IFERROR(__xludf.DUMMYFUNCTION("""COMPUTED_VALUE"""),4900)</f>
        <v>4900</v>
      </c>
      <c r="E1332" s="2">
        <f ca="1">IFERROR(__xludf.DUMMYFUNCTION("""COMPUTED_VALUE"""),5000)</f>
        <v>5000</v>
      </c>
      <c r="F1332" s="2">
        <f ca="1">IFERROR(__xludf.DUMMYFUNCTION("""COMPUTED_VALUE"""),28919900)</f>
        <v>28919900</v>
      </c>
    </row>
    <row r="1333" spans="1:6">
      <c r="A1333" s="1">
        <f ca="1">IFERROR(__xludf.DUMMYFUNCTION("""COMPUTED_VALUE"""),44018.625)</f>
        <v>44018.625</v>
      </c>
      <c r="B1333" s="2">
        <f ca="1">IFERROR(__xludf.DUMMYFUNCTION("""COMPUTED_VALUE"""),5000)</f>
        <v>5000</v>
      </c>
      <c r="C1333" s="2">
        <f ca="1">IFERROR(__xludf.DUMMYFUNCTION("""COMPUTED_VALUE"""),5150)</f>
        <v>5150</v>
      </c>
      <c r="D1333" s="2">
        <f ca="1">IFERROR(__xludf.DUMMYFUNCTION("""COMPUTED_VALUE"""),5000)</f>
        <v>5000</v>
      </c>
      <c r="E1333" s="2">
        <f ca="1">IFERROR(__xludf.DUMMYFUNCTION("""COMPUTED_VALUE"""),5075)</f>
        <v>5075</v>
      </c>
      <c r="F1333" s="2">
        <f ca="1">IFERROR(__xludf.DUMMYFUNCTION("""COMPUTED_VALUE"""),45009500)</f>
        <v>45009500</v>
      </c>
    </row>
    <row r="1334" spans="1:6">
      <c r="A1334" s="1">
        <f ca="1">IFERROR(__xludf.DUMMYFUNCTION("""COMPUTED_VALUE"""),44019.625)</f>
        <v>44019.625</v>
      </c>
      <c r="B1334" s="2">
        <f ca="1">IFERROR(__xludf.DUMMYFUNCTION("""COMPUTED_VALUE"""),5125)</f>
        <v>5125</v>
      </c>
      <c r="C1334" s="2">
        <f ca="1">IFERROR(__xludf.DUMMYFUNCTION("""COMPUTED_VALUE"""),5150)</f>
        <v>5150</v>
      </c>
      <c r="D1334" s="2">
        <f ca="1">IFERROR(__xludf.DUMMYFUNCTION("""COMPUTED_VALUE"""),5050)</f>
        <v>5050</v>
      </c>
      <c r="E1334" s="2">
        <f ca="1">IFERROR(__xludf.DUMMYFUNCTION("""COMPUTED_VALUE"""),5050)</f>
        <v>5050</v>
      </c>
      <c r="F1334" s="2">
        <f ca="1">IFERROR(__xludf.DUMMYFUNCTION("""COMPUTED_VALUE"""),40223800)</f>
        <v>40223800</v>
      </c>
    </row>
    <row r="1335" spans="1:6">
      <c r="A1335" s="1">
        <f ca="1">IFERROR(__xludf.DUMMYFUNCTION("""COMPUTED_VALUE"""),44020.625)</f>
        <v>44020.625</v>
      </c>
      <c r="B1335" s="2">
        <f ca="1">IFERROR(__xludf.DUMMYFUNCTION("""COMPUTED_VALUE"""),5050)</f>
        <v>5050</v>
      </c>
      <c r="C1335" s="2">
        <f ca="1">IFERROR(__xludf.DUMMYFUNCTION("""COMPUTED_VALUE"""),5350)</f>
        <v>5350</v>
      </c>
      <c r="D1335" s="2">
        <f ca="1">IFERROR(__xludf.DUMMYFUNCTION("""COMPUTED_VALUE"""),5025)</f>
        <v>5025</v>
      </c>
      <c r="E1335" s="2">
        <f ca="1">IFERROR(__xludf.DUMMYFUNCTION("""COMPUTED_VALUE"""),5275)</f>
        <v>5275</v>
      </c>
      <c r="F1335" s="2">
        <f ca="1">IFERROR(__xludf.DUMMYFUNCTION("""COMPUTED_VALUE"""),74733400)</f>
        <v>74733400</v>
      </c>
    </row>
    <row r="1336" spans="1:6">
      <c r="A1336" s="1">
        <f ca="1">IFERROR(__xludf.DUMMYFUNCTION("""COMPUTED_VALUE"""),44021.625)</f>
        <v>44021.625</v>
      </c>
      <c r="B1336" s="2">
        <f ca="1">IFERROR(__xludf.DUMMYFUNCTION("""COMPUTED_VALUE"""),5350)</f>
        <v>5350</v>
      </c>
      <c r="C1336" s="2">
        <f ca="1">IFERROR(__xludf.DUMMYFUNCTION("""COMPUTED_VALUE"""),5400)</f>
        <v>5400</v>
      </c>
      <c r="D1336" s="2">
        <f ca="1">IFERROR(__xludf.DUMMYFUNCTION("""COMPUTED_VALUE"""),5200)</f>
        <v>5200</v>
      </c>
      <c r="E1336" s="2">
        <f ca="1">IFERROR(__xludf.DUMMYFUNCTION("""COMPUTED_VALUE"""),5250)</f>
        <v>5250</v>
      </c>
      <c r="F1336" s="2">
        <f ca="1">IFERROR(__xludf.DUMMYFUNCTION("""COMPUTED_VALUE"""),49138600)</f>
        <v>49138600</v>
      </c>
    </row>
    <row r="1337" spans="1:6">
      <c r="A1337" s="1">
        <f ca="1">IFERROR(__xludf.DUMMYFUNCTION("""COMPUTED_VALUE"""),44022.625)</f>
        <v>44022.625</v>
      </c>
      <c r="B1337" s="2">
        <f ca="1">IFERROR(__xludf.DUMMYFUNCTION("""COMPUTED_VALUE"""),5250)</f>
        <v>5250</v>
      </c>
      <c r="C1337" s="2">
        <f ca="1">IFERROR(__xludf.DUMMYFUNCTION("""COMPUTED_VALUE"""),5275)</f>
        <v>5275</v>
      </c>
      <c r="D1337" s="2">
        <f ca="1">IFERROR(__xludf.DUMMYFUNCTION("""COMPUTED_VALUE"""),5125)</f>
        <v>5125</v>
      </c>
      <c r="E1337" s="2">
        <f ca="1">IFERROR(__xludf.DUMMYFUNCTION("""COMPUTED_VALUE"""),5175)</f>
        <v>5175</v>
      </c>
      <c r="F1337" s="2">
        <f ca="1">IFERROR(__xludf.DUMMYFUNCTION("""COMPUTED_VALUE"""),38925000)</f>
        <v>38925000</v>
      </c>
    </row>
    <row r="1338" spans="1:6">
      <c r="A1338" s="1">
        <f ca="1">IFERROR(__xludf.DUMMYFUNCTION("""COMPUTED_VALUE"""),44025.625)</f>
        <v>44025.625</v>
      </c>
      <c r="B1338" s="2">
        <f ca="1">IFERROR(__xludf.DUMMYFUNCTION("""COMPUTED_VALUE"""),5250)</f>
        <v>5250</v>
      </c>
      <c r="C1338" s="2">
        <f ca="1">IFERROR(__xludf.DUMMYFUNCTION("""COMPUTED_VALUE"""),5325)</f>
        <v>5325</v>
      </c>
      <c r="D1338" s="2">
        <f ca="1">IFERROR(__xludf.DUMMYFUNCTION("""COMPUTED_VALUE"""),5225)</f>
        <v>5225</v>
      </c>
      <c r="E1338" s="2">
        <f ca="1">IFERROR(__xludf.DUMMYFUNCTION("""COMPUTED_VALUE"""),5250)</f>
        <v>5250</v>
      </c>
      <c r="F1338" s="2">
        <f ca="1">IFERROR(__xludf.DUMMYFUNCTION("""COMPUTED_VALUE"""),36344100)</f>
        <v>36344100</v>
      </c>
    </row>
    <row r="1339" spans="1:6">
      <c r="A1339" s="1">
        <f ca="1">IFERROR(__xludf.DUMMYFUNCTION("""COMPUTED_VALUE"""),44026.625)</f>
        <v>44026.625</v>
      </c>
      <c r="B1339" s="2">
        <f ca="1">IFERROR(__xludf.DUMMYFUNCTION("""COMPUTED_VALUE"""),5300)</f>
        <v>5300</v>
      </c>
      <c r="C1339" s="2">
        <f ca="1">IFERROR(__xludf.DUMMYFUNCTION("""COMPUTED_VALUE"""),5325)</f>
        <v>5325</v>
      </c>
      <c r="D1339" s="2">
        <f ca="1">IFERROR(__xludf.DUMMYFUNCTION("""COMPUTED_VALUE"""),5200)</f>
        <v>5200</v>
      </c>
      <c r="E1339" s="2">
        <f ca="1">IFERROR(__xludf.DUMMYFUNCTION("""COMPUTED_VALUE"""),5300)</f>
        <v>5300</v>
      </c>
      <c r="F1339" s="2">
        <f ca="1">IFERROR(__xludf.DUMMYFUNCTION("""COMPUTED_VALUE"""),39129900)</f>
        <v>39129900</v>
      </c>
    </row>
    <row r="1340" spans="1:6">
      <c r="A1340" s="1">
        <f ca="1">IFERROR(__xludf.DUMMYFUNCTION("""COMPUTED_VALUE"""),44027.625)</f>
        <v>44027.625</v>
      </c>
      <c r="B1340" s="2">
        <f ca="1">IFERROR(__xludf.DUMMYFUNCTION("""COMPUTED_VALUE"""),5350)</f>
        <v>5350</v>
      </c>
      <c r="C1340" s="2">
        <f ca="1">IFERROR(__xludf.DUMMYFUNCTION("""COMPUTED_VALUE"""),5425)</f>
        <v>5425</v>
      </c>
      <c r="D1340" s="2">
        <f ca="1">IFERROR(__xludf.DUMMYFUNCTION("""COMPUTED_VALUE"""),5250)</f>
        <v>5250</v>
      </c>
      <c r="E1340" s="2">
        <f ca="1">IFERROR(__xludf.DUMMYFUNCTION("""COMPUTED_VALUE"""),5275)</f>
        <v>5275</v>
      </c>
      <c r="F1340" s="2">
        <f ca="1">IFERROR(__xludf.DUMMYFUNCTION("""COMPUTED_VALUE"""),30377700)</f>
        <v>30377700</v>
      </c>
    </row>
    <row r="1341" spans="1:6">
      <c r="A1341" s="1">
        <f ca="1">IFERROR(__xludf.DUMMYFUNCTION("""COMPUTED_VALUE"""),44028.625)</f>
        <v>44028.625</v>
      </c>
      <c r="B1341" s="2">
        <f ca="1">IFERROR(__xludf.DUMMYFUNCTION("""COMPUTED_VALUE"""),5275)</f>
        <v>5275</v>
      </c>
      <c r="C1341" s="2">
        <f ca="1">IFERROR(__xludf.DUMMYFUNCTION("""COMPUTED_VALUE"""),5350)</f>
        <v>5350</v>
      </c>
      <c r="D1341" s="2">
        <f ca="1">IFERROR(__xludf.DUMMYFUNCTION("""COMPUTED_VALUE"""),5250)</f>
        <v>5250</v>
      </c>
      <c r="E1341" s="2">
        <f ca="1">IFERROR(__xludf.DUMMYFUNCTION("""COMPUTED_VALUE"""),5275)</f>
        <v>5275</v>
      </c>
      <c r="F1341" s="2">
        <f ca="1">IFERROR(__xludf.DUMMYFUNCTION("""COMPUTED_VALUE"""),21929700)</f>
        <v>21929700</v>
      </c>
    </row>
    <row r="1342" spans="1:6">
      <c r="A1342" s="1">
        <f ca="1">IFERROR(__xludf.DUMMYFUNCTION("""COMPUTED_VALUE"""),44029.625)</f>
        <v>44029.625</v>
      </c>
      <c r="B1342" s="2">
        <f ca="1">IFERROR(__xludf.DUMMYFUNCTION("""COMPUTED_VALUE"""),5275)</f>
        <v>5275</v>
      </c>
      <c r="C1342" s="2">
        <f ca="1">IFERROR(__xludf.DUMMYFUNCTION("""COMPUTED_VALUE"""),5300)</f>
        <v>5300</v>
      </c>
      <c r="D1342" s="2">
        <f ca="1">IFERROR(__xludf.DUMMYFUNCTION("""COMPUTED_VALUE"""),5175)</f>
        <v>5175</v>
      </c>
      <c r="E1342" s="2">
        <f ca="1">IFERROR(__xludf.DUMMYFUNCTION("""COMPUTED_VALUE"""),5175)</f>
        <v>5175</v>
      </c>
      <c r="F1342" s="2">
        <f ca="1">IFERROR(__xludf.DUMMYFUNCTION("""COMPUTED_VALUE"""),30088500)</f>
        <v>30088500</v>
      </c>
    </row>
    <row r="1343" spans="1:6">
      <c r="A1343" s="1">
        <f ca="1">IFERROR(__xludf.DUMMYFUNCTION("""COMPUTED_VALUE"""),44032.625)</f>
        <v>44032.625</v>
      </c>
      <c r="B1343" s="2">
        <f ca="1">IFERROR(__xludf.DUMMYFUNCTION("""COMPUTED_VALUE"""),5175)</f>
        <v>5175</v>
      </c>
      <c r="C1343" s="2">
        <f ca="1">IFERROR(__xludf.DUMMYFUNCTION("""COMPUTED_VALUE"""),5225)</f>
        <v>5225</v>
      </c>
      <c r="D1343" s="2">
        <f ca="1">IFERROR(__xludf.DUMMYFUNCTION("""COMPUTED_VALUE"""),5050)</f>
        <v>5050</v>
      </c>
      <c r="E1343" s="2">
        <f ca="1">IFERROR(__xludf.DUMMYFUNCTION("""COMPUTED_VALUE"""),5100)</f>
        <v>5100</v>
      </c>
      <c r="F1343" s="2">
        <f ca="1">IFERROR(__xludf.DUMMYFUNCTION("""COMPUTED_VALUE"""),26055800)</f>
        <v>26055800</v>
      </c>
    </row>
    <row r="1344" spans="1:6">
      <c r="A1344" s="1">
        <f ca="1">IFERROR(__xludf.DUMMYFUNCTION("""COMPUTED_VALUE"""),44033.625)</f>
        <v>44033.625</v>
      </c>
      <c r="B1344" s="2">
        <f ca="1">IFERROR(__xludf.DUMMYFUNCTION("""COMPUTED_VALUE"""),5150)</f>
        <v>5150</v>
      </c>
      <c r="C1344" s="2">
        <f ca="1">IFERROR(__xludf.DUMMYFUNCTION("""COMPUTED_VALUE"""),5450)</f>
        <v>5450</v>
      </c>
      <c r="D1344" s="2">
        <f ca="1">IFERROR(__xludf.DUMMYFUNCTION("""COMPUTED_VALUE"""),5075)</f>
        <v>5075</v>
      </c>
      <c r="E1344" s="2">
        <f ca="1">IFERROR(__xludf.DUMMYFUNCTION("""COMPUTED_VALUE"""),5300)</f>
        <v>5300</v>
      </c>
      <c r="F1344" s="2">
        <f ca="1">IFERROR(__xludf.DUMMYFUNCTION("""COMPUTED_VALUE"""),72525700)</f>
        <v>72525700</v>
      </c>
    </row>
    <row r="1345" spans="1:6">
      <c r="A1345" s="1">
        <f ca="1">IFERROR(__xludf.DUMMYFUNCTION("""COMPUTED_VALUE"""),44034.625)</f>
        <v>44034.625</v>
      </c>
      <c r="B1345" s="2">
        <f ca="1">IFERROR(__xludf.DUMMYFUNCTION("""COMPUTED_VALUE"""),5375)</f>
        <v>5375</v>
      </c>
      <c r="C1345" s="2">
        <f ca="1">IFERROR(__xludf.DUMMYFUNCTION("""COMPUTED_VALUE"""),5525)</f>
        <v>5525</v>
      </c>
      <c r="D1345" s="2">
        <f ca="1">IFERROR(__xludf.DUMMYFUNCTION("""COMPUTED_VALUE"""),5300)</f>
        <v>5300</v>
      </c>
      <c r="E1345" s="2">
        <f ca="1">IFERROR(__xludf.DUMMYFUNCTION("""COMPUTED_VALUE"""),5425)</f>
        <v>5425</v>
      </c>
      <c r="F1345" s="2">
        <f ca="1">IFERROR(__xludf.DUMMYFUNCTION("""COMPUTED_VALUE"""),59622500)</f>
        <v>59622500</v>
      </c>
    </row>
    <row r="1346" spans="1:6">
      <c r="A1346" s="1">
        <f ca="1">IFERROR(__xludf.DUMMYFUNCTION("""COMPUTED_VALUE"""),44035.625)</f>
        <v>44035.625</v>
      </c>
      <c r="B1346" s="2">
        <f ca="1">IFERROR(__xludf.DUMMYFUNCTION("""COMPUTED_VALUE"""),5475)</f>
        <v>5475</v>
      </c>
      <c r="C1346" s="2">
        <f ca="1">IFERROR(__xludf.DUMMYFUNCTION("""COMPUTED_VALUE"""),5775)</f>
        <v>5775</v>
      </c>
      <c r="D1346" s="2">
        <f ca="1">IFERROR(__xludf.DUMMYFUNCTION("""COMPUTED_VALUE"""),5425)</f>
        <v>5425</v>
      </c>
      <c r="E1346" s="2">
        <f ca="1">IFERROR(__xludf.DUMMYFUNCTION("""COMPUTED_VALUE"""),5700)</f>
        <v>5700</v>
      </c>
      <c r="F1346" s="2">
        <f ca="1">IFERROR(__xludf.DUMMYFUNCTION("""COMPUTED_VALUE"""),72914800)</f>
        <v>72914800</v>
      </c>
    </row>
    <row r="1347" spans="1:6">
      <c r="A1347" s="1">
        <f ca="1">IFERROR(__xludf.DUMMYFUNCTION("""COMPUTED_VALUE"""),44036.625)</f>
        <v>44036.625</v>
      </c>
      <c r="B1347" s="2">
        <f ca="1">IFERROR(__xludf.DUMMYFUNCTION("""COMPUTED_VALUE"""),5700)</f>
        <v>5700</v>
      </c>
      <c r="C1347" s="2">
        <f ca="1">IFERROR(__xludf.DUMMYFUNCTION("""COMPUTED_VALUE"""),5700)</f>
        <v>5700</v>
      </c>
      <c r="D1347" s="2">
        <f ca="1">IFERROR(__xludf.DUMMYFUNCTION("""COMPUTED_VALUE"""),5550)</f>
        <v>5550</v>
      </c>
      <c r="E1347" s="2">
        <f ca="1">IFERROR(__xludf.DUMMYFUNCTION("""COMPUTED_VALUE"""),5600)</f>
        <v>5600</v>
      </c>
      <c r="F1347" s="2">
        <f ca="1">IFERROR(__xludf.DUMMYFUNCTION("""COMPUTED_VALUE"""),33301700)</f>
        <v>33301700</v>
      </c>
    </row>
    <row r="1348" spans="1:6">
      <c r="A1348" s="1">
        <f ca="1">IFERROR(__xludf.DUMMYFUNCTION("""COMPUTED_VALUE"""),44039.625)</f>
        <v>44039.625</v>
      </c>
      <c r="B1348" s="2">
        <f ca="1">IFERROR(__xludf.DUMMYFUNCTION("""COMPUTED_VALUE"""),5625)</f>
        <v>5625</v>
      </c>
      <c r="C1348" s="2">
        <f ca="1">IFERROR(__xludf.DUMMYFUNCTION("""COMPUTED_VALUE"""),5875)</f>
        <v>5875</v>
      </c>
      <c r="D1348" s="2">
        <f ca="1">IFERROR(__xludf.DUMMYFUNCTION("""COMPUTED_VALUE"""),5550)</f>
        <v>5550</v>
      </c>
      <c r="E1348" s="2">
        <f ca="1">IFERROR(__xludf.DUMMYFUNCTION("""COMPUTED_VALUE"""),5875)</f>
        <v>5875</v>
      </c>
      <c r="F1348" s="2">
        <f ca="1">IFERROR(__xludf.DUMMYFUNCTION("""COMPUTED_VALUE"""),29424100)</f>
        <v>29424100</v>
      </c>
    </row>
    <row r="1349" spans="1:6">
      <c r="A1349" s="1">
        <f ca="1">IFERROR(__xludf.DUMMYFUNCTION("""COMPUTED_VALUE"""),44040.625)</f>
        <v>44040.625</v>
      </c>
      <c r="B1349" s="2">
        <f ca="1">IFERROR(__xludf.DUMMYFUNCTION("""COMPUTED_VALUE"""),5900)</f>
        <v>5900</v>
      </c>
      <c r="C1349" s="2">
        <f ca="1">IFERROR(__xludf.DUMMYFUNCTION("""COMPUTED_VALUE"""),6000)</f>
        <v>6000</v>
      </c>
      <c r="D1349" s="2">
        <f ca="1">IFERROR(__xludf.DUMMYFUNCTION("""COMPUTED_VALUE"""),5775)</f>
        <v>5775</v>
      </c>
      <c r="E1349" s="2">
        <f ca="1">IFERROR(__xludf.DUMMYFUNCTION("""COMPUTED_VALUE"""),5850)</f>
        <v>5850</v>
      </c>
      <c r="F1349" s="2">
        <f ca="1">IFERROR(__xludf.DUMMYFUNCTION("""COMPUTED_VALUE"""),37262300)</f>
        <v>37262300</v>
      </c>
    </row>
    <row r="1350" spans="1:6">
      <c r="A1350" s="1">
        <f ca="1">IFERROR(__xludf.DUMMYFUNCTION("""COMPUTED_VALUE"""),44041.625)</f>
        <v>44041.625</v>
      </c>
      <c r="B1350" s="2">
        <f ca="1">IFERROR(__xludf.DUMMYFUNCTION("""COMPUTED_VALUE"""),5850)</f>
        <v>5850</v>
      </c>
      <c r="C1350" s="2">
        <f ca="1">IFERROR(__xludf.DUMMYFUNCTION("""COMPUTED_VALUE"""),5850)</f>
        <v>5850</v>
      </c>
      <c r="D1350" s="2">
        <f ca="1">IFERROR(__xludf.DUMMYFUNCTION("""COMPUTED_VALUE"""),5675)</f>
        <v>5675</v>
      </c>
      <c r="E1350" s="2">
        <f ca="1">IFERROR(__xludf.DUMMYFUNCTION("""COMPUTED_VALUE"""),5700)</f>
        <v>5700</v>
      </c>
      <c r="F1350" s="2">
        <f ca="1">IFERROR(__xludf.DUMMYFUNCTION("""COMPUTED_VALUE"""),34868600)</f>
        <v>34868600</v>
      </c>
    </row>
    <row r="1351" spans="1:6">
      <c r="A1351" s="1">
        <f ca="1">IFERROR(__xludf.DUMMYFUNCTION("""COMPUTED_VALUE"""),44042.625)</f>
        <v>44042.625</v>
      </c>
      <c r="B1351" s="2">
        <f ca="1">IFERROR(__xludf.DUMMYFUNCTION("""COMPUTED_VALUE"""),5725)</f>
        <v>5725</v>
      </c>
      <c r="C1351" s="2">
        <f ca="1">IFERROR(__xludf.DUMMYFUNCTION("""COMPUTED_VALUE"""),5800)</f>
        <v>5800</v>
      </c>
      <c r="D1351" s="2">
        <f ca="1">IFERROR(__xludf.DUMMYFUNCTION("""COMPUTED_VALUE"""),5625)</f>
        <v>5625</v>
      </c>
      <c r="E1351" s="2">
        <f ca="1">IFERROR(__xludf.DUMMYFUNCTION("""COMPUTED_VALUE"""),5800)</f>
        <v>5800</v>
      </c>
      <c r="F1351" s="2">
        <f ca="1">IFERROR(__xludf.DUMMYFUNCTION("""COMPUTED_VALUE"""),26322300)</f>
        <v>26322300</v>
      </c>
    </row>
    <row r="1352" spans="1:6">
      <c r="A1352" s="1">
        <f ca="1">IFERROR(__xludf.DUMMYFUNCTION("""COMPUTED_VALUE"""),44046.625)</f>
        <v>44046.625</v>
      </c>
      <c r="B1352" s="2">
        <f ca="1">IFERROR(__xludf.DUMMYFUNCTION("""COMPUTED_VALUE"""),5850)</f>
        <v>5850</v>
      </c>
      <c r="C1352" s="2">
        <f ca="1">IFERROR(__xludf.DUMMYFUNCTION("""COMPUTED_VALUE"""),5875)</f>
        <v>5875</v>
      </c>
      <c r="D1352" s="2">
        <f ca="1">IFERROR(__xludf.DUMMYFUNCTION("""COMPUTED_VALUE"""),5450)</f>
        <v>5450</v>
      </c>
      <c r="E1352" s="2">
        <f ca="1">IFERROR(__xludf.DUMMYFUNCTION("""COMPUTED_VALUE"""),5500)</f>
        <v>5500</v>
      </c>
      <c r="F1352" s="2">
        <f ca="1">IFERROR(__xludf.DUMMYFUNCTION("""COMPUTED_VALUE"""),129860400)</f>
        <v>129860400</v>
      </c>
    </row>
    <row r="1353" spans="1:6">
      <c r="A1353" s="1">
        <f ca="1">IFERROR(__xludf.DUMMYFUNCTION("""COMPUTED_VALUE"""),44047.625)</f>
        <v>44047.625</v>
      </c>
      <c r="B1353" s="2">
        <f ca="1">IFERROR(__xludf.DUMMYFUNCTION("""COMPUTED_VALUE"""),5525)</f>
        <v>5525</v>
      </c>
      <c r="C1353" s="2">
        <f ca="1">IFERROR(__xludf.DUMMYFUNCTION("""COMPUTED_VALUE"""),5600)</f>
        <v>5600</v>
      </c>
      <c r="D1353" s="2">
        <f ca="1">IFERROR(__xludf.DUMMYFUNCTION("""COMPUTED_VALUE"""),5450)</f>
        <v>5450</v>
      </c>
      <c r="E1353" s="2">
        <f ca="1">IFERROR(__xludf.DUMMYFUNCTION("""COMPUTED_VALUE"""),5575)</f>
        <v>5575</v>
      </c>
      <c r="F1353" s="2">
        <f ca="1">IFERROR(__xludf.DUMMYFUNCTION("""COMPUTED_VALUE"""),44586900)</f>
        <v>44586900</v>
      </c>
    </row>
    <row r="1354" spans="1:6">
      <c r="A1354" s="1">
        <f ca="1">IFERROR(__xludf.DUMMYFUNCTION("""COMPUTED_VALUE"""),44048.625)</f>
        <v>44048.625</v>
      </c>
      <c r="B1354" s="2">
        <f ca="1">IFERROR(__xludf.DUMMYFUNCTION("""COMPUTED_VALUE"""),5550)</f>
        <v>5550</v>
      </c>
      <c r="C1354" s="2">
        <f ca="1">IFERROR(__xludf.DUMMYFUNCTION("""COMPUTED_VALUE"""),5700)</f>
        <v>5700</v>
      </c>
      <c r="D1354" s="2">
        <f ca="1">IFERROR(__xludf.DUMMYFUNCTION("""COMPUTED_VALUE"""),5450)</f>
        <v>5450</v>
      </c>
      <c r="E1354" s="2">
        <f ca="1">IFERROR(__xludf.DUMMYFUNCTION("""COMPUTED_VALUE"""),5700)</f>
        <v>5700</v>
      </c>
      <c r="F1354" s="2">
        <f ca="1">IFERROR(__xludf.DUMMYFUNCTION("""COMPUTED_VALUE"""),66922300)</f>
        <v>66922300</v>
      </c>
    </row>
    <row r="1355" spans="1:6">
      <c r="A1355" s="1">
        <f ca="1">IFERROR(__xludf.DUMMYFUNCTION("""COMPUTED_VALUE"""),44049.625)</f>
        <v>44049.625</v>
      </c>
      <c r="B1355" s="2">
        <f ca="1">IFERROR(__xludf.DUMMYFUNCTION("""COMPUTED_VALUE"""),5700)</f>
        <v>5700</v>
      </c>
      <c r="C1355" s="2">
        <f ca="1">IFERROR(__xludf.DUMMYFUNCTION("""COMPUTED_VALUE"""),5875)</f>
        <v>5875</v>
      </c>
      <c r="D1355" s="2">
        <f ca="1">IFERROR(__xludf.DUMMYFUNCTION("""COMPUTED_VALUE"""),5700)</f>
        <v>5700</v>
      </c>
      <c r="E1355" s="2">
        <f ca="1">IFERROR(__xludf.DUMMYFUNCTION("""COMPUTED_VALUE"""),5775)</f>
        <v>5775</v>
      </c>
      <c r="F1355" s="2">
        <f ca="1">IFERROR(__xludf.DUMMYFUNCTION("""COMPUTED_VALUE"""),45455600)</f>
        <v>45455600</v>
      </c>
    </row>
    <row r="1356" spans="1:6">
      <c r="A1356" s="1">
        <f ca="1">IFERROR(__xludf.DUMMYFUNCTION("""COMPUTED_VALUE"""),44050.625)</f>
        <v>44050.625</v>
      </c>
      <c r="B1356" s="2">
        <f ca="1">IFERROR(__xludf.DUMMYFUNCTION("""COMPUTED_VALUE"""),5700)</f>
        <v>5700</v>
      </c>
      <c r="C1356" s="2">
        <f ca="1">IFERROR(__xludf.DUMMYFUNCTION("""COMPUTED_VALUE"""),5800)</f>
        <v>5800</v>
      </c>
      <c r="D1356" s="2">
        <f ca="1">IFERROR(__xludf.DUMMYFUNCTION("""COMPUTED_VALUE"""),5625)</f>
        <v>5625</v>
      </c>
      <c r="E1356" s="2">
        <f ca="1">IFERROR(__xludf.DUMMYFUNCTION("""COMPUTED_VALUE"""),5800)</f>
        <v>5800</v>
      </c>
      <c r="F1356" s="2">
        <f ca="1">IFERROR(__xludf.DUMMYFUNCTION("""COMPUTED_VALUE"""),28614400)</f>
        <v>28614400</v>
      </c>
    </row>
    <row r="1357" spans="1:6">
      <c r="A1357" s="1">
        <f ca="1">IFERROR(__xludf.DUMMYFUNCTION("""COMPUTED_VALUE"""),44053.625)</f>
        <v>44053.625</v>
      </c>
      <c r="B1357" s="2">
        <f ca="1">IFERROR(__xludf.DUMMYFUNCTION("""COMPUTED_VALUE"""),5800)</f>
        <v>5800</v>
      </c>
      <c r="C1357" s="2">
        <f ca="1">IFERROR(__xludf.DUMMYFUNCTION("""COMPUTED_VALUE"""),5825)</f>
        <v>5825</v>
      </c>
      <c r="D1357" s="2">
        <f ca="1">IFERROR(__xludf.DUMMYFUNCTION("""COMPUTED_VALUE"""),5650)</f>
        <v>5650</v>
      </c>
      <c r="E1357" s="2">
        <f ca="1">IFERROR(__xludf.DUMMYFUNCTION("""COMPUTED_VALUE"""),5800)</f>
        <v>5800</v>
      </c>
      <c r="F1357" s="2">
        <f ca="1">IFERROR(__xludf.DUMMYFUNCTION("""COMPUTED_VALUE"""),25081200)</f>
        <v>25081200</v>
      </c>
    </row>
    <row r="1358" spans="1:6">
      <c r="A1358" s="1">
        <f ca="1">IFERROR(__xludf.DUMMYFUNCTION("""COMPUTED_VALUE"""),44054.625)</f>
        <v>44054.625</v>
      </c>
      <c r="B1358" s="2">
        <f ca="1">IFERROR(__xludf.DUMMYFUNCTION("""COMPUTED_VALUE"""),5825)</f>
        <v>5825</v>
      </c>
      <c r="C1358" s="2">
        <f ca="1">IFERROR(__xludf.DUMMYFUNCTION("""COMPUTED_VALUE"""),6100)</f>
        <v>6100</v>
      </c>
      <c r="D1358" s="2">
        <f ca="1">IFERROR(__xludf.DUMMYFUNCTION("""COMPUTED_VALUE"""),5800)</f>
        <v>5800</v>
      </c>
      <c r="E1358" s="2">
        <f ca="1">IFERROR(__xludf.DUMMYFUNCTION("""COMPUTED_VALUE"""),5975)</f>
        <v>5975</v>
      </c>
      <c r="F1358" s="2">
        <f ca="1">IFERROR(__xludf.DUMMYFUNCTION("""COMPUTED_VALUE"""),58989100)</f>
        <v>58989100</v>
      </c>
    </row>
    <row r="1359" spans="1:6">
      <c r="A1359" s="1">
        <f ca="1">IFERROR(__xludf.DUMMYFUNCTION("""COMPUTED_VALUE"""),44055.625)</f>
        <v>44055.625</v>
      </c>
      <c r="B1359" s="2">
        <f ca="1">IFERROR(__xludf.DUMMYFUNCTION("""COMPUTED_VALUE"""),6000)</f>
        <v>6000</v>
      </c>
      <c r="C1359" s="2">
        <f ca="1">IFERROR(__xludf.DUMMYFUNCTION("""COMPUTED_VALUE"""),6275)</f>
        <v>6275</v>
      </c>
      <c r="D1359" s="2">
        <f ca="1">IFERROR(__xludf.DUMMYFUNCTION("""COMPUTED_VALUE"""),5950)</f>
        <v>5950</v>
      </c>
      <c r="E1359" s="2">
        <f ca="1">IFERROR(__xludf.DUMMYFUNCTION("""COMPUTED_VALUE"""),6150)</f>
        <v>6150</v>
      </c>
      <c r="F1359" s="2">
        <f ca="1">IFERROR(__xludf.DUMMYFUNCTION("""COMPUTED_VALUE"""),46455200)</f>
        <v>46455200</v>
      </c>
    </row>
    <row r="1360" spans="1:6">
      <c r="A1360" s="1">
        <f ca="1">IFERROR(__xludf.DUMMYFUNCTION("""COMPUTED_VALUE"""),44056.625)</f>
        <v>44056.625</v>
      </c>
      <c r="B1360" s="2">
        <f ca="1">IFERROR(__xludf.DUMMYFUNCTION("""COMPUTED_VALUE"""),6250)</f>
        <v>6250</v>
      </c>
      <c r="C1360" s="2">
        <f ca="1">IFERROR(__xludf.DUMMYFUNCTION("""COMPUTED_VALUE"""),6250)</f>
        <v>6250</v>
      </c>
      <c r="D1360" s="2">
        <f ca="1">IFERROR(__xludf.DUMMYFUNCTION("""COMPUTED_VALUE"""),6050)</f>
        <v>6050</v>
      </c>
      <c r="E1360" s="2">
        <f ca="1">IFERROR(__xludf.DUMMYFUNCTION("""COMPUTED_VALUE"""),6050)</f>
        <v>6050</v>
      </c>
      <c r="F1360" s="2">
        <f ca="1">IFERROR(__xludf.DUMMYFUNCTION("""COMPUTED_VALUE"""),42994600)</f>
        <v>42994600</v>
      </c>
    </row>
    <row r="1361" spans="1:6">
      <c r="A1361" s="1">
        <f ca="1">IFERROR(__xludf.DUMMYFUNCTION("""COMPUTED_VALUE"""),44057.625)</f>
        <v>44057.625</v>
      </c>
      <c r="B1361" s="2">
        <f ca="1">IFERROR(__xludf.DUMMYFUNCTION("""COMPUTED_VALUE"""),6075)</f>
        <v>6075</v>
      </c>
      <c r="C1361" s="2">
        <f ca="1">IFERROR(__xludf.DUMMYFUNCTION("""COMPUTED_VALUE"""),6100)</f>
        <v>6100</v>
      </c>
      <c r="D1361" s="2">
        <f ca="1">IFERROR(__xludf.DUMMYFUNCTION("""COMPUTED_VALUE"""),5950)</f>
        <v>5950</v>
      </c>
      <c r="E1361" s="2">
        <f ca="1">IFERROR(__xludf.DUMMYFUNCTION("""COMPUTED_VALUE"""),6025)</f>
        <v>6025</v>
      </c>
      <c r="F1361" s="2">
        <f ca="1">IFERROR(__xludf.DUMMYFUNCTION("""COMPUTED_VALUE"""),33326700)</f>
        <v>33326700</v>
      </c>
    </row>
    <row r="1362" spans="1:6">
      <c r="A1362" s="1">
        <f ca="1">IFERROR(__xludf.DUMMYFUNCTION("""COMPUTED_VALUE"""),44061.625)</f>
        <v>44061.625</v>
      </c>
      <c r="B1362" s="2">
        <f ca="1">IFERROR(__xludf.DUMMYFUNCTION("""COMPUTED_VALUE"""),6025)</f>
        <v>6025</v>
      </c>
      <c r="C1362" s="2">
        <f ca="1">IFERROR(__xludf.DUMMYFUNCTION("""COMPUTED_VALUE"""),6225)</f>
        <v>6225</v>
      </c>
      <c r="D1362" s="2">
        <f ca="1">IFERROR(__xludf.DUMMYFUNCTION("""COMPUTED_VALUE"""),6025)</f>
        <v>6025</v>
      </c>
      <c r="E1362" s="2">
        <f ca="1">IFERROR(__xludf.DUMMYFUNCTION("""COMPUTED_VALUE"""),6150)</f>
        <v>6150</v>
      </c>
      <c r="F1362" s="2">
        <f ca="1">IFERROR(__xludf.DUMMYFUNCTION("""COMPUTED_VALUE"""),57990600)</f>
        <v>57990600</v>
      </c>
    </row>
    <row r="1363" spans="1:6">
      <c r="A1363" s="1">
        <f ca="1">IFERROR(__xludf.DUMMYFUNCTION("""COMPUTED_VALUE"""),44062.625)</f>
        <v>44062.625</v>
      </c>
      <c r="B1363" s="2">
        <f ca="1">IFERROR(__xludf.DUMMYFUNCTION("""COMPUTED_VALUE"""),6175)</f>
        <v>6175</v>
      </c>
      <c r="C1363" s="2">
        <f ca="1">IFERROR(__xludf.DUMMYFUNCTION("""COMPUTED_VALUE"""),6250)</f>
        <v>6250</v>
      </c>
      <c r="D1363" s="2">
        <f ca="1">IFERROR(__xludf.DUMMYFUNCTION("""COMPUTED_VALUE"""),6075)</f>
        <v>6075</v>
      </c>
      <c r="E1363" s="2">
        <f ca="1">IFERROR(__xludf.DUMMYFUNCTION("""COMPUTED_VALUE"""),6100)</f>
        <v>6100</v>
      </c>
      <c r="F1363" s="2">
        <f ca="1">IFERROR(__xludf.DUMMYFUNCTION("""COMPUTED_VALUE"""),32255900)</f>
        <v>32255900</v>
      </c>
    </row>
    <row r="1364" spans="1:6">
      <c r="A1364" s="1">
        <f ca="1">IFERROR(__xludf.DUMMYFUNCTION("""COMPUTED_VALUE"""),44067.625)</f>
        <v>44067.625</v>
      </c>
      <c r="B1364" s="2">
        <f ca="1">IFERROR(__xludf.DUMMYFUNCTION("""COMPUTED_VALUE"""),6050)</f>
        <v>6050</v>
      </c>
      <c r="C1364" s="2">
        <f ca="1">IFERROR(__xludf.DUMMYFUNCTION("""COMPUTED_VALUE"""),6175)</f>
        <v>6175</v>
      </c>
      <c r="D1364" s="2">
        <f ca="1">IFERROR(__xludf.DUMMYFUNCTION("""COMPUTED_VALUE"""),5925)</f>
        <v>5925</v>
      </c>
      <c r="E1364" s="2">
        <f ca="1">IFERROR(__xludf.DUMMYFUNCTION("""COMPUTED_VALUE"""),6000)</f>
        <v>6000</v>
      </c>
      <c r="F1364" s="2">
        <f ca="1">IFERROR(__xludf.DUMMYFUNCTION("""COMPUTED_VALUE"""),66243200)</f>
        <v>66243200</v>
      </c>
    </row>
    <row r="1365" spans="1:6">
      <c r="A1365" s="1">
        <f ca="1">IFERROR(__xludf.DUMMYFUNCTION("""COMPUTED_VALUE"""),44068.625)</f>
        <v>44068.625</v>
      </c>
      <c r="B1365" s="2">
        <f ca="1">IFERROR(__xludf.DUMMYFUNCTION("""COMPUTED_VALUE"""),6050)</f>
        <v>6050</v>
      </c>
      <c r="C1365" s="2">
        <f ca="1">IFERROR(__xludf.DUMMYFUNCTION("""COMPUTED_VALUE"""),6275)</f>
        <v>6275</v>
      </c>
      <c r="D1365" s="2">
        <f ca="1">IFERROR(__xludf.DUMMYFUNCTION("""COMPUTED_VALUE"""),6050)</f>
        <v>6050</v>
      </c>
      <c r="E1365" s="2">
        <f ca="1">IFERROR(__xludf.DUMMYFUNCTION("""COMPUTED_VALUE"""),6250)</f>
        <v>6250</v>
      </c>
      <c r="F1365" s="2">
        <f ca="1">IFERROR(__xludf.DUMMYFUNCTION("""COMPUTED_VALUE"""),66182900)</f>
        <v>66182900</v>
      </c>
    </row>
    <row r="1366" spans="1:6">
      <c r="A1366" s="1">
        <f ca="1">IFERROR(__xludf.DUMMYFUNCTION("""COMPUTED_VALUE"""),44069.625)</f>
        <v>44069.625</v>
      </c>
      <c r="B1366" s="2">
        <f ca="1">IFERROR(__xludf.DUMMYFUNCTION("""COMPUTED_VALUE"""),6250)</f>
        <v>6250</v>
      </c>
      <c r="C1366" s="2">
        <f ca="1">IFERROR(__xludf.DUMMYFUNCTION("""COMPUTED_VALUE"""),6350)</f>
        <v>6350</v>
      </c>
      <c r="D1366" s="2">
        <f ca="1">IFERROR(__xludf.DUMMYFUNCTION("""COMPUTED_VALUE"""),6175)</f>
        <v>6175</v>
      </c>
      <c r="E1366" s="2">
        <f ca="1">IFERROR(__xludf.DUMMYFUNCTION("""COMPUTED_VALUE"""),6350)</f>
        <v>6350</v>
      </c>
      <c r="F1366" s="2">
        <f ca="1">IFERROR(__xludf.DUMMYFUNCTION("""COMPUTED_VALUE"""),39351700)</f>
        <v>39351700</v>
      </c>
    </row>
    <row r="1367" spans="1:6">
      <c r="A1367" s="1">
        <f ca="1">IFERROR(__xludf.DUMMYFUNCTION("""COMPUTED_VALUE"""),44070.625)</f>
        <v>44070.625</v>
      </c>
      <c r="B1367" s="2">
        <f ca="1">IFERROR(__xludf.DUMMYFUNCTION("""COMPUTED_VALUE"""),6350)</f>
        <v>6350</v>
      </c>
      <c r="C1367" s="2">
        <f ca="1">IFERROR(__xludf.DUMMYFUNCTION("""COMPUTED_VALUE"""),6350)</f>
        <v>6350</v>
      </c>
      <c r="D1367" s="2">
        <f ca="1">IFERROR(__xludf.DUMMYFUNCTION("""COMPUTED_VALUE"""),6200)</f>
        <v>6200</v>
      </c>
      <c r="E1367" s="2">
        <f ca="1">IFERROR(__xludf.DUMMYFUNCTION("""COMPUTED_VALUE"""),6300)</f>
        <v>6300</v>
      </c>
      <c r="F1367" s="2">
        <f ca="1">IFERROR(__xludf.DUMMYFUNCTION("""COMPUTED_VALUE"""),46725100)</f>
        <v>46725100</v>
      </c>
    </row>
    <row r="1368" spans="1:6">
      <c r="A1368" s="1">
        <f ca="1">IFERROR(__xludf.DUMMYFUNCTION("""COMPUTED_VALUE"""),44071.625)</f>
        <v>44071.625</v>
      </c>
      <c r="B1368" s="2">
        <f ca="1">IFERROR(__xludf.DUMMYFUNCTION("""COMPUTED_VALUE"""),6275)</f>
        <v>6275</v>
      </c>
      <c r="C1368" s="2">
        <f ca="1">IFERROR(__xludf.DUMMYFUNCTION("""COMPUTED_VALUE"""),6350)</f>
        <v>6350</v>
      </c>
      <c r="D1368" s="2">
        <f ca="1">IFERROR(__xludf.DUMMYFUNCTION("""COMPUTED_VALUE"""),6200)</f>
        <v>6200</v>
      </c>
      <c r="E1368" s="2">
        <f ca="1">IFERROR(__xludf.DUMMYFUNCTION("""COMPUTED_VALUE"""),6225)</f>
        <v>6225</v>
      </c>
      <c r="F1368" s="2">
        <f ca="1">IFERROR(__xludf.DUMMYFUNCTION("""COMPUTED_VALUE"""),37827500)</f>
        <v>37827500</v>
      </c>
    </row>
    <row r="1369" spans="1:6">
      <c r="A1369" s="1">
        <f ca="1">IFERROR(__xludf.DUMMYFUNCTION("""COMPUTED_VALUE"""),44074.625)</f>
        <v>44074.625</v>
      </c>
      <c r="B1369" s="2">
        <f ca="1">IFERROR(__xludf.DUMMYFUNCTION("""COMPUTED_VALUE"""),6225)</f>
        <v>6225</v>
      </c>
      <c r="C1369" s="2">
        <f ca="1">IFERROR(__xludf.DUMMYFUNCTION("""COMPUTED_VALUE"""),6300)</f>
        <v>6300</v>
      </c>
      <c r="D1369" s="2">
        <f ca="1">IFERROR(__xludf.DUMMYFUNCTION("""COMPUTED_VALUE"""),5900)</f>
        <v>5900</v>
      </c>
      <c r="E1369" s="2">
        <f ca="1">IFERROR(__xludf.DUMMYFUNCTION("""COMPUTED_VALUE"""),5950)</f>
        <v>5950</v>
      </c>
      <c r="F1369" s="2">
        <f ca="1">IFERROR(__xludf.DUMMYFUNCTION("""COMPUTED_VALUE"""),111409400)</f>
        <v>111409400</v>
      </c>
    </row>
    <row r="1370" spans="1:6">
      <c r="A1370" s="1">
        <f ca="1">IFERROR(__xludf.DUMMYFUNCTION("""COMPUTED_VALUE"""),44075.625)</f>
        <v>44075.625</v>
      </c>
      <c r="B1370" s="2">
        <f ca="1">IFERROR(__xludf.DUMMYFUNCTION("""COMPUTED_VALUE"""),5975)</f>
        <v>5975</v>
      </c>
      <c r="C1370" s="2">
        <f ca="1">IFERROR(__xludf.DUMMYFUNCTION("""COMPUTED_VALUE"""),6125)</f>
        <v>6125</v>
      </c>
      <c r="D1370" s="2">
        <f ca="1">IFERROR(__xludf.DUMMYFUNCTION("""COMPUTED_VALUE"""),5875)</f>
        <v>5875</v>
      </c>
      <c r="E1370" s="2">
        <f ca="1">IFERROR(__xludf.DUMMYFUNCTION("""COMPUTED_VALUE"""),6125)</f>
        <v>6125</v>
      </c>
      <c r="F1370" s="2">
        <f ca="1">IFERROR(__xludf.DUMMYFUNCTION("""COMPUTED_VALUE"""),42665400)</f>
        <v>42665400</v>
      </c>
    </row>
    <row r="1371" spans="1:6">
      <c r="A1371" s="1">
        <f ca="1">IFERROR(__xludf.DUMMYFUNCTION("""COMPUTED_VALUE"""),44076.625)</f>
        <v>44076.625</v>
      </c>
      <c r="B1371" s="2">
        <f ca="1">IFERROR(__xludf.DUMMYFUNCTION("""COMPUTED_VALUE"""),6125)</f>
        <v>6125</v>
      </c>
      <c r="C1371" s="2">
        <f ca="1">IFERROR(__xludf.DUMMYFUNCTION("""COMPUTED_VALUE"""),6200)</f>
        <v>6200</v>
      </c>
      <c r="D1371" s="2">
        <f ca="1">IFERROR(__xludf.DUMMYFUNCTION("""COMPUTED_VALUE"""),6050)</f>
        <v>6050</v>
      </c>
      <c r="E1371" s="2">
        <f ca="1">IFERROR(__xludf.DUMMYFUNCTION("""COMPUTED_VALUE"""),6075)</f>
        <v>6075</v>
      </c>
      <c r="F1371" s="2">
        <f ca="1">IFERROR(__xludf.DUMMYFUNCTION("""COMPUTED_VALUE"""),46601800)</f>
        <v>46601800</v>
      </c>
    </row>
    <row r="1372" spans="1:6">
      <c r="A1372" s="1">
        <f ca="1">IFERROR(__xludf.DUMMYFUNCTION("""COMPUTED_VALUE"""),44077.625)</f>
        <v>44077.625</v>
      </c>
      <c r="B1372" s="2">
        <f ca="1">IFERROR(__xludf.DUMMYFUNCTION("""COMPUTED_VALUE"""),6075)</f>
        <v>6075</v>
      </c>
      <c r="C1372" s="2">
        <f ca="1">IFERROR(__xludf.DUMMYFUNCTION("""COMPUTED_VALUE"""),6150)</f>
        <v>6150</v>
      </c>
      <c r="D1372" s="2">
        <f ca="1">IFERROR(__xludf.DUMMYFUNCTION("""COMPUTED_VALUE"""),5950)</f>
        <v>5950</v>
      </c>
      <c r="E1372" s="2">
        <f ca="1">IFERROR(__xludf.DUMMYFUNCTION("""COMPUTED_VALUE"""),5975)</f>
        <v>5975</v>
      </c>
      <c r="F1372" s="2">
        <f ca="1">IFERROR(__xludf.DUMMYFUNCTION("""COMPUTED_VALUE"""),64507400)</f>
        <v>64507400</v>
      </c>
    </row>
    <row r="1373" spans="1:6">
      <c r="A1373" s="1">
        <f ca="1">IFERROR(__xludf.DUMMYFUNCTION("""COMPUTED_VALUE"""),44078.625)</f>
        <v>44078.625</v>
      </c>
      <c r="B1373" s="2">
        <f ca="1">IFERROR(__xludf.DUMMYFUNCTION("""COMPUTED_VALUE"""),5950)</f>
        <v>5950</v>
      </c>
      <c r="C1373" s="2">
        <f ca="1">IFERROR(__xludf.DUMMYFUNCTION("""COMPUTED_VALUE"""),5975)</f>
        <v>5975</v>
      </c>
      <c r="D1373" s="2">
        <f ca="1">IFERROR(__xludf.DUMMYFUNCTION("""COMPUTED_VALUE"""),5850)</f>
        <v>5850</v>
      </c>
      <c r="E1373" s="2">
        <f ca="1">IFERROR(__xludf.DUMMYFUNCTION("""COMPUTED_VALUE"""),5925)</f>
        <v>5925</v>
      </c>
      <c r="F1373" s="2">
        <f ca="1">IFERROR(__xludf.DUMMYFUNCTION("""COMPUTED_VALUE"""),53422200)</f>
        <v>53422200</v>
      </c>
    </row>
    <row r="1374" spans="1:6">
      <c r="A1374" s="1">
        <f ca="1">IFERROR(__xludf.DUMMYFUNCTION("""COMPUTED_VALUE"""),44081.625)</f>
        <v>44081.625</v>
      </c>
      <c r="B1374" s="2">
        <f ca="1">IFERROR(__xludf.DUMMYFUNCTION("""COMPUTED_VALUE"""),5925)</f>
        <v>5925</v>
      </c>
      <c r="C1374" s="2">
        <f ca="1">IFERROR(__xludf.DUMMYFUNCTION("""COMPUTED_VALUE"""),5950)</f>
        <v>5950</v>
      </c>
      <c r="D1374" s="2">
        <f ca="1">IFERROR(__xludf.DUMMYFUNCTION("""COMPUTED_VALUE"""),5775)</f>
        <v>5775</v>
      </c>
      <c r="E1374" s="2">
        <f ca="1">IFERROR(__xludf.DUMMYFUNCTION("""COMPUTED_VALUE"""),5850)</f>
        <v>5850</v>
      </c>
      <c r="F1374" s="2">
        <f ca="1">IFERROR(__xludf.DUMMYFUNCTION("""COMPUTED_VALUE"""),50336800)</f>
        <v>50336800</v>
      </c>
    </row>
    <row r="1375" spans="1:6">
      <c r="A1375" s="1">
        <f ca="1">IFERROR(__xludf.DUMMYFUNCTION("""COMPUTED_VALUE"""),44082.625)</f>
        <v>44082.625</v>
      </c>
      <c r="B1375" s="2">
        <f ca="1">IFERROR(__xludf.DUMMYFUNCTION("""COMPUTED_VALUE"""),5900)</f>
        <v>5900</v>
      </c>
      <c r="C1375" s="2">
        <f ca="1">IFERROR(__xludf.DUMMYFUNCTION("""COMPUTED_VALUE"""),6000)</f>
        <v>6000</v>
      </c>
      <c r="D1375" s="2">
        <f ca="1">IFERROR(__xludf.DUMMYFUNCTION("""COMPUTED_VALUE"""),5875)</f>
        <v>5875</v>
      </c>
      <c r="E1375" s="2">
        <f ca="1">IFERROR(__xludf.DUMMYFUNCTION("""COMPUTED_VALUE"""),5975)</f>
        <v>5975</v>
      </c>
      <c r="F1375" s="2">
        <f ca="1">IFERROR(__xludf.DUMMYFUNCTION("""COMPUTED_VALUE"""),30173000)</f>
        <v>30173000</v>
      </c>
    </row>
    <row r="1376" spans="1:6">
      <c r="A1376" s="1">
        <f ca="1">IFERROR(__xludf.DUMMYFUNCTION("""COMPUTED_VALUE"""),44083.625)</f>
        <v>44083.625</v>
      </c>
      <c r="B1376" s="2">
        <f ca="1">IFERROR(__xludf.DUMMYFUNCTION("""COMPUTED_VALUE"""),5900)</f>
        <v>5900</v>
      </c>
      <c r="C1376" s="2">
        <f ca="1">IFERROR(__xludf.DUMMYFUNCTION("""COMPUTED_VALUE"""),5900)</f>
        <v>5900</v>
      </c>
      <c r="D1376" s="2">
        <f ca="1">IFERROR(__xludf.DUMMYFUNCTION("""COMPUTED_VALUE"""),5750)</f>
        <v>5750</v>
      </c>
      <c r="E1376" s="2">
        <f ca="1">IFERROR(__xludf.DUMMYFUNCTION("""COMPUTED_VALUE"""),5775)</f>
        <v>5775</v>
      </c>
      <c r="F1376" s="2">
        <f ca="1">IFERROR(__xludf.DUMMYFUNCTION("""COMPUTED_VALUE"""),49141100)</f>
        <v>49141100</v>
      </c>
    </row>
    <row r="1377" spans="1:6">
      <c r="A1377" s="1">
        <f ca="1">IFERROR(__xludf.DUMMYFUNCTION("""COMPUTED_VALUE"""),44084.625)</f>
        <v>44084.625</v>
      </c>
      <c r="B1377" s="2">
        <f ca="1">IFERROR(__xludf.DUMMYFUNCTION("""COMPUTED_VALUE"""),5525)</f>
        <v>5525</v>
      </c>
      <c r="C1377" s="2">
        <f ca="1">IFERROR(__xludf.DUMMYFUNCTION("""COMPUTED_VALUE"""),5525)</f>
        <v>5525</v>
      </c>
      <c r="D1377" s="2">
        <f ca="1">IFERROR(__xludf.DUMMYFUNCTION("""COMPUTED_VALUE"""),5375)</f>
        <v>5375</v>
      </c>
      <c r="E1377" s="2">
        <f ca="1">IFERROR(__xludf.DUMMYFUNCTION("""COMPUTED_VALUE"""),5375)</f>
        <v>5375</v>
      </c>
      <c r="F1377" s="2">
        <f ca="1">IFERROR(__xludf.DUMMYFUNCTION("""COMPUTED_VALUE"""),86387600)</f>
        <v>86387600</v>
      </c>
    </row>
    <row r="1378" spans="1:6">
      <c r="A1378" s="1">
        <f ca="1">IFERROR(__xludf.DUMMYFUNCTION("""COMPUTED_VALUE"""),44085.625)</f>
        <v>44085.625</v>
      </c>
      <c r="B1378" s="2">
        <f ca="1">IFERROR(__xludf.DUMMYFUNCTION("""COMPUTED_VALUE"""),5050)</f>
        <v>5050</v>
      </c>
      <c r="C1378" s="2">
        <f ca="1">IFERROR(__xludf.DUMMYFUNCTION("""COMPUTED_VALUE"""),5525)</f>
        <v>5525</v>
      </c>
      <c r="D1378" s="2">
        <f ca="1">IFERROR(__xludf.DUMMYFUNCTION("""COMPUTED_VALUE"""),5050)</f>
        <v>5050</v>
      </c>
      <c r="E1378" s="2">
        <f ca="1">IFERROR(__xludf.DUMMYFUNCTION("""COMPUTED_VALUE"""),5475)</f>
        <v>5475</v>
      </c>
      <c r="F1378" s="2">
        <f ca="1">IFERROR(__xludf.DUMMYFUNCTION("""COMPUTED_VALUE"""),135577900)</f>
        <v>135577900</v>
      </c>
    </row>
    <row r="1379" spans="1:6">
      <c r="A1379" s="1">
        <f ca="1">IFERROR(__xludf.DUMMYFUNCTION("""COMPUTED_VALUE"""),44088.625)</f>
        <v>44088.625</v>
      </c>
      <c r="B1379" s="2">
        <f ca="1">IFERROR(__xludf.DUMMYFUNCTION("""COMPUTED_VALUE"""),5475)</f>
        <v>5475</v>
      </c>
      <c r="C1379" s="2">
        <f ca="1">IFERROR(__xludf.DUMMYFUNCTION("""COMPUTED_VALUE"""),5775)</f>
        <v>5775</v>
      </c>
      <c r="D1379" s="2">
        <f ca="1">IFERROR(__xludf.DUMMYFUNCTION("""COMPUTED_VALUE"""),5475)</f>
        <v>5475</v>
      </c>
      <c r="E1379" s="2">
        <f ca="1">IFERROR(__xludf.DUMMYFUNCTION("""COMPUTED_VALUE"""),5750)</f>
        <v>5750</v>
      </c>
      <c r="F1379" s="2">
        <f ca="1">IFERROR(__xludf.DUMMYFUNCTION("""COMPUTED_VALUE"""),71784900)</f>
        <v>71784900</v>
      </c>
    </row>
    <row r="1380" spans="1:6">
      <c r="A1380" s="1">
        <f ca="1">IFERROR(__xludf.DUMMYFUNCTION("""COMPUTED_VALUE"""),44089.625)</f>
        <v>44089.625</v>
      </c>
      <c r="B1380" s="2">
        <f ca="1">IFERROR(__xludf.DUMMYFUNCTION("""COMPUTED_VALUE"""),5750)</f>
        <v>5750</v>
      </c>
      <c r="C1380" s="2">
        <f ca="1">IFERROR(__xludf.DUMMYFUNCTION("""COMPUTED_VALUE"""),5825)</f>
        <v>5825</v>
      </c>
      <c r="D1380" s="2">
        <f ca="1">IFERROR(__xludf.DUMMYFUNCTION("""COMPUTED_VALUE"""),5600)</f>
        <v>5600</v>
      </c>
      <c r="E1380" s="2">
        <f ca="1">IFERROR(__xludf.DUMMYFUNCTION("""COMPUTED_VALUE"""),5675)</f>
        <v>5675</v>
      </c>
      <c r="F1380" s="2">
        <f ca="1">IFERROR(__xludf.DUMMYFUNCTION("""COMPUTED_VALUE"""),64463700)</f>
        <v>64463700</v>
      </c>
    </row>
    <row r="1381" spans="1:6">
      <c r="A1381" s="1">
        <f ca="1">IFERROR(__xludf.DUMMYFUNCTION("""COMPUTED_VALUE"""),44090.625)</f>
        <v>44090.625</v>
      </c>
      <c r="B1381" s="2">
        <f ca="1">IFERROR(__xludf.DUMMYFUNCTION("""COMPUTED_VALUE"""),5750)</f>
        <v>5750</v>
      </c>
      <c r="C1381" s="2">
        <f ca="1">IFERROR(__xludf.DUMMYFUNCTION("""COMPUTED_VALUE"""),5750)</f>
        <v>5750</v>
      </c>
      <c r="D1381" s="2">
        <f ca="1">IFERROR(__xludf.DUMMYFUNCTION("""COMPUTED_VALUE"""),5625)</f>
        <v>5625</v>
      </c>
      <c r="E1381" s="2">
        <f ca="1">IFERROR(__xludf.DUMMYFUNCTION("""COMPUTED_VALUE"""),5650)</f>
        <v>5650</v>
      </c>
      <c r="F1381" s="2">
        <f ca="1">IFERROR(__xludf.DUMMYFUNCTION("""COMPUTED_VALUE"""),28968000)</f>
        <v>28968000</v>
      </c>
    </row>
    <row r="1382" spans="1:6">
      <c r="A1382" s="1">
        <f ca="1">IFERROR(__xludf.DUMMYFUNCTION("""COMPUTED_VALUE"""),44091.625)</f>
        <v>44091.625</v>
      </c>
      <c r="B1382" s="2">
        <f ca="1">IFERROR(__xludf.DUMMYFUNCTION("""COMPUTED_VALUE"""),5600)</f>
        <v>5600</v>
      </c>
      <c r="C1382" s="2">
        <f ca="1">IFERROR(__xludf.DUMMYFUNCTION("""COMPUTED_VALUE"""),5750)</f>
        <v>5750</v>
      </c>
      <c r="D1382" s="2">
        <f ca="1">IFERROR(__xludf.DUMMYFUNCTION("""COMPUTED_VALUE"""),5525)</f>
        <v>5525</v>
      </c>
      <c r="E1382" s="2">
        <f ca="1">IFERROR(__xludf.DUMMYFUNCTION("""COMPUTED_VALUE"""),5575)</f>
        <v>5575</v>
      </c>
      <c r="F1382" s="2">
        <f ca="1">IFERROR(__xludf.DUMMYFUNCTION("""COMPUTED_VALUE"""),38216000)</f>
        <v>38216000</v>
      </c>
    </row>
    <row r="1383" spans="1:6">
      <c r="A1383" s="1">
        <f ca="1">IFERROR(__xludf.DUMMYFUNCTION("""COMPUTED_VALUE"""),44092.625)</f>
        <v>44092.625</v>
      </c>
      <c r="B1383" s="2">
        <f ca="1">IFERROR(__xludf.DUMMYFUNCTION("""COMPUTED_VALUE"""),5575)</f>
        <v>5575</v>
      </c>
      <c r="C1383" s="2">
        <f ca="1">IFERROR(__xludf.DUMMYFUNCTION("""COMPUTED_VALUE"""),5675)</f>
        <v>5675</v>
      </c>
      <c r="D1383" s="2">
        <f ca="1">IFERROR(__xludf.DUMMYFUNCTION("""COMPUTED_VALUE"""),5500)</f>
        <v>5500</v>
      </c>
      <c r="E1383" s="2">
        <f ca="1">IFERROR(__xludf.DUMMYFUNCTION("""COMPUTED_VALUE"""),5575)</f>
        <v>5575</v>
      </c>
      <c r="F1383" s="2">
        <f ca="1">IFERROR(__xludf.DUMMYFUNCTION("""COMPUTED_VALUE"""),45798300)</f>
        <v>45798300</v>
      </c>
    </row>
    <row r="1384" spans="1:6">
      <c r="A1384" s="1">
        <f ca="1">IFERROR(__xludf.DUMMYFUNCTION("""COMPUTED_VALUE"""),44095.625)</f>
        <v>44095.625</v>
      </c>
      <c r="B1384" s="2">
        <f ca="1">IFERROR(__xludf.DUMMYFUNCTION("""COMPUTED_VALUE"""),5575)</f>
        <v>5575</v>
      </c>
      <c r="C1384" s="2">
        <f ca="1">IFERROR(__xludf.DUMMYFUNCTION("""COMPUTED_VALUE"""),5625)</f>
        <v>5625</v>
      </c>
      <c r="D1384" s="2">
        <f ca="1">IFERROR(__xludf.DUMMYFUNCTION("""COMPUTED_VALUE"""),5400)</f>
        <v>5400</v>
      </c>
      <c r="E1384" s="2">
        <f ca="1">IFERROR(__xludf.DUMMYFUNCTION("""COMPUTED_VALUE"""),5475)</f>
        <v>5475</v>
      </c>
      <c r="F1384" s="2">
        <f ca="1">IFERROR(__xludf.DUMMYFUNCTION("""COMPUTED_VALUE"""),26465000)</f>
        <v>26465000</v>
      </c>
    </row>
    <row r="1385" spans="1:6">
      <c r="A1385" s="1">
        <f ca="1">IFERROR(__xludf.DUMMYFUNCTION("""COMPUTED_VALUE"""),44096.625)</f>
        <v>44096.625</v>
      </c>
      <c r="B1385" s="2">
        <f ca="1">IFERROR(__xludf.DUMMYFUNCTION("""COMPUTED_VALUE"""),5300)</f>
        <v>5300</v>
      </c>
      <c r="C1385" s="2">
        <f ca="1">IFERROR(__xludf.DUMMYFUNCTION("""COMPUTED_VALUE"""),5425)</f>
        <v>5425</v>
      </c>
      <c r="D1385" s="2">
        <f ca="1">IFERROR(__xludf.DUMMYFUNCTION("""COMPUTED_VALUE"""),5275)</f>
        <v>5275</v>
      </c>
      <c r="E1385" s="2">
        <f ca="1">IFERROR(__xludf.DUMMYFUNCTION("""COMPUTED_VALUE"""),5300)</f>
        <v>5300</v>
      </c>
      <c r="F1385" s="2">
        <f ca="1">IFERROR(__xludf.DUMMYFUNCTION("""COMPUTED_VALUE"""),56798300)</f>
        <v>56798300</v>
      </c>
    </row>
    <row r="1386" spans="1:6">
      <c r="A1386" s="1">
        <f ca="1">IFERROR(__xludf.DUMMYFUNCTION("""COMPUTED_VALUE"""),44097.625)</f>
        <v>44097.625</v>
      </c>
      <c r="B1386" s="2">
        <f ca="1">IFERROR(__xludf.DUMMYFUNCTION("""COMPUTED_VALUE"""),5300)</f>
        <v>5300</v>
      </c>
      <c r="C1386" s="2">
        <f ca="1">IFERROR(__xludf.DUMMYFUNCTION("""COMPUTED_VALUE"""),5375)</f>
        <v>5375</v>
      </c>
      <c r="D1386" s="2">
        <f ca="1">IFERROR(__xludf.DUMMYFUNCTION("""COMPUTED_VALUE"""),5125)</f>
        <v>5125</v>
      </c>
      <c r="E1386" s="2">
        <f ca="1">IFERROR(__xludf.DUMMYFUNCTION("""COMPUTED_VALUE"""),5200)</f>
        <v>5200</v>
      </c>
      <c r="F1386" s="2">
        <f ca="1">IFERROR(__xludf.DUMMYFUNCTION("""COMPUTED_VALUE"""),42355400)</f>
        <v>42355400</v>
      </c>
    </row>
    <row r="1387" spans="1:6">
      <c r="A1387" s="1">
        <f ca="1">IFERROR(__xludf.DUMMYFUNCTION("""COMPUTED_VALUE"""),44098.625)</f>
        <v>44098.625</v>
      </c>
      <c r="B1387" s="2">
        <f ca="1">IFERROR(__xludf.DUMMYFUNCTION("""COMPUTED_VALUE"""),5050)</f>
        <v>5050</v>
      </c>
      <c r="C1387" s="2">
        <f ca="1">IFERROR(__xludf.DUMMYFUNCTION("""COMPUTED_VALUE"""),5150)</f>
        <v>5150</v>
      </c>
      <c r="D1387" s="2">
        <f ca="1">IFERROR(__xludf.DUMMYFUNCTION("""COMPUTED_VALUE"""),5000)</f>
        <v>5000</v>
      </c>
      <c r="E1387" s="2">
        <f ca="1">IFERROR(__xludf.DUMMYFUNCTION("""COMPUTED_VALUE"""),5075)</f>
        <v>5075</v>
      </c>
      <c r="F1387" s="2">
        <f ca="1">IFERROR(__xludf.DUMMYFUNCTION("""COMPUTED_VALUE"""),60982500)</f>
        <v>60982500</v>
      </c>
    </row>
    <row r="1388" spans="1:6">
      <c r="A1388" s="1">
        <f ca="1">IFERROR(__xludf.DUMMYFUNCTION("""COMPUTED_VALUE"""),44099.625)</f>
        <v>44099.625</v>
      </c>
      <c r="B1388" s="2">
        <f ca="1">IFERROR(__xludf.DUMMYFUNCTION("""COMPUTED_VALUE"""),5200)</f>
        <v>5200</v>
      </c>
      <c r="C1388" s="2">
        <f ca="1">IFERROR(__xludf.DUMMYFUNCTION("""COMPUTED_VALUE"""),5350)</f>
        <v>5350</v>
      </c>
      <c r="D1388" s="2">
        <f ca="1">IFERROR(__xludf.DUMMYFUNCTION("""COMPUTED_VALUE"""),5075)</f>
        <v>5075</v>
      </c>
      <c r="E1388" s="2">
        <f ca="1">IFERROR(__xludf.DUMMYFUNCTION("""COMPUTED_VALUE"""),5350)</f>
        <v>5350</v>
      </c>
      <c r="F1388" s="2">
        <f ca="1">IFERROR(__xludf.DUMMYFUNCTION("""COMPUTED_VALUE"""),70227800)</f>
        <v>70227800</v>
      </c>
    </row>
    <row r="1389" spans="1:6">
      <c r="A1389" s="1">
        <f ca="1">IFERROR(__xludf.DUMMYFUNCTION("""COMPUTED_VALUE"""),44102.625)</f>
        <v>44102.625</v>
      </c>
      <c r="B1389" s="2">
        <f ca="1">IFERROR(__xludf.DUMMYFUNCTION("""COMPUTED_VALUE"""),5400)</f>
        <v>5400</v>
      </c>
      <c r="C1389" s="2">
        <f ca="1">IFERROR(__xludf.DUMMYFUNCTION("""COMPUTED_VALUE"""),5425)</f>
        <v>5425</v>
      </c>
      <c r="D1389" s="2">
        <f ca="1">IFERROR(__xludf.DUMMYFUNCTION("""COMPUTED_VALUE"""),5150)</f>
        <v>5150</v>
      </c>
      <c r="E1389" s="2">
        <f ca="1">IFERROR(__xludf.DUMMYFUNCTION("""COMPUTED_VALUE"""),5150)</f>
        <v>5150</v>
      </c>
      <c r="F1389" s="2">
        <f ca="1">IFERROR(__xludf.DUMMYFUNCTION("""COMPUTED_VALUE"""),49851300)</f>
        <v>49851300</v>
      </c>
    </row>
    <row r="1390" spans="1:6">
      <c r="A1390" s="1">
        <f ca="1">IFERROR(__xludf.DUMMYFUNCTION("""COMPUTED_VALUE"""),44103.625)</f>
        <v>44103.625</v>
      </c>
      <c r="B1390" s="2">
        <f ca="1">IFERROR(__xludf.DUMMYFUNCTION("""COMPUTED_VALUE"""),5200)</f>
        <v>5200</v>
      </c>
      <c r="C1390" s="2">
        <f ca="1">IFERROR(__xludf.DUMMYFUNCTION("""COMPUTED_VALUE"""),5250)</f>
        <v>5250</v>
      </c>
      <c r="D1390" s="2">
        <f ca="1">IFERROR(__xludf.DUMMYFUNCTION("""COMPUTED_VALUE"""),5025)</f>
        <v>5025</v>
      </c>
      <c r="E1390" s="2">
        <f ca="1">IFERROR(__xludf.DUMMYFUNCTION("""COMPUTED_VALUE"""),5075)</f>
        <v>5075</v>
      </c>
      <c r="F1390" s="2">
        <f ca="1">IFERROR(__xludf.DUMMYFUNCTION("""COMPUTED_VALUE"""),55662800)</f>
        <v>55662800</v>
      </c>
    </row>
    <row r="1391" spans="1:6">
      <c r="A1391" s="1">
        <f ca="1">IFERROR(__xludf.DUMMYFUNCTION("""COMPUTED_VALUE"""),44104.625)</f>
        <v>44104.625</v>
      </c>
      <c r="B1391" s="2">
        <f ca="1">IFERROR(__xludf.DUMMYFUNCTION("""COMPUTED_VALUE"""),5100)</f>
        <v>5100</v>
      </c>
      <c r="C1391" s="2">
        <f ca="1">IFERROR(__xludf.DUMMYFUNCTION("""COMPUTED_VALUE"""),5150)</f>
        <v>5150</v>
      </c>
      <c r="D1391" s="2">
        <f ca="1">IFERROR(__xludf.DUMMYFUNCTION("""COMPUTED_VALUE"""),4860)</f>
        <v>4860</v>
      </c>
      <c r="E1391" s="2">
        <f ca="1">IFERROR(__xludf.DUMMYFUNCTION("""COMPUTED_VALUE"""),4960)</f>
        <v>4960</v>
      </c>
      <c r="F1391" s="2">
        <f ca="1">IFERROR(__xludf.DUMMYFUNCTION("""COMPUTED_VALUE"""),75764900)</f>
        <v>75764900</v>
      </c>
    </row>
    <row r="1392" spans="1:6">
      <c r="A1392" s="1">
        <f ca="1">IFERROR(__xludf.DUMMYFUNCTION("""COMPUTED_VALUE"""),44105.625)</f>
        <v>44105.625</v>
      </c>
      <c r="B1392" s="2">
        <f ca="1">IFERROR(__xludf.DUMMYFUNCTION("""COMPUTED_VALUE"""),5000)</f>
        <v>5000</v>
      </c>
      <c r="C1392" s="2">
        <f ca="1">IFERROR(__xludf.DUMMYFUNCTION("""COMPUTED_VALUE"""),5200)</f>
        <v>5200</v>
      </c>
      <c r="D1392" s="2">
        <f ca="1">IFERROR(__xludf.DUMMYFUNCTION("""COMPUTED_VALUE"""),4980)</f>
        <v>4980</v>
      </c>
      <c r="E1392" s="2">
        <f ca="1">IFERROR(__xludf.DUMMYFUNCTION("""COMPUTED_VALUE"""),5200)</f>
        <v>5200</v>
      </c>
      <c r="F1392" s="2">
        <f ca="1">IFERROR(__xludf.DUMMYFUNCTION("""COMPUTED_VALUE"""),39477100)</f>
        <v>39477100</v>
      </c>
    </row>
    <row r="1393" spans="1:6">
      <c r="A1393" s="1">
        <f ca="1">IFERROR(__xludf.DUMMYFUNCTION("""COMPUTED_VALUE"""),44106.625)</f>
        <v>44106.625</v>
      </c>
      <c r="B1393" s="2">
        <f ca="1">IFERROR(__xludf.DUMMYFUNCTION("""COMPUTED_VALUE"""),5175)</f>
        <v>5175</v>
      </c>
      <c r="C1393" s="2">
        <f ca="1">IFERROR(__xludf.DUMMYFUNCTION("""COMPUTED_VALUE"""),5225)</f>
        <v>5225</v>
      </c>
      <c r="D1393" s="2">
        <f ca="1">IFERROR(__xludf.DUMMYFUNCTION("""COMPUTED_VALUE"""),5000)</f>
        <v>5000</v>
      </c>
      <c r="E1393" s="2">
        <f ca="1">IFERROR(__xludf.DUMMYFUNCTION("""COMPUTED_VALUE"""),5200)</f>
        <v>5200</v>
      </c>
      <c r="F1393" s="2">
        <f ca="1">IFERROR(__xludf.DUMMYFUNCTION("""COMPUTED_VALUE"""),49571700)</f>
        <v>49571700</v>
      </c>
    </row>
    <row r="1394" spans="1:6">
      <c r="A1394" s="1">
        <f ca="1">IFERROR(__xludf.DUMMYFUNCTION("""COMPUTED_VALUE"""),44109.625)</f>
        <v>44109.625</v>
      </c>
      <c r="B1394" s="2">
        <f ca="1">IFERROR(__xludf.DUMMYFUNCTION("""COMPUTED_VALUE"""),5250)</f>
        <v>5250</v>
      </c>
      <c r="C1394" s="2">
        <f ca="1">IFERROR(__xludf.DUMMYFUNCTION("""COMPUTED_VALUE"""),5375)</f>
        <v>5375</v>
      </c>
      <c r="D1394" s="2">
        <f ca="1">IFERROR(__xludf.DUMMYFUNCTION("""COMPUTED_VALUE"""),5175)</f>
        <v>5175</v>
      </c>
      <c r="E1394" s="2">
        <f ca="1">IFERROR(__xludf.DUMMYFUNCTION("""COMPUTED_VALUE"""),5350)</f>
        <v>5350</v>
      </c>
      <c r="F1394" s="2">
        <f ca="1">IFERROR(__xludf.DUMMYFUNCTION("""COMPUTED_VALUE"""),37150400)</f>
        <v>37150400</v>
      </c>
    </row>
    <row r="1395" spans="1:6">
      <c r="A1395" s="1">
        <f ca="1">IFERROR(__xludf.DUMMYFUNCTION("""COMPUTED_VALUE"""),44110.625)</f>
        <v>44110.625</v>
      </c>
      <c r="B1395" s="2">
        <f ca="1">IFERROR(__xludf.DUMMYFUNCTION("""COMPUTED_VALUE"""),5500)</f>
        <v>5500</v>
      </c>
      <c r="C1395" s="2">
        <f ca="1">IFERROR(__xludf.DUMMYFUNCTION("""COMPUTED_VALUE"""),5550)</f>
        <v>5550</v>
      </c>
      <c r="D1395" s="2">
        <f ca="1">IFERROR(__xludf.DUMMYFUNCTION("""COMPUTED_VALUE"""),5450)</f>
        <v>5450</v>
      </c>
      <c r="E1395" s="2">
        <f ca="1">IFERROR(__xludf.DUMMYFUNCTION("""COMPUTED_VALUE"""),5500)</f>
        <v>5500</v>
      </c>
      <c r="F1395" s="2">
        <f ca="1">IFERROR(__xludf.DUMMYFUNCTION("""COMPUTED_VALUE"""),44552200)</f>
        <v>44552200</v>
      </c>
    </row>
    <row r="1396" spans="1:6">
      <c r="A1396" s="1">
        <f ca="1">IFERROR(__xludf.DUMMYFUNCTION("""COMPUTED_VALUE"""),44111.625)</f>
        <v>44111.625</v>
      </c>
      <c r="B1396" s="2">
        <f ca="1">IFERROR(__xludf.DUMMYFUNCTION("""COMPUTED_VALUE"""),5400)</f>
        <v>5400</v>
      </c>
      <c r="C1396" s="2">
        <f ca="1">IFERROR(__xludf.DUMMYFUNCTION("""COMPUTED_VALUE"""),5550)</f>
        <v>5550</v>
      </c>
      <c r="D1396" s="2">
        <f ca="1">IFERROR(__xludf.DUMMYFUNCTION("""COMPUTED_VALUE"""),5375)</f>
        <v>5375</v>
      </c>
      <c r="E1396" s="2">
        <f ca="1">IFERROR(__xludf.DUMMYFUNCTION("""COMPUTED_VALUE"""),5550)</f>
        <v>5550</v>
      </c>
      <c r="F1396" s="2">
        <f ca="1">IFERROR(__xludf.DUMMYFUNCTION("""COMPUTED_VALUE"""),44374300)</f>
        <v>44374300</v>
      </c>
    </row>
    <row r="1397" spans="1:6">
      <c r="A1397" s="1">
        <f ca="1">IFERROR(__xludf.DUMMYFUNCTION("""COMPUTED_VALUE"""),44112.625)</f>
        <v>44112.625</v>
      </c>
      <c r="B1397" s="2">
        <f ca="1">IFERROR(__xludf.DUMMYFUNCTION("""COMPUTED_VALUE"""),5550)</f>
        <v>5550</v>
      </c>
      <c r="C1397" s="2">
        <f ca="1">IFERROR(__xludf.DUMMYFUNCTION("""COMPUTED_VALUE"""),5575)</f>
        <v>5575</v>
      </c>
      <c r="D1397" s="2">
        <f ca="1">IFERROR(__xludf.DUMMYFUNCTION("""COMPUTED_VALUE"""),5425)</f>
        <v>5425</v>
      </c>
      <c r="E1397" s="2">
        <f ca="1">IFERROR(__xludf.DUMMYFUNCTION("""COMPUTED_VALUE"""),5450)</f>
        <v>5450</v>
      </c>
      <c r="F1397" s="2">
        <f ca="1">IFERROR(__xludf.DUMMYFUNCTION("""COMPUTED_VALUE"""),44381700)</f>
        <v>44381700</v>
      </c>
    </row>
    <row r="1398" spans="1:6">
      <c r="A1398" s="1">
        <f ca="1">IFERROR(__xludf.DUMMYFUNCTION("""COMPUTED_VALUE"""),44113.625)</f>
        <v>44113.625</v>
      </c>
      <c r="B1398" s="2">
        <f ca="1">IFERROR(__xludf.DUMMYFUNCTION("""COMPUTED_VALUE"""),5450)</f>
        <v>5450</v>
      </c>
      <c r="C1398" s="2">
        <f ca="1">IFERROR(__xludf.DUMMYFUNCTION("""COMPUTED_VALUE"""),5575)</f>
        <v>5575</v>
      </c>
      <c r="D1398" s="2">
        <f ca="1">IFERROR(__xludf.DUMMYFUNCTION("""COMPUTED_VALUE"""),5450)</f>
        <v>5450</v>
      </c>
      <c r="E1398" s="2">
        <f ca="1">IFERROR(__xludf.DUMMYFUNCTION("""COMPUTED_VALUE"""),5550)</f>
        <v>5550</v>
      </c>
      <c r="F1398" s="2">
        <f ca="1">IFERROR(__xludf.DUMMYFUNCTION("""COMPUTED_VALUE"""),45124300)</f>
        <v>45124300</v>
      </c>
    </row>
    <row r="1399" spans="1:6">
      <c r="A1399" s="1">
        <f ca="1">IFERROR(__xludf.DUMMYFUNCTION("""COMPUTED_VALUE"""),44116.625)</f>
        <v>44116.625</v>
      </c>
      <c r="B1399" s="2">
        <f ca="1">IFERROR(__xludf.DUMMYFUNCTION("""COMPUTED_VALUE"""),5575)</f>
        <v>5575</v>
      </c>
      <c r="C1399" s="2">
        <f ca="1">IFERROR(__xludf.DUMMYFUNCTION("""COMPUTED_VALUE"""),5650)</f>
        <v>5650</v>
      </c>
      <c r="D1399" s="2">
        <f ca="1">IFERROR(__xludf.DUMMYFUNCTION("""COMPUTED_VALUE"""),5550)</f>
        <v>5550</v>
      </c>
      <c r="E1399" s="2">
        <f ca="1">IFERROR(__xludf.DUMMYFUNCTION("""COMPUTED_VALUE"""),5625)</f>
        <v>5625</v>
      </c>
      <c r="F1399" s="2">
        <f ca="1">IFERROR(__xludf.DUMMYFUNCTION("""COMPUTED_VALUE"""),38973500)</f>
        <v>38973500</v>
      </c>
    </row>
    <row r="1400" spans="1:6">
      <c r="A1400" s="1">
        <f ca="1">IFERROR(__xludf.DUMMYFUNCTION("""COMPUTED_VALUE"""),44117.625)</f>
        <v>44117.625</v>
      </c>
      <c r="B1400" s="2">
        <f ca="1">IFERROR(__xludf.DUMMYFUNCTION("""COMPUTED_VALUE"""),5625)</f>
        <v>5625</v>
      </c>
      <c r="C1400" s="2">
        <f ca="1">IFERROR(__xludf.DUMMYFUNCTION("""COMPUTED_VALUE"""),5675)</f>
        <v>5675</v>
      </c>
      <c r="D1400" s="2">
        <f ca="1">IFERROR(__xludf.DUMMYFUNCTION("""COMPUTED_VALUE"""),5525)</f>
        <v>5525</v>
      </c>
      <c r="E1400" s="2">
        <f ca="1">IFERROR(__xludf.DUMMYFUNCTION("""COMPUTED_VALUE"""),5675)</f>
        <v>5675</v>
      </c>
      <c r="F1400" s="2">
        <f ca="1">IFERROR(__xludf.DUMMYFUNCTION("""COMPUTED_VALUE"""),34931700)</f>
        <v>34931700</v>
      </c>
    </row>
    <row r="1401" spans="1:6">
      <c r="A1401" s="1">
        <f ca="1">IFERROR(__xludf.DUMMYFUNCTION("""COMPUTED_VALUE"""),44118.625)</f>
        <v>44118.625</v>
      </c>
      <c r="B1401" s="2">
        <f ca="1">IFERROR(__xludf.DUMMYFUNCTION("""COMPUTED_VALUE"""),5725)</f>
        <v>5725</v>
      </c>
      <c r="C1401" s="2">
        <f ca="1">IFERROR(__xludf.DUMMYFUNCTION("""COMPUTED_VALUE"""),5775)</f>
        <v>5775</v>
      </c>
      <c r="D1401" s="2">
        <f ca="1">IFERROR(__xludf.DUMMYFUNCTION("""COMPUTED_VALUE"""),5625)</f>
        <v>5625</v>
      </c>
      <c r="E1401" s="2">
        <f ca="1">IFERROR(__xludf.DUMMYFUNCTION("""COMPUTED_VALUE"""),5775)</f>
        <v>5775</v>
      </c>
      <c r="F1401" s="2">
        <f ca="1">IFERROR(__xludf.DUMMYFUNCTION("""COMPUTED_VALUE"""),54893600)</f>
        <v>54893600</v>
      </c>
    </row>
    <row r="1402" spans="1:6">
      <c r="A1402" s="1">
        <f ca="1">IFERROR(__xludf.DUMMYFUNCTION("""COMPUTED_VALUE"""),44119.625)</f>
        <v>44119.625</v>
      </c>
      <c r="B1402" s="2">
        <f ca="1">IFERROR(__xludf.DUMMYFUNCTION("""COMPUTED_VALUE"""),5700)</f>
        <v>5700</v>
      </c>
      <c r="C1402" s="2">
        <f ca="1">IFERROR(__xludf.DUMMYFUNCTION("""COMPUTED_VALUE"""),5750)</f>
        <v>5750</v>
      </c>
      <c r="D1402" s="2">
        <f ca="1">IFERROR(__xludf.DUMMYFUNCTION("""COMPUTED_VALUE"""),5600)</f>
        <v>5600</v>
      </c>
      <c r="E1402" s="2">
        <f ca="1">IFERROR(__xludf.DUMMYFUNCTION("""COMPUTED_VALUE"""),5600)</f>
        <v>5600</v>
      </c>
      <c r="F1402" s="2">
        <f ca="1">IFERROR(__xludf.DUMMYFUNCTION("""COMPUTED_VALUE"""),38644600)</f>
        <v>38644600</v>
      </c>
    </row>
    <row r="1403" spans="1:6">
      <c r="A1403" s="1">
        <f ca="1">IFERROR(__xludf.DUMMYFUNCTION("""COMPUTED_VALUE"""),44120.625)</f>
        <v>44120.625</v>
      </c>
      <c r="B1403" s="2">
        <f ca="1">IFERROR(__xludf.DUMMYFUNCTION("""COMPUTED_VALUE"""),5600)</f>
        <v>5600</v>
      </c>
      <c r="C1403" s="2">
        <f ca="1">IFERROR(__xludf.DUMMYFUNCTION("""COMPUTED_VALUE"""),5650)</f>
        <v>5650</v>
      </c>
      <c r="D1403" s="2">
        <f ca="1">IFERROR(__xludf.DUMMYFUNCTION("""COMPUTED_VALUE"""),5450)</f>
        <v>5450</v>
      </c>
      <c r="E1403" s="2">
        <f ca="1">IFERROR(__xludf.DUMMYFUNCTION("""COMPUTED_VALUE"""),5575)</f>
        <v>5575</v>
      </c>
      <c r="F1403" s="2">
        <f ca="1">IFERROR(__xludf.DUMMYFUNCTION("""COMPUTED_VALUE"""),33908900)</f>
        <v>33908900</v>
      </c>
    </row>
    <row r="1404" spans="1:6">
      <c r="A1404" s="1">
        <f ca="1">IFERROR(__xludf.DUMMYFUNCTION("""COMPUTED_VALUE"""),44123.625)</f>
        <v>44123.625</v>
      </c>
      <c r="B1404" s="2">
        <f ca="1">IFERROR(__xludf.DUMMYFUNCTION("""COMPUTED_VALUE"""),5600)</f>
        <v>5600</v>
      </c>
      <c r="C1404" s="2">
        <f ca="1">IFERROR(__xludf.DUMMYFUNCTION("""COMPUTED_VALUE"""),5725)</f>
        <v>5725</v>
      </c>
      <c r="D1404" s="2">
        <f ca="1">IFERROR(__xludf.DUMMYFUNCTION("""COMPUTED_VALUE"""),5575)</f>
        <v>5575</v>
      </c>
      <c r="E1404" s="2">
        <f ca="1">IFERROR(__xludf.DUMMYFUNCTION("""COMPUTED_VALUE"""),5700)</f>
        <v>5700</v>
      </c>
      <c r="F1404" s="2">
        <f ca="1">IFERROR(__xludf.DUMMYFUNCTION("""COMPUTED_VALUE"""),29468100)</f>
        <v>29468100</v>
      </c>
    </row>
    <row r="1405" spans="1:6">
      <c r="A1405" s="1">
        <f ca="1">IFERROR(__xludf.DUMMYFUNCTION("""COMPUTED_VALUE"""),44124.625)</f>
        <v>44124.625</v>
      </c>
      <c r="B1405" s="2">
        <f ca="1">IFERROR(__xludf.DUMMYFUNCTION("""COMPUTED_VALUE"""),5725)</f>
        <v>5725</v>
      </c>
      <c r="C1405" s="2">
        <f ca="1">IFERROR(__xludf.DUMMYFUNCTION("""COMPUTED_VALUE"""),5750)</f>
        <v>5750</v>
      </c>
      <c r="D1405" s="2">
        <f ca="1">IFERROR(__xludf.DUMMYFUNCTION("""COMPUTED_VALUE"""),5600)</f>
        <v>5600</v>
      </c>
      <c r="E1405" s="2">
        <f ca="1">IFERROR(__xludf.DUMMYFUNCTION("""COMPUTED_VALUE"""),5650)</f>
        <v>5650</v>
      </c>
      <c r="F1405" s="2">
        <f ca="1">IFERROR(__xludf.DUMMYFUNCTION("""COMPUTED_VALUE"""),38606600)</f>
        <v>38606600</v>
      </c>
    </row>
    <row r="1406" spans="1:6">
      <c r="A1406" s="1">
        <f ca="1">IFERROR(__xludf.DUMMYFUNCTION("""COMPUTED_VALUE"""),44125.625)</f>
        <v>44125.625</v>
      </c>
      <c r="B1406" s="2">
        <f ca="1">IFERROR(__xludf.DUMMYFUNCTION("""COMPUTED_VALUE"""),5675)</f>
        <v>5675</v>
      </c>
      <c r="C1406" s="2">
        <f ca="1">IFERROR(__xludf.DUMMYFUNCTION("""COMPUTED_VALUE"""),5725)</f>
        <v>5725</v>
      </c>
      <c r="D1406" s="2">
        <f ca="1">IFERROR(__xludf.DUMMYFUNCTION("""COMPUTED_VALUE"""),5475)</f>
        <v>5475</v>
      </c>
      <c r="E1406" s="2">
        <f ca="1">IFERROR(__xludf.DUMMYFUNCTION("""COMPUTED_VALUE"""),5525)</f>
        <v>5525</v>
      </c>
      <c r="F1406" s="2">
        <f ca="1">IFERROR(__xludf.DUMMYFUNCTION("""COMPUTED_VALUE"""),56950900)</f>
        <v>56950900</v>
      </c>
    </row>
    <row r="1407" spans="1:6">
      <c r="A1407" s="1">
        <f ca="1">IFERROR(__xludf.DUMMYFUNCTION("""COMPUTED_VALUE"""),44126.625)</f>
        <v>44126.625</v>
      </c>
      <c r="B1407" s="2">
        <f ca="1">IFERROR(__xludf.DUMMYFUNCTION("""COMPUTED_VALUE"""),5500)</f>
        <v>5500</v>
      </c>
      <c r="C1407" s="2">
        <f ca="1">IFERROR(__xludf.DUMMYFUNCTION("""COMPUTED_VALUE"""),5550)</f>
        <v>5550</v>
      </c>
      <c r="D1407" s="2">
        <f ca="1">IFERROR(__xludf.DUMMYFUNCTION("""COMPUTED_VALUE"""),5400)</f>
        <v>5400</v>
      </c>
      <c r="E1407" s="2">
        <f ca="1">IFERROR(__xludf.DUMMYFUNCTION("""COMPUTED_VALUE"""),5450)</f>
        <v>5450</v>
      </c>
      <c r="F1407" s="2">
        <f ca="1">IFERROR(__xludf.DUMMYFUNCTION("""COMPUTED_VALUE"""),69350700)</f>
        <v>69350700</v>
      </c>
    </row>
    <row r="1408" spans="1:6">
      <c r="A1408" s="1">
        <f ca="1">IFERROR(__xludf.DUMMYFUNCTION("""COMPUTED_VALUE"""),44127.625)</f>
        <v>44127.625</v>
      </c>
      <c r="B1408" s="2">
        <f ca="1">IFERROR(__xludf.DUMMYFUNCTION("""COMPUTED_VALUE"""),5525)</f>
        <v>5525</v>
      </c>
      <c r="C1408" s="2">
        <f ca="1">IFERROR(__xludf.DUMMYFUNCTION("""COMPUTED_VALUE"""),5575)</f>
        <v>5575</v>
      </c>
      <c r="D1408" s="2">
        <f ca="1">IFERROR(__xludf.DUMMYFUNCTION("""COMPUTED_VALUE"""),5475)</f>
        <v>5475</v>
      </c>
      <c r="E1408" s="2">
        <f ca="1">IFERROR(__xludf.DUMMYFUNCTION("""COMPUTED_VALUE"""),5550)</f>
        <v>5550</v>
      </c>
      <c r="F1408" s="2">
        <f ca="1">IFERROR(__xludf.DUMMYFUNCTION("""COMPUTED_VALUE"""),32950100)</f>
        <v>32950100</v>
      </c>
    </row>
    <row r="1409" spans="1:6">
      <c r="A1409" s="1">
        <f ca="1">IFERROR(__xludf.DUMMYFUNCTION("""COMPUTED_VALUE"""),44130.625)</f>
        <v>44130.625</v>
      </c>
      <c r="B1409" s="2">
        <f ca="1">IFERROR(__xludf.DUMMYFUNCTION("""COMPUTED_VALUE"""),5625)</f>
        <v>5625</v>
      </c>
      <c r="C1409" s="2">
        <f ca="1">IFERROR(__xludf.DUMMYFUNCTION("""COMPUTED_VALUE"""),5850)</f>
        <v>5850</v>
      </c>
      <c r="D1409" s="2">
        <f ca="1">IFERROR(__xludf.DUMMYFUNCTION("""COMPUTED_VALUE"""),5625)</f>
        <v>5625</v>
      </c>
      <c r="E1409" s="2">
        <f ca="1">IFERROR(__xludf.DUMMYFUNCTION("""COMPUTED_VALUE"""),5775)</f>
        <v>5775</v>
      </c>
      <c r="F1409" s="2">
        <f ca="1">IFERROR(__xludf.DUMMYFUNCTION("""COMPUTED_VALUE"""),94287200)</f>
        <v>94287200</v>
      </c>
    </row>
    <row r="1410" spans="1:6">
      <c r="A1410" s="1">
        <f ca="1">IFERROR(__xludf.DUMMYFUNCTION("""COMPUTED_VALUE"""),44131.625)</f>
        <v>44131.625</v>
      </c>
      <c r="B1410" s="2">
        <f ca="1">IFERROR(__xludf.DUMMYFUNCTION("""COMPUTED_VALUE"""),5750)</f>
        <v>5750</v>
      </c>
      <c r="C1410" s="2">
        <f ca="1">IFERROR(__xludf.DUMMYFUNCTION("""COMPUTED_VALUE"""),5850)</f>
        <v>5850</v>
      </c>
      <c r="D1410" s="2">
        <f ca="1">IFERROR(__xludf.DUMMYFUNCTION("""COMPUTED_VALUE"""),5700)</f>
        <v>5700</v>
      </c>
      <c r="E1410" s="2">
        <f ca="1">IFERROR(__xludf.DUMMYFUNCTION("""COMPUTED_VALUE"""),5775)</f>
        <v>5775</v>
      </c>
      <c r="F1410" s="2">
        <f ca="1">IFERROR(__xludf.DUMMYFUNCTION("""COMPUTED_VALUE"""),56347900)</f>
        <v>56347900</v>
      </c>
    </row>
    <row r="1411" spans="1:6">
      <c r="A1411" s="1">
        <f ca="1">IFERROR(__xludf.DUMMYFUNCTION("""COMPUTED_VALUE"""),44137.625)</f>
        <v>44137.625</v>
      </c>
      <c r="B1411" s="2">
        <f ca="1">IFERROR(__xludf.DUMMYFUNCTION("""COMPUTED_VALUE"""),5675)</f>
        <v>5675</v>
      </c>
      <c r="C1411" s="2">
        <f ca="1">IFERROR(__xludf.DUMMYFUNCTION("""COMPUTED_VALUE"""),6025)</f>
        <v>6025</v>
      </c>
      <c r="D1411" s="2">
        <f ca="1">IFERROR(__xludf.DUMMYFUNCTION("""COMPUTED_VALUE"""),5600)</f>
        <v>5600</v>
      </c>
      <c r="E1411" s="2">
        <f ca="1">IFERROR(__xludf.DUMMYFUNCTION("""COMPUTED_VALUE"""),5975)</f>
        <v>5975</v>
      </c>
      <c r="F1411" s="2">
        <f ca="1">IFERROR(__xludf.DUMMYFUNCTION("""COMPUTED_VALUE"""),108431400)</f>
        <v>108431400</v>
      </c>
    </row>
    <row r="1412" spans="1:6">
      <c r="A1412" s="1">
        <f ca="1">IFERROR(__xludf.DUMMYFUNCTION("""COMPUTED_VALUE"""),44138.625)</f>
        <v>44138.625</v>
      </c>
      <c r="B1412" s="2">
        <f ca="1">IFERROR(__xludf.DUMMYFUNCTION("""COMPUTED_VALUE"""),5975)</f>
        <v>5975</v>
      </c>
      <c r="C1412" s="2">
        <f ca="1">IFERROR(__xludf.DUMMYFUNCTION("""COMPUTED_VALUE"""),6000)</f>
        <v>6000</v>
      </c>
      <c r="D1412" s="2">
        <f ca="1">IFERROR(__xludf.DUMMYFUNCTION("""COMPUTED_VALUE"""),5900)</f>
        <v>5900</v>
      </c>
      <c r="E1412" s="2">
        <f ca="1">IFERROR(__xludf.DUMMYFUNCTION("""COMPUTED_VALUE"""),6000)</f>
        <v>6000</v>
      </c>
      <c r="F1412" s="2">
        <f ca="1">IFERROR(__xludf.DUMMYFUNCTION("""COMPUTED_VALUE"""),37981700)</f>
        <v>37981700</v>
      </c>
    </row>
    <row r="1413" spans="1:6">
      <c r="A1413" s="1">
        <f ca="1">IFERROR(__xludf.DUMMYFUNCTION("""COMPUTED_VALUE"""),44139.625)</f>
        <v>44139.625</v>
      </c>
      <c r="B1413" s="2">
        <f ca="1">IFERROR(__xludf.DUMMYFUNCTION("""COMPUTED_VALUE"""),5950)</f>
        <v>5950</v>
      </c>
      <c r="C1413" s="2">
        <f ca="1">IFERROR(__xludf.DUMMYFUNCTION("""COMPUTED_VALUE"""),6025)</f>
        <v>6025</v>
      </c>
      <c r="D1413" s="2">
        <f ca="1">IFERROR(__xludf.DUMMYFUNCTION("""COMPUTED_VALUE"""),5700)</f>
        <v>5700</v>
      </c>
      <c r="E1413" s="2">
        <f ca="1">IFERROR(__xludf.DUMMYFUNCTION("""COMPUTED_VALUE"""),5700)</f>
        <v>5700</v>
      </c>
      <c r="F1413" s="2">
        <f ca="1">IFERROR(__xludf.DUMMYFUNCTION("""COMPUTED_VALUE"""),76408700)</f>
        <v>76408700</v>
      </c>
    </row>
    <row r="1414" spans="1:6">
      <c r="A1414" s="1">
        <f ca="1">IFERROR(__xludf.DUMMYFUNCTION("""COMPUTED_VALUE"""),44140.625)</f>
        <v>44140.625</v>
      </c>
      <c r="B1414" s="2">
        <f ca="1">IFERROR(__xludf.DUMMYFUNCTION("""COMPUTED_VALUE"""),5875)</f>
        <v>5875</v>
      </c>
      <c r="C1414" s="2">
        <f ca="1">IFERROR(__xludf.DUMMYFUNCTION("""COMPUTED_VALUE"""),6000)</f>
        <v>6000</v>
      </c>
      <c r="D1414" s="2">
        <f ca="1">IFERROR(__xludf.DUMMYFUNCTION("""COMPUTED_VALUE"""),5825)</f>
        <v>5825</v>
      </c>
      <c r="E1414" s="2">
        <f ca="1">IFERROR(__xludf.DUMMYFUNCTION("""COMPUTED_VALUE"""),5975)</f>
        <v>5975</v>
      </c>
      <c r="F1414" s="2">
        <f ca="1">IFERROR(__xludf.DUMMYFUNCTION("""COMPUTED_VALUE"""),87938700)</f>
        <v>87938700</v>
      </c>
    </row>
    <row r="1415" spans="1:6">
      <c r="A1415" s="1">
        <f ca="1">IFERROR(__xludf.DUMMYFUNCTION("""COMPUTED_VALUE"""),44141.625)</f>
        <v>44141.625</v>
      </c>
      <c r="B1415" s="2">
        <f ca="1">IFERROR(__xludf.DUMMYFUNCTION("""COMPUTED_VALUE"""),5975)</f>
        <v>5975</v>
      </c>
      <c r="C1415" s="2">
        <f ca="1">IFERROR(__xludf.DUMMYFUNCTION("""COMPUTED_VALUE"""),6100)</f>
        <v>6100</v>
      </c>
      <c r="D1415" s="2">
        <f ca="1">IFERROR(__xludf.DUMMYFUNCTION("""COMPUTED_VALUE"""),5925)</f>
        <v>5925</v>
      </c>
      <c r="E1415" s="2">
        <f ca="1">IFERROR(__xludf.DUMMYFUNCTION("""COMPUTED_VALUE"""),6050)</f>
        <v>6050</v>
      </c>
      <c r="F1415" s="2">
        <f ca="1">IFERROR(__xludf.DUMMYFUNCTION("""COMPUTED_VALUE"""),82109500)</f>
        <v>82109500</v>
      </c>
    </row>
    <row r="1416" spans="1:6">
      <c r="A1416" s="1">
        <f ca="1">IFERROR(__xludf.DUMMYFUNCTION("""COMPUTED_VALUE"""),44144.625)</f>
        <v>44144.625</v>
      </c>
      <c r="B1416" s="2">
        <f ca="1">IFERROR(__xludf.DUMMYFUNCTION("""COMPUTED_VALUE"""),6250)</f>
        <v>6250</v>
      </c>
      <c r="C1416" s="2">
        <f ca="1">IFERROR(__xludf.DUMMYFUNCTION("""COMPUTED_VALUE"""),6300)</f>
        <v>6300</v>
      </c>
      <c r="D1416" s="2">
        <f ca="1">IFERROR(__xludf.DUMMYFUNCTION("""COMPUTED_VALUE"""),6050)</f>
        <v>6050</v>
      </c>
      <c r="E1416" s="2">
        <f ca="1">IFERROR(__xludf.DUMMYFUNCTION("""COMPUTED_VALUE"""),6150)</f>
        <v>6150</v>
      </c>
      <c r="F1416" s="2">
        <f ca="1">IFERROR(__xludf.DUMMYFUNCTION("""COMPUTED_VALUE"""),61326600)</f>
        <v>61326600</v>
      </c>
    </row>
    <row r="1417" spans="1:6">
      <c r="A1417" s="1">
        <f ca="1">IFERROR(__xludf.DUMMYFUNCTION("""COMPUTED_VALUE"""),44145.625)</f>
        <v>44145.625</v>
      </c>
      <c r="B1417" s="2">
        <f ca="1">IFERROR(__xludf.DUMMYFUNCTION("""COMPUTED_VALUE"""),6400)</f>
        <v>6400</v>
      </c>
      <c r="C1417" s="2">
        <f ca="1">IFERROR(__xludf.DUMMYFUNCTION("""COMPUTED_VALUE"""),6525)</f>
        <v>6525</v>
      </c>
      <c r="D1417" s="2">
        <f ca="1">IFERROR(__xludf.DUMMYFUNCTION("""COMPUTED_VALUE"""),6300)</f>
        <v>6300</v>
      </c>
      <c r="E1417" s="2">
        <f ca="1">IFERROR(__xludf.DUMMYFUNCTION("""COMPUTED_VALUE"""),6375)</f>
        <v>6375</v>
      </c>
      <c r="F1417" s="2">
        <f ca="1">IFERROR(__xludf.DUMMYFUNCTION("""COMPUTED_VALUE"""),124794400)</f>
        <v>124794400</v>
      </c>
    </row>
    <row r="1418" spans="1:6">
      <c r="A1418" s="1">
        <f ca="1">IFERROR(__xludf.DUMMYFUNCTION("""COMPUTED_VALUE"""),44146.625)</f>
        <v>44146.625</v>
      </c>
      <c r="B1418" s="2">
        <f ca="1">IFERROR(__xludf.DUMMYFUNCTION("""COMPUTED_VALUE"""),6425)</f>
        <v>6425</v>
      </c>
      <c r="C1418" s="2">
        <f ca="1">IFERROR(__xludf.DUMMYFUNCTION("""COMPUTED_VALUE"""),6500)</f>
        <v>6500</v>
      </c>
      <c r="D1418" s="2">
        <f ca="1">IFERROR(__xludf.DUMMYFUNCTION("""COMPUTED_VALUE"""),6350)</f>
        <v>6350</v>
      </c>
      <c r="E1418" s="2">
        <f ca="1">IFERROR(__xludf.DUMMYFUNCTION("""COMPUTED_VALUE"""),6375)</f>
        <v>6375</v>
      </c>
      <c r="F1418" s="2">
        <f ca="1">IFERROR(__xludf.DUMMYFUNCTION("""COMPUTED_VALUE"""),83245100)</f>
        <v>83245100</v>
      </c>
    </row>
    <row r="1419" spans="1:6">
      <c r="A1419" s="1">
        <f ca="1">IFERROR(__xludf.DUMMYFUNCTION("""COMPUTED_VALUE"""),44147.625)</f>
        <v>44147.625</v>
      </c>
      <c r="B1419" s="2">
        <f ca="1">IFERROR(__xludf.DUMMYFUNCTION("""COMPUTED_VALUE"""),6375)</f>
        <v>6375</v>
      </c>
      <c r="C1419" s="2">
        <f ca="1">IFERROR(__xludf.DUMMYFUNCTION("""COMPUTED_VALUE"""),6400)</f>
        <v>6400</v>
      </c>
      <c r="D1419" s="2">
        <f ca="1">IFERROR(__xludf.DUMMYFUNCTION("""COMPUTED_VALUE"""),6100)</f>
        <v>6100</v>
      </c>
      <c r="E1419" s="2">
        <f ca="1">IFERROR(__xludf.DUMMYFUNCTION("""COMPUTED_VALUE"""),6175)</f>
        <v>6175</v>
      </c>
      <c r="F1419" s="2">
        <f ca="1">IFERROR(__xludf.DUMMYFUNCTION("""COMPUTED_VALUE"""),68075300)</f>
        <v>68075300</v>
      </c>
    </row>
    <row r="1420" spans="1:6">
      <c r="A1420" s="1">
        <f ca="1">IFERROR(__xludf.DUMMYFUNCTION("""COMPUTED_VALUE"""),44148.625)</f>
        <v>44148.625</v>
      </c>
      <c r="B1420" s="2">
        <f ca="1">IFERROR(__xludf.DUMMYFUNCTION("""COMPUTED_VALUE"""),6100)</f>
        <v>6100</v>
      </c>
      <c r="C1420" s="2">
        <f ca="1">IFERROR(__xludf.DUMMYFUNCTION("""COMPUTED_VALUE"""),6250)</f>
        <v>6250</v>
      </c>
      <c r="D1420" s="2">
        <f ca="1">IFERROR(__xludf.DUMMYFUNCTION("""COMPUTED_VALUE"""),6075)</f>
        <v>6075</v>
      </c>
      <c r="E1420" s="2">
        <f ca="1">IFERROR(__xludf.DUMMYFUNCTION("""COMPUTED_VALUE"""),6250)</f>
        <v>6250</v>
      </c>
      <c r="F1420" s="2">
        <f ca="1">IFERROR(__xludf.DUMMYFUNCTION("""COMPUTED_VALUE"""),61021900)</f>
        <v>61021900</v>
      </c>
    </row>
    <row r="1421" spans="1:6">
      <c r="A1421" s="1">
        <f ca="1">IFERROR(__xludf.DUMMYFUNCTION("""COMPUTED_VALUE"""),44151.625)</f>
        <v>44151.625</v>
      </c>
      <c r="B1421" s="2">
        <f ca="1">IFERROR(__xludf.DUMMYFUNCTION("""COMPUTED_VALUE"""),6300)</f>
        <v>6300</v>
      </c>
      <c r="C1421" s="2">
        <f ca="1">IFERROR(__xludf.DUMMYFUNCTION("""COMPUTED_VALUE"""),6450)</f>
        <v>6450</v>
      </c>
      <c r="D1421" s="2">
        <f ca="1">IFERROR(__xludf.DUMMYFUNCTION("""COMPUTED_VALUE"""),6150)</f>
        <v>6150</v>
      </c>
      <c r="E1421" s="2">
        <f ca="1">IFERROR(__xludf.DUMMYFUNCTION("""COMPUTED_VALUE"""),6200)</f>
        <v>6200</v>
      </c>
      <c r="F1421" s="2">
        <f ca="1">IFERROR(__xludf.DUMMYFUNCTION("""COMPUTED_VALUE"""),66958800)</f>
        <v>66958800</v>
      </c>
    </row>
    <row r="1422" spans="1:6">
      <c r="A1422" s="1">
        <f ca="1">IFERROR(__xludf.DUMMYFUNCTION("""COMPUTED_VALUE"""),44152.625)</f>
        <v>44152.625</v>
      </c>
      <c r="B1422" s="2">
        <f ca="1">IFERROR(__xludf.DUMMYFUNCTION("""COMPUTED_VALUE"""),6275)</f>
        <v>6275</v>
      </c>
      <c r="C1422" s="2">
        <f ca="1">IFERROR(__xludf.DUMMYFUNCTION("""COMPUTED_VALUE"""),6375)</f>
        <v>6375</v>
      </c>
      <c r="D1422" s="2">
        <f ca="1">IFERROR(__xludf.DUMMYFUNCTION("""COMPUTED_VALUE"""),6200)</f>
        <v>6200</v>
      </c>
      <c r="E1422" s="2">
        <f ca="1">IFERROR(__xludf.DUMMYFUNCTION("""COMPUTED_VALUE"""),6250)</f>
        <v>6250</v>
      </c>
      <c r="F1422" s="2">
        <f ca="1">IFERROR(__xludf.DUMMYFUNCTION("""COMPUTED_VALUE"""),53130800)</f>
        <v>53130800</v>
      </c>
    </row>
    <row r="1423" spans="1:6">
      <c r="A1423" s="1">
        <f ca="1">IFERROR(__xludf.DUMMYFUNCTION("""COMPUTED_VALUE"""),44153.625)</f>
        <v>44153.625</v>
      </c>
      <c r="B1423" s="2">
        <f ca="1">IFERROR(__xludf.DUMMYFUNCTION("""COMPUTED_VALUE"""),6150)</f>
        <v>6150</v>
      </c>
      <c r="C1423" s="2">
        <f ca="1">IFERROR(__xludf.DUMMYFUNCTION("""COMPUTED_VALUE"""),6350)</f>
        <v>6350</v>
      </c>
      <c r="D1423" s="2">
        <f ca="1">IFERROR(__xludf.DUMMYFUNCTION("""COMPUTED_VALUE"""),6150)</f>
        <v>6150</v>
      </c>
      <c r="E1423" s="2">
        <f ca="1">IFERROR(__xludf.DUMMYFUNCTION("""COMPUTED_VALUE"""),6350)</f>
        <v>6350</v>
      </c>
      <c r="F1423" s="2">
        <f ca="1">IFERROR(__xludf.DUMMYFUNCTION("""COMPUTED_VALUE"""),62468000)</f>
        <v>62468000</v>
      </c>
    </row>
    <row r="1424" spans="1:6">
      <c r="A1424" s="1">
        <f ca="1">IFERROR(__xludf.DUMMYFUNCTION("""COMPUTED_VALUE"""),44154.625)</f>
        <v>44154.625</v>
      </c>
      <c r="B1424" s="2">
        <f ca="1">IFERROR(__xludf.DUMMYFUNCTION("""COMPUTED_VALUE"""),6250)</f>
        <v>6250</v>
      </c>
      <c r="C1424" s="2">
        <f ca="1">IFERROR(__xludf.DUMMYFUNCTION("""COMPUTED_VALUE"""),6350)</f>
        <v>6350</v>
      </c>
      <c r="D1424" s="2">
        <f ca="1">IFERROR(__xludf.DUMMYFUNCTION("""COMPUTED_VALUE"""),6200)</f>
        <v>6200</v>
      </c>
      <c r="E1424" s="2">
        <f ca="1">IFERROR(__xludf.DUMMYFUNCTION("""COMPUTED_VALUE"""),6325)</f>
        <v>6325</v>
      </c>
      <c r="F1424" s="2">
        <f ca="1">IFERROR(__xludf.DUMMYFUNCTION("""COMPUTED_VALUE"""),47404100)</f>
        <v>47404100</v>
      </c>
    </row>
    <row r="1425" spans="1:6">
      <c r="A1425" s="1">
        <f ca="1">IFERROR(__xludf.DUMMYFUNCTION("""COMPUTED_VALUE"""),44155.625)</f>
        <v>44155.625</v>
      </c>
      <c r="B1425" s="2">
        <f ca="1">IFERROR(__xludf.DUMMYFUNCTION("""COMPUTED_VALUE"""),6275)</f>
        <v>6275</v>
      </c>
      <c r="C1425" s="2">
        <f ca="1">IFERROR(__xludf.DUMMYFUNCTION("""COMPUTED_VALUE"""),6350)</f>
        <v>6350</v>
      </c>
      <c r="D1425" s="2">
        <f ca="1">IFERROR(__xludf.DUMMYFUNCTION("""COMPUTED_VALUE"""),6250)</f>
        <v>6250</v>
      </c>
      <c r="E1425" s="2">
        <f ca="1">IFERROR(__xludf.DUMMYFUNCTION("""COMPUTED_VALUE"""),6300)</f>
        <v>6300</v>
      </c>
      <c r="F1425" s="2">
        <f ca="1">IFERROR(__xludf.DUMMYFUNCTION("""COMPUTED_VALUE"""),50286800)</f>
        <v>50286800</v>
      </c>
    </row>
    <row r="1426" spans="1:6">
      <c r="A1426" s="1">
        <f ca="1">IFERROR(__xludf.DUMMYFUNCTION("""COMPUTED_VALUE"""),44158.625)</f>
        <v>44158.625</v>
      </c>
      <c r="B1426" s="2">
        <f ca="1">IFERROR(__xludf.DUMMYFUNCTION("""COMPUTED_VALUE"""),6300)</f>
        <v>6300</v>
      </c>
      <c r="C1426" s="2">
        <f ca="1">IFERROR(__xludf.DUMMYFUNCTION("""COMPUTED_VALUE"""),6425)</f>
        <v>6425</v>
      </c>
      <c r="D1426" s="2">
        <f ca="1">IFERROR(__xludf.DUMMYFUNCTION("""COMPUTED_VALUE"""),6275)</f>
        <v>6275</v>
      </c>
      <c r="E1426" s="2">
        <f ca="1">IFERROR(__xludf.DUMMYFUNCTION("""COMPUTED_VALUE"""),6400)</f>
        <v>6400</v>
      </c>
      <c r="F1426" s="2">
        <f ca="1">IFERROR(__xludf.DUMMYFUNCTION("""COMPUTED_VALUE"""),53452700)</f>
        <v>53452700</v>
      </c>
    </row>
    <row r="1427" spans="1:6">
      <c r="A1427" s="1">
        <f ca="1">IFERROR(__xludf.DUMMYFUNCTION("""COMPUTED_VALUE"""),44159.625)</f>
        <v>44159.625</v>
      </c>
      <c r="B1427" s="2">
        <f ca="1">IFERROR(__xludf.DUMMYFUNCTION("""COMPUTED_VALUE"""),6450)</f>
        <v>6450</v>
      </c>
      <c r="C1427" s="2">
        <f ca="1">IFERROR(__xludf.DUMMYFUNCTION("""COMPUTED_VALUE"""),6500)</f>
        <v>6500</v>
      </c>
      <c r="D1427" s="2">
        <f ca="1">IFERROR(__xludf.DUMMYFUNCTION("""COMPUTED_VALUE"""),6375)</f>
        <v>6375</v>
      </c>
      <c r="E1427" s="2">
        <f ca="1">IFERROR(__xludf.DUMMYFUNCTION("""COMPUTED_VALUE"""),6425)</f>
        <v>6425</v>
      </c>
      <c r="F1427" s="2">
        <f ca="1">IFERROR(__xludf.DUMMYFUNCTION("""COMPUTED_VALUE"""),70464600)</f>
        <v>70464600</v>
      </c>
    </row>
    <row r="1428" spans="1:6">
      <c r="A1428" s="1">
        <f ca="1">IFERROR(__xludf.DUMMYFUNCTION("""COMPUTED_VALUE"""),44160.625)</f>
        <v>44160.625</v>
      </c>
      <c r="B1428" s="2">
        <f ca="1">IFERROR(__xludf.DUMMYFUNCTION("""COMPUTED_VALUE"""),6500)</f>
        <v>6500</v>
      </c>
      <c r="C1428" s="2">
        <f ca="1">IFERROR(__xludf.DUMMYFUNCTION("""COMPUTED_VALUE"""),6650)</f>
        <v>6650</v>
      </c>
      <c r="D1428" s="2">
        <f ca="1">IFERROR(__xludf.DUMMYFUNCTION("""COMPUTED_VALUE"""),6500)</f>
        <v>6500</v>
      </c>
      <c r="E1428" s="2">
        <f ca="1">IFERROR(__xludf.DUMMYFUNCTION("""COMPUTED_VALUE"""),6525)</f>
        <v>6525</v>
      </c>
      <c r="F1428" s="2">
        <f ca="1">IFERROR(__xludf.DUMMYFUNCTION("""COMPUTED_VALUE"""),98852000)</f>
        <v>98852000</v>
      </c>
    </row>
    <row r="1429" spans="1:6">
      <c r="A1429" s="1">
        <f ca="1">IFERROR(__xludf.DUMMYFUNCTION("""COMPUTED_VALUE"""),44161.625)</f>
        <v>44161.625</v>
      </c>
      <c r="B1429" s="2">
        <f ca="1">IFERROR(__xludf.DUMMYFUNCTION("""COMPUTED_VALUE"""),6600)</f>
        <v>6600</v>
      </c>
      <c r="C1429" s="2">
        <f ca="1">IFERROR(__xludf.DUMMYFUNCTION("""COMPUTED_VALUE"""),6725)</f>
        <v>6725</v>
      </c>
      <c r="D1429" s="2">
        <f ca="1">IFERROR(__xludf.DUMMYFUNCTION("""COMPUTED_VALUE"""),6550)</f>
        <v>6550</v>
      </c>
      <c r="E1429" s="2">
        <f ca="1">IFERROR(__xludf.DUMMYFUNCTION("""COMPUTED_VALUE"""),6725)</f>
        <v>6725</v>
      </c>
      <c r="F1429" s="2">
        <f ca="1">IFERROR(__xludf.DUMMYFUNCTION("""COMPUTED_VALUE"""),66137700)</f>
        <v>66137700</v>
      </c>
    </row>
    <row r="1430" spans="1:6">
      <c r="A1430" s="1">
        <f ca="1">IFERROR(__xludf.DUMMYFUNCTION("""COMPUTED_VALUE"""),44162.625)</f>
        <v>44162.625</v>
      </c>
      <c r="B1430" s="2">
        <f ca="1">IFERROR(__xludf.DUMMYFUNCTION("""COMPUTED_VALUE"""),6775)</f>
        <v>6775</v>
      </c>
      <c r="C1430" s="2">
        <f ca="1">IFERROR(__xludf.DUMMYFUNCTION("""COMPUTED_VALUE"""),6800)</f>
        <v>6800</v>
      </c>
      <c r="D1430" s="2">
        <f ca="1">IFERROR(__xludf.DUMMYFUNCTION("""COMPUTED_VALUE"""),6625)</f>
        <v>6625</v>
      </c>
      <c r="E1430" s="2">
        <f ca="1">IFERROR(__xludf.DUMMYFUNCTION("""COMPUTED_VALUE"""),6650)</f>
        <v>6650</v>
      </c>
      <c r="F1430" s="2">
        <f ca="1">IFERROR(__xludf.DUMMYFUNCTION("""COMPUTED_VALUE"""),62173400)</f>
        <v>62173400</v>
      </c>
    </row>
    <row r="1431" spans="1:6">
      <c r="A1431" s="1">
        <f ca="1">IFERROR(__xludf.DUMMYFUNCTION("""COMPUTED_VALUE"""),44165.625)</f>
        <v>44165.625</v>
      </c>
      <c r="B1431" s="2">
        <f ca="1">IFERROR(__xludf.DUMMYFUNCTION("""COMPUTED_VALUE"""),6550)</f>
        <v>6550</v>
      </c>
      <c r="C1431" s="2">
        <f ca="1">IFERROR(__xludf.DUMMYFUNCTION("""COMPUTED_VALUE"""),6625)</f>
        <v>6625</v>
      </c>
      <c r="D1431" s="2">
        <f ca="1">IFERROR(__xludf.DUMMYFUNCTION("""COMPUTED_VALUE"""),6225)</f>
        <v>6225</v>
      </c>
      <c r="E1431" s="2">
        <f ca="1">IFERROR(__xludf.DUMMYFUNCTION("""COMPUTED_VALUE"""),6325)</f>
        <v>6325</v>
      </c>
      <c r="F1431" s="2">
        <f ca="1">IFERROR(__xludf.DUMMYFUNCTION("""COMPUTED_VALUE"""),153950400)</f>
        <v>153950400</v>
      </c>
    </row>
    <row r="1432" spans="1:6">
      <c r="A1432" s="1">
        <f ca="1">IFERROR(__xludf.DUMMYFUNCTION("""COMPUTED_VALUE"""),44166.625)</f>
        <v>44166.625</v>
      </c>
      <c r="B1432" s="2">
        <f ca="1">IFERROR(__xludf.DUMMYFUNCTION("""COMPUTED_VALUE"""),6325)</f>
        <v>6325</v>
      </c>
      <c r="C1432" s="2">
        <f ca="1">IFERROR(__xludf.DUMMYFUNCTION("""COMPUTED_VALUE"""),6625)</f>
        <v>6625</v>
      </c>
      <c r="D1432" s="2">
        <f ca="1">IFERROR(__xludf.DUMMYFUNCTION("""COMPUTED_VALUE"""),6325)</f>
        <v>6325</v>
      </c>
      <c r="E1432" s="2">
        <f ca="1">IFERROR(__xludf.DUMMYFUNCTION("""COMPUTED_VALUE"""),6525)</f>
        <v>6525</v>
      </c>
      <c r="F1432" s="2">
        <f ca="1">IFERROR(__xludf.DUMMYFUNCTION("""COMPUTED_VALUE"""),88284000)</f>
        <v>88284000</v>
      </c>
    </row>
    <row r="1433" spans="1:6">
      <c r="A1433" s="1">
        <f ca="1">IFERROR(__xludf.DUMMYFUNCTION("""COMPUTED_VALUE"""),44167.625)</f>
        <v>44167.625</v>
      </c>
      <c r="B1433" s="2">
        <f ca="1">IFERROR(__xludf.DUMMYFUNCTION("""COMPUTED_VALUE"""),6525)</f>
        <v>6525</v>
      </c>
      <c r="C1433" s="2">
        <f ca="1">IFERROR(__xludf.DUMMYFUNCTION("""COMPUTED_VALUE"""),6650)</f>
        <v>6650</v>
      </c>
      <c r="D1433" s="2">
        <f ca="1">IFERROR(__xludf.DUMMYFUNCTION("""COMPUTED_VALUE"""),6475)</f>
        <v>6475</v>
      </c>
      <c r="E1433" s="2">
        <f ca="1">IFERROR(__xludf.DUMMYFUNCTION("""COMPUTED_VALUE"""),6650)</f>
        <v>6650</v>
      </c>
      <c r="F1433" s="2">
        <f ca="1">IFERROR(__xludf.DUMMYFUNCTION("""COMPUTED_VALUE"""),57360800)</f>
        <v>57360800</v>
      </c>
    </row>
    <row r="1434" spans="1:6">
      <c r="A1434" s="1">
        <f ca="1">IFERROR(__xludf.DUMMYFUNCTION("""COMPUTED_VALUE"""),44168.625)</f>
        <v>44168.625</v>
      </c>
      <c r="B1434" s="2">
        <f ca="1">IFERROR(__xludf.DUMMYFUNCTION("""COMPUTED_VALUE"""),6650)</f>
        <v>6650</v>
      </c>
      <c r="C1434" s="2">
        <f ca="1">IFERROR(__xludf.DUMMYFUNCTION("""COMPUTED_VALUE"""),6675)</f>
        <v>6675</v>
      </c>
      <c r="D1434" s="2">
        <f ca="1">IFERROR(__xludf.DUMMYFUNCTION("""COMPUTED_VALUE"""),6525)</f>
        <v>6525</v>
      </c>
      <c r="E1434" s="2">
        <f ca="1">IFERROR(__xludf.DUMMYFUNCTION("""COMPUTED_VALUE"""),6575)</f>
        <v>6575</v>
      </c>
      <c r="F1434" s="2">
        <f ca="1">IFERROR(__xludf.DUMMYFUNCTION("""COMPUTED_VALUE"""),77671200)</f>
        <v>77671200</v>
      </c>
    </row>
    <row r="1435" spans="1:6">
      <c r="A1435" s="1">
        <f ca="1">IFERROR(__xludf.DUMMYFUNCTION("""COMPUTED_VALUE"""),44169.625)</f>
        <v>44169.625</v>
      </c>
      <c r="B1435" s="2">
        <f ca="1">IFERROR(__xludf.DUMMYFUNCTION("""COMPUTED_VALUE"""),6500)</f>
        <v>6500</v>
      </c>
      <c r="C1435" s="2">
        <f ca="1">IFERROR(__xludf.DUMMYFUNCTION("""COMPUTED_VALUE"""),6600)</f>
        <v>6600</v>
      </c>
      <c r="D1435" s="2">
        <f ca="1">IFERROR(__xludf.DUMMYFUNCTION("""COMPUTED_VALUE"""),6425)</f>
        <v>6425</v>
      </c>
      <c r="E1435" s="2">
        <f ca="1">IFERROR(__xludf.DUMMYFUNCTION("""COMPUTED_VALUE"""),6600)</f>
        <v>6600</v>
      </c>
      <c r="F1435" s="2">
        <f ca="1">IFERROR(__xludf.DUMMYFUNCTION("""COMPUTED_VALUE"""),37488000)</f>
        <v>37488000</v>
      </c>
    </row>
    <row r="1436" spans="1:6">
      <c r="A1436" s="1">
        <f ca="1">IFERROR(__xludf.DUMMYFUNCTION("""COMPUTED_VALUE"""),44172.625)</f>
        <v>44172.625</v>
      </c>
      <c r="B1436" s="2">
        <f ca="1">IFERROR(__xludf.DUMMYFUNCTION("""COMPUTED_VALUE"""),6675)</f>
        <v>6675</v>
      </c>
      <c r="C1436" s="2">
        <f ca="1">IFERROR(__xludf.DUMMYFUNCTION("""COMPUTED_VALUE"""),6750)</f>
        <v>6750</v>
      </c>
      <c r="D1436" s="2">
        <f ca="1">IFERROR(__xludf.DUMMYFUNCTION("""COMPUTED_VALUE"""),6625)</f>
        <v>6625</v>
      </c>
      <c r="E1436" s="2">
        <f ca="1">IFERROR(__xludf.DUMMYFUNCTION("""COMPUTED_VALUE"""),6700)</f>
        <v>6700</v>
      </c>
      <c r="F1436" s="2">
        <f ca="1">IFERROR(__xludf.DUMMYFUNCTION("""COMPUTED_VALUE"""),66792900)</f>
        <v>66792900</v>
      </c>
    </row>
    <row r="1437" spans="1:6">
      <c r="A1437" s="1">
        <f ca="1">IFERROR(__xludf.DUMMYFUNCTION("""COMPUTED_VALUE"""),44173.625)</f>
        <v>44173.625</v>
      </c>
      <c r="B1437" s="2">
        <f ca="1">IFERROR(__xludf.DUMMYFUNCTION("""COMPUTED_VALUE"""),6675)</f>
        <v>6675</v>
      </c>
      <c r="C1437" s="2">
        <f ca="1">IFERROR(__xludf.DUMMYFUNCTION("""COMPUTED_VALUE"""),6725)</f>
        <v>6725</v>
      </c>
      <c r="D1437" s="2">
        <f ca="1">IFERROR(__xludf.DUMMYFUNCTION("""COMPUTED_VALUE"""),6600)</f>
        <v>6600</v>
      </c>
      <c r="E1437" s="2">
        <f ca="1">IFERROR(__xludf.DUMMYFUNCTION("""COMPUTED_VALUE"""),6675)</f>
        <v>6675</v>
      </c>
      <c r="F1437" s="2">
        <f ca="1">IFERROR(__xludf.DUMMYFUNCTION("""COMPUTED_VALUE"""),35175200)</f>
        <v>35175200</v>
      </c>
    </row>
    <row r="1438" spans="1:6">
      <c r="A1438" s="1">
        <f ca="1">IFERROR(__xludf.DUMMYFUNCTION("""COMPUTED_VALUE"""),44175.625)</f>
        <v>44175.625</v>
      </c>
      <c r="B1438" s="2">
        <f ca="1">IFERROR(__xludf.DUMMYFUNCTION("""COMPUTED_VALUE"""),6775)</f>
        <v>6775</v>
      </c>
      <c r="C1438" s="2">
        <f ca="1">IFERROR(__xludf.DUMMYFUNCTION("""COMPUTED_VALUE"""),6850)</f>
        <v>6850</v>
      </c>
      <c r="D1438" s="2">
        <f ca="1">IFERROR(__xludf.DUMMYFUNCTION("""COMPUTED_VALUE"""),6725)</f>
        <v>6725</v>
      </c>
      <c r="E1438" s="2">
        <f ca="1">IFERROR(__xludf.DUMMYFUNCTION("""COMPUTED_VALUE"""),6800)</f>
        <v>6800</v>
      </c>
      <c r="F1438" s="2">
        <f ca="1">IFERROR(__xludf.DUMMYFUNCTION("""COMPUTED_VALUE"""),93923500)</f>
        <v>93923500</v>
      </c>
    </row>
    <row r="1439" spans="1:6">
      <c r="A1439" s="1">
        <f ca="1">IFERROR(__xludf.DUMMYFUNCTION("""COMPUTED_VALUE"""),44176.625)</f>
        <v>44176.625</v>
      </c>
      <c r="B1439" s="2">
        <f ca="1">IFERROR(__xludf.DUMMYFUNCTION("""COMPUTED_VALUE"""),6850)</f>
        <v>6850</v>
      </c>
      <c r="C1439" s="2">
        <f ca="1">IFERROR(__xludf.DUMMYFUNCTION("""COMPUTED_VALUE"""),6875)</f>
        <v>6875</v>
      </c>
      <c r="D1439" s="2">
        <f ca="1">IFERROR(__xludf.DUMMYFUNCTION("""COMPUTED_VALUE"""),6700)</f>
        <v>6700</v>
      </c>
      <c r="E1439" s="2">
        <f ca="1">IFERROR(__xludf.DUMMYFUNCTION("""COMPUTED_VALUE"""),6775)</f>
        <v>6775</v>
      </c>
      <c r="F1439" s="2">
        <f ca="1">IFERROR(__xludf.DUMMYFUNCTION("""COMPUTED_VALUE"""),47270900)</f>
        <v>47270900</v>
      </c>
    </row>
    <row r="1440" spans="1:6">
      <c r="A1440" s="1">
        <f ca="1">IFERROR(__xludf.DUMMYFUNCTION("""COMPUTED_VALUE"""),44179.625)</f>
        <v>44179.625</v>
      </c>
      <c r="B1440" s="2">
        <f ca="1">IFERROR(__xludf.DUMMYFUNCTION("""COMPUTED_VALUE"""),6725)</f>
        <v>6725</v>
      </c>
      <c r="C1440" s="2">
        <f ca="1">IFERROR(__xludf.DUMMYFUNCTION("""COMPUTED_VALUE"""),6800)</f>
        <v>6800</v>
      </c>
      <c r="D1440" s="2">
        <f ca="1">IFERROR(__xludf.DUMMYFUNCTION("""COMPUTED_VALUE"""),6675)</f>
        <v>6675</v>
      </c>
      <c r="E1440" s="2">
        <f ca="1">IFERROR(__xludf.DUMMYFUNCTION("""COMPUTED_VALUE"""),6725)</f>
        <v>6725</v>
      </c>
      <c r="F1440" s="2">
        <f ca="1">IFERROR(__xludf.DUMMYFUNCTION("""COMPUTED_VALUE"""),47322600)</f>
        <v>47322600</v>
      </c>
    </row>
    <row r="1441" spans="1:6">
      <c r="A1441" s="1">
        <f ca="1">IFERROR(__xludf.DUMMYFUNCTION("""COMPUTED_VALUE"""),44180.625)</f>
        <v>44180.625</v>
      </c>
      <c r="B1441" s="2">
        <f ca="1">IFERROR(__xludf.DUMMYFUNCTION("""COMPUTED_VALUE"""),6700)</f>
        <v>6700</v>
      </c>
      <c r="C1441" s="2">
        <f ca="1">IFERROR(__xludf.DUMMYFUNCTION("""COMPUTED_VALUE"""),6725)</f>
        <v>6725</v>
      </c>
      <c r="D1441" s="2">
        <f ca="1">IFERROR(__xludf.DUMMYFUNCTION("""COMPUTED_VALUE"""),6600)</f>
        <v>6600</v>
      </c>
      <c r="E1441" s="2">
        <f ca="1">IFERROR(__xludf.DUMMYFUNCTION("""COMPUTED_VALUE"""),6700)</f>
        <v>6700</v>
      </c>
      <c r="F1441" s="2">
        <f ca="1">IFERROR(__xludf.DUMMYFUNCTION("""COMPUTED_VALUE"""),67831900)</f>
        <v>67831900</v>
      </c>
    </row>
    <row r="1442" spans="1:6">
      <c r="A1442" s="1">
        <f ca="1">IFERROR(__xludf.DUMMYFUNCTION("""COMPUTED_VALUE"""),44181.625)</f>
        <v>44181.625</v>
      </c>
      <c r="B1442" s="2">
        <f ca="1">IFERROR(__xludf.DUMMYFUNCTION("""COMPUTED_VALUE"""),6800)</f>
        <v>6800</v>
      </c>
      <c r="C1442" s="2">
        <f ca="1">IFERROR(__xludf.DUMMYFUNCTION("""COMPUTED_VALUE"""),6825)</f>
        <v>6825</v>
      </c>
      <c r="D1442" s="2">
        <f ca="1">IFERROR(__xludf.DUMMYFUNCTION("""COMPUTED_VALUE"""),6725)</f>
        <v>6725</v>
      </c>
      <c r="E1442" s="2">
        <f ca="1">IFERROR(__xludf.DUMMYFUNCTION("""COMPUTED_VALUE"""),6775)</f>
        <v>6775</v>
      </c>
      <c r="F1442" s="2">
        <f ca="1">IFERROR(__xludf.DUMMYFUNCTION("""COMPUTED_VALUE"""),48680900)</f>
        <v>48680900</v>
      </c>
    </row>
    <row r="1443" spans="1:6">
      <c r="A1443" s="1">
        <f ca="1">IFERROR(__xludf.DUMMYFUNCTION("""COMPUTED_VALUE"""),44182.625)</f>
        <v>44182.625</v>
      </c>
      <c r="B1443" s="2">
        <f ca="1">IFERROR(__xludf.DUMMYFUNCTION("""COMPUTED_VALUE"""),6775)</f>
        <v>6775</v>
      </c>
      <c r="C1443" s="2">
        <f ca="1">IFERROR(__xludf.DUMMYFUNCTION("""COMPUTED_VALUE"""),6875)</f>
        <v>6875</v>
      </c>
      <c r="D1443" s="2">
        <f ca="1">IFERROR(__xludf.DUMMYFUNCTION("""COMPUTED_VALUE"""),6775)</f>
        <v>6775</v>
      </c>
      <c r="E1443" s="2">
        <f ca="1">IFERROR(__xludf.DUMMYFUNCTION("""COMPUTED_VALUE"""),6875)</f>
        <v>6875</v>
      </c>
      <c r="F1443" s="2">
        <f ca="1">IFERROR(__xludf.DUMMYFUNCTION("""COMPUTED_VALUE"""),54983000)</f>
        <v>54983000</v>
      </c>
    </row>
    <row r="1444" spans="1:6">
      <c r="A1444" s="1">
        <f ca="1">IFERROR(__xludf.DUMMYFUNCTION("""COMPUTED_VALUE"""),44183.625)</f>
        <v>44183.625</v>
      </c>
      <c r="B1444" s="2">
        <f ca="1">IFERROR(__xludf.DUMMYFUNCTION("""COMPUTED_VALUE"""),6800)</f>
        <v>6800</v>
      </c>
      <c r="C1444" s="2">
        <f ca="1">IFERROR(__xludf.DUMMYFUNCTION("""COMPUTED_VALUE"""),6825)</f>
        <v>6825</v>
      </c>
      <c r="D1444" s="2">
        <f ca="1">IFERROR(__xludf.DUMMYFUNCTION("""COMPUTED_VALUE"""),6700)</f>
        <v>6700</v>
      </c>
      <c r="E1444" s="2">
        <f ca="1">IFERROR(__xludf.DUMMYFUNCTION("""COMPUTED_VALUE"""),6700)</f>
        <v>6700</v>
      </c>
      <c r="F1444" s="2">
        <f ca="1">IFERROR(__xludf.DUMMYFUNCTION("""COMPUTED_VALUE"""),71398900)</f>
        <v>71398900</v>
      </c>
    </row>
    <row r="1445" spans="1:6">
      <c r="A1445" s="1">
        <f ca="1">IFERROR(__xludf.DUMMYFUNCTION("""COMPUTED_VALUE"""),44186.625)</f>
        <v>44186.625</v>
      </c>
      <c r="B1445" s="2">
        <f ca="1">IFERROR(__xludf.DUMMYFUNCTION("""COMPUTED_VALUE"""),6775)</f>
        <v>6775</v>
      </c>
      <c r="C1445" s="2">
        <f ca="1">IFERROR(__xludf.DUMMYFUNCTION("""COMPUTED_VALUE"""),6800)</f>
        <v>6800</v>
      </c>
      <c r="D1445" s="2">
        <f ca="1">IFERROR(__xludf.DUMMYFUNCTION("""COMPUTED_VALUE"""),6675)</f>
        <v>6675</v>
      </c>
      <c r="E1445" s="2">
        <f ca="1">IFERROR(__xludf.DUMMYFUNCTION("""COMPUTED_VALUE"""),6700)</f>
        <v>6700</v>
      </c>
      <c r="F1445" s="2">
        <f ca="1">IFERROR(__xludf.DUMMYFUNCTION("""COMPUTED_VALUE"""),41587300)</f>
        <v>41587300</v>
      </c>
    </row>
    <row r="1446" spans="1:6">
      <c r="A1446" s="1">
        <f ca="1">IFERROR(__xludf.DUMMYFUNCTION("""COMPUTED_VALUE"""),44187.625)</f>
        <v>44187.625</v>
      </c>
      <c r="B1446" s="2">
        <f ca="1">IFERROR(__xludf.DUMMYFUNCTION("""COMPUTED_VALUE"""),6575)</f>
        <v>6575</v>
      </c>
      <c r="C1446" s="2">
        <f ca="1">IFERROR(__xludf.DUMMYFUNCTION("""COMPUTED_VALUE"""),6625)</f>
        <v>6625</v>
      </c>
      <c r="D1446" s="2">
        <f ca="1">IFERROR(__xludf.DUMMYFUNCTION("""COMPUTED_VALUE"""),6350)</f>
        <v>6350</v>
      </c>
      <c r="E1446" s="2">
        <f ca="1">IFERROR(__xludf.DUMMYFUNCTION("""COMPUTED_VALUE"""),6400)</f>
        <v>6400</v>
      </c>
      <c r="F1446" s="2">
        <f ca="1">IFERROR(__xludf.DUMMYFUNCTION("""COMPUTED_VALUE"""),82964900)</f>
        <v>82964900</v>
      </c>
    </row>
    <row r="1447" spans="1:6">
      <c r="A1447" s="1">
        <f ca="1">IFERROR(__xludf.DUMMYFUNCTION("""COMPUTED_VALUE"""),44188.625)</f>
        <v>44188.625</v>
      </c>
      <c r="B1447" s="2">
        <f ca="1">IFERROR(__xludf.DUMMYFUNCTION("""COMPUTED_VALUE"""),6500)</f>
        <v>6500</v>
      </c>
      <c r="C1447" s="2">
        <f ca="1">IFERROR(__xludf.DUMMYFUNCTION("""COMPUTED_VALUE"""),6600)</f>
        <v>6600</v>
      </c>
      <c r="D1447" s="2">
        <f ca="1">IFERROR(__xludf.DUMMYFUNCTION("""COMPUTED_VALUE"""),6200)</f>
        <v>6200</v>
      </c>
      <c r="E1447" s="2">
        <f ca="1">IFERROR(__xludf.DUMMYFUNCTION("""COMPUTED_VALUE"""),6350)</f>
        <v>6350</v>
      </c>
      <c r="F1447" s="2">
        <f ca="1">IFERROR(__xludf.DUMMYFUNCTION("""COMPUTED_VALUE"""),55016200)</f>
        <v>55016200</v>
      </c>
    </row>
    <row r="1448" spans="1:6">
      <c r="A1448" s="1">
        <f ca="1">IFERROR(__xludf.DUMMYFUNCTION("""COMPUTED_VALUE"""),44193.625)</f>
        <v>44193.625</v>
      </c>
      <c r="B1448" s="2">
        <f ca="1">IFERROR(__xludf.DUMMYFUNCTION("""COMPUTED_VALUE"""),6500)</f>
        <v>6500</v>
      </c>
      <c r="C1448" s="2">
        <f ca="1">IFERROR(__xludf.DUMMYFUNCTION("""COMPUTED_VALUE"""),6575)</f>
        <v>6575</v>
      </c>
      <c r="D1448" s="2">
        <f ca="1">IFERROR(__xludf.DUMMYFUNCTION("""COMPUTED_VALUE"""),6300)</f>
        <v>6300</v>
      </c>
      <c r="E1448" s="2">
        <f ca="1">IFERROR(__xludf.DUMMYFUNCTION("""COMPUTED_VALUE"""),6525)</f>
        <v>6525</v>
      </c>
      <c r="F1448" s="2">
        <f ca="1">IFERROR(__xludf.DUMMYFUNCTION("""COMPUTED_VALUE"""),37763500)</f>
        <v>37763500</v>
      </c>
    </row>
    <row r="1449" spans="1:6">
      <c r="A1449" s="1">
        <f ca="1">IFERROR(__xludf.DUMMYFUNCTION("""COMPUTED_VALUE"""),44194.625)</f>
        <v>44194.625</v>
      </c>
      <c r="B1449" s="2">
        <f ca="1">IFERROR(__xludf.DUMMYFUNCTION("""COMPUTED_VALUE"""),6575)</f>
        <v>6575</v>
      </c>
      <c r="C1449" s="2">
        <f ca="1">IFERROR(__xludf.DUMMYFUNCTION("""COMPUTED_VALUE"""),6600)</f>
        <v>6600</v>
      </c>
      <c r="D1449" s="2">
        <f ca="1">IFERROR(__xludf.DUMMYFUNCTION("""COMPUTED_VALUE"""),6400)</f>
        <v>6400</v>
      </c>
      <c r="E1449" s="2">
        <f ca="1">IFERROR(__xludf.DUMMYFUNCTION("""COMPUTED_VALUE"""),6425)</f>
        <v>6425</v>
      </c>
      <c r="F1449" s="2">
        <f ca="1">IFERROR(__xludf.DUMMYFUNCTION("""COMPUTED_VALUE"""),28711300)</f>
        <v>28711300</v>
      </c>
    </row>
    <row r="1450" spans="1:6">
      <c r="A1450" s="1">
        <f ca="1">IFERROR(__xludf.DUMMYFUNCTION("""COMPUTED_VALUE"""),44195.625)</f>
        <v>44195.625</v>
      </c>
      <c r="B1450" s="2">
        <f ca="1">IFERROR(__xludf.DUMMYFUNCTION("""COMPUTED_VALUE"""),6525)</f>
        <v>6525</v>
      </c>
      <c r="C1450" s="2">
        <f ca="1">IFERROR(__xludf.DUMMYFUNCTION("""COMPUTED_VALUE"""),6525)</f>
        <v>6525</v>
      </c>
      <c r="D1450" s="2">
        <f ca="1">IFERROR(__xludf.DUMMYFUNCTION("""COMPUTED_VALUE"""),6325)</f>
        <v>6325</v>
      </c>
      <c r="E1450" s="2">
        <f ca="1">IFERROR(__xludf.DUMMYFUNCTION("""COMPUTED_VALUE"""),6325)</f>
        <v>6325</v>
      </c>
      <c r="F1450" s="2">
        <f ca="1">IFERROR(__xludf.DUMMYFUNCTION("""COMPUTED_VALUE"""),44470700)</f>
        <v>44470700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450"/>
  <sheetViews>
    <sheetView workbookViewId="0">
      <selection activeCell="A2" sqref="A2"/>
    </sheetView>
  </sheetViews>
  <sheetFormatPr defaultColWidth="14.44140625" defaultRowHeight="15.75" customHeight="1"/>
  <sheetData>
    <row r="1" spans="1:6">
      <c r="A1" s="1" t="str">
        <f ca="1">IFERROR(__xludf.DUMMYFUNCTION("GOOGLEFINANCE(""IDX:BBNI"",""ALL"",""1/1/2015"",""1/1/2021"",""DAILY"")"),"Date")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>
      <c r="A2" s="5">
        <f ca="1">IFERROR(__xludf.DUMMYFUNCTION("""COMPUTED_VALUE"""),42006.625)</f>
        <v>42006.625</v>
      </c>
      <c r="B2" s="2">
        <f ca="1">IFERROR(__xludf.DUMMYFUNCTION("""COMPUTED_VALUE"""),6050)</f>
        <v>6050</v>
      </c>
      <c r="C2" s="2">
        <f ca="1">IFERROR(__xludf.DUMMYFUNCTION("""COMPUTED_VALUE"""),6125)</f>
        <v>6125</v>
      </c>
      <c r="D2" s="2">
        <f ca="1">IFERROR(__xludf.DUMMYFUNCTION("""COMPUTED_VALUE"""),6050)</f>
        <v>6050</v>
      </c>
      <c r="E2" s="2">
        <f ca="1">IFERROR(__xludf.DUMMYFUNCTION("""COMPUTED_VALUE"""),6100)</f>
        <v>6100</v>
      </c>
      <c r="F2" s="2">
        <f ca="1">IFERROR(__xludf.DUMMYFUNCTION("""COMPUTED_VALUE"""),11700700)</f>
        <v>11700700</v>
      </c>
    </row>
    <row r="3" spans="1:6">
      <c r="A3" s="1">
        <f ca="1">IFERROR(__xludf.DUMMYFUNCTION("""COMPUTED_VALUE"""),42009.625)</f>
        <v>42009.625</v>
      </c>
      <c r="B3" s="2">
        <f ca="1">IFERROR(__xludf.DUMMYFUNCTION("""COMPUTED_VALUE"""),6075)</f>
        <v>6075</v>
      </c>
      <c r="C3" s="2">
        <f ca="1">IFERROR(__xludf.DUMMYFUNCTION("""COMPUTED_VALUE"""),6075)</f>
        <v>6075</v>
      </c>
      <c r="D3" s="2">
        <f ca="1">IFERROR(__xludf.DUMMYFUNCTION("""COMPUTED_VALUE"""),6000)</f>
        <v>6000</v>
      </c>
      <c r="E3" s="2">
        <f ca="1">IFERROR(__xludf.DUMMYFUNCTION("""COMPUTED_VALUE"""),6025)</f>
        <v>6025</v>
      </c>
      <c r="F3" s="2">
        <f ca="1">IFERROR(__xludf.DUMMYFUNCTION("""COMPUTED_VALUE"""),13824800)</f>
        <v>13824800</v>
      </c>
    </row>
    <row r="4" spans="1:6">
      <c r="A4" s="1">
        <f ca="1">IFERROR(__xludf.DUMMYFUNCTION("""COMPUTED_VALUE"""),42010.625)</f>
        <v>42010.625</v>
      </c>
      <c r="B4" s="2">
        <f ca="1">IFERROR(__xludf.DUMMYFUNCTION("""COMPUTED_VALUE"""),6000)</f>
        <v>6000</v>
      </c>
      <c r="C4" s="2">
        <f ca="1">IFERROR(__xludf.DUMMYFUNCTION("""COMPUTED_VALUE"""),6050)</f>
        <v>6050</v>
      </c>
      <c r="D4" s="2">
        <f ca="1">IFERROR(__xludf.DUMMYFUNCTION("""COMPUTED_VALUE"""),5950)</f>
        <v>5950</v>
      </c>
      <c r="E4" s="2">
        <f ca="1">IFERROR(__xludf.DUMMYFUNCTION("""COMPUTED_VALUE"""),6025)</f>
        <v>6025</v>
      </c>
      <c r="F4" s="2">
        <f ca="1">IFERROR(__xludf.DUMMYFUNCTION("""COMPUTED_VALUE"""),23801400)</f>
        <v>23801400</v>
      </c>
    </row>
    <row r="5" spans="1:6">
      <c r="A5" s="1">
        <f ca="1">IFERROR(__xludf.DUMMYFUNCTION("""COMPUTED_VALUE"""),42011.625)</f>
        <v>42011.625</v>
      </c>
      <c r="B5" s="2">
        <f ca="1">IFERROR(__xludf.DUMMYFUNCTION("""COMPUTED_VALUE"""),6000)</f>
        <v>6000</v>
      </c>
      <c r="C5" s="2">
        <f ca="1">IFERROR(__xludf.DUMMYFUNCTION("""COMPUTED_VALUE"""),6100)</f>
        <v>6100</v>
      </c>
      <c r="D5" s="2">
        <f ca="1">IFERROR(__xludf.DUMMYFUNCTION("""COMPUTED_VALUE"""),5975)</f>
        <v>5975</v>
      </c>
      <c r="E5" s="2">
        <f ca="1">IFERROR(__xludf.DUMMYFUNCTION("""COMPUTED_VALUE"""),6075)</f>
        <v>6075</v>
      </c>
      <c r="F5" s="2">
        <f ca="1">IFERROR(__xludf.DUMMYFUNCTION("""COMPUTED_VALUE"""),19387800)</f>
        <v>19387800</v>
      </c>
    </row>
    <row r="6" spans="1:6">
      <c r="A6" s="1">
        <f ca="1">IFERROR(__xludf.DUMMYFUNCTION("""COMPUTED_VALUE"""),42012.625)</f>
        <v>42012.625</v>
      </c>
      <c r="B6" s="2">
        <f ca="1">IFERROR(__xludf.DUMMYFUNCTION("""COMPUTED_VALUE"""),6100)</f>
        <v>6100</v>
      </c>
      <c r="C6" s="2">
        <f ca="1">IFERROR(__xludf.DUMMYFUNCTION("""COMPUTED_VALUE"""),6125)</f>
        <v>6125</v>
      </c>
      <c r="D6" s="2">
        <f ca="1">IFERROR(__xludf.DUMMYFUNCTION("""COMPUTED_VALUE"""),6025)</f>
        <v>6025</v>
      </c>
      <c r="E6" s="2">
        <f ca="1">IFERROR(__xludf.DUMMYFUNCTION("""COMPUTED_VALUE"""),6075)</f>
        <v>6075</v>
      </c>
      <c r="F6" s="2">
        <f ca="1">IFERROR(__xludf.DUMMYFUNCTION("""COMPUTED_VALUE"""),16755600)</f>
        <v>16755600</v>
      </c>
    </row>
    <row r="7" spans="1:6">
      <c r="A7" s="1">
        <f ca="1">IFERROR(__xludf.DUMMYFUNCTION("""COMPUTED_VALUE"""),42013.625)</f>
        <v>42013.625</v>
      </c>
      <c r="B7" s="2">
        <f ca="1">IFERROR(__xludf.DUMMYFUNCTION("""COMPUTED_VALUE"""),6075)</f>
        <v>6075</v>
      </c>
      <c r="C7" s="2">
        <f ca="1">IFERROR(__xludf.DUMMYFUNCTION("""COMPUTED_VALUE"""),6250)</f>
        <v>6250</v>
      </c>
      <c r="D7" s="2">
        <f ca="1">IFERROR(__xludf.DUMMYFUNCTION("""COMPUTED_VALUE"""),6075)</f>
        <v>6075</v>
      </c>
      <c r="E7" s="2">
        <f ca="1">IFERROR(__xludf.DUMMYFUNCTION("""COMPUTED_VALUE"""),6150)</f>
        <v>6150</v>
      </c>
      <c r="F7" s="2">
        <f ca="1">IFERROR(__xludf.DUMMYFUNCTION("""COMPUTED_VALUE"""),29854500)</f>
        <v>29854500</v>
      </c>
    </row>
    <row r="8" spans="1:6">
      <c r="A8" s="1">
        <f ca="1">IFERROR(__xludf.DUMMYFUNCTION("""COMPUTED_VALUE"""),42016.625)</f>
        <v>42016.625</v>
      </c>
      <c r="B8" s="2">
        <f ca="1">IFERROR(__xludf.DUMMYFUNCTION("""COMPUTED_VALUE"""),6100)</f>
        <v>6100</v>
      </c>
      <c r="C8" s="2">
        <f ca="1">IFERROR(__xludf.DUMMYFUNCTION("""COMPUTED_VALUE"""),6225)</f>
        <v>6225</v>
      </c>
      <c r="D8" s="2">
        <f ca="1">IFERROR(__xludf.DUMMYFUNCTION("""COMPUTED_VALUE"""),6075)</f>
        <v>6075</v>
      </c>
      <c r="E8" s="2">
        <f ca="1">IFERROR(__xludf.DUMMYFUNCTION("""COMPUTED_VALUE"""),6075)</f>
        <v>6075</v>
      </c>
      <c r="F8" s="2">
        <f ca="1">IFERROR(__xludf.DUMMYFUNCTION("""COMPUTED_VALUE"""),19549800)</f>
        <v>19549800</v>
      </c>
    </row>
    <row r="9" spans="1:6">
      <c r="A9" s="1">
        <f ca="1">IFERROR(__xludf.DUMMYFUNCTION("""COMPUTED_VALUE"""),42017.625)</f>
        <v>42017.625</v>
      </c>
      <c r="B9" s="2">
        <f ca="1">IFERROR(__xludf.DUMMYFUNCTION("""COMPUTED_VALUE"""),6075)</f>
        <v>6075</v>
      </c>
      <c r="C9" s="2">
        <f ca="1">IFERROR(__xludf.DUMMYFUNCTION("""COMPUTED_VALUE"""),6175)</f>
        <v>6175</v>
      </c>
      <c r="D9" s="2">
        <f ca="1">IFERROR(__xludf.DUMMYFUNCTION("""COMPUTED_VALUE"""),6075)</f>
        <v>6075</v>
      </c>
      <c r="E9" s="2">
        <f ca="1">IFERROR(__xludf.DUMMYFUNCTION("""COMPUTED_VALUE"""),6150)</f>
        <v>6150</v>
      </c>
      <c r="F9" s="2">
        <f ca="1">IFERROR(__xludf.DUMMYFUNCTION("""COMPUTED_VALUE"""),16151400)</f>
        <v>16151400</v>
      </c>
    </row>
    <row r="10" spans="1:6">
      <c r="A10" s="1">
        <f ca="1">IFERROR(__xludf.DUMMYFUNCTION("""COMPUTED_VALUE"""),42018.625)</f>
        <v>42018.625</v>
      </c>
      <c r="B10" s="2">
        <f ca="1">IFERROR(__xludf.DUMMYFUNCTION("""COMPUTED_VALUE"""),6150)</f>
        <v>6150</v>
      </c>
      <c r="C10" s="2">
        <f ca="1">IFERROR(__xludf.DUMMYFUNCTION("""COMPUTED_VALUE"""),6200)</f>
        <v>6200</v>
      </c>
      <c r="D10" s="2">
        <f ca="1">IFERROR(__xludf.DUMMYFUNCTION("""COMPUTED_VALUE"""),6100)</f>
        <v>6100</v>
      </c>
      <c r="E10" s="2">
        <f ca="1">IFERROR(__xludf.DUMMYFUNCTION("""COMPUTED_VALUE"""),6100)</f>
        <v>6100</v>
      </c>
      <c r="F10" s="2">
        <f ca="1">IFERROR(__xludf.DUMMYFUNCTION("""COMPUTED_VALUE"""),17067900)</f>
        <v>17067900</v>
      </c>
    </row>
    <row r="11" spans="1:6">
      <c r="A11" s="1">
        <f ca="1">IFERROR(__xludf.DUMMYFUNCTION("""COMPUTED_VALUE"""),42019.625)</f>
        <v>42019.625</v>
      </c>
      <c r="B11" s="2">
        <f ca="1">IFERROR(__xludf.DUMMYFUNCTION("""COMPUTED_VALUE"""),6150)</f>
        <v>6150</v>
      </c>
      <c r="C11" s="2">
        <f ca="1">IFERROR(__xludf.DUMMYFUNCTION("""COMPUTED_VALUE"""),6200)</f>
        <v>6200</v>
      </c>
      <c r="D11" s="2">
        <f ca="1">IFERROR(__xludf.DUMMYFUNCTION("""COMPUTED_VALUE"""),6075)</f>
        <v>6075</v>
      </c>
      <c r="E11" s="2">
        <f ca="1">IFERROR(__xludf.DUMMYFUNCTION("""COMPUTED_VALUE"""),6150)</f>
        <v>6150</v>
      </c>
      <c r="F11" s="2">
        <f ca="1">IFERROR(__xludf.DUMMYFUNCTION("""COMPUTED_VALUE"""),20480800)</f>
        <v>20480800</v>
      </c>
    </row>
    <row r="12" spans="1:6">
      <c r="A12" s="1">
        <f ca="1">IFERROR(__xludf.DUMMYFUNCTION("""COMPUTED_VALUE"""),42020.625)</f>
        <v>42020.625</v>
      </c>
      <c r="B12" s="2">
        <f ca="1">IFERROR(__xludf.DUMMYFUNCTION("""COMPUTED_VALUE"""),6075)</f>
        <v>6075</v>
      </c>
      <c r="C12" s="2">
        <f ca="1">IFERROR(__xludf.DUMMYFUNCTION("""COMPUTED_VALUE"""),6125)</f>
        <v>6125</v>
      </c>
      <c r="D12" s="2">
        <f ca="1">IFERROR(__xludf.DUMMYFUNCTION("""COMPUTED_VALUE"""),5950)</f>
        <v>5950</v>
      </c>
      <c r="E12" s="2">
        <f ca="1">IFERROR(__xludf.DUMMYFUNCTION("""COMPUTED_VALUE"""),5975)</f>
        <v>5975</v>
      </c>
      <c r="F12" s="2">
        <f ca="1">IFERROR(__xludf.DUMMYFUNCTION("""COMPUTED_VALUE"""),28009400)</f>
        <v>28009400</v>
      </c>
    </row>
    <row r="13" spans="1:6">
      <c r="A13" s="1">
        <f ca="1">IFERROR(__xludf.DUMMYFUNCTION("""COMPUTED_VALUE"""),42023.625)</f>
        <v>42023.625</v>
      </c>
      <c r="B13" s="2">
        <f ca="1">IFERROR(__xludf.DUMMYFUNCTION("""COMPUTED_VALUE"""),6025)</f>
        <v>6025</v>
      </c>
      <c r="C13" s="2">
        <f ca="1">IFERROR(__xludf.DUMMYFUNCTION("""COMPUTED_VALUE"""),6050)</f>
        <v>6050</v>
      </c>
      <c r="D13" s="2">
        <f ca="1">IFERROR(__xludf.DUMMYFUNCTION("""COMPUTED_VALUE"""),5950)</f>
        <v>5950</v>
      </c>
      <c r="E13" s="2">
        <f ca="1">IFERROR(__xludf.DUMMYFUNCTION("""COMPUTED_VALUE"""),5975)</f>
        <v>5975</v>
      </c>
      <c r="F13" s="2">
        <f ca="1">IFERROR(__xludf.DUMMYFUNCTION("""COMPUTED_VALUE"""),13717400)</f>
        <v>13717400</v>
      </c>
    </row>
    <row r="14" spans="1:6">
      <c r="A14" s="1">
        <f ca="1">IFERROR(__xludf.DUMMYFUNCTION("""COMPUTED_VALUE"""),42024.625)</f>
        <v>42024.625</v>
      </c>
      <c r="B14" s="2">
        <f ca="1">IFERROR(__xludf.DUMMYFUNCTION("""COMPUTED_VALUE"""),5975)</f>
        <v>5975</v>
      </c>
      <c r="C14" s="2">
        <f ca="1">IFERROR(__xludf.DUMMYFUNCTION("""COMPUTED_VALUE"""),5975)</f>
        <v>5975</v>
      </c>
      <c r="D14" s="2">
        <f ca="1">IFERROR(__xludf.DUMMYFUNCTION("""COMPUTED_VALUE"""),5725)</f>
        <v>5725</v>
      </c>
      <c r="E14" s="2">
        <f ca="1">IFERROR(__xludf.DUMMYFUNCTION("""COMPUTED_VALUE"""),5900)</f>
        <v>5900</v>
      </c>
      <c r="F14" s="2">
        <f ca="1">IFERROR(__xludf.DUMMYFUNCTION("""COMPUTED_VALUE"""),41519400)</f>
        <v>41519400</v>
      </c>
    </row>
    <row r="15" spans="1:6">
      <c r="A15" s="1">
        <f ca="1">IFERROR(__xludf.DUMMYFUNCTION("""COMPUTED_VALUE"""),42025.625)</f>
        <v>42025.625</v>
      </c>
      <c r="B15" s="2">
        <f ca="1">IFERROR(__xludf.DUMMYFUNCTION("""COMPUTED_VALUE"""),5925)</f>
        <v>5925</v>
      </c>
      <c r="C15" s="2">
        <f ca="1">IFERROR(__xludf.DUMMYFUNCTION("""COMPUTED_VALUE"""),6000)</f>
        <v>6000</v>
      </c>
      <c r="D15" s="2">
        <f ca="1">IFERROR(__xludf.DUMMYFUNCTION("""COMPUTED_VALUE"""),5875)</f>
        <v>5875</v>
      </c>
      <c r="E15" s="2">
        <f ca="1">IFERROR(__xludf.DUMMYFUNCTION("""COMPUTED_VALUE"""),5975)</f>
        <v>5975</v>
      </c>
      <c r="F15" s="2">
        <f ca="1">IFERROR(__xludf.DUMMYFUNCTION("""COMPUTED_VALUE"""),22344200)</f>
        <v>22344200</v>
      </c>
    </row>
    <row r="16" spans="1:6">
      <c r="A16" s="1">
        <f ca="1">IFERROR(__xludf.DUMMYFUNCTION("""COMPUTED_VALUE"""),42026.625)</f>
        <v>42026.625</v>
      </c>
      <c r="B16" s="2">
        <f ca="1">IFERROR(__xludf.DUMMYFUNCTION("""COMPUTED_VALUE"""),6000)</f>
        <v>6000</v>
      </c>
      <c r="C16" s="2">
        <f ca="1">IFERROR(__xludf.DUMMYFUNCTION("""COMPUTED_VALUE"""),6050)</f>
        <v>6050</v>
      </c>
      <c r="D16" s="2">
        <f ca="1">IFERROR(__xludf.DUMMYFUNCTION("""COMPUTED_VALUE"""),5950)</f>
        <v>5950</v>
      </c>
      <c r="E16" s="2">
        <f ca="1">IFERROR(__xludf.DUMMYFUNCTION("""COMPUTED_VALUE"""),5950)</f>
        <v>5950</v>
      </c>
      <c r="F16" s="2">
        <f ca="1">IFERROR(__xludf.DUMMYFUNCTION("""COMPUTED_VALUE"""),42082000)</f>
        <v>42082000</v>
      </c>
    </row>
    <row r="17" spans="1:6">
      <c r="A17" s="1">
        <f ca="1">IFERROR(__xludf.DUMMYFUNCTION("""COMPUTED_VALUE"""),42027.625)</f>
        <v>42027.625</v>
      </c>
      <c r="B17" s="2">
        <f ca="1">IFERROR(__xludf.DUMMYFUNCTION("""COMPUTED_VALUE"""),6025)</f>
        <v>6025</v>
      </c>
      <c r="C17" s="2">
        <f ca="1">IFERROR(__xludf.DUMMYFUNCTION("""COMPUTED_VALUE"""),6175)</f>
        <v>6175</v>
      </c>
      <c r="D17" s="2">
        <f ca="1">IFERROR(__xludf.DUMMYFUNCTION("""COMPUTED_VALUE"""),6025)</f>
        <v>6025</v>
      </c>
      <c r="E17" s="2">
        <f ca="1">IFERROR(__xludf.DUMMYFUNCTION("""COMPUTED_VALUE"""),6100)</f>
        <v>6100</v>
      </c>
      <c r="F17" s="2">
        <f ca="1">IFERROR(__xludf.DUMMYFUNCTION("""COMPUTED_VALUE"""),40006300)</f>
        <v>40006300</v>
      </c>
    </row>
    <row r="18" spans="1:6">
      <c r="A18" s="1">
        <f ca="1">IFERROR(__xludf.DUMMYFUNCTION("""COMPUTED_VALUE"""),42030.625)</f>
        <v>42030.625</v>
      </c>
      <c r="B18" s="2">
        <f ca="1">IFERROR(__xludf.DUMMYFUNCTION("""COMPUTED_VALUE"""),5975)</f>
        <v>5975</v>
      </c>
      <c r="C18" s="2">
        <f ca="1">IFERROR(__xludf.DUMMYFUNCTION("""COMPUTED_VALUE"""),6150)</f>
        <v>6150</v>
      </c>
      <c r="D18" s="2">
        <f ca="1">IFERROR(__xludf.DUMMYFUNCTION("""COMPUTED_VALUE"""),5975)</f>
        <v>5975</v>
      </c>
      <c r="E18" s="2">
        <f ca="1">IFERROR(__xludf.DUMMYFUNCTION("""COMPUTED_VALUE"""),6100)</f>
        <v>6100</v>
      </c>
      <c r="F18" s="2">
        <f ca="1">IFERROR(__xludf.DUMMYFUNCTION("""COMPUTED_VALUE"""),26297900)</f>
        <v>26297900</v>
      </c>
    </row>
    <row r="19" spans="1:6">
      <c r="A19" s="1">
        <f ca="1">IFERROR(__xludf.DUMMYFUNCTION("""COMPUTED_VALUE"""),42031.625)</f>
        <v>42031.625</v>
      </c>
      <c r="B19" s="2">
        <f ca="1">IFERROR(__xludf.DUMMYFUNCTION("""COMPUTED_VALUE"""),6125)</f>
        <v>6125</v>
      </c>
      <c r="C19" s="2">
        <f ca="1">IFERROR(__xludf.DUMMYFUNCTION("""COMPUTED_VALUE"""),6275)</f>
        <v>6275</v>
      </c>
      <c r="D19" s="2">
        <f ca="1">IFERROR(__xludf.DUMMYFUNCTION("""COMPUTED_VALUE"""),6100)</f>
        <v>6100</v>
      </c>
      <c r="E19" s="2">
        <f ca="1">IFERROR(__xludf.DUMMYFUNCTION("""COMPUTED_VALUE"""),6200)</f>
        <v>6200</v>
      </c>
      <c r="F19" s="2">
        <f ca="1">IFERROR(__xludf.DUMMYFUNCTION("""COMPUTED_VALUE"""),38917500)</f>
        <v>38917500</v>
      </c>
    </row>
    <row r="20" spans="1:6">
      <c r="A20" s="1">
        <f ca="1">IFERROR(__xludf.DUMMYFUNCTION("""COMPUTED_VALUE"""),42032.625)</f>
        <v>42032.625</v>
      </c>
      <c r="B20" s="2">
        <f ca="1">IFERROR(__xludf.DUMMYFUNCTION("""COMPUTED_VALUE"""),6250)</f>
        <v>6250</v>
      </c>
      <c r="C20" s="2">
        <f ca="1">IFERROR(__xludf.DUMMYFUNCTION("""COMPUTED_VALUE"""),6300)</f>
        <v>6300</v>
      </c>
      <c r="D20" s="2">
        <f ca="1">IFERROR(__xludf.DUMMYFUNCTION("""COMPUTED_VALUE"""),6175)</f>
        <v>6175</v>
      </c>
      <c r="E20" s="2">
        <f ca="1">IFERROR(__xludf.DUMMYFUNCTION("""COMPUTED_VALUE"""),6175)</f>
        <v>6175</v>
      </c>
      <c r="F20" s="2">
        <f ca="1">IFERROR(__xludf.DUMMYFUNCTION("""COMPUTED_VALUE"""),22756600)</f>
        <v>22756600</v>
      </c>
    </row>
    <row r="21" spans="1:6">
      <c r="A21" s="1">
        <f ca="1">IFERROR(__xludf.DUMMYFUNCTION("""COMPUTED_VALUE"""),42033.625)</f>
        <v>42033.625</v>
      </c>
      <c r="B21" s="2">
        <f ca="1">IFERROR(__xludf.DUMMYFUNCTION("""COMPUTED_VALUE"""),6175)</f>
        <v>6175</v>
      </c>
      <c r="C21" s="2">
        <f ca="1">IFERROR(__xludf.DUMMYFUNCTION("""COMPUTED_VALUE"""),6225)</f>
        <v>6225</v>
      </c>
      <c r="D21" s="2">
        <f ca="1">IFERROR(__xludf.DUMMYFUNCTION("""COMPUTED_VALUE"""),6150)</f>
        <v>6150</v>
      </c>
      <c r="E21" s="2">
        <f ca="1">IFERROR(__xludf.DUMMYFUNCTION("""COMPUTED_VALUE"""),6150)</f>
        <v>6150</v>
      </c>
      <c r="F21" s="2">
        <f ca="1">IFERROR(__xludf.DUMMYFUNCTION("""COMPUTED_VALUE"""),14063400)</f>
        <v>14063400</v>
      </c>
    </row>
    <row r="22" spans="1:6">
      <c r="A22" s="1">
        <f ca="1">IFERROR(__xludf.DUMMYFUNCTION("""COMPUTED_VALUE"""),42034.625)</f>
        <v>42034.625</v>
      </c>
      <c r="B22" s="2">
        <f ca="1">IFERROR(__xludf.DUMMYFUNCTION("""COMPUTED_VALUE"""),6225)</f>
        <v>6225</v>
      </c>
      <c r="C22" s="2">
        <f ca="1">IFERROR(__xludf.DUMMYFUNCTION("""COMPUTED_VALUE"""),6275)</f>
        <v>6275</v>
      </c>
      <c r="D22" s="2">
        <f ca="1">IFERROR(__xludf.DUMMYFUNCTION("""COMPUTED_VALUE"""),6175)</f>
        <v>6175</v>
      </c>
      <c r="E22" s="2">
        <f ca="1">IFERROR(__xludf.DUMMYFUNCTION("""COMPUTED_VALUE"""),6250)</f>
        <v>6250</v>
      </c>
      <c r="F22" s="2">
        <f ca="1">IFERROR(__xludf.DUMMYFUNCTION("""COMPUTED_VALUE"""),38295700)</f>
        <v>38295700</v>
      </c>
    </row>
    <row r="23" spans="1:6">
      <c r="A23" s="1">
        <f ca="1">IFERROR(__xludf.DUMMYFUNCTION("""COMPUTED_VALUE"""),42037.625)</f>
        <v>42037.625</v>
      </c>
      <c r="B23" s="2">
        <f ca="1">IFERROR(__xludf.DUMMYFUNCTION("""COMPUTED_VALUE"""),6200)</f>
        <v>6200</v>
      </c>
      <c r="C23" s="2">
        <f ca="1">IFERROR(__xludf.DUMMYFUNCTION("""COMPUTED_VALUE"""),6275)</f>
        <v>6275</v>
      </c>
      <c r="D23" s="2">
        <f ca="1">IFERROR(__xludf.DUMMYFUNCTION("""COMPUTED_VALUE"""),6175)</f>
        <v>6175</v>
      </c>
      <c r="E23" s="2">
        <f ca="1">IFERROR(__xludf.DUMMYFUNCTION("""COMPUTED_VALUE"""),6250)</f>
        <v>6250</v>
      </c>
      <c r="F23" s="2">
        <f ca="1">IFERROR(__xludf.DUMMYFUNCTION("""COMPUTED_VALUE"""),15358800)</f>
        <v>15358800</v>
      </c>
    </row>
    <row r="24" spans="1:6">
      <c r="A24" s="1">
        <f ca="1">IFERROR(__xludf.DUMMYFUNCTION("""COMPUTED_VALUE"""),42038.625)</f>
        <v>42038.625</v>
      </c>
      <c r="B24" s="2">
        <f ca="1">IFERROR(__xludf.DUMMYFUNCTION("""COMPUTED_VALUE"""),6300)</f>
        <v>6300</v>
      </c>
      <c r="C24" s="2">
        <f ca="1">IFERROR(__xludf.DUMMYFUNCTION("""COMPUTED_VALUE"""),6450)</f>
        <v>6450</v>
      </c>
      <c r="D24" s="2">
        <f ca="1">IFERROR(__xludf.DUMMYFUNCTION("""COMPUTED_VALUE"""),6275)</f>
        <v>6275</v>
      </c>
      <c r="E24" s="2">
        <f ca="1">IFERROR(__xludf.DUMMYFUNCTION("""COMPUTED_VALUE"""),6425)</f>
        <v>6425</v>
      </c>
      <c r="F24" s="2">
        <f ca="1">IFERROR(__xludf.DUMMYFUNCTION("""COMPUTED_VALUE"""),32659200)</f>
        <v>32659200</v>
      </c>
    </row>
    <row r="25" spans="1:6">
      <c r="A25" s="1">
        <f ca="1">IFERROR(__xludf.DUMMYFUNCTION("""COMPUTED_VALUE"""),42039.625)</f>
        <v>42039.625</v>
      </c>
      <c r="B25" s="2">
        <f ca="1">IFERROR(__xludf.DUMMYFUNCTION("""COMPUTED_VALUE"""),6500)</f>
        <v>6500</v>
      </c>
      <c r="C25" s="2">
        <f ca="1">IFERROR(__xludf.DUMMYFUNCTION("""COMPUTED_VALUE"""),6825)</f>
        <v>6825</v>
      </c>
      <c r="D25" s="2">
        <f ca="1">IFERROR(__xludf.DUMMYFUNCTION("""COMPUTED_VALUE"""),6450)</f>
        <v>6450</v>
      </c>
      <c r="E25" s="2">
        <f ca="1">IFERROR(__xludf.DUMMYFUNCTION("""COMPUTED_VALUE"""),6500)</f>
        <v>6500</v>
      </c>
      <c r="F25" s="2">
        <f ca="1">IFERROR(__xludf.DUMMYFUNCTION("""COMPUTED_VALUE"""),43160800)</f>
        <v>43160800</v>
      </c>
    </row>
    <row r="26" spans="1:6">
      <c r="A26" s="1">
        <f ca="1">IFERROR(__xludf.DUMMYFUNCTION("""COMPUTED_VALUE"""),42040.625)</f>
        <v>42040.625</v>
      </c>
      <c r="B26" s="2">
        <f ca="1">IFERROR(__xludf.DUMMYFUNCTION("""COMPUTED_VALUE"""),6600)</f>
        <v>6600</v>
      </c>
      <c r="C26" s="2">
        <f ca="1">IFERROR(__xludf.DUMMYFUNCTION("""COMPUTED_VALUE"""),6675)</f>
        <v>6675</v>
      </c>
      <c r="D26" s="2">
        <f ca="1">IFERROR(__xludf.DUMMYFUNCTION("""COMPUTED_VALUE"""),6375)</f>
        <v>6375</v>
      </c>
      <c r="E26" s="2">
        <f ca="1">IFERROR(__xludf.DUMMYFUNCTION("""COMPUTED_VALUE"""),6450)</f>
        <v>6450</v>
      </c>
      <c r="F26" s="2">
        <f ca="1">IFERROR(__xludf.DUMMYFUNCTION("""COMPUTED_VALUE"""),26275100)</f>
        <v>26275100</v>
      </c>
    </row>
    <row r="27" spans="1:6">
      <c r="A27" s="1">
        <f ca="1">IFERROR(__xludf.DUMMYFUNCTION("""COMPUTED_VALUE"""),42041.625)</f>
        <v>42041.625</v>
      </c>
      <c r="B27" s="2">
        <f ca="1">IFERROR(__xludf.DUMMYFUNCTION("""COMPUTED_VALUE"""),6575)</f>
        <v>6575</v>
      </c>
      <c r="C27" s="2">
        <f ca="1">IFERROR(__xludf.DUMMYFUNCTION("""COMPUTED_VALUE"""),6775)</f>
        <v>6775</v>
      </c>
      <c r="D27" s="2">
        <f ca="1">IFERROR(__xludf.DUMMYFUNCTION("""COMPUTED_VALUE"""),6550)</f>
        <v>6550</v>
      </c>
      <c r="E27" s="2">
        <f ca="1">IFERROR(__xludf.DUMMYFUNCTION("""COMPUTED_VALUE"""),6675)</f>
        <v>6675</v>
      </c>
      <c r="F27" s="2">
        <f ca="1">IFERROR(__xludf.DUMMYFUNCTION("""COMPUTED_VALUE"""),32723900)</f>
        <v>32723900</v>
      </c>
    </row>
    <row r="28" spans="1:6">
      <c r="A28" s="1">
        <f ca="1">IFERROR(__xludf.DUMMYFUNCTION("""COMPUTED_VALUE"""),42044.625)</f>
        <v>42044.625</v>
      </c>
      <c r="B28" s="2">
        <f ca="1">IFERROR(__xludf.DUMMYFUNCTION("""COMPUTED_VALUE"""),6775)</f>
        <v>6775</v>
      </c>
      <c r="C28" s="2">
        <f ca="1">IFERROR(__xludf.DUMMYFUNCTION("""COMPUTED_VALUE"""),7075)</f>
        <v>7075</v>
      </c>
      <c r="D28" s="2">
        <f ca="1">IFERROR(__xludf.DUMMYFUNCTION("""COMPUTED_VALUE"""),6725)</f>
        <v>6725</v>
      </c>
      <c r="E28" s="2">
        <f ca="1">IFERROR(__xludf.DUMMYFUNCTION("""COMPUTED_VALUE"""),6875)</f>
        <v>6875</v>
      </c>
      <c r="F28" s="2">
        <f ca="1">IFERROR(__xludf.DUMMYFUNCTION("""COMPUTED_VALUE"""),32429800)</f>
        <v>32429800</v>
      </c>
    </row>
    <row r="29" spans="1:6">
      <c r="A29" s="1">
        <f ca="1">IFERROR(__xludf.DUMMYFUNCTION("""COMPUTED_VALUE"""),42045.625)</f>
        <v>42045.625</v>
      </c>
      <c r="B29" s="2">
        <f ca="1">IFERROR(__xludf.DUMMYFUNCTION("""COMPUTED_VALUE"""),6925)</f>
        <v>6925</v>
      </c>
      <c r="C29" s="2">
        <f ca="1">IFERROR(__xludf.DUMMYFUNCTION("""COMPUTED_VALUE"""),7000)</f>
        <v>7000</v>
      </c>
      <c r="D29" s="2">
        <f ca="1">IFERROR(__xludf.DUMMYFUNCTION("""COMPUTED_VALUE"""),6800)</f>
        <v>6800</v>
      </c>
      <c r="E29" s="2">
        <f ca="1">IFERROR(__xludf.DUMMYFUNCTION("""COMPUTED_VALUE"""),6800)</f>
        <v>6800</v>
      </c>
      <c r="F29" s="2">
        <f ca="1">IFERROR(__xludf.DUMMYFUNCTION("""COMPUTED_VALUE"""),20021400)</f>
        <v>20021400</v>
      </c>
    </row>
    <row r="30" spans="1:6">
      <c r="A30" s="1">
        <f ca="1">IFERROR(__xludf.DUMMYFUNCTION("""COMPUTED_VALUE"""),42046.625)</f>
        <v>42046.625</v>
      </c>
      <c r="B30" s="2">
        <f ca="1">IFERROR(__xludf.DUMMYFUNCTION("""COMPUTED_VALUE"""),6750)</f>
        <v>6750</v>
      </c>
      <c r="C30" s="2">
        <f ca="1">IFERROR(__xludf.DUMMYFUNCTION("""COMPUTED_VALUE"""),6825)</f>
        <v>6825</v>
      </c>
      <c r="D30" s="2">
        <f ca="1">IFERROR(__xludf.DUMMYFUNCTION("""COMPUTED_VALUE"""),6725)</f>
        <v>6725</v>
      </c>
      <c r="E30" s="2">
        <f ca="1">IFERROR(__xludf.DUMMYFUNCTION("""COMPUTED_VALUE"""),6725)</f>
        <v>6725</v>
      </c>
      <c r="F30" s="2">
        <f ca="1">IFERROR(__xludf.DUMMYFUNCTION("""COMPUTED_VALUE"""),17464000)</f>
        <v>17464000</v>
      </c>
    </row>
    <row r="31" spans="1:6">
      <c r="A31" s="1">
        <f ca="1">IFERROR(__xludf.DUMMYFUNCTION("""COMPUTED_VALUE"""),42047.625)</f>
        <v>42047.625</v>
      </c>
      <c r="B31" s="2">
        <f ca="1">IFERROR(__xludf.DUMMYFUNCTION("""COMPUTED_VALUE"""),6775)</f>
        <v>6775</v>
      </c>
      <c r="C31" s="2">
        <f ca="1">IFERROR(__xludf.DUMMYFUNCTION("""COMPUTED_VALUE"""),6775)</f>
        <v>6775</v>
      </c>
      <c r="D31" s="2">
        <f ca="1">IFERROR(__xludf.DUMMYFUNCTION("""COMPUTED_VALUE"""),6650)</f>
        <v>6650</v>
      </c>
      <c r="E31" s="2">
        <f ca="1">IFERROR(__xludf.DUMMYFUNCTION("""COMPUTED_VALUE"""),6725)</f>
        <v>6725</v>
      </c>
      <c r="F31" s="2">
        <f ca="1">IFERROR(__xludf.DUMMYFUNCTION("""COMPUTED_VALUE"""),10723500)</f>
        <v>10723500</v>
      </c>
    </row>
    <row r="32" spans="1:6">
      <c r="A32" s="1">
        <f ca="1">IFERROR(__xludf.DUMMYFUNCTION("""COMPUTED_VALUE"""),42048.625)</f>
        <v>42048.625</v>
      </c>
      <c r="B32" s="2">
        <f ca="1">IFERROR(__xludf.DUMMYFUNCTION("""COMPUTED_VALUE"""),6775)</f>
        <v>6775</v>
      </c>
      <c r="C32" s="2">
        <f ca="1">IFERROR(__xludf.DUMMYFUNCTION("""COMPUTED_VALUE"""),6800)</f>
        <v>6800</v>
      </c>
      <c r="D32" s="2">
        <f ca="1">IFERROR(__xludf.DUMMYFUNCTION("""COMPUTED_VALUE"""),6650)</f>
        <v>6650</v>
      </c>
      <c r="E32" s="2">
        <f ca="1">IFERROR(__xludf.DUMMYFUNCTION("""COMPUTED_VALUE"""),6675)</f>
        <v>6675</v>
      </c>
      <c r="F32" s="2">
        <f ca="1">IFERROR(__xludf.DUMMYFUNCTION("""COMPUTED_VALUE"""),14850500)</f>
        <v>14850500</v>
      </c>
    </row>
    <row r="33" spans="1:6">
      <c r="A33" s="1">
        <f ca="1">IFERROR(__xludf.DUMMYFUNCTION("""COMPUTED_VALUE"""),42051.625)</f>
        <v>42051.625</v>
      </c>
      <c r="B33" s="2">
        <f ca="1">IFERROR(__xludf.DUMMYFUNCTION("""COMPUTED_VALUE"""),6725)</f>
        <v>6725</v>
      </c>
      <c r="C33" s="2">
        <f ca="1">IFERROR(__xludf.DUMMYFUNCTION("""COMPUTED_VALUE"""),6750)</f>
        <v>6750</v>
      </c>
      <c r="D33" s="2">
        <f ca="1">IFERROR(__xludf.DUMMYFUNCTION("""COMPUTED_VALUE"""),6650)</f>
        <v>6650</v>
      </c>
      <c r="E33" s="2">
        <f ca="1">IFERROR(__xludf.DUMMYFUNCTION("""COMPUTED_VALUE"""),6675)</f>
        <v>6675</v>
      </c>
      <c r="F33" s="2">
        <f ca="1">IFERROR(__xludf.DUMMYFUNCTION("""COMPUTED_VALUE"""),11771000)</f>
        <v>11771000</v>
      </c>
    </row>
    <row r="34" spans="1:6">
      <c r="A34" s="1">
        <f ca="1">IFERROR(__xludf.DUMMYFUNCTION("""COMPUTED_VALUE"""),42052.625)</f>
        <v>42052.625</v>
      </c>
      <c r="B34" s="2">
        <f ca="1">IFERROR(__xludf.DUMMYFUNCTION("""COMPUTED_VALUE"""),6650)</f>
        <v>6650</v>
      </c>
      <c r="C34" s="2">
        <f ca="1">IFERROR(__xludf.DUMMYFUNCTION("""COMPUTED_VALUE"""),6700)</f>
        <v>6700</v>
      </c>
      <c r="D34" s="2">
        <f ca="1">IFERROR(__xludf.DUMMYFUNCTION("""COMPUTED_VALUE"""),6650)</f>
        <v>6650</v>
      </c>
      <c r="E34" s="2">
        <f ca="1">IFERROR(__xludf.DUMMYFUNCTION("""COMPUTED_VALUE"""),6650)</f>
        <v>6650</v>
      </c>
      <c r="F34" s="2">
        <f ca="1">IFERROR(__xludf.DUMMYFUNCTION("""COMPUTED_VALUE"""),6168800)</f>
        <v>6168800</v>
      </c>
    </row>
    <row r="35" spans="1:6">
      <c r="A35" s="1">
        <f ca="1">IFERROR(__xludf.DUMMYFUNCTION("""COMPUTED_VALUE"""),42053.625)</f>
        <v>42053.625</v>
      </c>
      <c r="B35" s="2">
        <f ca="1">IFERROR(__xludf.DUMMYFUNCTION("""COMPUTED_VALUE"""),6800)</f>
        <v>6800</v>
      </c>
      <c r="C35" s="2">
        <f ca="1">IFERROR(__xludf.DUMMYFUNCTION("""COMPUTED_VALUE"""),6925)</f>
        <v>6925</v>
      </c>
      <c r="D35" s="2">
        <f ca="1">IFERROR(__xludf.DUMMYFUNCTION("""COMPUTED_VALUE"""),6750)</f>
        <v>6750</v>
      </c>
      <c r="E35" s="2">
        <f ca="1">IFERROR(__xludf.DUMMYFUNCTION("""COMPUTED_VALUE"""),6900)</f>
        <v>6900</v>
      </c>
      <c r="F35" s="2">
        <f ca="1">IFERROR(__xludf.DUMMYFUNCTION("""COMPUTED_VALUE"""),42491800)</f>
        <v>42491800</v>
      </c>
    </row>
    <row r="36" spans="1:6">
      <c r="A36" s="1">
        <f ca="1">IFERROR(__xludf.DUMMYFUNCTION("""COMPUTED_VALUE"""),42055.625)</f>
        <v>42055.625</v>
      </c>
      <c r="B36" s="2">
        <f ca="1">IFERROR(__xludf.DUMMYFUNCTION("""COMPUTED_VALUE"""),6975)</f>
        <v>6975</v>
      </c>
      <c r="C36" s="2">
        <f ca="1">IFERROR(__xludf.DUMMYFUNCTION("""COMPUTED_VALUE"""),7075)</f>
        <v>7075</v>
      </c>
      <c r="D36" s="2">
        <f ca="1">IFERROR(__xludf.DUMMYFUNCTION("""COMPUTED_VALUE"""),6900)</f>
        <v>6900</v>
      </c>
      <c r="E36" s="2">
        <f ca="1">IFERROR(__xludf.DUMMYFUNCTION("""COMPUTED_VALUE"""),6900)</f>
        <v>6900</v>
      </c>
      <c r="F36" s="2">
        <f ca="1">IFERROR(__xludf.DUMMYFUNCTION("""COMPUTED_VALUE"""),16170800)</f>
        <v>16170800</v>
      </c>
    </row>
    <row r="37" spans="1:6">
      <c r="A37" s="1">
        <f ca="1">IFERROR(__xludf.DUMMYFUNCTION("""COMPUTED_VALUE"""),42058.625)</f>
        <v>42058.625</v>
      </c>
      <c r="B37" s="2">
        <f ca="1">IFERROR(__xludf.DUMMYFUNCTION("""COMPUTED_VALUE"""),7000)</f>
        <v>7000</v>
      </c>
      <c r="C37" s="2">
        <f ca="1">IFERROR(__xludf.DUMMYFUNCTION("""COMPUTED_VALUE"""),7000)</f>
        <v>7000</v>
      </c>
      <c r="D37" s="2">
        <f ca="1">IFERROR(__xludf.DUMMYFUNCTION("""COMPUTED_VALUE"""),6825)</f>
        <v>6825</v>
      </c>
      <c r="E37" s="2">
        <f ca="1">IFERROR(__xludf.DUMMYFUNCTION("""COMPUTED_VALUE"""),6925)</f>
        <v>6925</v>
      </c>
      <c r="F37" s="2">
        <f ca="1">IFERROR(__xludf.DUMMYFUNCTION("""COMPUTED_VALUE"""),13749700)</f>
        <v>13749700</v>
      </c>
    </row>
    <row r="38" spans="1:6">
      <c r="A38" s="1">
        <f ca="1">IFERROR(__xludf.DUMMYFUNCTION("""COMPUTED_VALUE"""),42059.625)</f>
        <v>42059.625</v>
      </c>
      <c r="B38" s="2">
        <f ca="1">IFERROR(__xludf.DUMMYFUNCTION("""COMPUTED_VALUE"""),6975)</f>
        <v>6975</v>
      </c>
      <c r="C38" s="2">
        <f ca="1">IFERROR(__xludf.DUMMYFUNCTION("""COMPUTED_VALUE"""),7000)</f>
        <v>7000</v>
      </c>
      <c r="D38" s="2">
        <f ca="1">IFERROR(__xludf.DUMMYFUNCTION("""COMPUTED_VALUE"""),6900)</f>
        <v>6900</v>
      </c>
      <c r="E38" s="2">
        <f ca="1">IFERROR(__xludf.DUMMYFUNCTION("""COMPUTED_VALUE"""),6975)</f>
        <v>6975</v>
      </c>
      <c r="F38" s="2">
        <f ca="1">IFERROR(__xludf.DUMMYFUNCTION("""COMPUTED_VALUE"""),17175000)</f>
        <v>17175000</v>
      </c>
    </row>
    <row r="39" spans="1:6">
      <c r="A39" s="1">
        <f ca="1">IFERROR(__xludf.DUMMYFUNCTION("""COMPUTED_VALUE"""),42060.625)</f>
        <v>42060.625</v>
      </c>
      <c r="B39" s="2">
        <f ca="1">IFERROR(__xludf.DUMMYFUNCTION("""COMPUTED_VALUE"""),7000)</f>
        <v>7000</v>
      </c>
      <c r="C39" s="2">
        <f ca="1">IFERROR(__xludf.DUMMYFUNCTION("""COMPUTED_VALUE"""),7000)</f>
        <v>7000</v>
      </c>
      <c r="D39" s="2">
        <f ca="1">IFERROR(__xludf.DUMMYFUNCTION("""COMPUTED_VALUE"""),6925)</f>
        <v>6925</v>
      </c>
      <c r="E39" s="2">
        <f ca="1">IFERROR(__xludf.DUMMYFUNCTION("""COMPUTED_VALUE"""),6975)</f>
        <v>6975</v>
      </c>
      <c r="F39" s="2">
        <f ca="1">IFERROR(__xludf.DUMMYFUNCTION("""COMPUTED_VALUE"""),14772600)</f>
        <v>14772600</v>
      </c>
    </row>
    <row r="40" spans="1:6">
      <c r="A40" s="1">
        <f ca="1">IFERROR(__xludf.DUMMYFUNCTION("""COMPUTED_VALUE"""),42061.625)</f>
        <v>42061.625</v>
      </c>
      <c r="B40" s="2">
        <f ca="1">IFERROR(__xludf.DUMMYFUNCTION("""COMPUTED_VALUE"""),6925)</f>
        <v>6925</v>
      </c>
      <c r="C40" s="2">
        <f ca="1">IFERROR(__xludf.DUMMYFUNCTION("""COMPUTED_VALUE"""),6975)</f>
        <v>6975</v>
      </c>
      <c r="D40" s="2">
        <f ca="1">IFERROR(__xludf.DUMMYFUNCTION("""COMPUTED_VALUE"""),6850)</f>
        <v>6850</v>
      </c>
      <c r="E40" s="2">
        <f ca="1">IFERROR(__xludf.DUMMYFUNCTION("""COMPUTED_VALUE"""),6925)</f>
        <v>6925</v>
      </c>
      <c r="F40" s="2">
        <f ca="1">IFERROR(__xludf.DUMMYFUNCTION("""COMPUTED_VALUE"""),14264100)</f>
        <v>14264100</v>
      </c>
    </row>
    <row r="41" spans="1:6">
      <c r="A41" s="1">
        <f ca="1">IFERROR(__xludf.DUMMYFUNCTION("""COMPUTED_VALUE"""),42062.625)</f>
        <v>42062.625</v>
      </c>
      <c r="B41" s="2">
        <f ca="1">IFERROR(__xludf.DUMMYFUNCTION("""COMPUTED_VALUE"""),6975)</f>
        <v>6975</v>
      </c>
      <c r="C41" s="2">
        <f ca="1">IFERROR(__xludf.DUMMYFUNCTION("""COMPUTED_VALUE"""),6975)</f>
        <v>6975</v>
      </c>
      <c r="D41" s="2">
        <f ca="1">IFERROR(__xludf.DUMMYFUNCTION("""COMPUTED_VALUE"""),6875)</f>
        <v>6875</v>
      </c>
      <c r="E41" s="2">
        <f ca="1">IFERROR(__xludf.DUMMYFUNCTION("""COMPUTED_VALUE"""),6875)</f>
        <v>6875</v>
      </c>
      <c r="F41" s="2">
        <f ca="1">IFERROR(__xludf.DUMMYFUNCTION("""COMPUTED_VALUE"""),18975500)</f>
        <v>18975500</v>
      </c>
    </row>
    <row r="42" spans="1:6">
      <c r="A42" s="1">
        <f ca="1">IFERROR(__xludf.DUMMYFUNCTION("""COMPUTED_VALUE"""),42065.625)</f>
        <v>42065.625</v>
      </c>
      <c r="B42" s="2">
        <f ca="1">IFERROR(__xludf.DUMMYFUNCTION("""COMPUTED_VALUE"""),6925)</f>
        <v>6925</v>
      </c>
      <c r="C42" s="2">
        <f ca="1">IFERROR(__xludf.DUMMYFUNCTION("""COMPUTED_VALUE"""),6950)</f>
        <v>6950</v>
      </c>
      <c r="D42" s="2">
        <f ca="1">IFERROR(__xludf.DUMMYFUNCTION("""COMPUTED_VALUE"""),6825)</f>
        <v>6825</v>
      </c>
      <c r="E42" s="2">
        <f ca="1">IFERROR(__xludf.DUMMYFUNCTION("""COMPUTED_VALUE"""),6850)</f>
        <v>6850</v>
      </c>
      <c r="F42" s="2">
        <f ca="1">IFERROR(__xludf.DUMMYFUNCTION("""COMPUTED_VALUE"""),24645200)</f>
        <v>24645200</v>
      </c>
    </row>
    <row r="43" spans="1:6">
      <c r="A43" s="1">
        <f ca="1">IFERROR(__xludf.DUMMYFUNCTION("""COMPUTED_VALUE"""),42066.625)</f>
        <v>42066.625</v>
      </c>
      <c r="B43" s="2">
        <f ca="1">IFERROR(__xludf.DUMMYFUNCTION("""COMPUTED_VALUE"""),6825)</f>
        <v>6825</v>
      </c>
      <c r="C43" s="2">
        <f ca="1">IFERROR(__xludf.DUMMYFUNCTION("""COMPUTED_VALUE"""),6875)</f>
        <v>6875</v>
      </c>
      <c r="D43" s="2">
        <f ca="1">IFERROR(__xludf.DUMMYFUNCTION("""COMPUTED_VALUE"""),6650)</f>
        <v>6650</v>
      </c>
      <c r="E43" s="2">
        <f ca="1">IFERROR(__xludf.DUMMYFUNCTION("""COMPUTED_VALUE"""),6675)</f>
        <v>6675</v>
      </c>
      <c r="F43" s="2">
        <f ca="1">IFERROR(__xludf.DUMMYFUNCTION("""COMPUTED_VALUE"""),34926900)</f>
        <v>34926900</v>
      </c>
    </row>
    <row r="44" spans="1:6">
      <c r="A44" s="1">
        <f ca="1">IFERROR(__xludf.DUMMYFUNCTION("""COMPUTED_VALUE"""),42067.625)</f>
        <v>42067.625</v>
      </c>
      <c r="B44" s="2">
        <f ca="1">IFERROR(__xludf.DUMMYFUNCTION("""COMPUTED_VALUE"""),6675)</f>
        <v>6675</v>
      </c>
      <c r="C44" s="2">
        <f ca="1">IFERROR(__xludf.DUMMYFUNCTION("""COMPUTED_VALUE"""),6750)</f>
        <v>6750</v>
      </c>
      <c r="D44" s="2">
        <f ca="1">IFERROR(__xludf.DUMMYFUNCTION("""COMPUTED_VALUE"""),6550)</f>
        <v>6550</v>
      </c>
      <c r="E44" s="2">
        <f ca="1">IFERROR(__xludf.DUMMYFUNCTION("""COMPUTED_VALUE"""),6650)</f>
        <v>6650</v>
      </c>
      <c r="F44" s="2">
        <f ca="1">IFERROR(__xludf.DUMMYFUNCTION("""COMPUTED_VALUE"""),29378000)</f>
        <v>29378000</v>
      </c>
    </row>
    <row r="45" spans="1:6">
      <c r="A45" s="1">
        <f ca="1">IFERROR(__xludf.DUMMYFUNCTION("""COMPUTED_VALUE"""),42068.625)</f>
        <v>42068.625</v>
      </c>
      <c r="B45" s="2">
        <f ca="1">IFERROR(__xludf.DUMMYFUNCTION("""COMPUTED_VALUE"""),6675)</f>
        <v>6675</v>
      </c>
      <c r="C45" s="2">
        <f ca="1">IFERROR(__xludf.DUMMYFUNCTION("""COMPUTED_VALUE"""),6725)</f>
        <v>6725</v>
      </c>
      <c r="D45" s="2">
        <f ca="1">IFERROR(__xludf.DUMMYFUNCTION("""COMPUTED_VALUE"""),6650)</f>
        <v>6650</v>
      </c>
      <c r="E45" s="2">
        <f ca="1">IFERROR(__xludf.DUMMYFUNCTION("""COMPUTED_VALUE"""),6675)</f>
        <v>6675</v>
      </c>
      <c r="F45" s="2">
        <f ca="1">IFERROR(__xludf.DUMMYFUNCTION("""COMPUTED_VALUE"""),25140000)</f>
        <v>25140000</v>
      </c>
    </row>
    <row r="46" spans="1:6">
      <c r="A46" s="1">
        <f ca="1">IFERROR(__xludf.DUMMYFUNCTION("""COMPUTED_VALUE"""),42069.625)</f>
        <v>42069.625</v>
      </c>
      <c r="B46" s="2">
        <f ca="1">IFERROR(__xludf.DUMMYFUNCTION("""COMPUTED_VALUE"""),6725)</f>
        <v>6725</v>
      </c>
      <c r="C46" s="2">
        <f ca="1">IFERROR(__xludf.DUMMYFUNCTION("""COMPUTED_VALUE"""),6800)</f>
        <v>6800</v>
      </c>
      <c r="D46" s="2">
        <f ca="1">IFERROR(__xludf.DUMMYFUNCTION("""COMPUTED_VALUE"""),6700)</f>
        <v>6700</v>
      </c>
      <c r="E46" s="2">
        <f ca="1">IFERROR(__xludf.DUMMYFUNCTION("""COMPUTED_VALUE"""),6775)</f>
        <v>6775</v>
      </c>
      <c r="F46" s="2">
        <f ca="1">IFERROR(__xludf.DUMMYFUNCTION("""COMPUTED_VALUE"""),38451900)</f>
        <v>38451900</v>
      </c>
    </row>
    <row r="47" spans="1:6">
      <c r="A47" s="1">
        <f ca="1">IFERROR(__xludf.DUMMYFUNCTION("""COMPUTED_VALUE"""),42072.625)</f>
        <v>42072.625</v>
      </c>
      <c r="B47" s="2">
        <f ca="1">IFERROR(__xludf.DUMMYFUNCTION("""COMPUTED_VALUE"""),6750)</f>
        <v>6750</v>
      </c>
      <c r="C47" s="2">
        <f ca="1">IFERROR(__xludf.DUMMYFUNCTION("""COMPUTED_VALUE"""),6775)</f>
        <v>6775</v>
      </c>
      <c r="D47" s="2">
        <f ca="1">IFERROR(__xludf.DUMMYFUNCTION("""COMPUTED_VALUE"""),6675)</f>
        <v>6675</v>
      </c>
      <c r="E47" s="2">
        <f ca="1">IFERROR(__xludf.DUMMYFUNCTION("""COMPUTED_VALUE"""),6700)</f>
        <v>6700</v>
      </c>
      <c r="F47" s="2">
        <f ca="1">IFERROR(__xludf.DUMMYFUNCTION("""COMPUTED_VALUE"""),30187600)</f>
        <v>30187600</v>
      </c>
    </row>
    <row r="48" spans="1:6">
      <c r="A48" s="1">
        <f ca="1">IFERROR(__xludf.DUMMYFUNCTION("""COMPUTED_VALUE"""),42073.625)</f>
        <v>42073.625</v>
      </c>
      <c r="B48" s="2">
        <f ca="1">IFERROR(__xludf.DUMMYFUNCTION("""COMPUTED_VALUE"""),6700)</f>
        <v>6700</v>
      </c>
      <c r="C48" s="2">
        <f ca="1">IFERROR(__xludf.DUMMYFUNCTION("""COMPUTED_VALUE"""),6850)</f>
        <v>6850</v>
      </c>
      <c r="D48" s="2">
        <f ca="1">IFERROR(__xludf.DUMMYFUNCTION("""COMPUTED_VALUE"""),6675)</f>
        <v>6675</v>
      </c>
      <c r="E48" s="2">
        <f ca="1">IFERROR(__xludf.DUMMYFUNCTION("""COMPUTED_VALUE"""),6750)</f>
        <v>6750</v>
      </c>
      <c r="F48" s="2">
        <f ca="1">IFERROR(__xludf.DUMMYFUNCTION("""COMPUTED_VALUE"""),39759300)</f>
        <v>39759300</v>
      </c>
    </row>
    <row r="49" spans="1:6">
      <c r="A49" s="1">
        <f ca="1">IFERROR(__xludf.DUMMYFUNCTION("""COMPUTED_VALUE"""),42074.625)</f>
        <v>42074.625</v>
      </c>
      <c r="B49" s="2">
        <f ca="1">IFERROR(__xludf.DUMMYFUNCTION("""COMPUTED_VALUE"""),6750)</f>
        <v>6750</v>
      </c>
      <c r="C49" s="2">
        <f ca="1">IFERROR(__xludf.DUMMYFUNCTION("""COMPUTED_VALUE"""),6775)</f>
        <v>6775</v>
      </c>
      <c r="D49" s="2">
        <f ca="1">IFERROR(__xludf.DUMMYFUNCTION("""COMPUTED_VALUE"""),6675)</f>
        <v>6675</v>
      </c>
      <c r="E49" s="2">
        <f ca="1">IFERROR(__xludf.DUMMYFUNCTION("""COMPUTED_VALUE"""),6700)</f>
        <v>6700</v>
      </c>
      <c r="F49" s="2">
        <f ca="1">IFERROR(__xludf.DUMMYFUNCTION("""COMPUTED_VALUE"""),36458400)</f>
        <v>36458400</v>
      </c>
    </row>
    <row r="50" spans="1:6">
      <c r="A50" s="1">
        <f ca="1">IFERROR(__xludf.DUMMYFUNCTION("""COMPUTED_VALUE"""),42075.625)</f>
        <v>42075.625</v>
      </c>
      <c r="B50" s="2">
        <f ca="1">IFERROR(__xludf.DUMMYFUNCTION("""COMPUTED_VALUE"""),6725)</f>
        <v>6725</v>
      </c>
      <c r="C50" s="2">
        <f ca="1">IFERROR(__xludf.DUMMYFUNCTION("""COMPUTED_VALUE"""),6825)</f>
        <v>6825</v>
      </c>
      <c r="D50" s="2">
        <f ca="1">IFERROR(__xludf.DUMMYFUNCTION("""COMPUTED_VALUE"""),6675)</f>
        <v>6675</v>
      </c>
      <c r="E50" s="2">
        <f ca="1">IFERROR(__xludf.DUMMYFUNCTION("""COMPUTED_VALUE"""),6725)</f>
        <v>6725</v>
      </c>
      <c r="F50" s="2">
        <f ca="1">IFERROR(__xludf.DUMMYFUNCTION("""COMPUTED_VALUE"""),25830700)</f>
        <v>25830700</v>
      </c>
    </row>
    <row r="51" spans="1:6">
      <c r="A51" s="1">
        <f ca="1">IFERROR(__xludf.DUMMYFUNCTION("""COMPUTED_VALUE"""),42076.625)</f>
        <v>42076.625</v>
      </c>
      <c r="B51" s="2">
        <f ca="1">IFERROR(__xludf.DUMMYFUNCTION("""COMPUTED_VALUE"""),6775)</f>
        <v>6775</v>
      </c>
      <c r="C51" s="2">
        <f ca="1">IFERROR(__xludf.DUMMYFUNCTION("""COMPUTED_VALUE"""),6775)</f>
        <v>6775</v>
      </c>
      <c r="D51" s="2">
        <f ca="1">IFERROR(__xludf.DUMMYFUNCTION("""COMPUTED_VALUE"""),6700)</f>
        <v>6700</v>
      </c>
      <c r="E51" s="2">
        <f ca="1">IFERROR(__xludf.DUMMYFUNCTION("""COMPUTED_VALUE"""),6750)</f>
        <v>6750</v>
      </c>
      <c r="F51" s="2">
        <f ca="1">IFERROR(__xludf.DUMMYFUNCTION("""COMPUTED_VALUE"""),20003000)</f>
        <v>20003000</v>
      </c>
    </row>
    <row r="52" spans="1:6">
      <c r="A52" s="1">
        <f ca="1">IFERROR(__xludf.DUMMYFUNCTION("""COMPUTED_VALUE"""),42079.625)</f>
        <v>42079.625</v>
      </c>
      <c r="B52" s="2">
        <f ca="1">IFERROR(__xludf.DUMMYFUNCTION("""COMPUTED_VALUE"""),6725)</f>
        <v>6725</v>
      </c>
      <c r="C52" s="2">
        <f ca="1">IFERROR(__xludf.DUMMYFUNCTION("""COMPUTED_VALUE"""),6925)</f>
        <v>6925</v>
      </c>
      <c r="D52" s="2">
        <f ca="1">IFERROR(__xludf.DUMMYFUNCTION("""COMPUTED_VALUE"""),6675)</f>
        <v>6675</v>
      </c>
      <c r="E52" s="2">
        <f ca="1">IFERROR(__xludf.DUMMYFUNCTION("""COMPUTED_VALUE"""),6925)</f>
        <v>6925</v>
      </c>
      <c r="F52" s="2">
        <f ca="1">IFERROR(__xludf.DUMMYFUNCTION("""COMPUTED_VALUE"""),30810900)</f>
        <v>30810900</v>
      </c>
    </row>
    <row r="53" spans="1:6">
      <c r="A53" s="1">
        <f ca="1">IFERROR(__xludf.DUMMYFUNCTION("""COMPUTED_VALUE"""),42080.625)</f>
        <v>42080.625</v>
      </c>
      <c r="B53" s="2">
        <f ca="1">IFERROR(__xludf.DUMMYFUNCTION("""COMPUTED_VALUE"""),6925)</f>
        <v>6925</v>
      </c>
      <c r="C53" s="2">
        <f ca="1">IFERROR(__xludf.DUMMYFUNCTION("""COMPUTED_VALUE"""),6975)</f>
        <v>6975</v>
      </c>
      <c r="D53" s="2">
        <f ca="1">IFERROR(__xludf.DUMMYFUNCTION("""COMPUTED_VALUE"""),6850)</f>
        <v>6850</v>
      </c>
      <c r="E53" s="2">
        <f ca="1">IFERROR(__xludf.DUMMYFUNCTION("""COMPUTED_VALUE"""),6900)</f>
        <v>6900</v>
      </c>
      <c r="F53" s="2">
        <f ca="1">IFERROR(__xludf.DUMMYFUNCTION("""COMPUTED_VALUE"""),20917200)</f>
        <v>20917200</v>
      </c>
    </row>
    <row r="54" spans="1:6">
      <c r="A54" s="1">
        <f ca="1">IFERROR(__xludf.DUMMYFUNCTION("""COMPUTED_VALUE"""),42081.625)</f>
        <v>42081.625</v>
      </c>
      <c r="B54" s="2">
        <f ca="1">IFERROR(__xludf.DUMMYFUNCTION("""COMPUTED_VALUE"""),6925)</f>
        <v>6925</v>
      </c>
      <c r="C54" s="2">
        <f ca="1">IFERROR(__xludf.DUMMYFUNCTION("""COMPUTED_VALUE"""),6975)</f>
        <v>6975</v>
      </c>
      <c r="D54" s="2">
        <f ca="1">IFERROR(__xludf.DUMMYFUNCTION("""COMPUTED_VALUE"""),6850)</f>
        <v>6850</v>
      </c>
      <c r="E54" s="2">
        <f ca="1">IFERROR(__xludf.DUMMYFUNCTION("""COMPUTED_VALUE"""),6950)</f>
        <v>6950</v>
      </c>
      <c r="F54" s="2">
        <f ca="1">IFERROR(__xludf.DUMMYFUNCTION("""COMPUTED_VALUE"""),19130500)</f>
        <v>19130500</v>
      </c>
    </row>
    <row r="55" spans="1:6">
      <c r="A55" s="1">
        <f ca="1">IFERROR(__xludf.DUMMYFUNCTION("""COMPUTED_VALUE"""),42082.625)</f>
        <v>42082.625</v>
      </c>
      <c r="B55" s="2">
        <f ca="1">IFERROR(__xludf.DUMMYFUNCTION("""COMPUTED_VALUE"""),6975)</f>
        <v>6975</v>
      </c>
      <c r="C55" s="2">
        <f ca="1">IFERROR(__xludf.DUMMYFUNCTION("""COMPUTED_VALUE"""),7100)</f>
        <v>7100</v>
      </c>
      <c r="D55" s="2">
        <f ca="1">IFERROR(__xludf.DUMMYFUNCTION("""COMPUTED_VALUE"""),6950)</f>
        <v>6950</v>
      </c>
      <c r="E55" s="2">
        <f ca="1">IFERROR(__xludf.DUMMYFUNCTION("""COMPUTED_VALUE"""),7000)</f>
        <v>7000</v>
      </c>
      <c r="F55" s="2">
        <f ca="1">IFERROR(__xludf.DUMMYFUNCTION("""COMPUTED_VALUE"""),38123800)</f>
        <v>38123800</v>
      </c>
    </row>
    <row r="56" spans="1:6">
      <c r="A56" s="1">
        <f ca="1">IFERROR(__xludf.DUMMYFUNCTION("""COMPUTED_VALUE"""),42083.625)</f>
        <v>42083.625</v>
      </c>
      <c r="B56" s="2">
        <f ca="1">IFERROR(__xludf.DUMMYFUNCTION("""COMPUTED_VALUE"""),7000)</f>
        <v>7000</v>
      </c>
      <c r="C56" s="2">
        <f ca="1">IFERROR(__xludf.DUMMYFUNCTION("""COMPUTED_VALUE"""),7000)</f>
        <v>7000</v>
      </c>
      <c r="D56" s="2">
        <f ca="1">IFERROR(__xludf.DUMMYFUNCTION("""COMPUTED_VALUE"""),6925)</f>
        <v>6925</v>
      </c>
      <c r="E56" s="2">
        <f ca="1">IFERROR(__xludf.DUMMYFUNCTION("""COMPUTED_VALUE"""),6950)</f>
        <v>6950</v>
      </c>
      <c r="F56" s="2">
        <f ca="1">IFERROR(__xludf.DUMMYFUNCTION("""COMPUTED_VALUE"""),19477400)</f>
        <v>19477400</v>
      </c>
    </row>
    <row r="57" spans="1:6">
      <c r="A57" s="1">
        <f ca="1">IFERROR(__xludf.DUMMYFUNCTION("""COMPUTED_VALUE"""),42086.625)</f>
        <v>42086.625</v>
      </c>
      <c r="B57" s="2">
        <f ca="1">IFERROR(__xludf.DUMMYFUNCTION("""COMPUTED_VALUE"""),7000)</f>
        <v>7000</v>
      </c>
      <c r="C57" s="2">
        <f ca="1">IFERROR(__xludf.DUMMYFUNCTION("""COMPUTED_VALUE"""),7025)</f>
        <v>7025</v>
      </c>
      <c r="D57" s="2">
        <f ca="1">IFERROR(__xludf.DUMMYFUNCTION("""COMPUTED_VALUE"""),6925)</f>
        <v>6925</v>
      </c>
      <c r="E57" s="2">
        <f ca="1">IFERROR(__xludf.DUMMYFUNCTION("""COMPUTED_VALUE"""),7000)</f>
        <v>7000</v>
      </c>
      <c r="F57" s="2">
        <f ca="1">IFERROR(__xludf.DUMMYFUNCTION("""COMPUTED_VALUE"""),14040800)</f>
        <v>14040800</v>
      </c>
    </row>
    <row r="58" spans="1:6">
      <c r="A58" s="1">
        <f ca="1">IFERROR(__xludf.DUMMYFUNCTION("""COMPUTED_VALUE"""),42087.625)</f>
        <v>42087.625</v>
      </c>
      <c r="B58" s="2">
        <f ca="1">IFERROR(__xludf.DUMMYFUNCTION("""COMPUTED_VALUE"""),6950)</f>
        <v>6950</v>
      </c>
      <c r="C58" s="2">
        <f ca="1">IFERROR(__xludf.DUMMYFUNCTION("""COMPUTED_VALUE"""),7100)</f>
        <v>7100</v>
      </c>
      <c r="D58" s="2">
        <f ca="1">IFERROR(__xludf.DUMMYFUNCTION("""COMPUTED_VALUE"""),6950)</f>
        <v>6950</v>
      </c>
      <c r="E58" s="2">
        <f ca="1">IFERROR(__xludf.DUMMYFUNCTION("""COMPUTED_VALUE"""),7100)</f>
        <v>7100</v>
      </c>
      <c r="F58" s="2">
        <f ca="1">IFERROR(__xludf.DUMMYFUNCTION("""COMPUTED_VALUE"""),22853800)</f>
        <v>22853800</v>
      </c>
    </row>
    <row r="59" spans="1:6">
      <c r="A59" s="1">
        <f ca="1">IFERROR(__xludf.DUMMYFUNCTION("""COMPUTED_VALUE"""),42088.625)</f>
        <v>42088.625</v>
      </c>
      <c r="B59" s="2">
        <f ca="1">IFERROR(__xludf.DUMMYFUNCTION("""COMPUTED_VALUE"""),7025)</f>
        <v>7025</v>
      </c>
      <c r="C59" s="2">
        <f ca="1">IFERROR(__xludf.DUMMYFUNCTION("""COMPUTED_VALUE"""),7150)</f>
        <v>7150</v>
      </c>
      <c r="D59" s="2">
        <f ca="1">IFERROR(__xludf.DUMMYFUNCTION("""COMPUTED_VALUE"""),6975)</f>
        <v>6975</v>
      </c>
      <c r="E59" s="2">
        <f ca="1">IFERROR(__xludf.DUMMYFUNCTION("""COMPUTED_VALUE"""),7050)</f>
        <v>7050</v>
      </c>
      <c r="F59" s="2">
        <f ca="1">IFERROR(__xludf.DUMMYFUNCTION("""COMPUTED_VALUE"""),20744200)</f>
        <v>20744200</v>
      </c>
    </row>
    <row r="60" spans="1:6">
      <c r="A60" s="1">
        <f ca="1">IFERROR(__xludf.DUMMYFUNCTION("""COMPUTED_VALUE"""),42089.625)</f>
        <v>42089.625</v>
      </c>
      <c r="B60" s="2">
        <f ca="1">IFERROR(__xludf.DUMMYFUNCTION("""COMPUTED_VALUE"""),7050)</f>
        <v>7050</v>
      </c>
      <c r="C60" s="2">
        <f ca="1">IFERROR(__xludf.DUMMYFUNCTION("""COMPUTED_VALUE"""),7150)</f>
        <v>7150</v>
      </c>
      <c r="D60" s="2">
        <f ca="1">IFERROR(__xludf.DUMMYFUNCTION("""COMPUTED_VALUE"""),7000)</f>
        <v>7000</v>
      </c>
      <c r="E60" s="2">
        <f ca="1">IFERROR(__xludf.DUMMYFUNCTION("""COMPUTED_VALUE"""),7100)</f>
        <v>7100</v>
      </c>
      <c r="F60" s="2">
        <f ca="1">IFERROR(__xludf.DUMMYFUNCTION("""COMPUTED_VALUE"""),22933800)</f>
        <v>22933800</v>
      </c>
    </row>
    <row r="61" spans="1:6">
      <c r="A61" s="1">
        <f ca="1">IFERROR(__xludf.DUMMYFUNCTION("""COMPUTED_VALUE"""),42090.625)</f>
        <v>42090.625</v>
      </c>
      <c r="B61" s="2">
        <f ca="1">IFERROR(__xludf.DUMMYFUNCTION("""COMPUTED_VALUE"""),7075)</f>
        <v>7075</v>
      </c>
      <c r="C61" s="2">
        <f ca="1">IFERROR(__xludf.DUMMYFUNCTION("""COMPUTED_VALUE"""),7125)</f>
        <v>7125</v>
      </c>
      <c r="D61" s="2">
        <f ca="1">IFERROR(__xludf.DUMMYFUNCTION("""COMPUTED_VALUE"""),7025)</f>
        <v>7025</v>
      </c>
      <c r="E61" s="2">
        <f ca="1">IFERROR(__xludf.DUMMYFUNCTION("""COMPUTED_VALUE"""),7100)</f>
        <v>7100</v>
      </c>
      <c r="F61" s="2">
        <f ca="1">IFERROR(__xludf.DUMMYFUNCTION("""COMPUTED_VALUE"""),12810000)</f>
        <v>12810000</v>
      </c>
    </row>
    <row r="62" spans="1:6">
      <c r="A62" s="1">
        <f ca="1">IFERROR(__xludf.DUMMYFUNCTION("""COMPUTED_VALUE"""),42093.625)</f>
        <v>42093.625</v>
      </c>
      <c r="B62" s="2">
        <f ca="1">IFERROR(__xludf.DUMMYFUNCTION("""COMPUTED_VALUE"""),7150)</f>
        <v>7150</v>
      </c>
      <c r="C62" s="2">
        <f ca="1">IFERROR(__xludf.DUMMYFUNCTION("""COMPUTED_VALUE"""),7200)</f>
        <v>7200</v>
      </c>
      <c r="D62" s="2">
        <f ca="1">IFERROR(__xludf.DUMMYFUNCTION("""COMPUTED_VALUE"""),7000)</f>
        <v>7000</v>
      </c>
      <c r="E62" s="2">
        <f ca="1">IFERROR(__xludf.DUMMYFUNCTION("""COMPUTED_VALUE"""),7000)</f>
        <v>7000</v>
      </c>
      <c r="F62" s="2">
        <f ca="1">IFERROR(__xludf.DUMMYFUNCTION("""COMPUTED_VALUE"""),22375900)</f>
        <v>22375900</v>
      </c>
    </row>
    <row r="63" spans="1:6">
      <c r="A63" s="1">
        <f ca="1">IFERROR(__xludf.DUMMYFUNCTION("""COMPUTED_VALUE"""),42094.625)</f>
        <v>42094.625</v>
      </c>
      <c r="B63" s="2">
        <f ca="1">IFERROR(__xludf.DUMMYFUNCTION("""COMPUTED_VALUE"""),7150)</f>
        <v>7150</v>
      </c>
      <c r="C63" s="2">
        <f ca="1">IFERROR(__xludf.DUMMYFUNCTION("""COMPUTED_VALUE"""),7225)</f>
        <v>7225</v>
      </c>
      <c r="D63" s="2">
        <f ca="1">IFERROR(__xludf.DUMMYFUNCTION("""COMPUTED_VALUE"""),7125)</f>
        <v>7125</v>
      </c>
      <c r="E63" s="2">
        <f ca="1">IFERROR(__xludf.DUMMYFUNCTION("""COMPUTED_VALUE"""),7225)</f>
        <v>7225</v>
      </c>
      <c r="F63" s="2">
        <f ca="1">IFERROR(__xludf.DUMMYFUNCTION("""COMPUTED_VALUE"""),29876200)</f>
        <v>29876200</v>
      </c>
    </row>
    <row r="64" spans="1:6">
      <c r="A64" s="1">
        <f ca="1">IFERROR(__xludf.DUMMYFUNCTION("""COMPUTED_VALUE"""),42095.625)</f>
        <v>42095.625</v>
      </c>
      <c r="B64" s="2">
        <f ca="1">IFERROR(__xludf.DUMMYFUNCTION("""COMPUTED_VALUE"""),7250)</f>
        <v>7250</v>
      </c>
      <c r="C64" s="2">
        <f ca="1">IFERROR(__xludf.DUMMYFUNCTION("""COMPUTED_VALUE"""),7250)</f>
        <v>7250</v>
      </c>
      <c r="D64" s="2">
        <f ca="1">IFERROR(__xludf.DUMMYFUNCTION("""COMPUTED_VALUE"""),7100)</f>
        <v>7100</v>
      </c>
      <c r="E64" s="2">
        <f ca="1">IFERROR(__xludf.DUMMYFUNCTION("""COMPUTED_VALUE"""),7250)</f>
        <v>7250</v>
      </c>
      <c r="F64" s="2">
        <f ca="1">IFERROR(__xludf.DUMMYFUNCTION("""COMPUTED_VALUE"""),27064800)</f>
        <v>27064800</v>
      </c>
    </row>
    <row r="65" spans="1:6">
      <c r="A65" s="1">
        <f ca="1">IFERROR(__xludf.DUMMYFUNCTION("""COMPUTED_VALUE"""),42096.625)</f>
        <v>42096.625</v>
      </c>
      <c r="B65" s="2">
        <f ca="1">IFERROR(__xludf.DUMMYFUNCTION("""COMPUTED_VALUE"""),7200)</f>
        <v>7200</v>
      </c>
      <c r="C65" s="2">
        <f ca="1">IFERROR(__xludf.DUMMYFUNCTION("""COMPUTED_VALUE"""),7250)</f>
        <v>7250</v>
      </c>
      <c r="D65" s="2">
        <f ca="1">IFERROR(__xludf.DUMMYFUNCTION("""COMPUTED_VALUE"""),7125)</f>
        <v>7125</v>
      </c>
      <c r="E65" s="2">
        <f ca="1">IFERROR(__xludf.DUMMYFUNCTION("""COMPUTED_VALUE"""),7200)</f>
        <v>7200</v>
      </c>
      <c r="F65" s="2">
        <f ca="1">IFERROR(__xludf.DUMMYFUNCTION("""COMPUTED_VALUE"""),17266000)</f>
        <v>17266000</v>
      </c>
    </row>
    <row r="66" spans="1:6">
      <c r="A66" s="1">
        <f ca="1">IFERROR(__xludf.DUMMYFUNCTION("""COMPUTED_VALUE"""),42100.625)</f>
        <v>42100.625</v>
      </c>
      <c r="B66" s="2">
        <f ca="1">IFERROR(__xludf.DUMMYFUNCTION("""COMPUTED_VALUE"""),7250)</f>
        <v>7250</v>
      </c>
      <c r="C66" s="2">
        <f ca="1">IFERROR(__xludf.DUMMYFUNCTION("""COMPUTED_VALUE"""),7250)</f>
        <v>7250</v>
      </c>
      <c r="D66" s="2">
        <f ca="1">IFERROR(__xludf.DUMMYFUNCTION("""COMPUTED_VALUE"""),7150)</f>
        <v>7150</v>
      </c>
      <c r="E66" s="2">
        <f ca="1">IFERROR(__xludf.DUMMYFUNCTION("""COMPUTED_VALUE"""),7175)</f>
        <v>7175</v>
      </c>
      <c r="F66" s="2">
        <f ca="1">IFERROR(__xludf.DUMMYFUNCTION("""COMPUTED_VALUE"""),14549300)</f>
        <v>14549300</v>
      </c>
    </row>
    <row r="67" spans="1:6">
      <c r="A67" s="1">
        <f ca="1">IFERROR(__xludf.DUMMYFUNCTION("""COMPUTED_VALUE"""),42101.625)</f>
        <v>42101.625</v>
      </c>
      <c r="B67" s="2">
        <f ca="1">IFERROR(__xludf.DUMMYFUNCTION("""COMPUTED_VALUE"""),7250)</f>
        <v>7250</v>
      </c>
      <c r="C67" s="2">
        <f ca="1">IFERROR(__xludf.DUMMYFUNCTION("""COMPUTED_VALUE"""),7275)</f>
        <v>7275</v>
      </c>
      <c r="D67" s="2">
        <f ca="1">IFERROR(__xludf.DUMMYFUNCTION("""COMPUTED_VALUE"""),7200)</f>
        <v>7200</v>
      </c>
      <c r="E67" s="2">
        <f ca="1">IFERROR(__xludf.DUMMYFUNCTION("""COMPUTED_VALUE"""),7275)</f>
        <v>7275</v>
      </c>
      <c r="F67" s="2">
        <f ca="1">IFERROR(__xludf.DUMMYFUNCTION("""COMPUTED_VALUE"""),20014600)</f>
        <v>20014600</v>
      </c>
    </row>
    <row r="68" spans="1:6">
      <c r="A68" s="1">
        <f ca="1">IFERROR(__xludf.DUMMYFUNCTION("""COMPUTED_VALUE"""),42102.625)</f>
        <v>42102.625</v>
      </c>
      <c r="B68" s="2">
        <f ca="1">IFERROR(__xludf.DUMMYFUNCTION("""COMPUTED_VALUE"""),7225)</f>
        <v>7225</v>
      </c>
      <c r="C68" s="2">
        <f ca="1">IFERROR(__xludf.DUMMYFUNCTION("""COMPUTED_VALUE"""),7275)</f>
        <v>7275</v>
      </c>
      <c r="D68" s="2">
        <f ca="1">IFERROR(__xludf.DUMMYFUNCTION("""COMPUTED_VALUE"""),7175)</f>
        <v>7175</v>
      </c>
      <c r="E68" s="2">
        <f ca="1">IFERROR(__xludf.DUMMYFUNCTION("""COMPUTED_VALUE"""),7225)</f>
        <v>7225</v>
      </c>
      <c r="F68" s="2">
        <f ca="1">IFERROR(__xludf.DUMMYFUNCTION("""COMPUTED_VALUE"""),14323400)</f>
        <v>14323400</v>
      </c>
    </row>
    <row r="69" spans="1:6">
      <c r="A69" s="1">
        <f ca="1">IFERROR(__xludf.DUMMYFUNCTION("""COMPUTED_VALUE"""),42103.625)</f>
        <v>42103.625</v>
      </c>
      <c r="B69" s="2">
        <f ca="1">IFERROR(__xludf.DUMMYFUNCTION("""COMPUTED_VALUE"""),7250)</f>
        <v>7250</v>
      </c>
      <c r="C69" s="2">
        <f ca="1">IFERROR(__xludf.DUMMYFUNCTION("""COMPUTED_VALUE"""),7250)</f>
        <v>7250</v>
      </c>
      <c r="D69" s="2">
        <f ca="1">IFERROR(__xludf.DUMMYFUNCTION("""COMPUTED_VALUE"""),7150)</f>
        <v>7150</v>
      </c>
      <c r="E69" s="2">
        <f ca="1">IFERROR(__xludf.DUMMYFUNCTION("""COMPUTED_VALUE"""),7175)</f>
        <v>7175</v>
      </c>
      <c r="F69" s="2">
        <f ca="1">IFERROR(__xludf.DUMMYFUNCTION("""COMPUTED_VALUE"""),9395600)</f>
        <v>9395600</v>
      </c>
    </row>
    <row r="70" spans="1:6">
      <c r="A70" s="1">
        <f ca="1">IFERROR(__xludf.DUMMYFUNCTION("""COMPUTED_VALUE"""),42104.625)</f>
        <v>42104.625</v>
      </c>
      <c r="B70" s="2">
        <f ca="1">IFERROR(__xludf.DUMMYFUNCTION("""COMPUTED_VALUE"""),7150)</f>
        <v>7150</v>
      </c>
      <c r="C70" s="2">
        <f ca="1">IFERROR(__xludf.DUMMYFUNCTION("""COMPUTED_VALUE"""),7200)</f>
        <v>7200</v>
      </c>
      <c r="D70" s="2">
        <f ca="1">IFERROR(__xludf.DUMMYFUNCTION("""COMPUTED_VALUE"""),7100)</f>
        <v>7100</v>
      </c>
      <c r="E70" s="2">
        <f ca="1">IFERROR(__xludf.DUMMYFUNCTION("""COMPUTED_VALUE"""),7125)</f>
        <v>7125</v>
      </c>
      <c r="F70" s="2">
        <f ca="1">IFERROR(__xludf.DUMMYFUNCTION("""COMPUTED_VALUE"""),13770700)</f>
        <v>13770700</v>
      </c>
    </row>
    <row r="71" spans="1:6">
      <c r="A71" s="1">
        <f ca="1">IFERROR(__xludf.DUMMYFUNCTION("""COMPUTED_VALUE"""),42107.625)</f>
        <v>42107.625</v>
      </c>
      <c r="B71" s="2">
        <f ca="1">IFERROR(__xludf.DUMMYFUNCTION("""COMPUTED_VALUE"""),7200)</f>
        <v>7200</v>
      </c>
      <c r="C71" s="2">
        <f ca="1">IFERROR(__xludf.DUMMYFUNCTION("""COMPUTED_VALUE"""),7200)</f>
        <v>7200</v>
      </c>
      <c r="D71" s="2">
        <f ca="1">IFERROR(__xludf.DUMMYFUNCTION("""COMPUTED_VALUE"""),7025)</f>
        <v>7025</v>
      </c>
      <c r="E71" s="2">
        <f ca="1">IFERROR(__xludf.DUMMYFUNCTION("""COMPUTED_VALUE"""),7200)</f>
        <v>7200</v>
      </c>
      <c r="F71" s="2">
        <f ca="1">IFERROR(__xludf.DUMMYFUNCTION("""COMPUTED_VALUE"""),15866800)</f>
        <v>15866800</v>
      </c>
    </row>
    <row r="72" spans="1:6">
      <c r="A72" s="1">
        <f ca="1">IFERROR(__xludf.DUMMYFUNCTION("""COMPUTED_VALUE"""),42108.625)</f>
        <v>42108.625</v>
      </c>
      <c r="B72" s="2">
        <f ca="1">IFERROR(__xludf.DUMMYFUNCTION("""COMPUTED_VALUE"""),7175)</f>
        <v>7175</v>
      </c>
      <c r="C72" s="2">
        <f ca="1">IFERROR(__xludf.DUMMYFUNCTION("""COMPUTED_VALUE"""),7175)</f>
        <v>7175</v>
      </c>
      <c r="D72" s="2">
        <f ca="1">IFERROR(__xludf.DUMMYFUNCTION("""COMPUTED_VALUE"""),7075)</f>
        <v>7075</v>
      </c>
      <c r="E72" s="2">
        <f ca="1">IFERROR(__xludf.DUMMYFUNCTION("""COMPUTED_VALUE"""),7100)</f>
        <v>7100</v>
      </c>
      <c r="F72" s="2">
        <f ca="1">IFERROR(__xludf.DUMMYFUNCTION("""COMPUTED_VALUE"""),10977700)</f>
        <v>10977700</v>
      </c>
    </row>
    <row r="73" spans="1:6">
      <c r="A73" s="1">
        <f ca="1">IFERROR(__xludf.DUMMYFUNCTION("""COMPUTED_VALUE"""),42109.625)</f>
        <v>42109.625</v>
      </c>
      <c r="B73" s="2">
        <f ca="1">IFERROR(__xludf.DUMMYFUNCTION("""COMPUTED_VALUE"""),7075)</f>
        <v>7075</v>
      </c>
      <c r="C73" s="2">
        <f ca="1">IFERROR(__xludf.DUMMYFUNCTION("""COMPUTED_VALUE"""),7100)</f>
        <v>7100</v>
      </c>
      <c r="D73" s="2">
        <f ca="1">IFERROR(__xludf.DUMMYFUNCTION("""COMPUTED_VALUE"""),7000)</f>
        <v>7000</v>
      </c>
      <c r="E73" s="2">
        <f ca="1">IFERROR(__xludf.DUMMYFUNCTION("""COMPUTED_VALUE"""),7100)</f>
        <v>7100</v>
      </c>
      <c r="F73" s="2">
        <f ca="1">IFERROR(__xludf.DUMMYFUNCTION("""COMPUTED_VALUE"""),15449200)</f>
        <v>15449200</v>
      </c>
    </row>
    <row r="74" spans="1:6">
      <c r="A74" s="1">
        <f ca="1">IFERROR(__xludf.DUMMYFUNCTION("""COMPUTED_VALUE"""),42110.625)</f>
        <v>42110.625</v>
      </c>
      <c r="B74" s="2">
        <f ca="1">IFERROR(__xludf.DUMMYFUNCTION("""COMPUTED_VALUE"""),7100)</f>
        <v>7100</v>
      </c>
      <c r="C74" s="2">
        <f ca="1">IFERROR(__xludf.DUMMYFUNCTION("""COMPUTED_VALUE"""),7175)</f>
        <v>7175</v>
      </c>
      <c r="D74" s="2">
        <f ca="1">IFERROR(__xludf.DUMMYFUNCTION("""COMPUTED_VALUE"""),7075)</f>
        <v>7075</v>
      </c>
      <c r="E74" s="2">
        <f ca="1">IFERROR(__xludf.DUMMYFUNCTION("""COMPUTED_VALUE"""),7150)</f>
        <v>7150</v>
      </c>
      <c r="F74" s="2">
        <f ca="1">IFERROR(__xludf.DUMMYFUNCTION("""COMPUTED_VALUE"""),18351100)</f>
        <v>18351100</v>
      </c>
    </row>
    <row r="75" spans="1:6">
      <c r="A75" s="1">
        <f ca="1">IFERROR(__xludf.DUMMYFUNCTION("""COMPUTED_VALUE"""),42111.625)</f>
        <v>42111.625</v>
      </c>
      <c r="B75" s="2">
        <f ca="1">IFERROR(__xludf.DUMMYFUNCTION("""COMPUTED_VALUE"""),7100)</f>
        <v>7100</v>
      </c>
      <c r="C75" s="2">
        <f ca="1">IFERROR(__xludf.DUMMYFUNCTION("""COMPUTED_VALUE"""),7150)</f>
        <v>7150</v>
      </c>
      <c r="D75" s="2">
        <f ca="1">IFERROR(__xludf.DUMMYFUNCTION("""COMPUTED_VALUE"""),7050)</f>
        <v>7050</v>
      </c>
      <c r="E75" s="2">
        <f ca="1">IFERROR(__xludf.DUMMYFUNCTION("""COMPUTED_VALUE"""),7050)</f>
        <v>7050</v>
      </c>
      <c r="F75" s="2">
        <f ca="1">IFERROR(__xludf.DUMMYFUNCTION("""COMPUTED_VALUE"""),12491100)</f>
        <v>12491100</v>
      </c>
    </row>
    <row r="76" spans="1:6">
      <c r="A76" s="1">
        <f ca="1">IFERROR(__xludf.DUMMYFUNCTION("""COMPUTED_VALUE"""),42114.625)</f>
        <v>42114.625</v>
      </c>
      <c r="B76" s="2">
        <f ca="1">IFERROR(__xludf.DUMMYFUNCTION("""COMPUTED_VALUE"""),7075)</f>
        <v>7075</v>
      </c>
      <c r="C76" s="2">
        <f ca="1">IFERROR(__xludf.DUMMYFUNCTION("""COMPUTED_VALUE"""),7175)</f>
        <v>7175</v>
      </c>
      <c r="D76" s="2">
        <f ca="1">IFERROR(__xludf.DUMMYFUNCTION("""COMPUTED_VALUE"""),7050)</f>
        <v>7050</v>
      </c>
      <c r="E76" s="2">
        <f ca="1">IFERROR(__xludf.DUMMYFUNCTION("""COMPUTED_VALUE"""),7175)</f>
        <v>7175</v>
      </c>
      <c r="F76" s="2">
        <f ca="1">IFERROR(__xludf.DUMMYFUNCTION("""COMPUTED_VALUE"""),9401800)</f>
        <v>9401800</v>
      </c>
    </row>
    <row r="77" spans="1:6">
      <c r="A77" s="1">
        <f ca="1">IFERROR(__xludf.DUMMYFUNCTION("""COMPUTED_VALUE"""),42115.625)</f>
        <v>42115.625</v>
      </c>
      <c r="B77" s="2">
        <f ca="1">IFERROR(__xludf.DUMMYFUNCTION("""COMPUTED_VALUE"""),7100)</f>
        <v>7100</v>
      </c>
      <c r="C77" s="2">
        <f ca="1">IFERROR(__xludf.DUMMYFUNCTION("""COMPUTED_VALUE"""),7200)</f>
        <v>7200</v>
      </c>
      <c r="D77" s="2">
        <f ca="1">IFERROR(__xludf.DUMMYFUNCTION("""COMPUTED_VALUE"""),7100)</f>
        <v>7100</v>
      </c>
      <c r="E77" s="2">
        <f ca="1">IFERROR(__xludf.DUMMYFUNCTION("""COMPUTED_VALUE"""),7175)</f>
        <v>7175</v>
      </c>
      <c r="F77" s="2">
        <f ca="1">IFERROR(__xludf.DUMMYFUNCTION("""COMPUTED_VALUE"""),25133500)</f>
        <v>25133500</v>
      </c>
    </row>
    <row r="78" spans="1:6">
      <c r="A78" s="1">
        <f ca="1">IFERROR(__xludf.DUMMYFUNCTION("""COMPUTED_VALUE"""),42116.625)</f>
        <v>42116.625</v>
      </c>
      <c r="B78" s="2">
        <f ca="1">IFERROR(__xludf.DUMMYFUNCTION("""COMPUTED_VALUE"""),7225)</f>
        <v>7225</v>
      </c>
      <c r="C78" s="2">
        <f ca="1">IFERROR(__xludf.DUMMYFUNCTION("""COMPUTED_VALUE"""),7225)</f>
        <v>7225</v>
      </c>
      <c r="D78" s="2">
        <f ca="1">IFERROR(__xludf.DUMMYFUNCTION("""COMPUTED_VALUE"""),7100)</f>
        <v>7100</v>
      </c>
      <c r="E78" s="2">
        <f ca="1">IFERROR(__xludf.DUMMYFUNCTION("""COMPUTED_VALUE"""),7100)</f>
        <v>7100</v>
      </c>
      <c r="F78" s="2">
        <f ca="1">IFERROR(__xludf.DUMMYFUNCTION("""COMPUTED_VALUE"""),13616300)</f>
        <v>13616300</v>
      </c>
    </row>
    <row r="79" spans="1:6">
      <c r="A79" s="1">
        <f ca="1">IFERROR(__xludf.DUMMYFUNCTION("""COMPUTED_VALUE"""),42117.625)</f>
        <v>42117.625</v>
      </c>
      <c r="B79" s="2">
        <f ca="1">IFERROR(__xludf.DUMMYFUNCTION("""COMPUTED_VALUE"""),7150)</f>
        <v>7150</v>
      </c>
      <c r="C79" s="2">
        <f ca="1">IFERROR(__xludf.DUMMYFUNCTION("""COMPUTED_VALUE"""),7175)</f>
        <v>7175</v>
      </c>
      <c r="D79" s="2">
        <f ca="1">IFERROR(__xludf.DUMMYFUNCTION("""COMPUTED_VALUE"""),7100)</f>
        <v>7100</v>
      </c>
      <c r="E79" s="2">
        <f ca="1">IFERROR(__xludf.DUMMYFUNCTION("""COMPUTED_VALUE"""),7125)</f>
        <v>7125</v>
      </c>
      <c r="F79" s="2">
        <f ca="1">IFERROR(__xludf.DUMMYFUNCTION("""COMPUTED_VALUE"""),18290700)</f>
        <v>18290700</v>
      </c>
    </row>
    <row r="80" spans="1:6">
      <c r="A80" s="1">
        <f ca="1">IFERROR(__xludf.DUMMYFUNCTION("""COMPUTED_VALUE"""),42118.625)</f>
        <v>42118.625</v>
      </c>
      <c r="B80" s="2">
        <f ca="1">IFERROR(__xludf.DUMMYFUNCTION("""COMPUTED_VALUE"""),7125)</f>
        <v>7125</v>
      </c>
      <c r="C80" s="2">
        <f ca="1">IFERROR(__xludf.DUMMYFUNCTION("""COMPUTED_VALUE"""),7125)</f>
        <v>7125</v>
      </c>
      <c r="D80" s="2">
        <f ca="1">IFERROR(__xludf.DUMMYFUNCTION("""COMPUTED_VALUE"""),6950)</f>
        <v>6950</v>
      </c>
      <c r="E80" s="2">
        <f ca="1">IFERROR(__xludf.DUMMYFUNCTION("""COMPUTED_VALUE"""),6950)</f>
        <v>6950</v>
      </c>
      <c r="F80" s="2">
        <f ca="1">IFERROR(__xludf.DUMMYFUNCTION("""COMPUTED_VALUE"""),35049200)</f>
        <v>35049200</v>
      </c>
    </row>
    <row r="81" spans="1:6">
      <c r="A81" s="1">
        <f ca="1">IFERROR(__xludf.DUMMYFUNCTION("""COMPUTED_VALUE"""),42121.625)</f>
        <v>42121.625</v>
      </c>
      <c r="B81" s="2">
        <f ca="1">IFERROR(__xludf.DUMMYFUNCTION("""COMPUTED_VALUE"""),6900)</f>
        <v>6900</v>
      </c>
      <c r="C81" s="2">
        <f ca="1">IFERROR(__xludf.DUMMYFUNCTION("""COMPUTED_VALUE"""),6900)</f>
        <v>6900</v>
      </c>
      <c r="D81" s="2">
        <f ca="1">IFERROR(__xludf.DUMMYFUNCTION("""COMPUTED_VALUE"""),6475)</f>
        <v>6475</v>
      </c>
      <c r="E81" s="2">
        <f ca="1">IFERROR(__xludf.DUMMYFUNCTION("""COMPUTED_VALUE"""),6500)</f>
        <v>6500</v>
      </c>
      <c r="F81" s="2">
        <f ca="1">IFERROR(__xludf.DUMMYFUNCTION("""COMPUTED_VALUE"""),72371700)</f>
        <v>72371700</v>
      </c>
    </row>
    <row r="82" spans="1:6">
      <c r="A82" s="1">
        <f ca="1">IFERROR(__xludf.DUMMYFUNCTION("""COMPUTED_VALUE"""),42122.625)</f>
        <v>42122.625</v>
      </c>
      <c r="B82" s="2">
        <f ca="1">IFERROR(__xludf.DUMMYFUNCTION("""COMPUTED_VALUE"""),6600)</f>
        <v>6600</v>
      </c>
      <c r="C82" s="2">
        <f ca="1">IFERROR(__xludf.DUMMYFUNCTION("""COMPUTED_VALUE"""),6650)</f>
        <v>6650</v>
      </c>
      <c r="D82" s="2">
        <f ca="1">IFERROR(__xludf.DUMMYFUNCTION("""COMPUTED_VALUE"""),6425)</f>
        <v>6425</v>
      </c>
      <c r="E82" s="2">
        <f ca="1">IFERROR(__xludf.DUMMYFUNCTION("""COMPUTED_VALUE"""),6650)</f>
        <v>6650</v>
      </c>
      <c r="F82" s="2">
        <f ca="1">IFERROR(__xludf.DUMMYFUNCTION("""COMPUTED_VALUE"""),29378700)</f>
        <v>29378700</v>
      </c>
    </row>
    <row r="83" spans="1:6">
      <c r="A83" s="1">
        <f ca="1">IFERROR(__xludf.DUMMYFUNCTION("""COMPUTED_VALUE"""),42123.625)</f>
        <v>42123.625</v>
      </c>
      <c r="B83" s="2">
        <f ca="1">IFERROR(__xludf.DUMMYFUNCTION("""COMPUTED_VALUE"""),6700)</f>
        <v>6700</v>
      </c>
      <c r="C83" s="2">
        <f ca="1">IFERROR(__xludf.DUMMYFUNCTION("""COMPUTED_VALUE"""),6700)</f>
        <v>6700</v>
      </c>
      <c r="D83" s="2">
        <f ca="1">IFERROR(__xludf.DUMMYFUNCTION("""COMPUTED_VALUE"""),6250)</f>
        <v>6250</v>
      </c>
      <c r="E83" s="2">
        <f ca="1">IFERROR(__xludf.DUMMYFUNCTION("""COMPUTED_VALUE"""),6525)</f>
        <v>6525</v>
      </c>
      <c r="F83" s="2">
        <f ca="1">IFERROR(__xludf.DUMMYFUNCTION("""COMPUTED_VALUE"""),56385800)</f>
        <v>56385800</v>
      </c>
    </row>
    <row r="84" spans="1:6">
      <c r="A84" s="1">
        <f ca="1">IFERROR(__xludf.DUMMYFUNCTION("""COMPUTED_VALUE"""),42124.625)</f>
        <v>42124.625</v>
      </c>
      <c r="B84" s="2">
        <f ca="1">IFERROR(__xludf.DUMMYFUNCTION("""COMPUTED_VALUE"""),6500)</f>
        <v>6500</v>
      </c>
      <c r="C84" s="2">
        <f ca="1">IFERROR(__xludf.DUMMYFUNCTION("""COMPUTED_VALUE"""),6575)</f>
        <v>6575</v>
      </c>
      <c r="D84" s="2">
        <f ca="1">IFERROR(__xludf.DUMMYFUNCTION("""COMPUTED_VALUE"""),6375)</f>
        <v>6375</v>
      </c>
      <c r="E84" s="2">
        <f ca="1">IFERROR(__xludf.DUMMYFUNCTION("""COMPUTED_VALUE"""),6425)</f>
        <v>6425</v>
      </c>
      <c r="F84" s="2">
        <f ca="1">IFERROR(__xludf.DUMMYFUNCTION("""COMPUTED_VALUE"""),64835200)</f>
        <v>64835200</v>
      </c>
    </row>
    <row r="85" spans="1:6">
      <c r="A85" s="1">
        <f ca="1">IFERROR(__xludf.DUMMYFUNCTION("""COMPUTED_VALUE"""),42128.625)</f>
        <v>42128.625</v>
      </c>
      <c r="B85" s="2">
        <f ca="1">IFERROR(__xludf.DUMMYFUNCTION("""COMPUTED_VALUE"""),6400)</f>
        <v>6400</v>
      </c>
      <c r="C85" s="2">
        <f ca="1">IFERROR(__xludf.DUMMYFUNCTION("""COMPUTED_VALUE"""),6575)</f>
        <v>6575</v>
      </c>
      <c r="D85" s="2">
        <f ca="1">IFERROR(__xludf.DUMMYFUNCTION("""COMPUTED_VALUE"""),6325)</f>
        <v>6325</v>
      </c>
      <c r="E85" s="2">
        <f ca="1">IFERROR(__xludf.DUMMYFUNCTION("""COMPUTED_VALUE"""),6475)</f>
        <v>6475</v>
      </c>
      <c r="F85" s="2">
        <f ca="1">IFERROR(__xludf.DUMMYFUNCTION("""COMPUTED_VALUE"""),27089000)</f>
        <v>27089000</v>
      </c>
    </row>
    <row r="86" spans="1:6">
      <c r="A86" s="1">
        <f ca="1">IFERROR(__xludf.DUMMYFUNCTION("""COMPUTED_VALUE"""),42129.625)</f>
        <v>42129.625</v>
      </c>
      <c r="B86" s="2">
        <f ca="1">IFERROR(__xludf.DUMMYFUNCTION("""COMPUTED_VALUE"""),6525)</f>
        <v>6525</v>
      </c>
      <c r="C86" s="2">
        <f ca="1">IFERROR(__xludf.DUMMYFUNCTION("""COMPUTED_VALUE"""),6575)</f>
        <v>6575</v>
      </c>
      <c r="D86" s="2">
        <f ca="1">IFERROR(__xludf.DUMMYFUNCTION("""COMPUTED_VALUE"""),6425)</f>
        <v>6425</v>
      </c>
      <c r="E86" s="2">
        <f ca="1">IFERROR(__xludf.DUMMYFUNCTION("""COMPUTED_VALUE"""),6500)</f>
        <v>6500</v>
      </c>
      <c r="F86" s="2">
        <f ca="1">IFERROR(__xludf.DUMMYFUNCTION("""COMPUTED_VALUE"""),33660000)</f>
        <v>33660000</v>
      </c>
    </row>
    <row r="87" spans="1:6">
      <c r="A87" s="1">
        <f ca="1">IFERROR(__xludf.DUMMYFUNCTION("""COMPUTED_VALUE"""),42130.625)</f>
        <v>42130.625</v>
      </c>
      <c r="B87" s="2">
        <f ca="1">IFERROR(__xludf.DUMMYFUNCTION("""COMPUTED_VALUE"""),6500)</f>
        <v>6500</v>
      </c>
      <c r="C87" s="2">
        <f ca="1">IFERROR(__xludf.DUMMYFUNCTION("""COMPUTED_VALUE"""),6600)</f>
        <v>6600</v>
      </c>
      <c r="D87" s="2">
        <f ca="1">IFERROR(__xludf.DUMMYFUNCTION("""COMPUTED_VALUE"""),6425)</f>
        <v>6425</v>
      </c>
      <c r="E87" s="2">
        <f ca="1">IFERROR(__xludf.DUMMYFUNCTION("""COMPUTED_VALUE"""),6550)</f>
        <v>6550</v>
      </c>
      <c r="F87" s="2">
        <f ca="1">IFERROR(__xludf.DUMMYFUNCTION("""COMPUTED_VALUE"""),20703900)</f>
        <v>20703900</v>
      </c>
    </row>
    <row r="88" spans="1:6">
      <c r="A88" s="1">
        <f ca="1">IFERROR(__xludf.DUMMYFUNCTION("""COMPUTED_VALUE"""),42131.625)</f>
        <v>42131.625</v>
      </c>
      <c r="B88" s="2">
        <f ca="1">IFERROR(__xludf.DUMMYFUNCTION("""COMPUTED_VALUE"""),6600)</f>
        <v>6600</v>
      </c>
      <c r="C88" s="2">
        <f ca="1">IFERROR(__xludf.DUMMYFUNCTION("""COMPUTED_VALUE"""),6775)</f>
        <v>6775</v>
      </c>
      <c r="D88" s="2">
        <f ca="1">IFERROR(__xludf.DUMMYFUNCTION("""COMPUTED_VALUE"""),6550)</f>
        <v>6550</v>
      </c>
      <c r="E88" s="2">
        <f ca="1">IFERROR(__xludf.DUMMYFUNCTION("""COMPUTED_VALUE"""),6700)</f>
        <v>6700</v>
      </c>
      <c r="F88" s="2">
        <f ca="1">IFERROR(__xludf.DUMMYFUNCTION("""COMPUTED_VALUE"""),35935900)</f>
        <v>35935900</v>
      </c>
    </row>
    <row r="89" spans="1:6">
      <c r="A89" s="1">
        <f ca="1">IFERROR(__xludf.DUMMYFUNCTION("""COMPUTED_VALUE"""),42132.625)</f>
        <v>42132.625</v>
      </c>
      <c r="B89" s="2">
        <f ca="1">IFERROR(__xludf.DUMMYFUNCTION("""COMPUTED_VALUE"""),6725)</f>
        <v>6725</v>
      </c>
      <c r="C89" s="2">
        <f ca="1">IFERROR(__xludf.DUMMYFUNCTION("""COMPUTED_VALUE"""),6775)</f>
        <v>6775</v>
      </c>
      <c r="D89" s="2">
        <f ca="1">IFERROR(__xludf.DUMMYFUNCTION("""COMPUTED_VALUE"""),6650)</f>
        <v>6650</v>
      </c>
      <c r="E89" s="2">
        <f ca="1">IFERROR(__xludf.DUMMYFUNCTION("""COMPUTED_VALUE"""),6650)</f>
        <v>6650</v>
      </c>
      <c r="F89" s="2">
        <f ca="1">IFERROR(__xludf.DUMMYFUNCTION("""COMPUTED_VALUE"""),16781200)</f>
        <v>16781200</v>
      </c>
    </row>
    <row r="90" spans="1:6">
      <c r="A90" s="1">
        <f ca="1">IFERROR(__xludf.DUMMYFUNCTION("""COMPUTED_VALUE"""),42135.625)</f>
        <v>42135.625</v>
      </c>
      <c r="B90" s="2">
        <f ca="1">IFERROR(__xludf.DUMMYFUNCTION("""COMPUTED_VALUE"""),6750)</f>
        <v>6750</v>
      </c>
      <c r="C90" s="2">
        <f ca="1">IFERROR(__xludf.DUMMYFUNCTION("""COMPUTED_VALUE"""),6775)</f>
        <v>6775</v>
      </c>
      <c r="D90" s="2">
        <f ca="1">IFERROR(__xludf.DUMMYFUNCTION("""COMPUTED_VALUE"""),6650)</f>
        <v>6650</v>
      </c>
      <c r="E90" s="2">
        <f ca="1">IFERROR(__xludf.DUMMYFUNCTION("""COMPUTED_VALUE"""),6650)</f>
        <v>6650</v>
      </c>
      <c r="F90" s="2">
        <f ca="1">IFERROR(__xludf.DUMMYFUNCTION("""COMPUTED_VALUE"""),17685800)</f>
        <v>17685800</v>
      </c>
    </row>
    <row r="91" spans="1:6">
      <c r="A91" s="1">
        <f ca="1">IFERROR(__xludf.DUMMYFUNCTION("""COMPUTED_VALUE"""),42136.625)</f>
        <v>42136.625</v>
      </c>
      <c r="B91" s="2">
        <f ca="1">IFERROR(__xludf.DUMMYFUNCTION("""COMPUTED_VALUE"""),6700)</f>
        <v>6700</v>
      </c>
      <c r="C91" s="2">
        <f ca="1">IFERROR(__xludf.DUMMYFUNCTION("""COMPUTED_VALUE"""),6775)</f>
        <v>6775</v>
      </c>
      <c r="D91" s="2">
        <f ca="1">IFERROR(__xludf.DUMMYFUNCTION("""COMPUTED_VALUE"""),6650)</f>
        <v>6650</v>
      </c>
      <c r="E91" s="2">
        <f ca="1">IFERROR(__xludf.DUMMYFUNCTION("""COMPUTED_VALUE"""),6750)</f>
        <v>6750</v>
      </c>
      <c r="F91" s="2">
        <f ca="1">IFERROR(__xludf.DUMMYFUNCTION("""COMPUTED_VALUE"""),9499500)</f>
        <v>9499500</v>
      </c>
    </row>
    <row r="92" spans="1:6">
      <c r="A92" s="1">
        <f ca="1">IFERROR(__xludf.DUMMYFUNCTION("""COMPUTED_VALUE"""),42137.625)</f>
        <v>42137.625</v>
      </c>
      <c r="B92" s="2">
        <f ca="1">IFERROR(__xludf.DUMMYFUNCTION("""COMPUTED_VALUE"""),6800)</f>
        <v>6800</v>
      </c>
      <c r="C92" s="2">
        <f ca="1">IFERROR(__xludf.DUMMYFUNCTION("""COMPUTED_VALUE"""),6850)</f>
        <v>6850</v>
      </c>
      <c r="D92" s="2">
        <f ca="1">IFERROR(__xludf.DUMMYFUNCTION("""COMPUTED_VALUE"""),6750)</f>
        <v>6750</v>
      </c>
      <c r="E92" s="2">
        <f ca="1">IFERROR(__xludf.DUMMYFUNCTION("""COMPUTED_VALUE"""),6825)</f>
        <v>6825</v>
      </c>
      <c r="F92" s="2">
        <f ca="1">IFERROR(__xludf.DUMMYFUNCTION("""COMPUTED_VALUE"""),12270000)</f>
        <v>12270000</v>
      </c>
    </row>
    <row r="93" spans="1:6">
      <c r="A93" s="1">
        <f ca="1">IFERROR(__xludf.DUMMYFUNCTION("""COMPUTED_VALUE"""),42139.625)</f>
        <v>42139.625</v>
      </c>
      <c r="B93" s="2">
        <f ca="1">IFERROR(__xludf.DUMMYFUNCTION("""COMPUTED_VALUE"""),6875)</f>
        <v>6875</v>
      </c>
      <c r="C93" s="2">
        <f ca="1">IFERROR(__xludf.DUMMYFUNCTION("""COMPUTED_VALUE"""),6875)</f>
        <v>6875</v>
      </c>
      <c r="D93" s="2">
        <f ca="1">IFERROR(__xludf.DUMMYFUNCTION("""COMPUTED_VALUE"""),6700)</f>
        <v>6700</v>
      </c>
      <c r="E93" s="2">
        <f ca="1">IFERROR(__xludf.DUMMYFUNCTION("""COMPUTED_VALUE"""),6725)</f>
        <v>6725</v>
      </c>
      <c r="F93" s="2">
        <f ca="1">IFERROR(__xludf.DUMMYFUNCTION("""COMPUTED_VALUE"""),11108500)</f>
        <v>11108500</v>
      </c>
    </row>
    <row r="94" spans="1:6">
      <c r="A94" s="1">
        <f ca="1">IFERROR(__xludf.DUMMYFUNCTION("""COMPUTED_VALUE"""),42142.625)</f>
        <v>42142.625</v>
      </c>
      <c r="B94" s="2">
        <f ca="1">IFERROR(__xludf.DUMMYFUNCTION("""COMPUTED_VALUE"""),6650)</f>
        <v>6650</v>
      </c>
      <c r="C94" s="2">
        <f ca="1">IFERROR(__xludf.DUMMYFUNCTION("""COMPUTED_VALUE"""),6750)</f>
        <v>6750</v>
      </c>
      <c r="D94" s="2">
        <f ca="1">IFERROR(__xludf.DUMMYFUNCTION("""COMPUTED_VALUE"""),6650)</f>
        <v>6650</v>
      </c>
      <c r="E94" s="2">
        <f ca="1">IFERROR(__xludf.DUMMYFUNCTION("""COMPUTED_VALUE"""),6675)</f>
        <v>6675</v>
      </c>
      <c r="F94" s="2">
        <f ca="1">IFERROR(__xludf.DUMMYFUNCTION("""COMPUTED_VALUE"""),14363000)</f>
        <v>14363000</v>
      </c>
    </row>
    <row r="95" spans="1:6">
      <c r="A95" s="1">
        <f ca="1">IFERROR(__xludf.DUMMYFUNCTION("""COMPUTED_VALUE"""),42143.625)</f>
        <v>42143.625</v>
      </c>
      <c r="B95" s="2">
        <f ca="1">IFERROR(__xludf.DUMMYFUNCTION("""COMPUTED_VALUE"""),6650)</f>
        <v>6650</v>
      </c>
      <c r="C95" s="2">
        <f ca="1">IFERROR(__xludf.DUMMYFUNCTION("""COMPUTED_VALUE"""),6800)</f>
        <v>6800</v>
      </c>
      <c r="D95" s="2">
        <f ca="1">IFERROR(__xludf.DUMMYFUNCTION("""COMPUTED_VALUE"""),6650)</f>
        <v>6650</v>
      </c>
      <c r="E95" s="2">
        <f ca="1">IFERROR(__xludf.DUMMYFUNCTION("""COMPUTED_VALUE"""),6750)</f>
        <v>6750</v>
      </c>
      <c r="F95" s="2">
        <f ca="1">IFERROR(__xludf.DUMMYFUNCTION("""COMPUTED_VALUE"""),22388300)</f>
        <v>22388300</v>
      </c>
    </row>
    <row r="96" spans="1:6">
      <c r="A96" s="1">
        <f ca="1">IFERROR(__xludf.DUMMYFUNCTION("""COMPUTED_VALUE"""),42144.625)</f>
        <v>42144.625</v>
      </c>
      <c r="B96" s="2">
        <f ca="1">IFERROR(__xludf.DUMMYFUNCTION("""COMPUTED_VALUE"""),6800)</f>
        <v>6800</v>
      </c>
      <c r="C96" s="2">
        <f ca="1">IFERROR(__xludf.DUMMYFUNCTION("""COMPUTED_VALUE"""),6800)</f>
        <v>6800</v>
      </c>
      <c r="D96" s="2">
        <f ca="1">IFERROR(__xludf.DUMMYFUNCTION("""COMPUTED_VALUE"""),6725)</f>
        <v>6725</v>
      </c>
      <c r="E96" s="2">
        <f ca="1">IFERROR(__xludf.DUMMYFUNCTION("""COMPUTED_VALUE"""),6775)</f>
        <v>6775</v>
      </c>
      <c r="F96" s="2">
        <f ca="1">IFERROR(__xludf.DUMMYFUNCTION("""COMPUTED_VALUE"""),11599200)</f>
        <v>11599200</v>
      </c>
    </row>
    <row r="97" spans="1:6">
      <c r="A97" s="1">
        <f ca="1">IFERROR(__xludf.DUMMYFUNCTION("""COMPUTED_VALUE"""),42145.625)</f>
        <v>42145.625</v>
      </c>
      <c r="B97" s="2">
        <f ca="1">IFERROR(__xludf.DUMMYFUNCTION("""COMPUTED_VALUE"""),6750)</f>
        <v>6750</v>
      </c>
      <c r="C97" s="2">
        <f ca="1">IFERROR(__xludf.DUMMYFUNCTION("""COMPUTED_VALUE"""),7050)</f>
        <v>7050</v>
      </c>
      <c r="D97" s="2">
        <f ca="1">IFERROR(__xludf.DUMMYFUNCTION("""COMPUTED_VALUE"""),6750)</f>
        <v>6750</v>
      </c>
      <c r="E97" s="2">
        <f ca="1">IFERROR(__xludf.DUMMYFUNCTION("""COMPUTED_VALUE"""),7000)</f>
        <v>7000</v>
      </c>
      <c r="F97" s="2">
        <f ca="1">IFERROR(__xludf.DUMMYFUNCTION("""COMPUTED_VALUE"""),29450800)</f>
        <v>29450800</v>
      </c>
    </row>
    <row r="98" spans="1:6">
      <c r="A98" s="1">
        <f ca="1">IFERROR(__xludf.DUMMYFUNCTION("""COMPUTED_VALUE"""),42146.625)</f>
        <v>42146.625</v>
      </c>
      <c r="B98" s="2">
        <f ca="1">IFERROR(__xludf.DUMMYFUNCTION("""COMPUTED_VALUE"""),6925)</f>
        <v>6925</v>
      </c>
      <c r="C98" s="2">
        <f ca="1">IFERROR(__xludf.DUMMYFUNCTION("""COMPUTED_VALUE"""),7125)</f>
        <v>7125</v>
      </c>
      <c r="D98" s="2">
        <f ca="1">IFERROR(__xludf.DUMMYFUNCTION("""COMPUTED_VALUE"""),6875)</f>
        <v>6875</v>
      </c>
      <c r="E98" s="2">
        <f ca="1">IFERROR(__xludf.DUMMYFUNCTION("""COMPUTED_VALUE"""),7075)</f>
        <v>7075</v>
      </c>
      <c r="F98" s="2">
        <f ca="1">IFERROR(__xludf.DUMMYFUNCTION("""COMPUTED_VALUE"""),18763400)</f>
        <v>18763400</v>
      </c>
    </row>
    <row r="99" spans="1:6">
      <c r="A99" s="1">
        <f ca="1">IFERROR(__xludf.DUMMYFUNCTION("""COMPUTED_VALUE"""),42149.625)</f>
        <v>42149.625</v>
      </c>
      <c r="B99" s="2">
        <f ca="1">IFERROR(__xludf.DUMMYFUNCTION("""COMPUTED_VALUE"""),7100)</f>
        <v>7100</v>
      </c>
      <c r="C99" s="2">
        <f ca="1">IFERROR(__xludf.DUMMYFUNCTION("""COMPUTED_VALUE"""),7100)</f>
        <v>7100</v>
      </c>
      <c r="D99" s="2">
        <f ca="1">IFERROR(__xludf.DUMMYFUNCTION("""COMPUTED_VALUE"""),7025)</f>
        <v>7025</v>
      </c>
      <c r="E99" s="2">
        <f ca="1">IFERROR(__xludf.DUMMYFUNCTION("""COMPUTED_VALUE"""),7050)</f>
        <v>7050</v>
      </c>
      <c r="F99" s="2">
        <f ca="1">IFERROR(__xludf.DUMMYFUNCTION("""COMPUTED_VALUE"""),13147300)</f>
        <v>13147300</v>
      </c>
    </row>
    <row r="100" spans="1:6">
      <c r="A100" s="1">
        <f ca="1">IFERROR(__xludf.DUMMYFUNCTION("""COMPUTED_VALUE"""),42150.625)</f>
        <v>42150.625</v>
      </c>
      <c r="B100" s="2">
        <f ca="1">IFERROR(__xludf.DUMMYFUNCTION("""COMPUTED_VALUE"""),7000)</f>
        <v>7000</v>
      </c>
      <c r="C100" s="2">
        <f ca="1">IFERROR(__xludf.DUMMYFUNCTION("""COMPUTED_VALUE"""),7050)</f>
        <v>7050</v>
      </c>
      <c r="D100" s="2">
        <f ca="1">IFERROR(__xludf.DUMMYFUNCTION("""COMPUTED_VALUE"""),6950)</f>
        <v>6950</v>
      </c>
      <c r="E100" s="2">
        <f ca="1">IFERROR(__xludf.DUMMYFUNCTION("""COMPUTED_VALUE"""),6950)</f>
        <v>6950</v>
      </c>
      <c r="F100" s="2">
        <f ca="1">IFERROR(__xludf.DUMMYFUNCTION("""COMPUTED_VALUE"""),16683600)</f>
        <v>16683600</v>
      </c>
    </row>
    <row r="101" spans="1:6">
      <c r="A101" s="1">
        <f ca="1">IFERROR(__xludf.DUMMYFUNCTION("""COMPUTED_VALUE"""),42151.625)</f>
        <v>42151.625</v>
      </c>
      <c r="B101" s="2">
        <f ca="1">IFERROR(__xludf.DUMMYFUNCTION("""COMPUTED_VALUE"""),6950)</f>
        <v>6950</v>
      </c>
      <c r="C101" s="2">
        <f ca="1">IFERROR(__xludf.DUMMYFUNCTION("""COMPUTED_VALUE"""),6975)</f>
        <v>6975</v>
      </c>
      <c r="D101" s="2">
        <f ca="1">IFERROR(__xludf.DUMMYFUNCTION("""COMPUTED_VALUE"""),6750)</f>
        <v>6750</v>
      </c>
      <c r="E101" s="2">
        <f ca="1">IFERROR(__xludf.DUMMYFUNCTION("""COMPUTED_VALUE"""),6850)</f>
        <v>6850</v>
      </c>
      <c r="F101" s="2">
        <f ca="1">IFERROR(__xludf.DUMMYFUNCTION("""COMPUTED_VALUE"""),18499800)</f>
        <v>18499800</v>
      </c>
    </row>
    <row r="102" spans="1:6">
      <c r="A102" s="1">
        <f ca="1">IFERROR(__xludf.DUMMYFUNCTION("""COMPUTED_VALUE"""),42152.625)</f>
        <v>42152.625</v>
      </c>
      <c r="B102" s="2">
        <f ca="1">IFERROR(__xludf.DUMMYFUNCTION("""COMPUTED_VALUE"""),6900)</f>
        <v>6900</v>
      </c>
      <c r="C102" s="2">
        <f ca="1">IFERROR(__xludf.DUMMYFUNCTION("""COMPUTED_VALUE"""),6950)</f>
        <v>6950</v>
      </c>
      <c r="D102" s="2">
        <f ca="1">IFERROR(__xludf.DUMMYFUNCTION("""COMPUTED_VALUE"""),6875)</f>
        <v>6875</v>
      </c>
      <c r="E102" s="2">
        <f ca="1">IFERROR(__xludf.DUMMYFUNCTION("""COMPUTED_VALUE"""),6900)</f>
        <v>6900</v>
      </c>
      <c r="F102" s="2">
        <f ca="1">IFERROR(__xludf.DUMMYFUNCTION("""COMPUTED_VALUE"""),18367000)</f>
        <v>18367000</v>
      </c>
    </row>
    <row r="103" spans="1:6">
      <c r="A103" s="1">
        <f ca="1">IFERROR(__xludf.DUMMYFUNCTION("""COMPUTED_VALUE"""),42153.625)</f>
        <v>42153.625</v>
      </c>
      <c r="B103" s="2">
        <f ca="1">IFERROR(__xludf.DUMMYFUNCTION("""COMPUTED_VALUE"""),6925)</f>
        <v>6925</v>
      </c>
      <c r="C103" s="2">
        <f ca="1">IFERROR(__xludf.DUMMYFUNCTION("""COMPUTED_VALUE"""),6950)</f>
        <v>6950</v>
      </c>
      <c r="D103" s="2">
        <f ca="1">IFERROR(__xludf.DUMMYFUNCTION("""COMPUTED_VALUE"""),6750)</f>
        <v>6750</v>
      </c>
      <c r="E103" s="2">
        <f ca="1">IFERROR(__xludf.DUMMYFUNCTION("""COMPUTED_VALUE"""),6875)</f>
        <v>6875</v>
      </c>
      <c r="F103" s="2">
        <f ca="1">IFERROR(__xludf.DUMMYFUNCTION("""COMPUTED_VALUE"""),23048500)</f>
        <v>23048500</v>
      </c>
    </row>
    <row r="104" spans="1:6">
      <c r="A104" s="1">
        <f ca="1">IFERROR(__xludf.DUMMYFUNCTION("""COMPUTED_VALUE"""),42156.625)</f>
        <v>42156.625</v>
      </c>
      <c r="B104" s="2">
        <f ca="1">IFERROR(__xludf.DUMMYFUNCTION("""COMPUTED_VALUE"""),6775)</f>
        <v>6775</v>
      </c>
      <c r="C104" s="2">
        <f ca="1">IFERROR(__xludf.DUMMYFUNCTION("""COMPUTED_VALUE"""),6825)</f>
        <v>6825</v>
      </c>
      <c r="D104" s="2">
        <f ca="1">IFERROR(__xludf.DUMMYFUNCTION("""COMPUTED_VALUE"""),6600)</f>
        <v>6600</v>
      </c>
      <c r="E104" s="2">
        <f ca="1">IFERROR(__xludf.DUMMYFUNCTION("""COMPUTED_VALUE"""),6650)</f>
        <v>6650</v>
      </c>
      <c r="F104" s="2">
        <f ca="1">IFERROR(__xludf.DUMMYFUNCTION("""COMPUTED_VALUE"""),27989200)</f>
        <v>27989200</v>
      </c>
    </row>
    <row r="105" spans="1:6">
      <c r="A105" s="1">
        <f ca="1">IFERROR(__xludf.DUMMYFUNCTION("""COMPUTED_VALUE"""),42158.625)</f>
        <v>42158.625</v>
      </c>
      <c r="B105" s="2">
        <f ca="1">IFERROR(__xludf.DUMMYFUNCTION("""COMPUTED_VALUE"""),6650)</f>
        <v>6650</v>
      </c>
      <c r="C105" s="2">
        <f ca="1">IFERROR(__xludf.DUMMYFUNCTION("""COMPUTED_VALUE"""),6650)</f>
        <v>6650</v>
      </c>
      <c r="D105" s="2">
        <f ca="1">IFERROR(__xludf.DUMMYFUNCTION("""COMPUTED_VALUE"""),6250)</f>
        <v>6250</v>
      </c>
      <c r="E105" s="2">
        <f ca="1">IFERROR(__xludf.DUMMYFUNCTION("""COMPUTED_VALUE"""),6375)</f>
        <v>6375</v>
      </c>
      <c r="F105" s="2">
        <f ca="1">IFERROR(__xludf.DUMMYFUNCTION("""COMPUTED_VALUE"""),38511300)</f>
        <v>38511300</v>
      </c>
    </row>
    <row r="106" spans="1:6">
      <c r="A106" s="1">
        <f ca="1">IFERROR(__xludf.DUMMYFUNCTION("""COMPUTED_VALUE"""),42159.625)</f>
        <v>42159.625</v>
      </c>
      <c r="B106" s="2">
        <f ca="1">IFERROR(__xludf.DUMMYFUNCTION("""COMPUTED_VALUE"""),6400)</f>
        <v>6400</v>
      </c>
      <c r="C106" s="2">
        <f ca="1">IFERROR(__xludf.DUMMYFUNCTION("""COMPUTED_VALUE"""),6425)</f>
        <v>6425</v>
      </c>
      <c r="D106" s="2">
        <f ca="1">IFERROR(__xludf.DUMMYFUNCTION("""COMPUTED_VALUE"""),6200)</f>
        <v>6200</v>
      </c>
      <c r="E106" s="2">
        <f ca="1">IFERROR(__xludf.DUMMYFUNCTION("""COMPUTED_VALUE"""),6200)</f>
        <v>6200</v>
      </c>
      <c r="F106" s="2">
        <f ca="1">IFERROR(__xludf.DUMMYFUNCTION("""COMPUTED_VALUE"""),53328900)</f>
        <v>53328900</v>
      </c>
    </row>
    <row r="107" spans="1:6">
      <c r="A107" s="1">
        <f ca="1">IFERROR(__xludf.DUMMYFUNCTION("""COMPUTED_VALUE"""),42160.625)</f>
        <v>42160.625</v>
      </c>
      <c r="B107" s="2">
        <f ca="1">IFERROR(__xludf.DUMMYFUNCTION("""COMPUTED_VALUE"""),6100)</f>
        <v>6100</v>
      </c>
      <c r="C107" s="2">
        <f ca="1">IFERROR(__xludf.DUMMYFUNCTION("""COMPUTED_VALUE"""),6250)</f>
        <v>6250</v>
      </c>
      <c r="D107" s="2">
        <f ca="1">IFERROR(__xludf.DUMMYFUNCTION("""COMPUTED_VALUE"""),6100)</f>
        <v>6100</v>
      </c>
      <c r="E107" s="2">
        <f ca="1">IFERROR(__xludf.DUMMYFUNCTION("""COMPUTED_VALUE"""),6225)</f>
        <v>6225</v>
      </c>
      <c r="F107" s="2">
        <f ca="1">IFERROR(__xludf.DUMMYFUNCTION("""COMPUTED_VALUE"""),25616300)</f>
        <v>25616300</v>
      </c>
    </row>
    <row r="108" spans="1:6">
      <c r="A108" s="1">
        <f ca="1">IFERROR(__xludf.DUMMYFUNCTION("""COMPUTED_VALUE"""),42163.625)</f>
        <v>42163.625</v>
      </c>
      <c r="B108" s="2">
        <f ca="1">IFERROR(__xludf.DUMMYFUNCTION("""COMPUTED_VALUE"""),6175)</f>
        <v>6175</v>
      </c>
      <c r="C108" s="2">
        <f ca="1">IFERROR(__xludf.DUMMYFUNCTION("""COMPUTED_VALUE"""),6225)</f>
        <v>6225</v>
      </c>
      <c r="D108" s="2">
        <f ca="1">IFERROR(__xludf.DUMMYFUNCTION("""COMPUTED_VALUE"""),6025)</f>
        <v>6025</v>
      </c>
      <c r="E108" s="2">
        <f ca="1">IFERROR(__xludf.DUMMYFUNCTION("""COMPUTED_VALUE"""),6025)</f>
        <v>6025</v>
      </c>
      <c r="F108" s="2">
        <f ca="1">IFERROR(__xludf.DUMMYFUNCTION("""COMPUTED_VALUE"""),27492700)</f>
        <v>27492700</v>
      </c>
    </row>
    <row r="109" spans="1:6">
      <c r="A109" s="1">
        <f ca="1">IFERROR(__xludf.DUMMYFUNCTION("""COMPUTED_VALUE"""),42164.625)</f>
        <v>42164.625</v>
      </c>
      <c r="B109" s="2">
        <f ca="1">IFERROR(__xludf.DUMMYFUNCTION("""COMPUTED_VALUE"""),5950)</f>
        <v>5950</v>
      </c>
      <c r="C109" s="2">
        <f ca="1">IFERROR(__xludf.DUMMYFUNCTION("""COMPUTED_VALUE"""),5950)</f>
        <v>5950</v>
      </c>
      <c r="D109" s="2">
        <f ca="1">IFERROR(__xludf.DUMMYFUNCTION("""COMPUTED_VALUE"""),5650)</f>
        <v>5650</v>
      </c>
      <c r="E109" s="2">
        <f ca="1">IFERROR(__xludf.DUMMYFUNCTION("""COMPUTED_VALUE"""),5800)</f>
        <v>5800</v>
      </c>
      <c r="F109" s="2">
        <f ca="1">IFERROR(__xludf.DUMMYFUNCTION("""COMPUTED_VALUE"""),68411000)</f>
        <v>68411000</v>
      </c>
    </row>
    <row r="110" spans="1:6">
      <c r="A110" s="1">
        <f ca="1">IFERROR(__xludf.DUMMYFUNCTION("""COMPUTED_VALUE"""),42165.625)</f>
        <v>42165.625</v>
      </c>
      <c r="B110" s="2">
        <f ca="1">IFERROR(__xludf.DUMMYFUNCTION("""COMPUTED_VALUE"""),5875)</f>
        <v>5875</v>
      </c>
      <c r="C110" s="2">
        <f ca="1">IFERROR(__xludf.DUMMYFUNCTION("""COMPUTED_VALUE"""),6000)</f>
        <v>6000</v>
      </c>
      <c r="D110" s="2">
        <f ca="1">IFERROR(__xludf.DUMMYFUNCTION("""COMPUTED_VALUE"""),5700)</f>
        <v>5700</v>
      </c>
      <c r="E110" s="2">
        <f ca="1">IFERROR(__xludf.DUMMYFUNCTION("""COMPUTED_VALUE"""),5750)</f>
        <v>5750</v>
      </c>
      <c r="F110" s="2">
        <f ca="1">IFERROR(__xludf.DUMMYFUNCTION("""COMPUTED_VALUE"""),46491000)</f>
        <v>46491000</v>
      </c>
    </row>
    <row r="111" spans="1:6">
      <c r="A111" s="1">
        <f ca="1">IFERROR(__xludf.DUMMYFUNCTION("""COMPUTED_VALUE"""),42166.625)</f>
        <v>42166.625</v>
      </c>
      <c r="B111" s="2">
        <f ca="1">IFERROR(__xludf.DUMMYFUNCTION("""COMPUTED_VALUE"""),5825)</f>
        <v>5825</v>
      </c>
      <c r="C111" s="2">
        <f ca="1">IFERROR(__xludf.DUMMYFUNCTION("""COMPUTED_VALUE"""),5850)</f>
        <v>5850</v>
      </c>
      <c r="D111" s="2">
        <f ca="1">IFERROR(__xludf.DUMMYFUNCTION("""COMPUTED_VALUE"""),5500)</f>
        <v>5500</v>
      </c>
      <c r="E111" s="2">
        <f ca="1">IFERROR(__xludf.DUMMYFUNCTION("""COMPUTED_VALUE"""),5575)</f>
        <v>5575</v>
      </c>
      <c r="F111" s="2">
        <f ca="1">IFERROR(__xludf.DUMMYFUNCTION("""COMPUTED_VALUE"""),60537900)</f>
        <v>60537900</v>
      </c>
    </row>
    <row r="112" spans="1:6">
      <c r="A112" s="1">
        <f ca="1">IFERROR(__xludf.DUMMYFUNCTION("""COMPUTED_VALUE"""),42167.625)</f>
        <v>42167.625</v>
      </c>
      <c r="B112" s="2">
        <f ca="1">IFERROR(__xludf.DUMMYFUNCTION("""COMPUTED_VALUE"""),5625)</f>
        <v>5625</v>
      </c>
      <c r="C112" s="2">
        <f ca="1">IFERROR(__xludf.DUMMYFUNCTION("""COMPUTED_VALUE"""),5650)</f>
        <v>5650</v>
      </c>
      <c r="D112" s="2">
        <f ca="1">IFERROR(__xludf.DUMMYFUNCTION("""COMPUTED_VALUE"""),5525)</f>
        <v>5525</v>
      </c>
      <c r="E112" s="2">
        <f ca="1">IFERROR(__xludf.DUMMYFUNCTION("""COMPUTED_VALUE"""),5625)</f>
        <v>5625</v>
      </c>
      <c r="F112" s="2">
        <f ca="1">IFERROR(__xludf.DUMMYFUNCTION("""COMPUTED_VALUE"""),35967400)</f>
        <v>35967400</v>
      </c>
    </row>
    <row r="113" spans="1:6">
      <c r="A113" s="1">
        <f ca="1">IFERROR(__xludf.DUMMYFUNCTION("""COMPUTED_VALUE"""),42170.625)</f>
        <v>42170.625</v>
      </c>
      <c r="B113" s="2">
        <f ca="1">IFERROR(__xludf.DUMMYFUNCTION("""COMPUTED_VALUE"""),5550)</f>
        <v>5550</v>
      </c>
      <c r="C113" s="2">
        <f ca="1">IFERROR(__xludf.DUMMYFUNCTION("""COMPUTED_VALUE"""),5575)</f>
        <v>5575</v>
      </c>
      <c r="D113" s="2">
        <f ca="1">IFERROR(__xludf.DUMMYFUNCTION("""COMPUTED_VALUE"""),5375)</f>
        <v>5375</v>
      </c>
      <c r="E113" s="2">
        <f ca="1">IFERROR(__xludf.DUMMYFUNCTION("""COMPUTED_VALUE"""),5375)</f>
        <v>5375</v>
      </c>
      <c r="F113" s="2">
        <f ca="1">IFERROR(__xludf.DUMMYFUNCTION("""COMPUTED_VALUE"""),28899900)</f>
        <v>28899900</v>
      </c>
    </row>
    <row r="114" spans="1:6">
      <c r="A114" s="1">
        <f ca="1">IFERROR(__xludf.DUMMYFUNCTION("""COMPUTED_VALUE"""),42171.625)</f>
        <v>42171.625</v>
      </c>
      <c r="B114" s="2">
        <f ca="1">IFERROR(__xludf.DUMMYFUNCTION("""COMPUTED_VALUE"""),5325)</f>
        <v>5325</v>
      </c>
      <c r="C114" s="2">
        <f ca="1">IFERROR(__xludf.DUMMYFUNCTION("""COMPUTED_VALUE"""),5525)</f>
        <v>5525</v>
      </c>
      <c r="D114" s="2">
        <f ca="1">IFERROR(__xludf.DUMMYFUNCTION("""COMPUTED_VALUE"""),5200)</f>
        <v>5200</v>
      </c>
      <c r="E114" s="2">
        <f ca="1">IFERROR(__xludf.DUMMYFUNCTION("""COMPUTED_VALUE"""),5500)</f>
        <v>5500</v>
      </c>
      <c r="F114" s="2">
        <f ca="1">IFERROR(__xludf.DUMMYFUNCTION("""COMPUTED_VALUE"""),56267800)</f>
        <v>56267800</v>
      </c>
    </row>
    <row r="115" spans="1:6">
      <c r="A115" s="1">
        <f ca="1">IFERROR(__xludf.DUMMYFUNCTION("""COMPUTED_VALUE"""),42172.625)</f>
        <v>42172.625</v>
      </c>
      <c r="B115" s="2">
        <f ca="1">IFERROR(__xludf.DUMMYFUNCTION("""COMPUTED_VALUE"""),5550)</f>
        <v>5550</v>
      </c>
      <c r="C115" s="2">
        <f ca="1">IFERROR(__xludf.DUMMYFUNCTION("""COMPUTED_VALUE"""),5675)</f>
        <v>5675</v>
      </c>
      <c r="D115" s="2">
        <f ca="1">IFERROR(__xludf.DUMMYFUNCTION("""COMPUTED_VALUE"""),5450)</f>
        <v>5450</v>
      </c>
      <c r="E115" s="2">
        <f ca="1">IFERROR(__xludf.DUMMYFUNCTION("""COMPUTED_VALUE"""),5650)</f>
        <v>5650</v>
      </c>
      <c r="F115" s="2">
        <f ca="1">IFERROR(__xludf.DUMMYFUNCTION("""COMPUTED_VALUE"""),38199800)</f>
        <v>38199800</v>
      </c>
    </row>
    <row r="116" spans="1:6">
      <c r="A116" s="1">
        <f ca="1">IFERROR(__xludf.DUMMYFUNCTION("""COMPUTED_VALUE"""),42173.625)</f>
        <v>42173.625</v>
      </c>
      <c r="B116" s="2">
        <f ca="1">IFERROR(__xludf.DUMMYFUNCTION("""COMPUTED_VALUE"""),5675)</f>
        <v>5675</v>
      </c>
      <c r="C116" s="2">
        <f ca="1">IFERROR(__xludf.DUMMYFUNCTION("""COMPUTED_VALUE"""),5700)</f>
        <v>5700</v>
      </c>
      <c r="D116" s="2">
        <f ca="1">IFERROR(__xludf.DUMMYFUNCTION("""COMPUTED_VALUE"""),5475)</f>
        <v>5475</v>
      </c>
      <c r="E116" s="2">
        <f ca="1">IFERROR(__xludf.DUMMYFUNCTION("""COMPUTED_VALUE"""),5525)</f>
        <v>5525</v>
      </c>
      <c r="F116" s="2">
        <f ca="1">IFERROR(__xludf.DUMMYFUNCTION("""COMPUTED_VALUE"""),30883800)</f>
        <v>30883800</v>
      </c>
    </row>
    <row r="117" spans="1:6">
      <c r="A117" s="1">
        <f ca="1">IFERROR(__xludf.DUMMYFUNCTION("""COMPUTED_VALUE"""),42174.625)</f>
        <v>42174.625</v>
      </c>
      <c r="B117" s="2">
        <f ca="1">IFERROR(__xludf.DUMMYFUNCTION("""COMPUTED_VALUE"""),5550)</f>
        <v>5550</v>
      </c>
      <c r="C117" s="2">
        <f ca="1">IFERROR(__xludf.DUMMYFUNCTION("""COMPUTED_VALUE"""),5650)</f>
        <v>5650</v>
      </c>
      <c r="D117" s="2">
        <f ca="1">IFERROR(__xludf.DUMMYFUNCTION("""COMPUTED_VALUE"""),5550)</f>
        <v>5550</v>
      </c>
      <c r="E117" s="2">
        <f ca="1">IFERROR(__xludf.DUMMYFUNCTION("""COMPUTED_VALUE"""),5575)</f>
        <v>5575</v>
      </c>
      <c r="F117" s="2">
        <f ca="1">IFERROR(__xludf.DUMMYFUNCTION("""COMPUTED_VALUE"""),34030300)</f>
        <v>34030300</v>
      </c>
    </row>
    <row r="118" spans="1:6">
      <c r="A118" s="1">
        <f ca="1">IFERROR(__xludf.DUMMYFUNCTION("""COMPUTED_VALUE"""),42177.625)</f>
        <v>42177.625</v>
      </c>
      <c r="B118" s="2">
        <f ca="1">IFERROR(__xludf.DUMMYFUNCTION("""COMPUTED_VALUE"""),5600)</f>
        <v>5600</v>
      </c>
      <c r="C118" s="2">
        <f ca="1">IFERROR(__xludf.DUMMYFUNCTION("""COMPUTED_VALUE"""),5675)</f>
        <v>5675</v>
      </c>
      <c r="D118" s="2">
        <f ca="1">IFERROR(__xludf.DUMMYFUNCTION("""COMPUTED_VALUE"""),5550)</f>
        <v>5550</v>
      </c>
      <c r="E118" s="2">
        <f ca="1">IFERROR(__xludf.DUMMYFUNCTION("""COMPUTED_VALUE"""),5600)</f>
        <v>5600</v>
      </c>
      <c r="F118" s="2">
        <f ca="1">IFERROR(__xludf.DUMMYFUNCTION("""COMPUTED_VALUE"""),24747300)</f>
        <v>24747300</v>
      </c>
    </row>
    <row r="119" spans="1:6">
      <c r="A119" s="1">
        <f ca="1">IFERROR(__xludf.DUMMYFUNCTION("""COMPUTED_VALUE"""),42178.625)</f>
        <v>42178.625</v>
      </c>
      <c r="B119" s="2">
        <f ca="1">IFERROR(__xludf.DUMMYFUNCTION("""COMPUTED_VALUE"""),5650)</f>
        <v>5650</v>
      </c>
      <c r="C119" s="2">
        <f ca="1">IFERROR(__xludf.DUMMYFUNCTION("""COMPUTED_VALUE"""),5650)</f>
        <v>5650</v>
      </c>
      <c r="D119" s="2">
        <f ca="1">IFERROR(__xludf.DUMMYFUNCTION("""COMPUTED_VALUE"""),5500)</f>
        <v>5500</v>
      </c>
      <c r="E119" s="2">
        <f ca="1">IFERROR(__xludf.DUMMYFUNCTION("""COMPUTED_VALUE"""),5575)</f>
        <v>5575</v>
      </c>
      <c r="F119" s="2">
        <f ca="1">IFERROR(__xludf.DUMMYFUNCTION("""COMPUTED_VALUE"""),19754100)</f>
        <v>19754100</v>
      </c>
    </row>
    <row r="120" spans="1:6">
      <c r="A120" s="1">
        <f ca="1">IFERROR(__xludf.DUMMYFUNCTION("""COMPUTED_VALUE"""),42179.625)</f>
        <v>42179.625</v>
      </c>
      <c r="B120" s="2">
        <f ca="1">IFERROR(__xludf.DUMMYFUNCTION("""COMPUTED_VALUE"""),5575)</f>
        <v>5575</v>
      </c>
      <c r="C120" s="2">
        <f ca="1">IFERROR(__xludf.DUMMYFUNCTION("""COMPUTED_VALUE"""),5650)</f>
        <v>5650</v>
      </c>
      <c r="D120" s="2">
        <f ca="1">IFERROR(__xludf.DUMMYFUNCTION("""COMPUTED_VALUE"""),5450)</f>
        <v>5450</v>
      </c>
      <c r="E120" s="2">
        <f ca="1">IFERROR(__xludf.DUMMYFUNCTION("""COMPUTED_VALUE"""),5500)</f>
        <v>5500</v>
      </c>
      <c r="F120" s="2">
        <f ca="1">IFERROR(__xludf.DUMMYFUNCTION("""COMPUTED_VALUE"""),27391900)</f>
        <v>27391900</v>
      </c>
    </row>
    <row r="121" spans="1:6">
      <c r="A121" s="1">
        <f ca="1">IFERROR(__xludf.DUMMYFUNCTION("""COMPUTED_VALUE"""),42180.625)</f>
        <v>42180.625</v>
      </c>
      <c r="B121" s="2">
        <f ca="1">IFERROR(__xludf.DUMMYFUNCTION("""COMPUTED_VALUE"""),5450)</f>
        <v>5450</v>
      </c>
      <c r="C121" s="2">
        <f ca="1">IFERROR(__xludf.DUMMYFUNCTION("""COMPUTED_VALUE"""),5475)</f>
        <v>5475</v>
      </c>
      <c r="D121" s="2">
        <f ca="1">IFERROR(__xludf.DUMMYFUNCTION("""COMPUTED_VALUE"""),5325)</f>
        <v>5325</v>
      </c>
      <c r="E121" s="2">
        <f ca="1">IFERROR(__xludf.DUMMYFUNCTION("""COMPUTED_VALUE"""),5350)</f>
        <v>5350</v>
      </c>
      <c r="F121" s="2">
        <f ca="1">IFERROR(__xludf.DUMMYFUNCTION("""COMPUTED_VALUE"""),31020000)</f>
        <v>31020000</v>
      </c>
    </row>
    <row r="122" spans="1:6">
      <c r="A122" s="1">
        <f ca="1">IFERROR(__xludf.DUMMYFUNCTION("""COMPUTED_VALUE"""),42181.625)</f>
        <v>42181.625</v>
      </c>
      <c r="B122" s="2">
        <f ca="1">IFERROR(__xludf.DUMMYFUNCTION("""COMPUTED_VALUE"""),5250)</f>
        <v>5250</v>
      </c>
      <c r="C122" s="2">
        <f ca="1">IFERROR(__xludf.DUMMYFUNCTION("""COMPUTED_VALUE"""),5400)</f>
        <v>5400</v>
      </c>
      <c r="D122" s="2">
        <f ca="1">IFERROR(__xludf.DUMMYFUNCTION("""COMPUTED_VALUE"""),5250)</f>
        <v>5250</v>
      </c>
      <c r="E122" s="2">
        <f ca="1">IFERROR(__xludf.DUMMYFUNCTION("""COMPUTED_VALUE"""),5275)</f>
        <v>5275</v>
      </c>
      <c r="F122" s="2">
        <f ca="1">IFERROR(__xludf.DUMMYFUNCTION("""COMPUTED_VALUE"""),27839600)</f>
        <v>27839600</v>
      </c>
    </row>
    <row r="123" spans="1:6">
      <c r="A123" s="1">
        <f ca="1">IFERROR(__xludf.DUMMYFUNCTION("""COMPUTED_VALUE"""),42184.625)</f>
        <v>42184.625</v>
      </c>
      <c r="B123" s="2">
        <f ca="1">IFERROR(__xludf.DUMMYFUNCTION("""COMPUTED_VALUE"""),5200)</f>
        <v>5200</v>
      </c>
      <c r="C123" s="2">
        <f ca="1">IFERROR(__xludf.DUMMYFUNCTION("""COMPUTED_VALUE"""),5275)</f>
        <v>5275</v>
      </c>
      <c r="D123" s="2">
        <f ca="1">IFERROR(__xludf.DUMMYFUNCTION("""COMPUTED_VALUE"""),5100)</f>
        <v>5100</v>
      </c>
      <c r="E123" s="2">
        <f ca="1">IFERROR(__xludf.DUMMYFUNCTION("""COMPUTED_VALUE"""),5250)</f>
        <v>5250</v>
      </c>
      <c r="F123" s="2">
        <f ca="1">IFERROR(__xludf.DUMMYFUNCTION("""COMPUTED_VALUE"""),19051200)</f>
        <v>19051200</v>
      </c>
    </row>
    <row r="124" spans="1:6">
      <c r="A124" s="1">
        <f ca="1">IFERROR(__xludf.DUMMYFUNCTION("""COMPUTED_VALUE"""),42185.625)</f>
        <v>42185.625</v>
      </c>
      <c r="B124" s="2">
        <f ca="1">IFERROR(__xludf.DUMMYFUNCTION("""COMPUTED_VALUE"""),5275)</f>
        <v>5275</v>
      </c>
      <c r="C124" s="2">
        <f ca="1">IFERROR(__xludf.DUMMYFUNCTION("""COMPUTED_VALUE"""),5350)</f>
        <v>5350</v>
      </c>
      <c r="D124" s="2">
        <f ca="1">IFERROR(__xludf.DUMMYFUNCTION("""COMPUTED_VALUE"""),5200)</f>
        <v>5200</v>
      </c>
      <c r="E124" s="2">
        <f ca="1">IFERROR(__xludf.DUMMYFUNCTION("""COMPUTED_VALUE"""),5300)</f>
        <v>5300</v>
      </c>
      <c r="F124" s="2">
        <f ca="1">IFERROR(__xludf.DUMMYFUNCTION("""COMPUTED_VALUE"""),38309800)</f>
        <v>38309800</v>
      </c>
    </row>
    <row r="125" spans="1:6">
      <c r="A125" s="1">
        <f ca="1">IFERROR(__xludf.DUMMYFUNCTION("""COMPUTED_VALUE"""),42186.625)</f>
        <v>42186.625</v>
      </c>
      <c r="B125" s="2">
        <f ca="1">IFERROR(__xludf.DUMMYFUNCTION("""COMPUTED_VALUE"""),5300)</f>
        <v>5300</v>
      </c>
      <c r="C125" s="2">
        <f ca="1">IFERROR(__xludf.DUMMYFUNCTION("""COMPUTED_VALUE"""),5375)</f>
        <v>5375</v>
      </c>
      <c r="D125" s="2">
        <f ca="1">IFERROR(__xludf.DUMMYFUNCTION("""COMPUTED_VALUE"""),5275)</f>
        <v>5275</v>
      </c>
      <c r="E125" s="2">
        <f ca="1">IFERROR(__xludf.DUMMYFUNCTION("""COMPUTED_VALUE"""),5300)</f>
        <v>5300</v>
      </c>
      <c r="F125" s="2">
        <f ca="1">IFERROR(__xludf.DUMMYFUNCTION("""COMPUTED_VALUE"""),25175000)</f>
        <v>25175000</v>
      </c>
    </row>
    <row r="126" spans="1:6">
      <c r="A126" s="1">
        <f ca="1">IFERROR(__xludf.DUMMYFUNCTION("""COMPUTED_VALUE"""),42187.625)</f>
        <v>42187.625</v>
      </c>
      <c r="B126" s="2">
        <f ca="1">IFERROR(__xludf.DUMMYFUNCTION("""COMPUTED_VALUE"""),5325)</f>
        <v>5325</v>
      </c>
      <c r="C126" s="2">
        <f ca="1">IFERROR(__xludf.DUMMYFUNCTION("""COMPUTED_VALUE"""),5600)</f>
        <v>5600</v>
      </c>
      <c r="D126" s="2">
        <f ca="1">IFERROR(__xludf.DUMMYFUNCTION("""COMPUTED_VALUE"""),5300)</f>
        <v>5300</v>
      </c>
      <c r="E126" s="2">
        <f ca="1">IFERROR(__xludf.DUMMYFUNCTION("""COMPUTED_VALUE"""),5575)</f>
        <v>5575</v>
      </c>
      <c r="F126" s="2">
        <f ca="1">IFERROR(__xludf.DUMMYFUNCTION("""COMPUTED_VALUE"""),60118000)</f>
        <v>60118000</v>
      </c>
    </row>
    <row r="127" spans="1:6">
      <c r="A127" s="1">
        <f ca="1">IFERROR(__xludf.DUMMYFUNCTION("""COMPUTED_VALUE"""),42188.625)</f>
        <v>42188.625</v>
      </c>
      <c r="B127" s="2">
        <f ca="1">IFERROR(__xludf.DUMMYFUNCTION("""COMPUTED_VALUE"""),5600)</f>
        <v>5600</v>
      </c>
      <c r="C127" s="2">
        <f ca="1">IFERROR(__xludf.DUMMYFUNCTION("""COMPUTED_VALUE"""),5675)</f>
        <v>5675</v>
      </c>
      <c r="D127" s="2">
        <f ca="1">IFERROR(__xludf.DUMMYFUNCTION("""COMPUTED_VALUE"""),5475)</f>
        <v>5475</v>
      </c>
      <c r="E127" s="2">
        <f ca="1">IFERROR(__xludf.DUMMYFUNCTION("""COMPUTED_VALUE"""),5625)</f>
        <v>5625</v>
      </c>
      <c r="F127" s="2">
        <f ca="1">IFERROR(__xludf.DUMMYFUNCTION("""COMPUTED_VALUE"""),28643500)</f>
        <v>28643500</v>
      </c>
    </row>
    <row r="128" spans="1:6">
      <c r="A128" s="1">
        <f ca="1">IFERROR(__xludf.DUMMYFUNCTION("""COMPUTED_VALUE"""),42191.625)</f>
        <v>42191.625</v>
      </c>
      <c r="B128" s="2">
        <f ca="1">IFERROR(__xludf.DUMMYFUNCTION("""COMPUTED_VALUE"""),5525)</f>
        <v>5525</v>
      </c>
      <c r="C128" s="2">
        <f ca="1">IFERROR(__xludf.DUMMYFUNCTION("""COMPUTED_VALUE"""),5625)</f>
        <v>5625</v>
      </c>
      <c r="D128" s="2">
        <f ca="1">IFERROR(__xludf.DUMMYFUNCTION("""COMPUTED_VALUE"""),5400)</f>
        <v>5400</v>
      </c>
      <c r="E128" s="2">
        <f ca="1">IFERROR(__xludf.DUMMYFUNCTION("""COMPUTED_VALUE"""),5450)</f>
        <v>5450</v>
      </c>
      <c r="F128" s="2">
        <f ca="1">IFERROR(__xludf.DUMMYFUNCTION("""COMPUTED_VALUE"""),25690800)</f>
        <v>25690800</v>
      </c>
    </row>
    <row r="129" spans="1:6">
      <c r="A129" s="1">
        <f ca="1">IFERROR(__xludf.DUMMYFUNCTION("""COMPUTED_VALUE"""),42192.625)</f>
        <v>42192.625</v>
      </c>
      <c r="B129" s="2">
        <f ca="1">IFERROR(__xludf.DUMMYFUNCTION("""COMPUTED_VALUE"""),5450)</f>
        <v>5450</v>
      </c>
      <c r="C129" s="2">
        <f ca="1">IFERROR(__xludf.DUMMYFUNCTION("""COMPUTED_VALUE"""),5550)</f>
        <v>5550</v>
      </c>
      <c r="D129" s="2">
        <f ca="1">IFERROR(__xludf.DUMMYFUNCTION("""COMPUTED_VALUE"""),5450)</f>
        <v>5450</v>
      </c>
      <c r="E129" s="2">
        <f ca="1">IFERROR(__xludf.DUMMYFUNCTION("""COMPUTED_VALUE"""),5550)</f>
        <v>5550</v>
      </c>
      <c r="F129" s="2">
        <f ca="1">IFERROR(__xludf.DUMMYFUNCTION("""COMPUTED_VALUE"""),23243400)</f>
        <v>23243400</v>
      </c>
    </row>
    <row r="130" spans="1:6">
      <c r="A130" s="1">
        <f ca="1">IFERROR(__xludf.DUMMYFUNCTION("""COMPUTED_VALUE"""),42193.625)</f>
        <v>42193.625</v>
      </c>
      <c r="B130" s="2">
        <f ca="1">IFERROR(__xludf.DUMMYFUNCTION("""COMPUTED_VALUE"""),5500)</f>
        <v>5500</v>
      </c>
      <c r="C130" s="2">
        <f ca="1">IFERROR(__xludf.DUMMYFUNCTION("""COMPUTED_VALUE"""),5525)</f>
        <v>5525</v>
      </c>
      <c r="D130" s="2">
        <f ca="1">IFERROR(__xludf.DUMMYFUNCTION("""COMPUTED_VALUE"""),5375)</f>
        <v>5375</v>
      </c>
      <c r="E130" s="2">
        <f ca="1">IFERROR(__xludf.DUMMYFUNCTION("""COMPUTED_VALUE"""),5400)</f>
        <v>5400</v>
      </c>
      <c r="F130" s="2">
        <f ca="1">IFERROR(__xludf.DUMMYFUNCTION("""COMPUTED_VALUE"""),34537200)</f>
        <v>34537200</v>
      </c>
    </row>
    <row r="131" spans="1:6">
      <c r="A131" s="1">
        <f ca="1">IFERROR(__xludf.DUMMYFUNCTION("""COMPUTED_VALUE"""),42194.625)</f>
        <v>42194.625</v>
      </c>
      <c r="B131" s="2">
        <f ca="1">IFERROR(__xludf.DUMMYFUNCTION("""COMPUTED_VALUE"""),5375)</f>
        <v>5375</v>
      </c>
      <c r="C131" s="2">
        <f ca="1">IFERROR(__xludf.DUMMYFUNCTION("""COMPUTED_VALUE"""),5450)</f>
        <v>5450</v>
      </c>
      <c r="D131" s="2">
        <f ca="1">IFERROR(__xludf.DUMMYFUNCTION("""COMPUTED_VALUE"""),5250)</f>
        <v>5250</v>
      </c>
      <c r="E131" s="2">
        <f ca="1">IFERROR(__xludf.DUMMYFUNCTION("""COMPUTED_VALUE"""),5350)</f>
        <v>5350</v>
      </c>
      <c r="F131" s="2">
        <f ca="1">IFERROR(__xludf.DUMMYFUNCTION("""COMPUTED_VALUE"""),25719400)</f>
        <v>25719400</v>
      </c>
    </row>
    <row r="132" spans="1:6">
      <c r="A132" s="1">
        <f ca="1">IFERROR(__xludf.DUMMYFUNCTION("""COMPUTED_VALUE"""),42195.625)</f>
        <v>42195.625</v>
      </c>
      <c r="B132" s="2">
        <f ca="1">IFERROR(__xludf.DUMMYFUNCTION("""COMPUTED_VALUE"""),5400)</f>
        <v>5400</v>
      </c>
      <c r="C132" s="2">
        <f ca="1">IFERROR(__xludf.DUMMYFUNCTION("""COMPUTED_VALUE"""),5475)</f>
        <v>5475</v>
      </c>
      <c r="D132" s="2">
        <f ca="1">IFERROR(__xludf.DUMMYFUNCTION("""COMPUTED_VALUE"""),5350)</f>
        <v>5350</v>
      </c>
      <c r="E132" s="2">
        <f ca="1">IFERROR(__xludf.DUMMYFUNCTION("""COMPUTED_VALUE"""),5450)</f>
        <v>5450</v>
      </c>
      <c r="F132" s="2">
        <f ca="1">IFERROR(__xludf.DUMMYFUNCTION("""COMPUTED_VALUE"""),19183100)</f>
        <v>19183100</v>
      </c>
    </row>
    <row r="133" spans="1:6">
      <c r="A133" s="1">
        <f ca="1">IFERROR(__xludf.DUMMYFUNCTION("""COMPUTED_VALUE"""),42198.625)</f>
        <v>42198.625</v>
      </c>
      <c r="B133" s="2">
        <f ca="1">IFERROR(__xludf.DUMMYFUNCTION("""COMPUTED_VALUE"""),5500)</f>
        <v>5500</v>
      </c>
      <c r="C133" s="2">
        <f ca="1">IFERROR(__xludf.DUMMYFUNCTION("""COMPUTED_VALUE"""),5525)</f>
        <v>5525</v>
      </c>
      <c r="D133" s="2">
        <f ca="1">IFERROR(__xludf.DUMMYFUNCTION("""COMPUTED_VALUE"""),5425)</f>
        <v>5425</v>
      </c>
      <c r="E133" s="2">
        <f ca="1">IFERROR(__xludf.DUMMYFUNCTION("""COMPUTED_VALUE"""),5475)</f>
        <v>5475</v>
      </c>
      <c r="F133" s="2">
        <f ca="1">IFERROR(__xludf.DUMMYFUNCTION("""COMPUTED_VALUE"""),19111700)</f>
        <v>19111700</v>
      </c>
    </row>
    <row r="134" spans="1:6">
      <c r="A134" s="1">
        <f ca="1">IFERROR(__xludf.DUMMYFUNCTION("""COMPUTED_VALUE"""),42199.625)</f>
        <v>42199.625</v>
      </c>
      <c r="B134" s="2">
        <f ca="1">IFERROR(__xludf.DUMMYFUNCTION("""COMPUTED_VALUE"""),5525)</f>
        <v>5525</v>
      </c>
      <c r="C134" s="2">
        <f ca="1">IFERROR(__xludf.DUMMYFUNCTION("""COMPUTED_VALUE"""),5575)</f>
        <v>5575</v>
      </c>
      <c r="D134" s="2">
        <f ca="1">IFERROR(__xludf.DUMMYFUNCTION("""COMPUTED_VALUE"""),5250)</f>
        <v>5250</v>
      </c>
      <c r="E134" s="2">
        <f ca="1">IFERROR(__xludf.DUMMYFUNCTION("""COMPUTED_VALUE"""),5300)</f>
        <v>5300</v>
      </c>
      <c r="F134" s="2">
        <f ca="1">IFERROR(__xludf.DUMMYFUNCTION("""COMPUTED_VALUE"""),54063300)</f>
        <v>54063300</v>
      </c>
    </row>
    <row r="135" spans="1:6">
      <c r="A135" s="1">
        <f ca="1">IFERROR(__xludf.DUMMYFUNCTION("""COMPUTED_VALUE"""),42200.625)</f>
        <v>42200.625</v>
      </c>
      <c r="B135" s="2">
        <f ca="1">IFERROR(__xludf.DUMMYFUNCTION("""COMPUTED_VALUE"""),5300)</f>
        <v>5300</v>
      </c>
      <c r="C135" s="2">
        <f ca="1">IFERROR(__xludf.DUMMYFUNCTION("""COMPUTED_VALUE"""),5325)</f>
        <v>5325</v>
      </c>
      <c r="D135" s="2">
        <f ca="1">IFERROR(__xludf.DUMMYFUNCTION("""COMPUTED_VALUE"""),5075)</f>
        <v>5075</v>
      </c>
      <c r="E135" s="2">
        <f ca="1">IFERROR(__xludf.DUMMYFUNCTION("""COMPUTED_VALUE"""),5075)</f>
        <v>5075</v>
      </c>
      <c r="F135" s="2">
        <f ca="1">IFERROR(__xludf.DUMMYFUNCTION("""COMPUTED_VALUE"""),54001700)</f>
        <v>54001700</v>
      </c>
    </row>
    <row r="136" spans="1:6">
      <c r="A136" s="1">
        <f ca="1">IFERROR(__xludf.DUMMYFUNCTION("""COMPUTED_VALUE"""),42207.625)</f>
        <v>42207.625</v>
      </c>
      <c r="B136" s="2">
        <f ca="1">IFERROR(__xludf.DUMMYFUNCTION("""COMPUTED_VALUE"""),5125)</f>
        <v>5125</v>
      </c>
      <c r="C136" s="2">
        <f ca="1">IFERROR(__xludf.DUMMYFUNCTION("""COMPUTED_VALUE"""),5275)</f>
        <v>5275</v>
      </c>
      <c r="D136" s="2">
        <f ca="1">IFERROR(__xludf.DUMMYFUNCTION("""COMPUTED_VALUE"""),5125)</f>
        <v>5125</v>
      </c>
      <c r="E136" s="2">
        <f ca="1">IFERROR(__xludf.DUMMYFUNCTION("""COMPUTED_VALUE"""),5175)</f>
        <v>5175</v>
      </c>
      <c r="F136" s="2">
        <f ca="1">IFERROR(__xludf.DUMMYFUNCTION("""COMPUTED_VALUE"""),58476200)</f>
        <v>58476200</v>
      </c>
    </row>
    <row r="137" spans="1:6">
      <c r="A137" s="1">
        <f ca="1">IFERROR(__xludf.DUMMYFUNCTION("""COMPUTED_VALUE"""),42208.625)</f>
        <v>42208.625</v>
      </c>
      <c r="B137" s="2">
        <f ca="1">IFERROR(__xludf.DUMMYFUNCTION("""COMPUTED_VALUE"""),5175)</f>
        <v>5175</v>
      </c>
      <c r="C137" s="2">
        <f ca="1">IFERROR(__xludf.DUMMYFUNCTION("""COMPUTED_VALUE"""),5225)</f>
        <v>5225</v>
      </c>
      <c r="D137" s="2">
        <f ca="1">IFERROR(__xludf.DUMMYFUNCTION("""COMPUTED_VALUE"""),5075)</f>
        <v>5075</v>
      </c>
      <c r="E137" s="2">
        <f ca="1">IFERROR(__xludf.DUMMYFUNCTION("""COMPUTED_VALUE"""),5100)</f>
        <v>5100</v>
      </c>
      <c r="F137" s="2">
        <f ca="1">IFERROR(__xludf.DUMMYFUNCTION("""COMPUTED_VALUE"""),60661900)</f>
        <v>60661900</v>
      </c>
    </row>
    <row r="138" spans="1:6">
      <c r="A138" s="1">
        <f ca="1">IFERROR(__xludf.DUMMYFUNCTION("""COMPUTED_VALUE"""),42209.625)</f>
        <v>42209.625</v>
      </c>
      <c r="B138" s="2">
        <f ca="1">IFERROR(__xludf.DUMMYFUNCTION("""COMPUTED_VALUE"""),5075)</f>
        <v>5075</v>
      </c>
      <c r="C138" s="2">
        <f ca="1">IFERROR(__xludf.DUMMYFUNCTION("""COMPUTED_VALUE"""),5100)</f>
        <v>5100</v>
      </c>
      <c r="D138" s="2">
        <f ca="1">IFERROR(__xludf.DUMMYFUNCTION("""COMPUTED_VALUE"""),4985)</f>
        <v>4985</v>
      </c>
      <c r="E138" s="2">
        <f ca="1">IFERROR(__xludf.DUMMYFUNCTION("""COMPUTED_VALUE"""),5000)</f>
        <v>5000</v>
      </c>
      <c r="F138" s="2">
        <f ca="1">IFERROR(__xludf.DUMMYFUNCTION("""COMPUTED_VALUE"""),45801800)</f>
        <v>45801800</v>
      </c>
    </row>
    <row r="139" spans="1:6">
      <c r="A139" s="1">
        <f ca="1">IFERROR(__xludf.DUMMYFUNCTION("""COMPUTED_VALUE"""),42212.625)</f>
        <v>42212.625</v>
      </c>
      <c r="B139" s="2">
        <f ca="1">IFERROR(__xludf.DUMMYFUNCTION("""COMPUTED_VALUE"""),5000)</f>
        <v>5000</v>
      </c>
      <c r="C139" s="2">
        <f ca="1">IFERROR(__xludf.DUMMYFUNCTION("""COMPUTED_VALUE"""),5050)</f>
        <v>5050</v>
      </c>
      <c r="D139" s="2">
        <f ca="1">IFERROR(__xludf.DUMMYFUNCTION("""COMPUTED_VALUE"""),4800)</f>
        <v>4800</v>
      </c>
      <c r="E139" s="2">
        <f ca="1">IFERROR(__xludf.DUMMYFUNCTION("""COMPUTED_VALUE"""),4850)</f>
        <v>4850</v>
      </c>
      <c r="F139" s="2">
        <f ca="1">IFERROR(__xludf.DUMMYFUNCTION("""COMPUTED_VALUE"""),41513500)</f>
        <v>41513500</v>
      </c>
    </row>
    <row r="140" spans="1:6">
      <c r="A140" s="1">
        <f ca="1">IFERROR(__xludf.DUMMYFUNCTION("""COMPUTED_VALUE"""),42213.625)</f>
        <v>42213.625</v>
      </c>
      <c r="B140" s="2">
        <f ca="1">IFERROR(__xludf.DUMMYFUNCTION("""COMPUTED_VALUE"""),4800)</f>
        <v>4800</v>
      </c>
      <c r="C140" s="2">
        <f ca="1">IFERROR(__xludf.DUMMYFUNCTION("""COMPUTED_VALUE"""),4830)</f>
        <v>4830</v>
      </c>
      <c r="D140" s="2">
        <f ca="1">IFERROR(__xludf.DUMMYFUNCTION("""COMPUTED_VALUE"""),4735)</f>
        <v>4735</v>
      </c>
      <c r="E140" s="2">
        <f ca="1">IFERROR(__xludf.DUMMYFUNCTION("""COMPUTED_VALUE"""),4745)</f>
        <v>4745</v>
      </c>
      <c r="F140" s="2">
        <f ca="1">IFERROR(__xludf.DUMMYFUNCTION("""COMPUTED_VALUE"""),30220500)</f>
        <v>30220500</v>
      </c>
    </row>
    <row r="141" spans="1:6">
      <c r="A141" s="1">
        <f ca="1">IFERROR(__xludf.DUMMYFUNCTION("""COMPUTED_VALUE"""),42214.625)</f>
        <v>42214.625</v>
      </c>
      <c r="B141" s="2">
        <f ca="1">IFERROR(__xludf.DUMMYFUNCTION("""COMPUTED_VALUE"""),4800)</f>
        <v>4800</v>
      </c>
      <c r="C141" s="2">
        <f ca="1">IFERROR(__xludf.DUMMYFUNCTION("""COMPUTED_VALUE"""),4830)</f>
        <v>4830</v>
      </c>
      <c r="D141" s="2">
        <f ca="1">IFERROR(__xludf.DUMMYFUNCTION("""COMPUTED_VALUE"""),4620)</f>
        <v>4620</v>
      </c>
      <c r="E141" s="2">
        <f ca="1">IFERROR(__xludf.DUMMYFUNCTION("""COMPUTED_VALUE"""),4640)</f>
        <v>4640</v>
      </c>
      <c r="F141" s="2">
        <f ca="1">IFERROR(__xludf.DUMMYFUNCTION("""COMPUTED_VALUE"""),39708800)</f>
        <v>39708800</v>
      </c>
    </row>
    <row r="142" spans="1:6">
      <c r="A142" s="1">
        <f ca="1">IFERROR(__xludf.DUMMYFUNCTION("""COMPUTED_VALUE"""),42215.625)</f>
        <v>42215.625</v>
      </c>
      <c r="B142" s="2">
        <f ca="1">IFERROR(__xludf.DUMMYFUNCTION("""COMPUTED_VALUE"""),4695)</f>
        <v>4695</v>
      </c>
      <c r="C142" s="2">
        <f ca="1">IFERROR(__xludf.DUMMYFUNCTION("""COMPUTED_VALUE"""),4710)</f>
        <v>4710</v>
      </c>
      <c r="D142" s="2">
        <f ca="1">IFERROR(__xludf.DUMMYFUNCTION("""COMPUTED_VALUE"""),4450)</f>
        <v>4450</v>
      </c>
      <c r="E142" s="2">
        <f ca="1">IFERROR(__xludf.DUMMYFUNCTION("""COMPUTED_VALUE"""),4480)</f>
        <v>4480</v>
      </c>
      <c r="F142" s="2">
        <f ca="1">IFERROR(__xludf.DUMMYFUNCTION("""COMPUTED_VALUE"""),86780500)</f>
        <v>86780500</v>
      </c>
    </row>
    <row r="143" spans="1:6">
      <c r="A143" s="1">
        <f ca="1">IFERROR(__xludf.DUMMYFUNCTION("""COMPUTED_VALUE"""),42216.625)</f>
        <v>42216.625</v>
      </c>
      <c r="B143" s="2">
        <f ca="1">IFERROR(__xludf.DUMMYFUNCTION("""COMPUTED_VALUE"""),4460)</f>
        <v>4460</v>
      </c>
      <c r="C143" s="2">
        <f ca="1">IFERROR(__xludf.DUMMYFUNCTION("""COMPUTED_VALUE"""),4790)</f>
        <v>4790</v>
      </c>
      <c r="D143" s="2">
        <f ca="1">IFERROR(__xludf.DUMMYFUNCTION("""COMPUTED_VALUE"""),4450)</f>
        <v>4450</v>
      </c>
      <c r="E143" s="2">
        <f ca="1">IFERROR(__xludf.DUMMYFUNCTION("""COMPUTED_VALUE"""),4760)</f>
        <v>4760</v>
      </c>
      <c r="F143" s="2">
        <f ca="1">IFERROR(__xludf.DUMMYFUNCTION("""COMPUTED_VALUE"""),51987600)</f>
        <v>51987600</v>
      </c>
    </row>
    <row r="144" spans="1:6">
      <c r="A144" s="1">
        <f ca="1">IFERROR(__xludf.DUMMYFUNCTION("""COMPUTED_VALUE"""),42219.625)</f>
        <v>42219.625</v>
      </c>
      <c r="B144" s="2">
        <f ca="1">IFERROR(__xludf.DUMMYFUNCTION("""COMPUTED_VALUE"""),4760)</f>
        <v>4760</v>
      </c>
      <c r="C144" s="2">
        <f ca="1">IFERROR(__xludf.DUMMYFUNCTION("""COMPUTED_VALUE"""),4845)</f>
        <v>4845</v>
      </c>
      <c r="D144" s="2">
        <f ca="1">IFERROR(__xludf.DUMMYFUNCTION("""COMPUTED_VALUE"""),4710)</f>
        <v>4710</v>
      </c>
      <c r="E144" s="2">
        <f ca="1">IFERROR(__xludf.DUMMYFUNCTION("""COMPUTED_VALUE"""),4815)</f>
        <v>4815</v>
      </c>
      <c r="F144" s="2">
        <f ca="1">IFERROR(__xludf.DUMMYFUNCTION("""COMPUTED_VALUE"""),30319000)</f>
        <v>30319000</v>
      </c>
    </row>
    <row r="145" spans="1:6">
      <c r="A145" s="1">
        <f ca="1">IFERROR(__xludf.DUMMYFUNCTION("""COMPUTED_VALUE"""),42220.625)</f>
        <v>42220.625</v>
      </c>
      <c r="B145" s="2">
        <f ca="1">IFERROR(__xludf.DUMMYFUNCTION("""COMPUTED_VALUE"""),4815)</f>
        <v>4815</v>
      </c>
      <c r="C145" s="2">
        <f ca="1">IFERROR(__xludf.DUMMYFUNCTION("""COMPUTED_VALUE"""),4835)</f>
        <v>4835</v>
      </c>
      <c r="D145" s="2">
        <f ca="1">IFERROR(__xludf.DUMMYFUNCTION("""COMPUTED_VALUE"""),4785)</f>
        <v>4785</v>
      </c>
      <c r="E145" s="2">
        <f ca="1">IFERROR(__xludf.DUMMYFUNCTION("""COMPUTED_VALUE"""),4795)</f>
        <v>4795</v>
      </c>
      <c r="F145" s="2">
        <f ca="1">IFERROR(__xludf.DUMMYFUNCTION("""COMPUTED_VALUE"""),25973900)</f>
        <v>25973900</v>
      </c>
    </row>
    <row r="146" spans="1:6">
      <c r="A146" s="1">
        <f ca="1">IFERROR(__xludf.DUMMYFUNCTION("""COMPUTED_VALUE"""),42221.625)</f>
        <v>42221.625</v>
      </c>
      <c r="B146" s="2">
        <f ca="1">IFERROR(__xludf.DUMMYFUNCTION("""COMPUTED_VALUE"""),4800)</f>
        <v>4800</v>
      </c>
      <c r="C146" s="2">
        <f ca="1">IFERROR(__xludf.DUMMYFUNCTION("""COMPUTED_VALUE"""),5125)</f>
        <v>5125</v>
      </c>
      <c r="D146" s="2">
        <f ca="1">IFERROR(__xludf.DUMMYFUNCTION("""COMPUTED_VALUE"""),4795)</f>
        <v>4795</v>
      </c>
      <c r="E146" s="2">
        <f ca="1">IFERROR(__xludf.DUMMYFUNCTION("""COMPUTED_VALUE"""),5100)</f>
        <v>5100</v>
      </c>
      <c r="F146" s="2">
        <f ca="1">IFERROR(__xludf.DUMMYFUNCTION("""COMPUTED_VALUE"""),40163300)</f>
        <v>40163300</v>
      </c>
    </row>
    <row r="147" spans="1:6">
      <c r="A147" s="1">
        <f ca="1">IFERROR(__xludf.DUMMYFUNCTION("""COMPUTED_VALUE"""),42222.625)</f>
        <v>42222.625</v>
      </c>
      <c r="B147" s="2">
        <f ca="1">IFERROR(__xludf.DUMMYFUNCTION("""COMPUTED_VALUE"""),5150)</f>
        <v>5150</v>
      </c>
      <c r="C147" s="2">
        <f ca="1">IFERROR(__xludf.DUMMYFUNCTION("""COMPUTED_VALUE"""),5250)</f>
        <v>5250</v>
      </c>
      <c r="D147" s="2">
        <f ca="1">IFERROR(__xludf.DUMMYFUNCTION("""COMPUTED_VALUE"""),5150)</f>
        <v>5150</v>
      </c>
      <c r="E147" s="2">
        <f ca="1">IFERROR(__xludf.DUMMYFUNCTION("""COMPUTED_VALUE"""),5175)</f>
        <v>5175</v>
      </c>
      <c r="F147" s="2">
        <f ca="1">IFERROR(__xludf.DUMMYFUNCTION("""COMPUTED_VALUE"""),55025800)</f>
        <v>55025800</v>
      </c>
    </row>
    <row r="148" spans="1:6">
      <c r="A148" s="1">
        <f ca="1">IFERROR(__xludf.DUMMYFUNCTION("""COMPUTED_VALUE"""),42223.625)</f>
        <v>42223.625</v>
      </c>
      <c r="B148" s="2">
        <f ca="1">IFERROR(__xludf.DUMMYFUNCTION("""COMPUTED_VALUE"""),5100)</f>
        <v>5100</v>
      </c>
      <c r="C148" s="2">
        <f ca="1">IFERROR(__xludf.DUMMYFUNCTION("""COMPUTED_VALUE"""),5125)</f>
        <v>5125</v>
      </c>
      <c r="D148" s="2">
        <f ca="1">IFERROR(__xludf.DUMMYFUNCTION("""COMPUTED_VALUE"""),4990)</f>
        <v>4990</v>
      </c>
      <c r="E148" s="2">
        <f ca="1">IFERROR(__xludf.DUMMYFUNCTION("""COMPUTED_VALUE"""),5000)</f>
        <v>5000</v>
      </c>
      <c r="F148" s="2">
        <f ca="1">IFERROR(__xludf.DUMMYFUNCTION("""COMPUTED_VALUE"""),26842800)</f>
        <v>26842800</v>
      </c>
    </row>
    <row r="149" spans="1:6">
      <c r="A149" s="1">
        <f ca="1">IFERROR(__xludf.DUMMYFUNCTION("""COMPUTED_VALUE"""),42226.625)</f>
        <v>42226.625</v>
      </c>
      <c r="B149" s="2">
        <f ca="1">IFERROR(__xludf.DUMMYFUNCTION("""COMPUTED_VALUE"""),4945)</f>
        <v>4945</v>
      </c>
      <c r="C149" s="2">
        <f ca="1">IFERROR(__xludf.DUMMYFUNCTION("""COMPUTED_VALUE"""),4950)</f>
        <v>4950</v>
      </c>
      <c r="D149" s="2">
        <f ca="1">IFERROR(__xludf.DUMMYFUNCTION("""COMPUTED_VALUE"""),4855)</f>
        <v>4855</v>
      </c>
      <c r="E149" s="2">
        <f ca="1">IFERROR(__xludf.DUMMYFUNCTION("""COMPUTED_VALUE"""),4890)</f>
        <v>4890</v>
      </c>
      <c r="F149" s="2">
        <f ca="1">IFERROR(__xludf.DUMMYFUNCTION("""COMPUTED_VALUE"""),29135700)</f>
        <v>29135700</v>
      </c>
    </row>
    <row r="150" spans="1:6">
      <c r="A150" s="1">
        <f ca="1">IFERROR(__xludf.DUMMYFUNCTION("""COMPUTED_VALUE"""),42227.625)</f>
        <v>42227.625</v>
      </c>
      <c r="B150" s="2">
        <f ca="1">IFERROR(__xludf.DUMMYFUNCTION("""COMPUTED_VALUE"""),4905)</f>
        <v>4905</v>
      </c>
      <c r="C150" s="2">
        <f ca="1">IFERROR(__xludf.DUMMYFUNCTION("""COMPUTED_VALUE"""),4940)</f>
        <v>4940</v>
      </c>
      <c r="D150" s="2">
        <f ca="1">IFERROR(__xludf.DUMMYFUNCTION("""COMPUTED_VALUE"""),4600)</f>
        <v>4600</v>
      </c>
      <c r="E150" s="2">
        <f ca="1">IFERROR(__xludf.DUMMYFUNCTION("""COMPUTED_VALUE"""),4665)</f>
        <v>4665</v>
      </c>
      <c r="F150" s="2">
        <f ca="1">IFERROR(__xludf.DUMMYFUNCTION("""COMPUTED_VALUE"""),43151800)</f>
        <v>43151800</v>
      </c>
    </row>
    <row r="151" spans="1:6">
      <c r="A151" s="1">
        <f ca="1">IFERROR(__xludf.DUMMYFUNCTION("""COMPUTED_VALUE"""),42228.625)</f>
        <v>42228.625</v>
      </c>
      <c r="B151" s="2">
        <f ca="1">IFERROR(__xludf.DUMMYFUNCTION("""COMPUTED_VALUE"""),4580)</f>
        <v>4580</v>
      </c>
      <c r="C151" s="2">
        <f ca="1">IFERROR(__xludf.DUMMYFUNCTION("""COMPUTED_VALUE"""),4585)</f>
        <v>4585</v>
      </c>
      <c r="D151" s="2">
        <f ca="1">IFERROR(__xludf.DUMMYFUNCTION("""COMPUTED_VALUE"""),4455)</f>
        <v>4455</v>
      </c>
      <c r="E151" s="2">
        <f ca="1">IFERROR(__xludf.DUMMYFUNCTION("""COMPUTED_VALUE"""),4510)</f>
        <v>4510</v>
      </c>
      <c r="F151" s="2">
        <f ca="1">IFERROR(__xludf.DUMMYFUNCTION("""COMPUTED_VALUE"""),41726500)</f>
        <v>41726500</v>
      </c>
    </row>
    <row r="152" spans="1:6">
      <c r="A152" s="1">
        <f ca="1">IFERROR(__xludf.DUMMYFUNCTION("""COMPUTED_VALUE"""),42229.625)</f>
        <v>42229.625</v>
      </c>
      <c r="B152" s="2">
        <f ca="1">IFERROR(__xludf.DUMMYFUNCTION("""COMPUTED_VALUE"""),4540)</f>
        <v>4540</v>
      </c>
      <c r="C152" s="2">
        <f ca="1">IFERROR(__xludf.DUMMYFUNCTION("""COMPUTED_VALUE"""),4730)</f>
        <v>4730</v>
      </c>
      <c r="D152" s="2">
        <f ca="1">IFERROR(__xludf.DUMMYFUNCTION("""COMPUTED_VALUE"""),4540)</f>
        <v>4540</v>
      </c>
      <c r="E152" s="2">
        <f ca="1">IFERROR(__xludf.DUMMYFUNCTION("""COMPUTED_VALUE"""),4630)</f>
        <v>4630</v>
      </c>
      <c r="F152" s="2">
        <f ca="1">IFERROR(__xludf.DUMMYFUNCTION("""COMPUTED_VALUE"""),43286500)</f>
        <v>43286500</v>
      </c>
    </row>
    <row r="153" spans="1:6">
      <c r="A153" s="1">
        <f ca="1">IFERROR(__xludf.DUMMYFUNCTION("""COMPUTED_VALUE"""),42230.625)</f>
        <v>42230.625</v>
      </c>
      <c r="B153" s="2">
        <f ca="1">IFERROR(__xludf.DUMMYFUNCTION("""COMPUTED_VALUE"""),4650)</f>
        <v>4650</v>
      </c>
      <c r="C153" s="2">
        <f ca="1">IFERROR(__xludf.DUMMYFUNCTION("""COMPUTED_VALUE"""),4655)</f>
        <v>4655</v>
      </c>
      <c r="D153" s="2">
        <f ca="1">IFERROR(__xludf.DUMMYFUNCTION("""COMPUTED_VALUE"""),4500)</f>
        <v>4500</v>
      </c>
      <c r="E153" s="2">
        <f ca="1">IFERROR(__xludf.DUMMYFUNCTION("""COMPUTED_VALUE"""),4575)</f>
        <v>4575</v>
      </c>
      <c r="F153" s="2">
        <f ca="1">IFERROR(__xludf.DUMMYFUNCTION("""COMPUTED_VALUE"""),38569400)</f>
        <v>38569400</v>
      </c>
    </row>
    <row r="154" spans="1:6">
      <c r="A154" s="1">
        <f ca="1">IFERROR(__xludf.DUMMYFUNCTION("""COMPUTED_VALUE"""),42234.625)</f>
        <v>42234.625</v>
      </c>
      <c r="B154" s="2">
        <f ca="1">IFERROR(__xludf.DUMMYFUNCTION("""COMPUTED_VALUE"""),4550)</f>
        <v>4550</v>
      </c>
      <c r="C154" s="2">
        <f ca="1">IFERROR(__xludf.DUMMYFUNCTION("""COMPUTED_VALUE"""),4565)</f>
        <v>4565</v>
      </c>
      <c r="D154" s="2">
        <f ca="1">IFERROR(__xludf.DUMMYFUNCTION("""COMPUTED_VALUE"""),4340)</f>
        <v>4340</v>
      </c>
      <c r="E154" s="2">
        <f ca="1">IFERROR(__xludf.DUMMYFUNCTION("""COMPUTED_VALUE"""),4340)</f>
        <v>4340</v>
      </c>
      <c r="F154" s="2">
        <f ca="1">IFERROR(__xludf.DUMMYFUNCTION("""COMPUTED_VALUE"""),58226500)</f>
        <v>58226500</v>
      </c>
    </row>
    <row r="155" spans="1:6">
      <c r="A155" s="1">
        <f ca="1">IFERROR(__xludf.DUMMYFUNCTION("""COMPUTED_VALUE"""),42235.625)</f>
        <v>42235.625</v>
      </c>
      <c r="B155" s="2">
        <f ca="1">IFERROR(__xludf.DUMMYFUNCTION("""COMPUTED_VALUE"""),4340)</f>
        <v>4340</v>
      </c>
      <c r="C155" s="2">
        <f ca="1">IFERROR(__xludf.DUMMYFUNCTION("""COMPUTED_VALUE"""),4470)</f>
        <v>4470</v>
      </c>
      <c r="D155" s="2">
        <f ca="1">IFERROR(__xludf.DUMMYFUNCTION("""COMPUTED_VALUE"""),4310)</f>
        <v>4310</v>
      </c>
      <c r="E155" s="2">
        <f ca="1">IFERROR(__xludf.DUMMYFUNCTION("""COMPUTED_VALUE"""),4420)</f>
        <v>4420</v>
      </c>
      <c r="F155" s="2">
        <f ca="1">IFERROR(__xludf.DUMMYFUNCTION("""COMPUTED_VALUE"""),26401200)</f>
        <v>26401200</v>
      </c>
    </row>
    <row r="156" spans="1:6">
      <c r="A156" s="1">
        <f ca="1">IFERROR(__xludf.DUMMYFUNCTION("""COMPUTED_VALUE"""),42236.625)</f>
        <v>42236.625</v>
      </c>
      <c r="B156" s="2">
        <f ca="1">IFERROR(__xludf.DUMMYFUNCTION("""COMPUTED_VALUE"""),4420)</f>
        <v>4420</v>
      </c>
      <c r="C156" s="2">
        <f ca="1">IFERROR(__xludf.DUMMYFUNCTION("""COMPUTED_VALUE"""),4460)</f>
        <v>4460</v>
      </c>
      <c r="D156" s="2">
        <f ca="1">IFERROR(__xludf.DUMMYFUNCTION("""COMPUTED_VALUE"""),4335)</f>
        <v>4335</v>
      </c>
      <c r="E156" s="2">
        <f ca="1">IFERROR(__xludf.DUMMYFUNCTION("""COMPUTED_VALUE"""),4420)</f>
        <v>4420</v>
      </c>
      <c r="F156" s="2">
        <f ca="1">IFERROR(__xludf.DUMMYFUNCTION("""COMPUTED_VALUE"""),31303300)</f>
        <v>31303300</v>
      </c>
    </row>
    <row r="157" spans="1:6">
      <c r="A157" s="1">
        <f ca="1">IFERROR(__xludf.DUMMYFUNCTION("""COMPUTED_VALUE"""),42237.625)</f>
        <v>42237.625</v>
      </c>
      <c r="B157" s="2">
        <f ca="1">IFERROR(__xludf.DUMMYFUNCTION("""COMPUTED_VALUE"""),4325)</f>
        <v>4325</v>
      </c>
      <c r="C157" s="2">
        <f ca="1">IFERROR(__xludf.DUMMYFUNCTION("""COMPUTED_VALUE"""),4355)</f>
        <v>4355</v>
      </c>
      <c r="D157" s="2">
        <f ca="1">IFERROR(__xludf.DUMMYFUNCTION("""COMPUTED_VALUE"""),4255)</f>
        <v>4255</v>
      </c>
      <c r="E157" s="2">
        <f ca="1">IFERROR(__xludf.DUMMYFUNCTION("""COMPUTED_VALUE"""),4300)</f>
        <v>4300</v>
      </c>
      <c r="F157" s="2">
        <f ca="1">IFERROR(__xludf.DUMMYFUNCTION("""COMPUTED_VALUE"""),40343700)</f>
        <v>40343700</v>
      </c>
    </row>
    <row r="158" spans="1:6">
      <c r="A158" s="1">
        <f ca="1">IFERROR(__xludf.DUMMYFUNCTION("""COMPUTED_VALUE"""),42240.625)</f>
        <v>42240.625</v>
      </c>
      <c r="B158" s="2">
        <f ca="1">IFERROR(__xludf.DUMMYFUNCTION("""COMPUTED_VALUE"""),4150)</f>
        <v>4150</v>
      </c>
      <c r="C158" s="2">
        <f ca="1">IFERROR(__xludf.DUMMYFUNCTION("""COMPUTED_VALUE"""),4180)</f>
        <v>4180</v>
      </c>
      <c r="D158" s="2">
        <f ca="1">IFERROR(__xludf.DUMMYFUNCTION("""COMPUTED_VALUE"""),4070)</f>
        <v>4070</v>
      </c>
      <c r="E158" s="2">
        <f ca="1">IFERROR(__xludf.DUMMYFUNCTION("""COMPUTED_VALUE"""),4125)</f>
        <v>4125</v>
      </c>
      <c r="F158" s="2">
        <f ca="1">IFERROR(__xludf.DUMMYFUNCTION("""COMPUTED_VALUE"""),40953900)</f>
        <v>40953900</v>
      </c>
    </row>
    <row r="159" spans="1:6">
      <c r="A159" s="1">
        <f ca="1">IFERROR(__xludf.DUMMYFUNCTION("""COMPUTED_VALUE"""),42241.625)</f>
        <v>42241.625</v>
      </c>
      <c r="B159" s="2">
        <f ca="1">IFERROR(__xludf.DUMMYFUNCTION("""COMPUTED_VALUE"""),4300)</f>
        <v>4300</v>
      </c>
      <c r="C159" s="2">
        <f ca="1">IFERROR(__xludf.DUMMYFUNCTION("""COMPUTED_VALUE"""),4425)</f>
        <v>4425</v>
      </c>
      <c r="D159" s="2">
        <f ca="1">IFERROR(__xludf.DUMMYFUNCTION("""COMPUTED_VALUE"""),4275)</f>
        <v>4275</v>
      </c>
      <c r="E159" s="2">
        <f ca="1">IFERROR(__xludf.DUMMYFUNCTION("""COMPUTED_VALUE"""),4350)</f>
        <v>4350</v>
      </c>
      <c r="F159" s="2">
        <f ca="1">IFERROR(__xludf.DUMMYFUNCTION("""COMPUTED_VALUE"""),54743500)</f>
        <v>54743500</v>
      </c>
    </row>
    <row r="160" spans="1:6">
      <c r="A160" s="1">
        <f ca="1">IFERROR(__xludf.DUMMYFUNCTION("""COMPUTED_VALUE"""),42242.625)</f>
        <v>42242.625</v>
      </c>
      <c r="B160" s="2">
        <f ca="1">IFERROR(__xludf.DUMMYFUNCTION("""COMPUTED_VALUE"""),4505)</f>
        <v>4505</v>
      </c>
      <c r="C160" s="2">
        <f ca="1">IFERROR(__xludf.DUMMYFUNCTION("""COMPUTED_VALUE"""),4515)</f>
        <v>4515</v>
      </c>
      <c r="D160" s="2">
        <f ca="1">IFERROR(__xludf.DUMMYFUNCTION("""COMPUTED_VALUE"""),4290)</f>
        <v>4290</v>
      </c>
      <c r="E160" s="2">
        <f ca="1">IFERROR(__xludf.DUMMYFUNCTION("""COMPUTED_VALUE"""),4505)</f>
        <v>4505</v>
      </c>
      <c r="F160" s="2">
        <f ca="1">IFERROR(__xludf.DUMMYFUNCTION("""COMPUTED_VALUE"""),54033700)</f>
        <v>54033700</v>
      </c>
    </row>
    <row r="161" spans="1:6">
      <c r="A161" s="1">
        <f ca="1">IFERROR(__xludf.DUMMYFUNCTION("""COMPUTED_VALUE"""),42243.625)</f>
        <v>42243.625</v>
      </c>
      <c r="B161" s="2">
        <f ca="1">IFERROR(__xludf.DUMMYFUNCTION("""COMPUTED_VALUE"""),4650)</f>
        <v>4650</v>
      </c>
      <c r="C161" s="2">
        <f ca="1">IFERROR(__xludf.DUMMYFUNCTION("""COMPUTED_VALUE"""),5000)</f>
        <v>5000</v>
      </c>
      <c r="D161" s="2">
        <f ca="1">IFERROR(__xludf.DUMMYFUNCTION("""COMPUTED_VALUE"""),4650)</f>
        <v>4650</v>
      </c>
      <c r="E161" s="2">
        <f ca="1">IFERROR(__xludf.DUMMYFUNCTION("""COMPUTED_VALUE"""),4955)</f>
        <v>4955</v>
      </c>
      <c r="F161" s="2">
        <f ca="1">IFERROR(__xludf.DUMMYFUNCTION("""COMPUTED_VALUE"""),72015200)</f>
        <v>72015200</v>
      </c>
    </row>
    <row r="162" spans="1:6">
      <c r="A162" s="1">
        <f ca="1">IFERROR(__xludf.DUMMYFUNCTION("""COMPUTED_VALUE"""),42244.625)</f>
        <v>42244.625</v>
      </c>
      <c r="B162" s="2">
        <f ca="1">IFERROR(__xludf.DUMMYFUNCTION("""COMPUTED_VALUE"""),5100)</f>
        <v>5100</v>
      </c>
      <c r="C162" s="2">
        <f ca="1">IFERROR(__xludf.DUMMYFUNCTION("""COMPUTED_VALUE"""),5250)</f>
        <v>5250</v>
      </c>
      <c r="D162" s="2">
        <f ca="1">IFERROR(__xludf.DUMMYFUNCTION("""COMPUTED_VALUE"""),5000)</f>
        <v>5000</v>
      </c>
      <c r="E162" s="2">
        <f ca="1">IFERROR(__xludf.DUMMYFUNCTION("""COMPUTED_VALUE"""),5000)</f>
        <v>5000</v>
      </c>
      <c r="F162" s="2">
        <f ca="1">IFERROR(__xludf.DUMMYFUNCTION("""COMPUTED_VALUE"""),54121500)</f>
        <v>54121500</v>
      </c>
    </row>
    <row r="163" spans="1:6">
      <c r="A163" s="1">
        <f ca="1">IFERROR(__xludf.DUMMYFUNCTION("""COMPUTED_VALUE"""),42247.625)</f>
        <v>42247.625</v>
      </c>
      <c r="B163" s="2">
        <f ca="1">IFERROR(__xludf.DUMMYFUNCTION("""COMPUTED_VALUE"""),4925)</f>
        <v>4925</v>
      </c>
      <c r="C163" s="2">
        <f ca="1">IFERROR(__xludf.DUMMYFUNCTION("""COMPUTED_VALUE"""),5050)</f>
        <v>5050</v>
      </c>
      <c r="D163" s="2">
        <f ca="1">IFERROR(__xludf.DUMMYFUNCTION("""COMPUTED_VALUE"""),4910)</f>
        <v>4910</v>
      </c>
      <c r="E163" s="2">
        <f ca="1">IFERROR(__xludf.DUMMYFUNCTION("""COMPUTED_VALUE"""),4950)</f>
        <v>4950</v>
      </c>
      <c r="F163" s="2">
        <f ca="1">IFERROR(__xludf.DUMMYFUNCTION("""COMPUTED_VALUE"""),30593600)</f>
        <v>30593600</v>
      </c>
    </row>
    <row r="164" spans="1:6">
      <c r="A164" s="1">
        <f ca="1">IFERROR(__xludf.DUMMYFUNCTION("""COMPUTED_VALUE"""),42248.625)</f>
        <v>42248.625</v>
      </c>
      <c r="B164" s="2">
        <f ca="1">IFERROR(__xludf.DUMMYFUNCTION("""COMPUTED_VALUE"""),4875)</f>
        <v>4875</v>
      </c>
      <c r="C164" s="2">
        <f ca="1">IFERROR(__xludf.DUMMYFUNCTION("""COMPUTED_VALUE"""),4890)</f>
        <v>4890</v>
      </c>
      <c r="D164" s="2">
        <f ca="1">IFERROR(__xludf.DUMMYFUNCTION("""COMPUTED_VALUE"""),4760)</f>
        <v>4760</v>
      </c>
      <c r="E164" s="2">
        <f ca="1">IFERROR(__xludf.DUMMYFUNCTION("""COMPUTED_VALUE"""),4760)</f>
        <v>4760</v>
      </c>
      <c r="F164" s="2">
        <f ca="1">IFERROR(__xludf.DUMMYFUNCTION("""COMPUTED_VALUE"""),26319800)</f>
        <v>26319800</v>
      </c>
    </row>
    <row r="165" spans="1:6">
      <c r="A165" s="1">
        <f ca="1">IFERROR(__xludf.DUMMYFUNCTION("""COMPUTED_VALUE"""),42249.625)</f>
        <v>42249.625</v>
      </c>
      <c r="B165" s="2">
        <f ca="1">IFERROR(__xludf.DUMMYFUNCTION("""COMPUTED_VALUE"""),4690)</f>
        <v>4690</v>
      </c>
      <c r="C165" s="2">
        <f ca="1">IFERROR(__xludf.DUMMYFUNCTION("""COMPUTED_VALUE"""),4810)</f>
        <v>4810</v>
      </c>
      <c r="D165" s="2">
        <f ca="1">IFERROR(__xludf.DUMMYFUNCTION("""COMPUTED_VALUE"""),4650)</f>
        <v>4650</v>
      </c>
      <c r="E165" s="2">
        <f ca="1">IFERROR(__xludf.DUMMYFUNCTION("""COMPUTED_VALUE"""),4700)</f>
        <v>4700</v>
      </c>
      <c r="F165" s="2">
        <f ca="1">IFERROR(__xludf.DUMMYFUNCTION("""COMPUTED_VALUE"""),40272400)</f>
        <v>40272400</v>
      </c>
    </row>
    <row r="166" spans="1:6">
      <c r="A166" s="1">
        <f ca="1">IFERROR(__xludf.DUMMYFUNCTION("""COMPUTED_VALUE"""),42250.625)</f>
        <v>42250.625</v>
      </c>
      <c r="B166" s="2">
        <f ca="1">IFERROR(__xludf.DUMMYFUNCTION("""COMPUTED_VALUE"""),4715)</f>
        <v>4715</v>
      </c>
      <c r="C166" s="2">
        <f ca="1">IFERROR(__xludf.DUMMYFUNCTION("""COMPUTED_VALUE"""),4745)</f>
        <v>4745</v>
      </c>
      <c r="D166" s="2">
        <f ca="1">IFERROR(__xludf.DUMMYFUNCTION("""COMPUTED_VALUE"""),4650)</f>
        <v>4650</v>
      </c>
      <c r="E166" s="2">
        <f ca="1">IFERROR(__xludf.DUMMYFUNCTION("""COMPUTED_VALUE"""),4685)</f>
        <v>4685</v>
      </c>
      <c r="F166" s="2">
        <f ca="1">IFERROR(__xludf.DUMMYFUNCTION("""COMPUTED_VALUE"""),26170800)</f>
        <v>26170800</v>
      </c>
    </row>
    <row r="167" spans="1:6">
      <c r="A167" s="1">
        <f ca="1">IFERROR(__xludf.DUMMYFUNCTION("""COMPUTED_VALUE"""),42251.625)</f>
        <v>42251.625</v>
      </c>
      <c r="B167" s="2">
        <f ca="1">IFERROR(__xludf.DUMMYFUNCTION("""COMPUTED_VALUE"""),4680)</f>
        <v>4680</v>
      </c>
      <c r="C167" s="2">
        <f ca="1">IFERROR(__xludf.DUMMYFUNCTION("""COMPUTED_VALUE"""),4680)</f>
        <v>4680</v>
      </c>
      <c r="D167" s="2">
        <f ca="1">IFERROR(__xludf.DUMMYFUNCTION("""COMPUTED_VALUE"""),4575)</f>
        <v>4575</v>
      </c>
      <c r="E167" s="2">
        <f ca="1">IFERROR(__xludf.DUMMYFUNCTION("""COMPUTED_VALUE"""),4600)</f>
        <v>4600</v>
      </c>
      <c r="F167" s="2">
        <f ca="1">IFERROR(__xludf.DUMMYFUNCTION("""COMPUTED_VALUE"""),19046700)</f>
        <v>19046700</v>
      </c>
    </row>
    <row r="168" spans="1:6">
      <c r="A168" s="1">
        <f ca="1">IFERROR(__xludf.DUMMYFUNCTION("""COMPUTED_VALUE"""),42254.625)</f>
        <v>42254.625</v>
      </c>
      <c r="B168" s="2">
        <f ca="1">IFERROR(__xludf.DUMMYFUNCTION("""COMPUTED_VALUE"""),4590)</f>
        <v>4590</v>
      </c>
      <c r="C168" s="2">
        <f ca="1">IFERROR(__xludf.DUMMYFUNCTION("""COMPUTED_VALUE"""),4590)</f>
        <v>4590</v>
      </c>
      <c r="D168" s="2">
        <f ca="1">IFERROR(__xludf.DUMMYFUNCTION("""COMPUTED_VALUE"""),4490)</f>
        <v>4490</v>
      </c>
      <c r="E168" s="2">
        <f ca="1">IFERROR(__xludf.DUMMYFUNCTION("""COMPUTED_VALUE"""),4490)</f>
        <v>4490</v>
      </c>
      <c r="F168" s="2">
        <f ca="1">IFERROR(__xludf.DUMMYFUNCTION("""COMPUTED_VALUE"""),13575000)</f>
        <v>13575000</v>
      </c>
    </row>
    <row r="169" spans="1:6">
      <c r="A169" s="1">
        <f ca="1">IFERROR(__xludf.DUMMYFUNCTION("""COMPUTED_VALUE"""),42255.625)</f>
        <v>42255.625</v>
      </c>
      <c r="B169" s="2">
        <f ca="1">IFERROR(__xludf.DUMMYFUNCTION("""COMPUTED_VALUE"""),4390)</f>
        <v>4390</v>
      </c>
      <c r="C169" s="2">
        <f ca="1">IFERROR(__xludf.DUMMYFUNCTION("""COMPUTED_VALUE"""),4725)</f>
        <v>4725</v>
      </c>
      <c r="D169" s="2">
        <f ca="1">IFERROR(__xludf.DUMMYFUNCTION("""COMPUTED_VALUE"""),4390)</f>
        <v>4390</v>
      </c>
      <c r="E169" s="2">
        <f ca="1">IFERROR(__xludf.DUMMYFUNCTION("""COMPUTED_VALUE"""),4715)</f>
        <v>4715</v>
      </c>
      <c r="F169" s="2">
        <f ca="1">IFERROR(__xludf.DUMMYFUNCTION("""COMPUTED_VALUE"""),21117500)</f>
        <v>21117500</v>
      </c>
    </row>
    <row r="170" spans="1:6">
      <c r="A170" s="1">
        <f ca="1">IFERROR(__xludf.DUMMYFUNCTION("""COMPUTED_VALUE"""),42256.625)</f>
        <v>42256.625</v>
      </c>
      <c r="B170" s="2">
        <f ca="1">IFERROR(__xludf.DUMMYFUNCTION("""COMPUTED_VALUE"""),4775)</f>
        <v>4775</v>
      </c>
      <c r="C170" s="2">
        <f ca="1">IFERROR(__xludf.DUMMYFUNCTION("""COMPUTED_VALUE"""),4800)</f>
        <v>4800</v>
      </c>
      <c r="D170" s="2">
        <f ca="1">IFERROR(__xludf.DUMMYFUNCTION("""COMPUTED_VALUE"""),4665)</f>
        <v>4665</v>
      </c>
      <c r="E170" s="2">
        <f ca="1">IFERROR(__xludf.DUMMYFUNCTION("""COMPUTED_VALUE"""),4665)</f>
        <v>4665</v>
      </c>
      <c r="F170" s="2">
        <f ca="1">IFERROR(__xludf.DUMMYFUNCTION("""COMPUTED_VALUE"""),43481500)</f>
        <v>43481500</v>
      </c>
    </row>
    <row r="171" spans="1:6">
      <c r="A171" s="1">
        <f ca="1">IFERROR(__xludf.DUMMYFUNCTION("""COMPUTED_VALUE"""),42257.625)</f>
        <v>42257.625</v>
      </c>
      <c r="B171" s="2">
        <f ca="1">IFERROR(__xludf.DUMMYFUNCTION("""COMPUTED_VALUE"""),4570)</f>
        <v>4570</v>
      </c>
      <c r="C171" s="2">
        <f ca="1">IFERROR(__xludf.DUMMYFUNCTION("""COMPUTED_VALUE"""),4570)</f>
        <v>4570</v>
      </c>
      <c r="D171" s="2">
        <f ca="1">IFERROR(__xludf.DUMMYFUNCTION("""COMPUTED_VALUE"""),4410)</f>
        <v>4410</v>
      </c>
      <c r="E171" s="2">
        <f ca="1">IFERROR(__xludf.DUMMYFUNCTION("""COMPUTED_VALUE"""),4485)</f>
        <v>4485</v>
      </c>
      <c r="F171" s="2">
        <f ca="1">IFERROR(__xludf.DUMMYFUNCTION("""COMPUTED_VALUE"""),35363400)</f>
        <v>35363400</v>
      </c>
    </row>
    <row r="172" spans="1:6">
      <c r="A172" s="1">
        <f ca="1">IFERROR(__xludf.DUMMYFUNCTION("""COMPUTED_VALUE"""),42258.625)</f>
        <v>42258.625</v>
      </c>
      <c r="B172" s="2">
        <f ca="1">IFERROR(__xludf.DUMMYFUNCTION("""COMPUTED_VALUE"""),4450)</f>
        <v>4450</v>
      </c>
      <c r="C172" s="2">
        <f ca="1">IFERROR(__xludf.DUMMYFUNCTION("""COMPUTED_VALUE"""),4510)</f>
        <v>4510</v>
      </c>
      <c r="D172" s="2">
        <f ca="1">IFERROR(__xludf.DUMMYFUNCTION("""COMPUTED_VALUE"""),4400)</f>
        <v>4400</v>
      </c>
      <c r="E172" s="2">
        <f ca="1">IFERROR(__xludf.DUMMYFUNCTION("""COMPUTED_VALUE"""),4405)</f>
        <v>4405</v>
      </c>
      <c r="F172" s="2">
        <f ca="1">IFERROR(__xludf.DUMMYFUNCTION("""COMPUTED_VALUE"""),33451900)</f>
        <v>33451900</v>
      </c>
    </row>
    <row r="173" spans="1:6">
      <c r="A173" s="1">
        <f ca="1">IFERROR(__xludf.DUMMYFUNCTION("""COMPUTED_VALUE"""),42261.625)</f>
        <v>42261.625</v>
      </c>
      <c r="B173" s="2">
        <f ca="1">IFERROR(__xludf.DUMMYFUNCTION("""COMPUTED_VALUE"""),4370)</f>
        <v>4370</v>
      </c>
      <c r="C173" s="2">
        <f ca="1">IFERROR(__xludf.DUMMYFUNCTION("""COMPUTED_VALUE"""),4450)</f>
        <v>4450</v>
      </c>
      <c r="D173" s="2">
        <f ca="1">IFERROR(__xludf.DUMMYFUNCTION("""COMPUTED_VALUE"""),4370)</f>
        <v>4370</v>
      </c>
      <c r="E173" s="2">
        <f ca="1">IFERROR(__xludf.DUMMYFUNCTION("""COMPUTED_VALUE"""),4450)</f>
        <v>4450</v>
      </c>
      <c r="F173" s="2">
        <f ca="1">IFERROR(__xludf.DUMMYFUNCTION("""COMPUTED_VALUE"""),14552300)</f>
        <v>14552300</v>
      </c>
    </row>
    <row r="174" spans="1:6">
      <c r="A174" s="1">
        <f ca="1">IFERROR(__xludf.DUMMYFUNCTION("""COMPUTED_VALUE"""),42262.625)</f>
        <v>42262.625</v>
      </c>
      <c r="B174" s="2">
        <f ca="1">IFERROR(__xludf.DUMMYFUNCTION("""COMPUTED_VALUE"""),4350)</f>
        <v>4350</v>
      </c>
      <c r="C174" s="2">
        <f ca="1">IFERROR(__xludf.DUMMYFUNCTION("""COMPUTED_VALUE"""),4400)</f>
        <v>4400</v>
      </c>
      <c r="D174" s="2">
        <f ca="1">IFERROR(__xludf.DUMMYFUNCTION("""COMPUTED_VALUE"""),4320)</f>
        <v>4320</v>
      </c>
      <c r="E174" s="2">
        <f ca="1">IFERROR(__xludf.DUMMYFUNCTION("""COMPUTED_VALUE"""),4360)</f>
        <v>4360</v>
      </c>
      <c r="F174" s="2">
        <f ca="1">IFERROR(__xludf.DUMMYFUNCTION("""COMPUTED_VALUE"""),39168700)</f>
        <v>39168700</v>
      </c>
    </row>
    <row r="175" spans="1:6">
      <c r="A175" s="1">
        <f ca="1">IFERROR(__xludf.DUMMYFUNCTION("""COMPUTED_VALUE"""),42263.625)</f>
        <v>42263.625</v>
      </c>
      <c r="B175" s="2">
        <f ca="1">IFERROR(__xludf.DUMMYFUNCTION("""COMPUTED_VALUE"""),4375)</f>
        <v>4375</v>
      </c>
      <c r="C175" s="2">
        <f ca="1">IFERROR(__xludf.DUMMYFUNCTION("""COMPUTED_VALUE"""),4395)</f>
        <v>4395</v>
      </c>
      <c r="D175" s="2">
        <f ca="1">IFERROR(__xludf.DUMMYFUNCTION("""COMPUTED_VALUE"""),4310)</f>
        <v>4310</v>
      </c>
      <c r="E175" s="2">
        <f ca="1">IFERROR(__xludf.DUMMYFUNCTION("""COMPUTED_VALUE"""),4315)</f>
        <v>4315</v>
      </c>
      <c r="F175" s="2">
        <f ca="1">IFERROR(__xludf.DUMMYFUNCTION("""COMPUTED_VALUE"""),38287800)</f>
        <v>38287800</v>
      </c>
    </row>
    <row r="176" spans="1:6">
      <c r="A176" s="1">
        <f ca="1">IFERROR(__xludf.DUMMYFUNCTION("""COMPUTED_VALUE"""),42264.625)</f>
        <v>42264.625</v>
      </c>
      <c r="B176" s="2">
        <f ca="1">IFERROR(__xludf.DUMMYFUNCTION("""COMPUTED_VALUE"""),4290)</f>
        <v>4290</v>
      </c>
      <c r="C176" s="2">
        <f ca="1">IFERROR(__xludf.DUMMYFUNCTION("""COMPUTED_VALUE"""),4390)</f>
        <v>4390</v>
      </c>
      <c r="D176" s="2">
        <f ca="1">IFERROR(__xludf.DUMMYFUNCTION("""COMPUTED_VALUE"""),4165)</f>
        <v>4165</v>
      </c>
      <c r="E176" s="2">
        <f ca="1">IFERROR(__xludf.DUMMYFUNCTION("""COMPUTED_VALUE"""),4350)</f>
        <v>4350</v>
      </c>
      <c r="F176" s="2">
        <f ca="1">IFERROR(__xludf.DUMMYFUNCTION("""COMPUTED_VALUE"""),117300000)</f>
        <v>117300000</v>
      </c>
    </row>
    <row r="177" spans="1:6">
      <c r="A177" s="1">
        <f ca="1">IFERROR(__xludf.DUMMYFUNCTION("""COMPUTED_VALUE"""),42265.625)</f>
        <v>42265.625</v>
      </c>
      <c r="B177" s="2">
        <f ca="1">IFERROR(__xludf.DUMMYFUNCTION("""COMPUTED_VALUE"""),4400)</f>
        <v>4400</v>
      </c>
      <c r="C177" s="2">
        <f ca="1">IFERROR(__xludf.DUMMYFUNCTION("""COMPUTED_VALUE"""),4470)</f>
        <v>4470</v>
      </c>
      <c r="D177" s="2">
        <f ca="1">IFERROR(__xludf.DUMMYFUNCTION("""COMPUTED_VALUE"""),4285)</f>
        <v>4285</v>
      </c>
      <c r="E177" s="2">
        <f ca="1">IFERROR(__xludf.DUMMYFUNCTION("""COMPUTED_VALUE"""),4285)</f>
        <v>4285</v>
      </c>
      <c r="F177" s="2">
        <f ca="1">IFERROR(__xludf.DUMMYFUNCTION("""COMPUTED_VALUE"""),82989000)</f>
        <v>82989000</v>
      </c>
    </row>
    <row r="178" spans="1:6">
      <c r="A178" s="1">
        <f ca="1">IFERROR(__xludf.DUMMYFUNCTION("""COMPUTED_VALUE"""),42268.625)</f>
        <v>42268.625</v>
      </c>
      <c r="B178" s="2">
        <f ca="1">IFERROR(__xludf.DUMMYFUNCTION("""COMPUTED_VALUE"""),4220)</f>
        <v>4220</v>
      </c>
      <c r="C178" s="2">
        <f ca="1">IFERROR(__xludf.DUMMYFUNCTION("""COMPUTED_VALUE"""),4330)</f>
        <v>4330</v>
      </c>
      <c r="D178" s="2">
        <f ca="1">IFERROR(__xludf.DUMMYFUNCTION("""COMPUTED_VALUE"""),4200)</f>
        <v>4200</v>
      </c>
      <c r="E178" s="2">
        <f ca="1">IFERROR(__xludf.DUMMYFUNCTION("""COMPUTED_VALUE"""),4330)</f>
        <v>4330</v>
      </c>
      <c r="F178" s="2">
        <f ca="1">IFERROR(__xludf.DUMMYFUNCTION("""COMPUTED_VALUE"""),17352600)</f>
        <v>17352600</v>
      </c>
    </row>
    <row r="179" spans="1:6">
      <c r="A179" s="1">
        <f ca="1">IFERROR(__xludf.DUMMYFUNCTION("""COMPUTED_VALUE"""),42269.625)</f>
        <v>42269.625</v>
      </c>
      <c r="B179" s="2">
        <f ca="1">IFERROR(__xludf.DUMMYFUNCTION("""COMPUTED_VALUE"""),4335)</f>
        <v>4335</v>
      </c>
      <c r="C179" s="2">
        <f ca="1">IFERROR(__xludf.DUMMYFUNCTION("""COMPUTED_VALUE"""),4390)</f>
        <v>4390</v>
      </c>
      <c r="D179" s="2">
        <f ca="1">IFERROR(__xludf.DUMMYFUNCTION("""COMPUTED_VALUE"""),4275)</f>
        <v>4275</v>
      </c>
      <c r="E179" s="2">
        <f ca="1">IFERROR(__xludf.DUMMYFUNCTION("""COMPUTED_VALUE"""),4300)</f>
        <v>4300</v>
      </c>
      <c r="F179" s="2">
        <f ca="1">IFERROR(__xludf.DUMMYFUNCTION("""COMPUTED_VALUE"""),25047600)</f>
        <v>25047600</v>
      </c>
    </row>
    <row r="180" spans="1:6">
      <c r="A180" s="1">
        <f ca="1">IFERROR(__xludf.DUMMYFUNCTION("""COMPUTED_VALUE"""),42270.625)</f>
        <v>42270.625</v>
      </c>
      <c r="B180" s="2">
        <f ca="1">IFERROR(__xludf.DUMMYFUNCTION("""COMPUTED_VALUE"""),4290)</f>
        <v>4290</v>
      </c>
      <c r="C180" s="2">
        <f ca="1">IFERROR(__xludf.DUMMYFUNCTION("""COMPUTED_VALUE"""),4290)</f>
        <v>4290</v>
      </c>
      <c r="D180" s="2">
        <f ca="1">IFERROR(__xludf.DUMMYFUNCTION("""COMPUTED_VALUE"""),4190)</f>
        <v>4190</v>
      </c>
      <c r="E180" s="2">
        <f ca="1">IFERROR(__xludf.DUMMYFUNCTION("""COMPUTED_VALUE"""),4280)</f>
        <v>4280</v>
      </c>
      <c r="F180" s="2">
        <f ca="1">IFERROR(__xludf.DUMMYFUNCTION("""COMPUTED_VALUE"""),22366100)</f>
        <v>22366100</v>
      </c>
    </row>
    <row r="181" spans="1:6">
      <c r="A181" s="1">
        <f ca="1">IFERROR(__xludf.DUMMYFUNCTION("""COMPUTED_VALUE"""),42272.625)</f>
        <v>42272.625</v>
      </c>
      <c r="B181" s="2">
        <f ca="1">IFERROR(__xludf.DUMMYFUNCTION("""COMPUTED_VALUE"""),4220)</f>
        <v>4220</v>
      </c>
      <c r="C181" s="2">
        <f ca="1">IFERROR(__xludf.DUMMYFUNCTION("""COMPUTED_VALUE"""),4220)</f>
        <v>4220</v>
      </c>
      <c r="D181" s="2">
        <f ca="1">IFERROR(__xludf.DUMMYFUNCTION("""COMPUTED_VALUE"""),4085)</f>
        <v>4085</v>
      </c>
      <c r="E181" s="2">
        <f ca="1">IFERROR(__xludf.DUMMYFUNCTION("""COMPUTED_VALUE"""),4110)</f>
        <v>4110</v>
      </c>
      <c r="F181" s="2">
        <f ca="1">IFERROR(__xludf.DUMMYFUNCTION("""COMPUTED_VALUE"""),49354100)</f>
        <v>49354100</v>
      </c>
    </row>
    <row r="182" spans="1:6">
      <c r="A182" s="1">
        <f ca="1">IFERROR(__xludf.DUMMYFUNCTION("""COMPUTED_VALUE"""),42275.625)</f>
        <v>42275.625</v>
      </c>
      <c r="B182" s="2">
        <f ca="1">IFERROR(__xludf.DUMMYFUNCTION("""COMPUTED_VALUE"""),4090)</f>
        <v>4090</v>
      </c>
      <c r="C182" s="2">
        <f ca="1">IFERROR(__xludf.DUMMYFUNCTION("""COMPUTED_VALUE"""),4095)</f>
        <v>4095</v>
      </c>
      <c r="D182" s="2">
        <f ca="1">IFERROR(__xludf.DUMMYFUNCTION("""COMPUTED_VALUE"""),3935)</f>
        <v>3935</v>
      </c>
      <c r="E182" s="2">
        <f ca="1">IFERROR(__xludf.DUMMYFUNCTION("""COMPUTED_VALUE"""),3940)</f>
        <v>3940</v>
      </c>
      <c r="F182" s="2">
        <f ca="1">IFERROR(__xludf.DUMMYFUNCTION("""COMPUTED_VALUE"""),25009500)</f>
        <v>25009500</v>
      </c>
    </row>
    <row r="183" spans="1:6">
      <c r="A183" s="1">
        <f ca="1">IFERROR(__xludf.DUMMYFUNCTION("""COMPUTED_VALUE"""),42276.625)</f>
        <v>42276.625</v>
      </c>
      <c r="B183" s="2">
        <f ca="1">IFERROR(__xludf.DUMMYFUNCTION("""COMPUTED_VALUE"""),3825)</f>
        <v>3825</v>
      </c>
      <c r="C183" s="2">
        <f ca="1">IFERROR(__xludf.DUMMYFUNCTION("""COMPUTED_VALUE"""),4080)</f>
        <v>4080</v>
      </c>
      <c r="D183" s="2">
        <f ca="1">IFERROR(__xludf.DUMMYFUNCTION("""COMPUTED_VALUE"""),3800)</f>
        <v>3800</v>
      </c>
      <c r="E183" s="2">
        <f ca="1">IFERROR(__xludf.DUMMYFUNCTION("""COMPUTED_VALUE"""),4070)</f>
        <v>4070</v>
      </c>
      <c r="F183" s="2">
        <f ca="1">IFERROR(__xludf.DUMMYFUNCTION("""COMPUTED_VALUE"""),24800100)</f>
        <v>24800100</v>
      </c>
    </row>
    <row r="184" spans="1:6">
      <c r="A184" s="1">
        <f ca="1">IFERROR(__xludf.DUMMYFUNCTION("""COMPUTED_VALUE"""),42277.625)</f>
        <v>42277.625</v>
      </c>
      <c r="B184" s="2">
        <f ca="1">IFERROR(__xludf.DUMMYFUNCTION("""COMPUTED_VALUE"""),4125)</f>
        <v>4125</v>
      </c>
      <c r="C184" s="2">
        <f ca="1">IFERROR(__xludf.DUMMYFUNCTION("""COMPUTED_VALUE"""),4155)</f>
        <v>4155</v>
      </c>
      <c r="D184" s="2">
        <f ca="1">IFERROR(__xludf.DUMMYFUNCTION("""COMPUTED_VALUE"""),4070)</f>
        <v>4070</v>
      </c>
      <c r="E184" s="2">
        <f ca="1">IFERROR(__xludf.DUMMYFUNCTION("""COMPUTED_VALUE"""),4135)</f>
        <v>4135</v>
      </c>
      <c r="F184" s="2">
        <f ca="1">IFERROR(__xludf.DUMMYFUNCTION("""COMPUTED_VALUE"""),31742700)</f>
        <v>31742700</v>
      </c>
    </row>
    <row r="185" spans="1:6">
      <c r="A185" s="1">
        <f ca="1">IFERROR(__xludf.DUMMYFUNCTION("""COMPUTED_VALUE"""),42278.625)</f>
        <v>42278.625</v>
      </c>
      <c r="B185" s="2">
        <f ca="1">IFERROR(__xludf.DUMMYFUNCTION("""COMPUTED_VALUE"""),4170)</f>
        <v>4170</v>
      </c>
      <c r="C185" s="2">
        <f ca="1">IFERROR(__xludf.DUMMYFUNCTION("""COMPUTED_VALUE"""),4205)</f>
        <v>4205</v>
      </c>
      <c r="D185" s="2">
        <f ca="1">IFERROR(__xludf.DUMMYFUNCTION("""COMPUTED_VALUE"""),4120)</f>
        <v>4120</v>
      </c>
      <c r="E185" s="2">
        <f ca="1">IFERROR(__xludf.DUMMYFUNCTION("""COMPUTED_VALUE"""),4195)</f>
        <v>4195</v>
      </c>
      <c r="F185" s="2">
        <f ca="1">IFERROR(__xludf.DUMMYFUNCTION("""COMPUTED_VALUE"""),27130000)</f>
        <v>27130000</v>
      </c>
    </row>
    <row r="186" spans="1:6">
      <c r="A186" s="1">
        <f ca="1">IFERROR(__xludf.DUMMYFUNCTION("""COMPUTED_VALUE"""),42279.625)</f>
        <v>42279.625</v>
      </c>
      <c r="B186" s="2">
        <f ca="1">IFERROR(__xludf.DUMMYFUNCTION("""COMPUTED_VALUE"""),4155)</f>
        <v>4155</v>
      </c>
      <c r="C186" s="2">
        <f ca="1">IFERROR(__xludf.DUMMYFUNCTION("""COMPUTED_VALUE"""),4180)</f>
        <v>4180</v>
      </c>
      <c r="D186" s="2">
        <f ca="1">IFERROR(__xludf.DUMMYFUNCTION("""COMPUTED_VALUE"""),4075)</f>
        <v>4075</v>
      </c>
      <c r="E186" s="2">
        <f ca="1">IFERROR(__xludf.DUMMYFUNCTION("""COMPUTED_VALUE"""),4145)</f>
        <v>4145</v>
      </c>
      <c r="F186" s="2">
        <f ca="1">IFERROR(__xludf.DUMMYFUNCTION("""COMPUTED_VALUE"""),23335400)</f>
        <v>23335400</v>
      </c>
    </row>
    <row r="187" spans="1:6">
      <c r="A187" s="1">
        <f ca="1">IFERROR(__xludf.DUMMYFUNCTION("""COMPUTED_VALUE"""),42282.625)</f>
        <v>42282.625</v>
      </c>
      <c r="B187" s="2">
        <f ca="1">IFERROR(__xludf.DUMMYFUNCTION("""COMPUTED_VALUE"""),4170)</f>
        <v>4170</v>
      </c>
      <c r="C187" s="2">
        <f ca="1">IFERROR(__xludf.DUMMYFUNCTION("""COMPUTED_VALUE"""),4430)</f>
        <v>4430</v>
      </c>
      <c r="D187" s="2">
        <f ca="1">IFERROR(__xludf.DUMMYFUNCTION("""COMPUTED_VALUE"""),4170)</f>
        <v>4170</v>
      </c>
      <c r="E187" s="2">
        <f ca="1">IFERROR(__xludf.DUMMYFUNCTION("""COMPUTED_VALUE"""),4400)</f>
        <v>4400</v>
      </c>
      <c r="F187" s="2">
        <f ca="1">IFERROR(__xludf.DUMMYFUNCTION("""COMPUTED_VALUE"""),58006200)</f>
        <v>58006200</v>
      </c>
    </row>
    <row r="188" spans="1:6">
      <c r="A188" s="1">
        <f ca="1">IFERROR(__xludf.DUMMYFUNCTION("""COMPUTED_VALUE"""),42283.625)</f>
        <v>42283.625</v>
      </c>
      <c r="B188" s="2">
        <f ca="1">IFERROR(__xludf.DUMMYFUNCTION("""COMPUTED_VALUE"""),4470)</f>
        <v>4470</v>
      </c>
      <c r="C188" s="2">
        <f ca="1">IFERROR(__xludf.DUMMYFUNCTION("""COMPUTED_VALUE"""),4700)</f>
        <v>4700</v>
      </c>
      <c r="D188" s="2">
        <f ca="1">IFERROR(__xludf.DUMMYFUNCTION("""COMPUTED_VALUE"""),4450)</f>
        <v>4450</v>
      </c>
      <c r="E188" s="2">
        <f ca="1">IFERROR(__xludf.DUMMYFUNCTION("""COMPUTED_VALUE"""),4535)</f>
        <v>4535</v>
      </c>
      <c r="F188" s="2">
        <f ca="1">IFERROR(__xludf.DUMMYFUNCTION("""COMPUTED_VALUE"""),62612400)</f>
        <v>62612400</v>
      </c>
    </row>
    <row r="189" spans="1:6">
      <c r="A189" s="1">
        <f ca="1">IFERROR(__xludf.DUMMYFUNCTION("""COMPUTED_VALUE"""),42284.625)</f>
        <v>42284.625</v>
      </c>
      <c r="B189" s="2">
        <f ca="1">IFERROR(__xludf.DUMMYFUNCTION("""COMPUTED_VALUE"""),4620)</f>
        <v>4620</v>
      </c>
      <c r="C189" s="2">
        <f ca="1">IFERROR(__xludf.DUMMYFUNCTION("""COMPUTED_VALUE"""),4700)</f>
        <v>4700</v>
      </c>
      <c r="D189" s="2">
        <f ca="1">IFERROR(__xludf.DUMMYFUNCTION("""COMPUTED_VALUE"""),4525)</f>
        <v>4525</v>
      </c>
      <c r="E189" s="2">
        <f ca="1">IFERROR(__xludf.DUMMYFUNCTION("""COMPUTED_VALUE"""),4700)</f>
        <v>4700</v>
      </c>
      <c r="F189" s="2">
        <f ca="1">IFERROR(__xludf.DUMMYFUNCTION("""COMPUTED_VALUE"""),32349000)</f>
        <v>32349000</v>
      </c>
    </row>
    <row r="190" spans="1:6">
      <c r="A190" s="1">
        <f ca="1">IFERROR(__xludf.DUMMYFUNCTION("""COMPUTED_VALUE"""),42285.625)</f>
        <v>42285.625</v>
      </c>
      <c r="B190" s="2">
        <f ca="1">IFERROR(__xludf.DUMMYFUNCTION("""COMPUTED_VALUE"""),4700)</f>
        <v>4700</v>
      </c>
      <c r="C190" s="2">
        <f ca="1">IFERROR(__xludf.DUMMYFUNCTION("""COMPUTED_VALUE"""),4890)</f>
        <v>4890</v>
      </c>
      <c r="D190" s="2">
        <f ca="1">IFERROR(__xludf.DUMMYFUNCTION("""COMPUTED_VALUE"""),4695)</f>
        <v>4695</v>
      </c>
      <c r="E190" s="2">
        <f ca="1">IFERROR(__xludf.DUMMYFUNCTION("""COMPUTED_VALUE"""),4830)</f>
        <v>4830</v>
      </c>
      <c r="F190" s="2">
        <f ca="1">IFERROR(__xludf.DUMMYFUNCTION("""COMPUTED_VALUE"""),65112100)</f>
        <v>65112100</v>
      </c>
    </row>
    <row r="191" spans="1:6">
      <c r="A191" s="1">
        <f ca="1">IFERROR(__xludf.DUMMYFUNCTION("""COMPUTED_VALUE"""),42286.625)</f>
        <v>42286.625</v>
      </c>
      <c r="B191" s="2">
        <f ca="1">IFERROR(__xludf.DUMMYFUNCTION("""COMPUTED_VALUE"""),4950)</f>
        <v>4950</v>
      </c>
      <c r="C191" s="2">
        <f ca="1">IFERROR(__xludf.DUMMYFUNCTION("""COMPUTED_VALUE"""),5075)</f>
        <v>5075</v>
      </c>
      <c r="D191" s="2">
        <f ca="1">IFERROR(__xludf.DUMMYFUNCTION("""COMPUTED_VALUE"""),4945)</f>
        <v>4945</v>
      </c>
      <c r="E191" s="2">
        <f ca="1">IFERROR(__xludf.DUMMYFUNCTION("""COMPUTED_VALUE"""),5025)</f>
        <v>5025</v>
      </c>
      <c r="F191" s="2">
        <f ca="1">IFERROR(__xludf.DUMMYFUNCTION("""COMPUTED_VALUE"""),42557400)</f>
        <v>42557400</v>
      </c>
    </row>
    <row r="192" spans="1:6">
      <c r="A192" s="1">
        <f ca="1">IFERROR(__xludf.DUMMYFUNCTION("""COMPUTED_VALUE"""),42289.625)</f>
        <v>42289.625</v>
      </c>
      <c r="B192" s="2">
        <f ca="1">IFERROR(__xludf.DUMMYFUNCTION("""COMPUTED_VALUE"""),5075)</f>
        <v>5075</v>
      </c>
      <c r="C192" s="2">
        <f ca="1">IFERROR(__xludf.DUMMYFUNCTION("""COMPUTED_VALUE"""),5125)</f>
        <v>5125</v>
      </c>
      <c r="D192" s="2">
        <f ca="1">IFERROR(__xludf.DUMMYFUNCTION("""COMPUTED_VALUE"""),5000)</f>
        <v>5000</v>
      </c>
      <c r="E192" s="2">
        <f ca="1">IFERROR(__xludf.DUMMYFUNCTION("""COMPUTED_VALUE"""),5025)</f>
        <v>5025</v>
      </c>
      <c r="F192" s="2">
        <f ca="1">IFERROR(__xludf.DUMMYFUNCTION("""COMPUTED_VALUE"""),29430400)</f>
        <v>29430400</v>
      </c>
    </row>
    <row r="193" spans="1:6">
      <c r="A193" s="1">
        <f ca="1">IFERROR(__xludf.DUMMYFUNCTION("""COMPUTED_VALUE"""),42290.625)</f>
        <v>42290.625</v>
      </c>
      <c r="B193" s="2">
        <f ca="1">IFERROR(__xludf.DUMMYFUNCTION("""COMPUTED_VALUE"""),5050)</f>
        <v>5050</v>
      </c>
      <c r="C193" s="2">
        <f ca="1">IFERROR(__xludf.DUMMYFUNCTION("""COMPUTED_VALUE"""),5050)</f>
        <v>5050</v>
      </c>
      <c r="D193" s="2">
        <f ca="1">IFERROR(__xludf.DUMMYFUNCTION("""COMPUTED_VALUE"""),4810)</f>
        <v>4810</v>
      </c>
      <c r="E193" s="2">
        <f ca="1">IFERROR(__xludf.DUMMYFUNCTION("""COMPUTED_VALUE"""),4835)</f>
        <v>4835</v>
      </c>
      <c r="F193" s="2">
        <f ca="1">IFERROR(__xludf.DUMMYFUNCTION("""COMPUTED_VALUE"""),36136500)</f>
        <v>36136500</v>
      </c>
    </row>
    <row r="194" spans="1:6">
      <c r="A194" s="1">
        <f ca="1">IFERROR(__xludf.DUMMYFUNCTION("""COMPUTED_VALUE"""),42292.625)</f>
        <v>42292.625</v>
      </c>
      <c r="B194" s="2">
        <f ca="1">IFERROR(__xludf.DUMMYFUNCTION("""COMPUTED_VALUE"""),4935)</f>
        <v>4935</v>
      </c>
      <c r="C194" s="2">
        <f ca="1">IFERROR(__xludf.DUMMYFUNCTION("""COMPUTED_VALUE"""),5100)</f>
        <v>5100</v>
      </c>
      <c r="D194" s="2">
        <f ca="1">IFERROR(__xludf.DUMMYFUNCTION("""COMPUTED_VALUE"""),4935)</f>
        <v>4935</v>
      </c>
      <c r="E194" s="2">
        <f ca="1">IFERROR(__xludf.DUMMYFUNCTION("""COMPUTED_VALUE"""),5025)</f>
        <v>5025</v>
      </c>
      <c r="F194" s="2">
        <f ca="1">IFERROR(__xludf.DUMMYFUNCTION("""COMPUTED_VALUE"""),30347000)</f>
        <v>30347000</v>
      </c>
    </row>
    <row r="195" spans="1:6">
      <c r="A195" s="1">
        <f ca="1">IFERROR(__xludf.DUMMYFUNCTION("""COMPUTED_VALUE"""),42293.625)</f>
        <v>42293.625</v>
      </c>
      <c r="B195" s="2">
        <f ca="1">IFERROR(__xludf.DUMMYFUNCTION("""COMPUTED_VALUE"""),5125)</f>
        <v>5125</v>
      </c>
      <c r="C195" s="2">
        <f ca="1">IFERROR(__xludf.DUMMYFUNCTION("""COMPUTED_VALUE"""),5150)</f>
        <v>5150</v>
      </c>
      <c r="D195" s="2">
        <f ca="1">IFERROR(__xludf.DUMMYFUNCTION("""COMPUTED_VALUE"""),5050)</f>
        <v>5050</v>
      </c>
      <c r="E195" s="2">
        <f ca="1">IFERROR(__xludf.DUMMYFUNCTION("""COMPUTED_VALUE"""),5100)</f>
        <v>5100</v>
      </c>
      <c r="F195" s="2">
        <f ca="1">IFERROR(__xludf.DUMMYFUNCTION("""COMPUTED_VALUE"""),21681200)</f>
        <v>21681200</v>
      </c>
    </row>
    <row r="196" spans="1:6">
      <c r="A196" s="1">
        <f ca="1">IFERROR(__xludf.DUMMYFUNCTION("""COMPUTED_VALUE"""),42296.625)</f>
        <v>42296.625</v>
      </c>
      <c r="B196" s="2">
        <f ca="1">IFERROR(__xludf.DUMMYFUNCTION("""COMPUTED_VALUE"""),5150)</f>
        <v>5150</v>
      </c>
      <c r="C196" s="2">
        <f ca="1">IFERROR(__xludf.DUMMYFUNCTION("""COMPUTED_VALUE"""),5200)</f>
        <v>5200</v>
      </c>
      <c r="D196" s="2">
        <f ca="1">IFERROR(__xludf.DUMMYFUNCTION("""COMPUTED_VALUE"""),5075)</f>
        <v>5075</v>
      </c>
      <c r="E196" s="2">
        <f ca="1">IFERROR(__xludf.DUMMYFUNCTION("""COMPUTED_VALUE"""),5125)</f>
        <v>5125</v>
      </c>
      <c r="F196" s="2">
        <f ca="1">IFERROR(__xludf.DUMMYFUNCTION("""COMPUTED_VALUE"""),18223100)</f>
        <v>18223100</v>
      </c>
    </row>
    <row r="197" spans="1:6">
      <c r="A197" s="1">
        <f ca="1">IFERROR(__xludf.DUMMYFUNCTION("""COMPUTED_VALUE"""),42297.625)</f>
        <v>42297.625</v>
      </c>
      <c r="B197" s="2">
        <f ca="1">IFERROR(__xludf.DUMMYFUNCTION("""COMPUTED_VALUE"""),5075)</f>
        <v>5075</v>
      </c>
      <c r="C197" s="2">
        <f ca="1">IFERROR(__xludf.DUMMYFUNCTION("""COMPUTED_VALUE"""),5250)</f>
        <v>5250</v>
      </c>
      <c r="D197" s="2">
        <f ca="1">IFERROR(__xludf.DUMMYFUNCTION("""COMPUTED_VALUE"""),5075)</f>
        <v>5075</v>
      </c>
      <c r="E197" s="2">
        <f ca="1">IFERROR(__xludf.DUMMYFUNCTION("""COMPUTED_VALUE"""),5200)</f>
        <v>5200</v>
      </c>
      <c r="F197" s="2">
        <f ca="1">IFERROR(__xludf.DUMMYFUNCTION("""COMPUTED_VALUE"""),20259300)</f>
        <v>20259300</v>
      </c>
    </row>
    <row r="198" spans="1:6">
      <c r="A198" s="1">
        <f ca="1">IFERROR(__xludf.DUMMYFUNCTION("""COMPUTED_VALUE"""),42298.625)</f>
        <v>42298.625</v>
      </c>
      <c r="B198" s="2">
        <f ca="1">IFERROR(__xludf.DUMMYFUNCTION("""COMPUTED_VALUE"""),5250)</f>
        <v>5250</v>
      </c>
      <c r="C198" s="2">
        <f ca="1">IFERROR(__xludf.DUMMYFUNCTION("""COMPUTED_VALUE"""),5300)</f>
        <v>5300</v>
      </c>
      <c r="D198" s="2">
        <f ca="1">IFERROR(__xludf.DUMMYFUNCTION("""COMPUTED_VALUE"""),5175)</f>
        <v>5175</v>
      </c>
      <c r="E198" s="2">
        <f ca="1">IFERROR(__xludf.DUMMYFUNCTION("""COMPUTED_VALUE"""),5225)</f>
        <v>5225</v>
      </c>
      <c r="F198" s="2">
        <f ca="1">IFERROR(__xludf.DUMMYFUNCTION("""COMPUTED_VALUE"""),17601700)</f>
        <v>17601700</v>
      </c>
    </row>
    <row r="199" spans="1:6">
      <c r="A199" s="1">
        <f ca="1">IFERROR(__xludf.DUMMYFUNCTION("""COMPUTED_VALUE"""),42299.625)</f>
        <v>42299.625</v>
      </c>
      <c r="B199" s="2">
        <f ca="1">IFERROR(__xludf.DUMMYFUNCTION("""COMPUTED_VALUE"""),5250)</f>
        <v>5250</v>
      </c>
      <c r="C199" s="2">
        <f ca="1">IFERROR(__xludf.DUMMYFUNCTION("""COMPUTED_VALUE"""),5275)</f>
        <v>5275</v>
      </c>
      <c r="D199" s="2">
        <f ca="1">IFERROR(__xludf.DUMMYFUNCTION("""COMPUTED_VALUE"""),5175)</f>
        <v>5175</v>
      </c>
      <c r="E199" s="2">
        <f ca="1">IFERROR(__xludf.DUMMYFUNCTION("""COMPUTED_VALUE"""),5225)</f>
        <v>5225</v>
      </c>
      <c r="F199" s="2">
        <f ca="1">IFERROR(__xludf.DUMMYFUNCTION("""COMPUTED_VALUE"""),16942200)</f>
        <v>16942200</v>
      </c>
    </row>
    <row r="200" spans="1:6">
      <c r="A200" s="1">
        <f ca="1">IFERROR(__xludf.DUMMYFUNCTION("""COMPUTED_VALUE"""),42300.625)</f>
        <v>42300.625</v>
      </c>
      <c r="B200" s="2">
        <f ca="1">IFERROR(__xludf.DUMMYFUNCTION("""COMPUTED_VALUE"""),5325)</f>
        <v>5325</v>
      </c>
      <c r="C200" s="2">
        <f ca="1">IFERROR(__xludf.DUMMYFUNCTION("""COMPUTED_VALUE"""),5375)</f>
        <v>5375</v>
      </c>
      <c r="D200" s="2">
        <f ca="1">IFERROR(__xludf.DUMMYFUNCTION("""COMPUTED_VALUE"""),5200)</f>
        <v>5200</v>
      </c>
      <c r="E200" s="2">
        <f ca="1">IFERROR(__xludf.DUMMYFUNCTION("""COMPUTED_VALUE"""),5275)</f>
        <v>5275</v>
      </c>
      <c r="F200" s="2">
        <f ca="1">IFERROR(__xludf.DUMMYFUNCTION("""COMPUTED_VALUE"""),27043500)</f>
        <v>27043500</v>
      </c>
    </row>
    <row r="201" spans="1:6">
      <c r="A201" s="1">
        <f ca="1">IFERROR(__xludf.DUMMYFUNCTION("""COMPUTED_VALUE"""),42303.625)</f>
        <v>42303.625</v>
      </c>
      <c r="B201" s="2">
        <f ca="1">IFERROR(__xludf.DUMMYFUNCTION("""COMPUTED_VALUE"""),5325)</f>
        <v>5325</v>
      </c>
      <c r="C201" s="2">
        <f ca="1">IFERROR(__xludf.DUMMYFUNCTION("""COMPUTED_VALUE"""),5350)</f>
        <v>5350</v>
      </c>
      <c r="D201" s="2">
        <f ca="1">IFERROR(__xludf.DUMMYFUNCTION("""COMPUTED_VALUE"""),5250)</f>
        <v>5250</v>
      </c>
      <c r="E201" s="2">
        <f ca="1">IFERROR(__xludf.DUMMYFUNCTION("""COMPUTED_VALUE"""),5300)</f>
        <v>5300</v>
      </c>
      <c r="F201" s="2">
        <f ca="1">IFERROR(__xludf.DUMMYFUNCTION("""COMPUTED_VALUE"""),18350900)</f>
        <v>18350900</v>
      </c>
    </row>
    <row r="202" spans="1:6">
      <c r="A202" s="1">
        <f ca="1">IFERROR(__xludf.DUMMYFUNCTION("""COMPUTED_VALUE"""),42304.625)</f>
        <v>42304.625</v>
      </c>
      <c r="B202" s="2">
        <f ca="1">IFERROR(__xludf.DUMMYFUNCTION("""COMPUTED_VALUE"""),5200)</f>
        <v>5200</v>
      </c>
      <c r="C202" s="2">
        <f ca="1">IFERROR(__xludf.DUMMYFUNCTION("""COMPUTED_VALUE"""),5225)</f>
        <v>5225</v>
      </c>
      <c r="D202" s="2">
        <f ca="1">IFERROR(__xludf.DUMMYFUNCTION("""COMPUTED_VALUE"""),5100)</f>
        <v>5100</v>
      </c>
      <c r="E202" s="2">
        <f ca="1">IFERROR(__xludf.DUMMYFUNCTION("""COMPUTED_VALUE"""),5175)</f>
        <v>5175</v>
      </c>
      <c r="F202" s="2">
        <f ca="1">IFERROR(__xludf.DUMMYFUNCTION("""COMPUTED_VALUE"""),14812800)</f>
        <v>14812800</v>
      </c>
    </row>
    <row r="203" spans="1:6">
      <c r="A203" s="1">
        <f ca="1">IFERROR(__xludf.DUMMYFUNCTION("""COMPUTED_VALUE"""),42305.625)</f>
        <v>42305.625</v>
      </c>
      <c r="B203" s="2">
        <f ca="1">IFERROR(__xludf.DUMMYFUNCTION("""COMPUTED_VALUE"""),5100)</f>
        <v>5100</v>
      </c>
      <c r="C203" s="2">
        <f ca="1">IFERROR(__xludf.DUMMYFUNCTION("""COMPUTED_VALUE"""),5125)</f>
        <v>5125</v>
      </c>
      <c r="D203" s="2">
        <f ca="1">IFERROR(__xludf.DUMMYFUNCTION("""COMPUTED_VALUE"""),5000)</f>
        <v>5000</v>
      </c>
      <c r="E203" s="2">
        <f ca="1">IFERROR(__xludf.DUMMYFUNCTION("""COMPUTED_VALUE"""),5025)</f>
        <v>5025</v>
      </c>
      <c r="F203" s="2">
        <f ca="1">IFERROR(__xludf.DUMMYFUNCTION("""COMPUTED_VALUE"""),37552900)</f>
        <v>37552900</v>
      </c>
    </row>
    <row r="204" spans="1:6">
      <c r="A204" s="1">
        <f ca="1">IFERROR(__xludf.DUMMYFUNCTION("""COMPUTED_VALUE"""),42306.625)</f>
        <v>42306.625</v>
      </c>
      <c r="B204" s="2">
        <f ca="1">IFERROR(__xludf.DUMMYFUNCTION("""COMPUTED_VALUE"""),5000)</f>
        <v>5000</v>
      </c>
      <c r="C204" s="2">
        <f ca="1">IFERROR(__xludf.DUMMYFUNCTION("""COMPUTED_VALUE"""),5000)</f>
        <v>5000</v>
      </c>
      <c r="D204" s="2">
        <f ca="1">IFERROR(__xludf.DUMMYFUNCTION("""COMPUTED_VALUE"""),4795)</f>
        <v>4795</v>
      </c>
      <c r="E204" s="2">
        <f ca="1">IFERROR(__xludf.DUMMYFUNCTION("""COMPUTED_VALUE"""),4815)</f>
        <v>4815</v>
      </c>
      <c r="F204" s="2">
        <f ca="1">IFERROR(__xludf.DUMMYFUNCTION("""COMPUTED_VALUE"""),42055500)</f>
        <v>42055500</v>
      </c>
    </row>
    <row r="205" spans="1:6">
      <c r="A205" s="1">
        <f ca="1">IFERROR(__xludf.DUMMYFUNCTION("""COMPUTED_VALUE"""),42307.625)</f>
        <v>42307.625</v>
      </c>
      <c r="B205" s="2">
        <f ca="1">IFERROR(__xludf.DUMMYFUNCTION("""COMPUTED_VALUE"""),4780)</f>
        <v>4780</v>
      </c>
      <c r="C205" s="2">
        <f ca="1">IFERROR(__xludf.DUMMYFUNCTION("""COMPUTED_VALUE"""),4835)</f>
        <v>4835</v>
      </c>
      <c r="D205" s="2">
        <f ca="1">IFERROR(__xludf.DUMMYFUNCTION("""COMPUTED_VALUE"""),4700)</f>
        <v>4700</v>
      </c>
      <c r="E205" s="2">
        <f ca="1">IFERROR(__xludf.DUMMYFUNCTION("""COMPUTED_VALUE"""),4755)</f>
        <v>4755</v>
      </c>
      <c r="F205" s="2">
        <f ca="1">IFERROR(__xludf.DUMMYFUNCTION("""COMPUTED_VALUE"""),37727900)</f>
        <v>37727900</v>
      </c>
    </row>
    <row r="206" spans="1:6">
      <c r="A206" s="1">
        <f ca="1">IFERROR(__xludf.DUMMYFUNCTION("""COMPUTED_VALUE"""),42310.625)</f>
        <v>42310.625</v>
      </c>
      <c r="B206" s="2">
        <f ca="1">IFERROR(__xludf.DUMMYFUNCTION("""COMPUTED_VALUE"""),4740)</f>
        <v>4740</v>
      </c>
      <c r="C206" s="2">
        <f ca="1">IFERROR(__xludf.DUMMYFUNCTION("""COMPUTED_VALUE"""),4815)</f>
        <v>4815</v>
      </c>
      <c r="D206" s="2">
        <f ca="1">IFERROR(__xludf.DUMMYFUNCTION("""COMPUTED_VALUE"""),4650)</f>
        <v>4650</v>
      </c>
      <c r="E206" s="2">
        <f ca="1">IFERROR(__xludf.DUMMYFUNCTION("""COMPUTED_VALUE"""),4815)</f>
        <v>4815</v>
      </c>
      <c r="F206" s="2">
        <f ca="1">IFERROR(__xludf.DUMMYFUNCTION("""COMPUTED_VALUE"""),15138700)</f>
        <v>15138700</v>
      </c>
    </row>
    <row r="207" spans="1:6">
      <c r="A207" s="1">
        <f ca="1">IFERROR(__xludf.DUMMYFUNCTION("""COMPUTED_VALUE"""),42311.625)</f>
        <v>42311.625</v>
      </c>
      <c r="B207" s="2">
        <f ca="1">IFERROR(__xludf.DUMMYFUNCTION("""COMPUTED_VALUE"""),4900)</f>
        <v>4900</v>
      </c>
      <c r="C207" s="2">
        <f ca="1">IFERROR(__xludf.DUMMYFUNCTION("""COMPUTED_VALUE"""),5050)</f>
        <v>5050</v>
      </c>
      <c r="D207" s="2">
        <f ca="1">IFERROR(__xludf.DUMMYFUNCTION("""COMPUTED_VALUE"""),4885)</f>
        <v>4885</v>
      </c>
      <c r="E207" s="2">
        <f ca="1">IFERROR(__xludf.DUMMYFUNCTION("""COMPUTED_VALUE"""),4950)</f>
        <v>4950</v>
      </c>
      <c r="F207" s="2">
        <f ca="1">IFERROR(__xludf.DUMMYFUNCTION("""COMPUTED_VALUE"""),34763100)</f>
        <v>34763100</v>
      </c>
    </row>
    <row r="208" spans="1:6">
      <c r="A208" s="1">
        <f ca="1">IFERROR(__xludf.DUMMYFUNCTION("""COMPUTED_VALUE"""),42312.625)</f>
        <v>42312.625</v>
      </c>
      <c r="B208" s="2">
        <f ca="1">IFERROR(__xludf.DUMMYFUNCTION("""COMPUTED_VALUE"""),5025)</f>
        <v>5025</v>
      </c>
      <c r="C208" s="2">
        <f ca="1">IFERROR(__xludf.DUMMYFUNCTION("""COMPUTED_VALUE"""),5100)</f>
        <v>5100</v>
      </c>
      <c r="D208" s="2">
        <f ca="1">IFERROR(__xludf.DUMMYFUNCTION("""COMPUTED_VALUE"""),4995)</f>
        <v>4995</v>
      </c>
      <c r="E208" s="2">
        <f ca="1">IFERROR(__xludf.DUMMYFUNCTION("""COMPUTED_VALUE"""),5000)</f>
        <v>5000</v>
      </c>
      <c r="F208" s="2">
        <f ca="1">IFERROR(__xludf.DUMMYFUNCTION("""COMPUTED_VALUE"""),19252300)</f>
        <v>19252300</v>
      </c>
    </row>
    <row r="209" spans="1:6">
      <c r="A209" s="1">
        <f ca="1">IFERROR(__xludf.DUMMYFUNCTION("""COMPUTED_VALUE"""),42313.625)</f>
        <v>42313.625</v>
      </c>
      <c r="B209" s="2">
        <f ca="1">IFERROR(__xludf.DUMMYFUNCTION("""COMPUTED_VALUE"""),4990)</f>
        <v>4990</v>
      </c>
      <c r="C209" s="2">
        <f ca="1">IFERROR(__xludf.DUMMYFUNCTION("""COMPUTED_VALUE"""),5025)</f>
        <v>5025</v>
      </c>
      <c r="D209" s="2">
        <f ca="1">IFERROR(__xludf.DUMMYFUNCTION("""COMPUTED_VALUE"""),4915)</f>
        <v>4915</v>
      </c>
      <c r="E209" s="2">
        <f ca="1">IFERROR(__xludf.DUMMYFUNCTION("""COMPUTED_VALUE"""),4945)</f>
        <v>4945</v>
      </c>
      <c r="F209" s="2">
        <f ca="1">IFERROR(__xludf.DUMMYFUNCTION("""COMPUTED_VALUE"""),13630700)</f>
        <v>13630700</v>
      </c>
    </row>
    <row r="210" spans="1:6">
      <c r="A210" s="1">
        <f ca="1">IFERROR(__xludf.DUMMYFUNCTION("""COMPUTED_VALUE"""),42314.625)</f>
        <v>42314.625</v>
      </c>
      <c r="B210" s="2">
        <f ca="1">IFERROR(__xludf.DUMMYFUNCTION("""COMPUTED_VALUE"""),4980)</f>
        <v>4980</v>
      </c>
      <c r="C210" s="2">
        <f ca="1">IFERROR(__xludf.DUMMYFUNCTION("""COMPUTED_VALUE"""),5025)</f>
        <v>5025</v>
      </c>
      <c r="D210" s="2">
        <f ca="1">IFERROR(__xludf.DUMMYFUNCTION("""COMPUTED_VALUE"""),4815)</f>
        <v>4815</v>
      </c>
      <c r="E210" s="2">
        <f ca="1">IFERROR(__xludf.DUMMYFUNCTION("""COMPUTED_VALUE"""),4815)</f>
        <v>4815</v>
      </c>
      <c r="F210" s="2">
        <f ca="1">IFERROR(__xludf.DUMMYFUNCTION("""COMPUTED_VALUE"""),11938300)</f>
        <v>11938300</v>
      </c>
    </row>
    <row r="211" spans="1:6">
      <c r="A211" s="1">
        <f ca="1">IFERROR(__xludf.DUMMYFUNCTION("""COMPUTED_VALUE"""),42317.625)</f>
        <v>42317.625</v>
      </c>
      <c r="B211" s="2">
        <f ca="1">IFERROR(__xludf.DUMMYFUNCTION("""COMPUTED_VALUE"""),4865)</f>
        <v>4865</v>
      </c>
      <c r="C211" s="2">
        <f ca="1">IFERROR(__xludf.DUMMYFUNCTION("""COMPUTED_VALUE"""),4915)</f>
        <v>4915</v>
      </c>
      <c r="D211" s="2">
        <f ca="1">IFERROR(__xludf.DUMMYFUNCTION("""COMPUTED_VALUE"""),4785)</f>
        <v>4785</v>
      </c>
      <c r="E211" s="2">
        <f ca="1">IFERROR(__xludf.DUMMYFUNCTION("""COMPUTED_VALUE"""),4875)</f>
        <v>4875</v>
      </c>
      <c r="F211" s="2">
        <f ca="1">IFERROR(__xludf.DUMMYFUNCTION("""COMPUTED_VALUE"""),17430400)</f>
        <v>17430400</v>
      </c>
    </row>
    <row r="212" spans="1:6">
      <c r="A212" s="1">
        <f ca="1">IFERROR(__xludf.DUMMYFUNCTION("""COMPUTED_VALUE"""),42318.625)</f>
        <v>42318.625</v>
      </c>
      <c r="B212" s="2">
        <f ca="1">IFERROR(__xludf.DUMMYFUNCTION("""COMPUTED_VALUE"""),4780)</f>
        <v>4780</v>
      </c>
      <c r="C212" s="2">
        <f ca="1">IFERROR(__xludf.DUMMYFUNCTION("""COMPUTED_VALUE"""),4920)</f>
        <v>4920</v>
      </c>
      <c r="D212" s="2">
        <f ca="1">IFERROR(__xludf.DUMMYFUNCTION("""COMPUTED_VALUE"""),4760)</f>
        <v>4760</v>
      </c>
      <c r="E212" s="2">
        <f ca="1">IFERROR(__xludf.DUMMYFUNCTION("""COMPUTED_VALUE"""),4830)</f>
        <v>4830</v>
      </c>
      <c r="F212" s="2">
        <f ca="1">IFERROR(__xludf.DUMMYFUNCTION("""COMPUTED_VALUE"""),15329100)</f>
        <v>15329100</v>
      </c>
    </row>
    <row r="213" spans="1:6">
      <c r="A213" s="1">
        <f ca="1">IFERROR(__xludf.DUMMYFUNCTION("""COMPUTED_VALUE"""),42319.625)</f>
        <v>42319.625</v>
      </c>
      <c r="B213" s="2">
        <f ca="1">IFERROR(__xludf.DUMMYFUNCTION("""COMPUTED_VALUE"""),4850)</f>
        <v>4850</v>
      </c>
      <c r="C213" s="2">
        <f ca="1">IFERROR(__xludf.DUMMYFUNCTION("""COMPUTED_VALUE"""),4850)</f>
        <v>4850</v>
      </c>
      <c r="D213" s="2">
        <f ca="1">IFERROR(__xludf.DUMMYFUNCTION("""COMPUTED_VALUE"""),4800)</f>
        <v>4800</v>
      </c>
      <c r="E213" s="2">
        <f ca="1">IFERROR(__xludf.DUMMYFUNCTION("""COMPUTED_VALUE"""),4800)</f>
        <v>4800</v>
      </c>
      <c r="F213" s="2">
        <f ca="1">IFERROR(__xludf.DUMMYFUNCTION("""COMPUTED_VALUE"""),12121800)</f>
        <v>12121800</v>
      </c>
    </row>
    <row r="214" spans="1:6">
      <c r="A214" s="1">
        <f ca="1">IFERROR(__xludf.DUMMYFUNCTION("""COMPUTED_VALUE"""),42320.625)</f>
        <v>42320.625</v>
      </c>
      <c r="B214" s="2">
        <f ca="1">IFERROR(__xludf.DUMMYFUNCTION("""COMPUTED_VALUE"""),4810)</f>
        <v>4810</v>
      </c>
      <c r="C214" s="2">
        <f ca="1">IFERROR(__xludf.DUMMYFUNCTION("""COMPUTED_VALUE"""),4985)</f>
        <v>4985</v>
      </c>
      <c r="D214" s="2">
        <f ca="1">IFERROR(__xludf.DUMMYFUNCTION("""COMPUTED_VALUE"""),4805)</f>
        <v>4805</v>
      </c>
      <c r="E214" s="2">
        <f ca="1">IFERROR(__xludf.DUMMYFUNCTION("""COMPUTED_VALUE"""),4960)</f>
        <v>4960</v>
      </c>
      <c r="F214" s="2">
        <f ca="1">IFERROR(__xludf.DUMMYFUNCTION("""COMPUTED_VALUE"""),19140400)</f>
        <v>19140400</v>
      </c>
    </row>
    <row r="215" spans="1:6">
      <c r="A215" s="1">
        <f ca="1">IFERROR(__xludf.DUMMYFUNCTION("""COMPUTED_VALUE"""),42321.625)</f>
        <v>42321.625</v>
      </c>
      <c r="B215" s="2">
        <f ca="1">IFERROR(__xludf.DUMMYFUNCTION("""COMPUTED_VALUE"""),4945)</f>
        <v>4945</v>
      </c>
      <c r="C215" s="2">
        <f ca="1">IFERROR(__xludf.DUMMYFUNCTION("""COMPUTED_VALUE"""),4965)</f>
        <v>4965</v>
      </c>
      <c r="D215" s="2">
        <f ca="1">IFERROR(__xludf.DUMMYFUNCTION("""COMPUTED_VALUE"""),4805)</f>
        <v>4805</v>
      </c>
      <c r="E215" s="2">
        <f ca="1">IFERROR(__xludf.DUMMYFUNCTION("""COMPUTED_VALUE"""),4840)</f>
        <v>4840</v>
      </c>
      <c r="F215" s="2">
        <f ca="1">IFERROR(__xludf.DUMMYFUNCTION("""COMPUTED_VALUE"""),24413000)</f>
        <v>24413000</v>
      </c>
    </row>
    <row r="216" spans="1:6">
      <c r="A216" s="1">
        <f ca="1">IFERROR(__xludf.DUMMYFUNCTION("""COMPUTED_VALUE"""),42324.625)</f>
        <v>42324.625</v>
      </c>
      <c r="B216" s="2">
        <f ca="1">IFERROR(__xludf.DUMMYFUNCTION("""COMPUTED_VALUE"""),4780)</f>
        <v>4780</v>
      </c>
      <c r="C216" s="2">
        <f ca="1">IFERROR(__xludf.DUMMYFUNCTION("""COMPUTED_VALUE"""),4865)</f>
        <v>4865</v>
      </c>
      <c r="D216" s="2">
        <f ca="1">IFERROR(__xludf.DUMMYFUNCTION("""COMPUTED_VALUE"""),4760)</f>
        <v>4760</v>
      </c>
      <c r="E216" s="2">
        <f ca="1">IFERROR(__xludf.DUMMYFUNCTION("""COMPUTED_VALUE"""),4820)</f>
        <v>4820</v>
      </c>
      <c r="F216" s="2">
        <f ca="1">IFERROR(__xludf.DUMMYFUNCTION("""COMPUTED_VALUE"""),12009700)</f>
        <v>12009700</v>
      </c>
    </row>
    <row r="217" spans="1:6">
      <c r="A217" s="1">
        <f ca="1">IFERROR(__xludf.DUMMYFUNCTION("""COMPUTED_VALUE"""),42325.625)</f>
        <v>42325.625</v>
      </c>
      <c r="B217" s="2">
        <f ca="1">IFERROR(__xludf.DUMMYFUNCTION("""COMPUTED_VALUE"""),4865)</f>
        <v>4865</v>
      </c>
      <c r="C217" s="2">
        <f ca="1">IFERROR(__xludf.DUMMYFUNCTION("""COMPUTED_VALUE"""),5025)</f>
        <v>5025</v>
      </c>
      <c r="D217" s="2">
        <f ca="1">IFERROR(__xludf.DUMMYFUNCTION("""COMPUTED_VALUE"""),4860)</f>
        <v>4860</v>
      </c>
      <c r="E217" s="2">
        <f ca="1">IFERROR(__xludf.DUMMYFUNCTION("""COMPUTED_VALUE"""),5000)</f>
        <v>5000</v>
      </c>
      <c r="F217" s="2">
        <f ca="1">IFERROR(__xludf.DUMMYFUNCTION("""COMPUTED_VALUE"""),16787300)</f>
        <v>16787300</v>
      </c>
    </row>
    <row r="218" spans="1:6">
      <c r="A218" s="1">
        <f ca="1">IFERROR(__xludf.DUMMYFUNCTION("""COMPUTED_VALUE"""),42326.625)</f>
        <v>42326.625</v>
      </c>
      <c r="B218" s="2">
        <f ca="1">IFERROR(__xludf.DUMMYFUNCTION("""COMPUTED_VALUE"""),5025)</f>
        <v>5025</v>
      </c>
      <c r="C218" s="2">
        <f ca="1">IFERROR(__xludf.DUMMYFUNCTION("""COMPUTED_VALUE"""),5075)</f>
        <v>5075</v>
      </c>
      <c r="D218" s="2">
        <f ca="1">IFERROR(__xludf.DUMMYFUNCTION("""COMPUTED_VALUE"""),4930)</f>
        <v>4930</v>
      </c>
      <c r="E218" s="2">
        <f ca="1">IFERROR(__xludf.DUMMYFUNCTION("""COMPUTED_VALUE"""),5025)</f>
        <v>5025</v>
      </c>
      <c r="F218" s="2">
        <f ca="1">IFERROR(__xludf.DUMMYFUNCTION("""COMPUTED_VALUE"""),19084300)</f>
        <v>19084300</v>
      </c>
    </row>
    <row r="219" spans="1:6">
      <c r="A219" s="1">
        <f ca="1">IFERROR(__xludf.DUMMYFUNCTION("""COMPUTED_VALUE"""),42327.625)</f>
        <v>42327.625</v>
      </c>
      <c r="B219" s="2">
        <f ca="1">IFERROR(__xludf.DUMMYFUNCTION("""COMPUTED_VALUE"""),5100)</f>
        <v>5100</v>
      </c>
      <c r="C219" s="2">
        <f ca="1">IFERROR(__xludf.DUMMYFUNCTION("""COMPUTED_VALUE"""),5225)</f>
        <v>5225</v>
      </c>
      <c r="D219" s="2">
        <f ca="1">IFERROR(__xludf.DUMMYFUNCTION("""COMPUTED_VALUE"""),5075)</f>
        <v>5075</v>
      </c>
      <c r="E219" s="2">
        <f ca="1">IFERROR(__xludf.DUMMYFUNCTION("""COMPUTED_VALUE"""),5200)</f>
        <v>5200</v>
      </c>
      <c r="F219" s="2">
        <f ca="1">IFERROR(__xludf.DUMMYFUNCTION("""COMPUTED_VALUE"""),27576900)</f>
        <v>27576900</v>
      </c>
    </row>
    <row r="220" spans="1:6">
      <c r="A220" s="1">
        <f ca="1">IFERROR(__xludf.DUMMYFUNCTION("""COMPUTED_VALUE"""),42328.625)</f>
        <v>42328.625</v>
      </c>
      <c r="B220" s="2">
        <f ca="1">IFERROR(__xludf.DUMMYFUNCTION("""COMPUTED_VALUE"""),5050)</f>
        <v>5050</v>
      </c>
      <c r="C220" s="2">
        <f ca="1">IFERROR(__xludf.DUMMYFUNCTION("""COMPUTED_VALUE"""),5250)</f>
        <v>5250</v>
      </c>
      <c r="D220" s="2">
        <f ca="1">IFERROR(__xludf.DUMMYFUNCTION("""COMPUTED_VALUE"""),5050)</f>
        <v>5050</v>
      </c>
      <c r="E220" s="2">
        <f ca="1">IFERROR(__xludf.DUMMYFUNCTION("""COMPUTED_VALUE"""),5200)</f>
        <v>5200</v>
      </c>
      <c r="F220" s="2">
        <f ca="1">IFERROR(__xludf.DUMMYFUNCTION("""COMPUTED_VALUE"""),16605800)</f>
        <v>16605800</v>
      </c>
    </row>
    <row r="221" spans="1:6">
      <c r="A221" s="1">
        <f ca="1">IFERROR(__xludf.DUMMYFUNCTION("""COMPUTED_VALUE"""),42331.625)</f>
        <v>42331.625</v>
      </c>
      <c r="B221" s="2">
        <f ca="1">IFERROR(__xludf.DUMMYFUNCTION("""COMPUTED_VALUE"""),5250)</f>
        <v>5250</v>
      </c>
      <c r="C221" s="2">
        <f ca="1">IFERROR(__xludf.DUMMYFUNCTION("""COMPUTED_VALUE"""),5250)</f>
        <v>5250</v>
      </c>
      <c r="D221" s="2">
        <f ca="1">IFERROR(__xludf.DUMMYFUNCTION("""COMPUTED_VALUE"""),5150)</f>
        <v>5150</v>
      </c>
      <c r="E221" s="2">
        <f ca="1">IFERROR(__xludf.DUMMYFUNCTION("""COMPUTED_VALUE"""),5200)</f>
        <v>5200</v>
      </c>
      <c r="F221" s="2">
        <f ca="1">IFERROR(__xludf.DUMMYFUNCTION("""COMPUTED_VALUE"""),12165300)</f>
        <v>12165300</v>
      </c>
    </row>
    <row r="222" spans="1:6">
      <c r="A222" s="1">
        <f ca="1">IFERROR(__xludf.DUMMYFUNCTION("""COMPUTED_VALUE"""),42332.625)</f>
        <v>42332.625</v>
      </c>
      <c r="B222" s="2">
        <f ca="1">IFERROR(__xludf.DUMMYFUNCTION("""COMPUTED_VALUE"""),5100)</f>
        <v>5100</v>
      </c>
      <c r="C222" s="2">
        <f ca="1">IFERROR(__xludf.DUMMYFUNCTION("""COMPUTED_VALUE"""),5200)</f>
        <v>5200</v>
      </c>
      <c r="D222" s="2">
        <f ca="1">IFERROR(__xludf.DUMMYFUNCTION("""COMPUTED_VALUE"""),5100)</f>
        <v>5100</v>
      </c>
      <c r="E222" s="2">
        <f ca="1">IFERROR(__xludf.DUMMYFUNCTION("""COMPUTED_VALUE"""),5150)</f>
        <v>5150</v>
      </c>
      <c r="F222" s="2">
        <f ca="1">IFERROR(__xludf.DUMMYFUNCTION("""COMPUTED_VALUE"""),13136000)</f>
        <v>13136000</v>
      </c>
    </row>
    <row r="223" spans="1:6">
      <c r="A223" s="1">
        <f ca="1">IFERROR(__xludf.DUMMYFUNCTION("""COMPUTED_VALUE"""),42333.625)</f>
        <v>42333.625</v>
      </c>
      <c r="B223" s="2">
        <f ca="1">IFERROR(__xludf.DUMMYFUNCTION("""COMPUTED_VALUE"""),5125)</f>
        <v>5125</v>
      </c>
      <c r="C223" s="2">
        <f ca="1">IFERROR(__xludf.DUMMYFUNCTION("""COMPUTED_VALUE"""),5200)</f>
        <v>5200</v>
      </c>
      <c r="D223" s="2">
        <f ca="1">IFERROR(__xludf.DUMMYFUNCTION("""COMPUTED_VALUE"""),5125)</f>
        <v>5125</v>
      </c>
      <c r="E223" s="2">
        <f ca="1">IFERROR(__xludf.DUMMYFUNCTION("""COMPUTED_VALUE"""),5175)</f>
        <v>5175</v>
      </c>
      <c r="F223" s="2">
        <f ca="1">IFERROR(__xludf.DUMMYFUNCTION("""COMPUTED_VALUE"""),31535300)</f>
        <v>31535300</v>
      </c>
    </row>
    <row r="224" spans="1:6">
      <c r="A224" s="1">
        <f ca="1">IFERROR(__xludf.DUMMYFUNCTION("""COMPUTED_VALUE"""),42334.625)</f>
        <v>42334.625</v>
      </c>
      <c r="B224" s="2">
        <f ca="1">IFERROR(__xludf.DUMMYFUNCTION("""COMPUTED_VALUE"""),5200)</f>
        <v>5200</v>
      </c>
      <c r="C224" s="2">
        <f ca="1">IFERROR(__xludf.DUMMYFUNCTION("""COMPUTED_VALUE"""),5225)</f>
        <v>5225</v>
      </c>
      <c r="D224" s="2">
        <f ca="1">IFERROR(__xludf.DUMMYFUNCTION("""COMPUTED_VALUE"""),5100)</f>
        <v>5100</v>
      </c>
      <c r="E224" s="2">
        <f ca="1">IFERROR(__xludf.DUMMYFUNCTION("""COMPUTED_VALUE"""),5125)</f>
        <v>5125</v>
      </c>
      <c r="F224" s="2">
        <f ca="1">IFERROR(__xludf.DUMMYFUNCTION("""COMPUTED_VALUE"""),15798800)</f>
        <v>15798800</v>
      </c>
    </row>
    <row r="225" spans="1:6">
      <c r="A225" s="1">
        <f ca="1">IFERROR(__xludf.DUMMYFUNCTION("""COMPUTED_VALUE"""),42335.625)</f>
        <v>42335.625</v>
      </c>
      <c r="B225" s="2">
        <f ca="1">IFERROR(__xludf.DUMMYFUNCTION("""COMPUTED_VALUE"""),5175)</f>
        <v>5175</v>
      </c>
      <c r="C225" s="2">
        <f ca="1">IFERROR(__xludf.DUMMYFUNCTION("""COMPUTED_VALUE"""),5175)</f>
        <v>5175</v>
      </c>
      <c r="D225" s="2">
        <f ca="1">IFERROR(__xludf.DUMMYFUNCTION("""COMPUTED_VALUE"""),4980)</f>
        <v>4980</v>
      </c>
      <c r="E225" s="2">
        <f ca="1">IFERROR(__xludf.DUMMYFUNCTION("""COMPUTED_VALUE"""),4980)</f>
        <v>4980</v>
      </c>
      <c r="F225" s="2">
        <f ca="1">IFERROR(__xludf.DUMMYFUNCTION("""COMPUTED_VALUE"""),12990400)</f>
        <v>12990400</v>
      </c>
    </row>
    <row r="226" spans="1:6">
      <c r="A226" s="1">
        <f ca="1">IFERROR(__xludf.DUMMYFUNCTION("""COMPUTED_VALUE"""),42338.625)</f>
        <v>42338.625</v>
      </c>
      <c r="B226" s="2">
        <f ca="1">IFERROR(__xludf.DUMMYFUNCTION("""COMPUTED_VALUE"""),5000)</f>
        <v>5000</v>
      </c>
      <c r="C226" s="2">
        <f ca="1">IFERROR(__xludf.DUMMYFUNCTION("""COMPUTED_VALUE"""),5025)</f>
        <v>5025</v>
      </c>
      <c r="D226" s="2">
        <f ca="1">IFERROR(__xludf.DUMMYFUNCTION("""COMPUTED_VALUE"""),4770)</f>
        <v>4770</v>
      </c>
      <c r="E226" s="2">
        <f ca="1">IFERROR(__xludf.DUMMYFUNCTION("""COMPUTED_VALUE"""),4770)</f>
        <v>4770</v>
      </c>
      <c r="F226" s="2">
        <f ca="1">IFERROR(__xludf.DUMMYFUNCTION("""COMPUTED_VALUE"""),62898800)</f>
        <v>62898800</v>
      </c>
    </row>
    <row r="227" spans="1:6">
      <c r="A227" s="1">
        <f ca="1">IFERROR(__xludf.DUMMYFUNCTION("""COMPUTED_VALUE"""),42339.625)</f>
        <v>42339.625</v>
      </c>
      <c r="B227" s="2">
        <f ca="1">IFERROR(__xludf.DUMMYFUNCTION("""COMPUTED_VALUE"""),4855)</f>
        <v>4855</v>
      </c>
      <c r="C227" s="2">
        <f ca="1">IFERROR(__xludf.DUMMYFUNCTION("""COMPUTED_VALUE"""),4990)</f>
        <v>4990</v>
      </c>
      <c r="D227" s="2">
        <f ca="1">IFERROR(__xludf.DUMMYFUNCTION("""COMPUTED_VALUE"""),4855)</f>
        <v>4855</v>
      </c>
      <c r="E227" s="2">
        <f ca="1">IFERROR(__xludf.DUMMYFUNCTION("""COMPUTED_VALUE"""),4970)</f>
        <v>4970</v>
      </c>
      <c r="F227" s="2">
        <f ca="1">IFERROR(__xludf.DUMMYFUNCTION("""COMPUTED_VALUE"""),42401300)</f>
        <v>42401300</v>
      </c>
    </row>
    <row r="228" spans="1:6">
      <c r="A228" s="1">
        <f ca="1">IFERROR(__xludf.DUMMYFUNCTION("""COMPUTED_VALUE"""),42340.625)</f>
        <v>42340.625</v>
      </c>
      <c r="B228" s="2">
        <f ca="1">IFERROR(__xludf.DUMMYFUNCTION("""COMPUTED_VALUE"""),5000)</f>
        <v>5000</v>
      </c>
      <c r="C228" s="2">
        <f ca="1">IFERROR(__xludf.DUMMYFUNCTION("""COMPUTED_VALUE"""),5000)</f>
        <v>5000</v>
      </c>
      <c r="D228" s="2">
        <f ca="1">IFERROR(__xludf.DUMMYFUNCTION("""COMPUTED_VALUE"""),4955)</f>
        <v>4955</v>
      </c>
      <c r="E228" s="2">
        <f ca="1">IFERROR(__xludf.DUMMYFUNCTION("""COMPUTED_VALUE"""),4985)</f>
        <v>4985</v>
      </c>
      <c r="F228" s="2">
        <f ca="1">IFERROR(__xludf.DUMMYFUNCTION("""COMPUTED_VALUE"""),25252700)</f>
        <v>25252700</v>
      </c>
    </row>
    <row r="229" spans="1:6">
      <c r="A229" s="1">
        <f ca="1">IFERROR(__xludf.DUMMYFUNCTION("""COMPUTED_VALUE"""),42341.625)</f>
        <v>42341.625</v>
      </c>
      <c r="B229" s="2">
        <f ca="1">IFERROR(__xludf.DUMMYFUNCTION("""COMPUTED_VALUE"""),4955)</f>
        <v>4955</v>
      </c>
      <c r="C229" s="2">
        <f ca="1">IFERROR(__xludf.DUMMYFUNCTION("""COMPUTED_VALUE"""),5000)</f>
        <v>5000</v>
      </c>
      <c r="D229" s="2">
        <f ca="1">IFERROR(__xludf.DUMMYFUNCTION("""COMPUTED_VALUE"""),4940)</f>
        <v>4940</v>
      </c>
      <c r="E229" s="2">
        <f ca="1">IFERROR(__xludf.DUMMYFUNCTION("""COMPUTED_VALUE"""),4990)</f>
        <v>4990</v>
      </c>
      <c r="F229" s="2">
        <f ca="1">IFERROR(__xludf.DUMMYFUNCTION("""COMPUTED_VALUE"""),21095100)</f>
        <v>21095100</v>
      </c>
    </row>
    <row r="230" spans="1:6">
      <c r="A230" s="1">
        <f ca="1">IFERROR(__xludf.DUMMYFUNCTION("""COMPUTED_VALUE"""),42342.625)</f>
        <v>42342.625</v>
      </c>
      <c r="B230" s="2">
        <f ca="1">IFERROR(__xludf.DUMMYFUNCTION("""COMPUTED_VALUE"""),4930)</f>
        <v>4930</v>
      </c>
      <c r="C230" s="2">
        <f ca="1">IFERROR(__xludf.DUMMYFUNCTION("""COMPUTED_VALUE"""),4980)</f>
        <v>4980</v>
      </c>
      <c r="D230" s="2">
        <f ca="1">IFERROR(__xludf.DUMMYFUNCTION("""COMPUTED_VALUE"""),4910)</f>
        <v>4910</v>
      </c>
      <c r="E230" s="2">
        <f ca="1">IFERROR(__xludf.DUMMYFUNCTION("""COMPUTED_VALUE"""),4955)</f>
        <v>4955</v>
      </c>
      <c r="F230" s="2">
        <f ca="1">IFERROR(__xludf.DUMMYFUNCTION("""COMPUTED_VALUE"""),30521300)</f>
        <v>30521300</v>
      </c>
    </row>
    <row r="231" spans="1:6">
      <c r="A231" s="1">
        <f ca="1">IFERROR(__xludf.DUMMYFUNCTION("""COMPUTED_VALUE"""),42345.625)</f>
        <v>42345.625</v>
      </c>
      <c r="B231" s="2">
        <f ca="1">IFERROR(__xludf.DUMMYFUNCTION("""COMPUTED_VALUE"""),5000)</f>
        <v>5000</v>
      </c>
      <c r="C231" s="2">
        <f ca="1">IFERROR(__xludf.DUMMYFUNCTION("""COMPUTED_VALUE"""),5025)</f>
        <v>5025</v>
      </c>
      <c r="D231" s="2">
        <f ca="1">IFERROR(__xludf.DUMMYFUNCTION("""COMPUTED_VALUE"""),4985)</f>
        <v>4985</v>
      </c>
      <c r="E231" s="2">
        <f ca="1">IFERROR(__xludf.DUMMYFUNCTION("""COMPUTED_VALUE"""),5000)</f>
        <v>5000</v>
      </c>
      <c r="F231" s="2">
        <f ca="1">IFERROR(__xludf.DUMMYFUNCTION("""COMPUTED_VALUE"""),14915300)</f>
        <v>14915300</v>
      </c>
    </row>
    <row r="232" spans="1:6">
      <c r="A232" s="1">
        <f ca="1">IFERROR(__xludf.DUMMYFUNCTION("""COMPUTED_VALUE"""),42346.625)</f>
        <v>42346.625</v>
      </c>
      <c r="B232" s="2">
        <f ca="1">IFERROR(__xludf.DUMMYFUNCTION("""COMPUTED_VALUE"""),4985)</f>
        <v>4985</v>
      </c>
      <c r="C232" s="2">
        <f ca="1">IFERROR(__xludf.DUMMYFUNCTION("""COMPUTED_VALUE"""),5050)</f>
        <v>5050</v>
      </c>
      <c r="D232" s="2">
        <f ca="1">IFERROR(__xludf.DUMMYFUNCTION("""COMPUTED_VALUE"""),4960)</f>
        <v>4960</v>
      </c>
      <c r="E232" s="2">
        <f ca="1">IFERROR(__xludf.DUMMYFUNCTION("""COMPUTED_VALUE"""),4995)</f>
        <v>4995</v>
      </c>
      <c r="F232" s="2">
        <f ca="1">IFERROR(__xludf.DUMMYFUNCTION("""COMPUTED_VALUE"""),17619600)</f>
        <v>17619600</v>
      </c>
    </row>
    <row r="233" spans="1:6">
      <c r="A233" s="1">
        <f ca="1">IFERROR(__xludf.DUMMYFUNCTION("""COMPUTED_VALUE"""),42348.625)</f>
        <v>42348.625</v>
      </c>
      <c r="B233" s="2">
        <f ca="1">IFERROR(__xludf.DUMMYFUNCTION("""COMPUTED_VALUE"""),4925)</f>
        <v>4925</v>
      </c>
      <c r="C233" s="2">
        <f ca="1">IFERROR(__xludf.DUMMYFUNCTION("""COMPUTED_VALUE"""),5000)</f>
        <v>5000</v>
      </c>
      <c r="D233" s="2">
        <f ca="1">IFERROR(__xludf.DUMMYFUNCTION("""COMPUTED_VALUE"""),4920)</f>
        <v>4920</v>
      </c>
      <c r="E233" s="2">
        <f ca="1">IFERROR(__xludf.DUMMYFUNCTION("""COMPUTED_VALUE"""),5000)</f>
        <v>5000</v>
      </c>
      <c r="F233" s="2">
        <f ca="1">IFERROR(__xludf.DUMMYFUNCTION("""COMPUTED_VALUE"""),28895600)</f>
        <v>28895600</v>
      </c>
    </row>
    <row r="234" spans="1:6">
      <c r="A234" s="1">
        <f ca="1">IFERROR(__xludf.DUMMYFUNCTION("""COMPUTED_VALUE"""),42349.625)</f>
        <v>42349.625</v>
      </c>
      <c r="B234" s="2">
        <f ca="1">IFERROR(__xludf.DUMMYFUNCTION("""COMPUTED_VALUE"""),5000)</f>
        <v>5000</v>
      </c>
      <c r="C234" s="2">
        <f ca="1">IFERROR(__xludf.DUMMYFUNCTION("""COMPUTED_VALUE"""),5025)</f>
        <v>5025</v>
      </c>
      <c r="D234" s="2">
        <f ca="1">IFERROR(__xludf.DUMMYFUNCTION("""COMPUTED_VALUE"""),4930)</f>
        <v>4930</v>
      </c>
      <c r="E234" s="2">
        <f ca="1">IFERROR(__xludf.DUMMYFUNCTION("""COMPUTED_VALUE"""),4930)</f>
        <v>4930</v>
      </c>
      <c r="F234" s="2">
        <f ca="1">IFERROR(__xludf.DUMMYFUNCTION("""COMPUTED_VALUE"""),20664200)</f>
        <v>20664200</v>
      </c>
    </row>
    <row r="235" spans="1:6">
      <c r="A235" s="1">
        <f ca="1">IFERROR(__xludf.DUMMYFUNCTION("""COMPUTED_VALUE"""),42352.625)</f>
        <v>42352.625</v>
      </c>
      <c r="B235" s="2">
        <f ca="1">IFERROR(__xludf.DUMMYFUNCTION("""COMPUTED_VALUE"""),4850)</f>
        <v>4850</v>
      </c>
      <c r="C235" s="2">
        <f ca="1">IFERROR(__xludf.DUMMYFUNCTION("""COMPUTED_VALUE"""),4870)</f>
        <v>4870</v>
      </c>
      <c r="D235" s="2">
        <f ca="1">IFERROR(__xludf.DUMMYFUNCTION("""COMPUTED_VALUE"""),4780)</f>
        <v>4780</v>
      </c>
      <c r="E235" s="2">
        <f ca="1">IFERROR(__xludf.DUMMYFUNCTION("""COMPUTED_VALUE"""),4800)</f>
        <v>4800</v>
      </c>
      <c r="F235" s="2">
        <f ca="1">IFERROR(__xludf.DUMMYFUNCTION("""COMPUTED_VALUE"""),24874600)</f>
        <v>24874600</v>
      </c>
    </row>
    <row r="236" spans="1:6">
      <c r="A236" s="1">
        <f ca="1">IFERROR(__xludf.DUMMYFUNCTION("""COMPUTED_VALUE"""),42353.625)</f>
        <v>42353.625</v>
      </c>
      <c r="B236" s="2">
        <f ca="1">IFERROR(__xludf.DUMMYFUNCTION("""COMPUTED_VALUE"""),4800)</f>
        <v>4800</v>
      </c>
      <c r="C236" s="2">
        <f ca="1">IFERROR(__xludf.DUMMYFUNCTION("""COMPUTED_VALUE"""),4810)</f>
        <v>4810</v>
      </c>
      <c r="D236" s="2">
        <f ca="1">IFERROR(__xludf.DUMMYFUNCTION("""COMPUTED_VALUE"""),4780)</f>
        <v>4780</v>
      </c>
      <c r="E236" s="2">
        <f ca="1">IFERROR(__xludf.DUMMYFUNCTION("""COMPUTED_VALUE"""),4790)</f>
        <v>4790</v>
      </c>
      <c r="F236" s="2">
        <f ca="1">IFERROR(__xludf.DUMMYFUNCTION("""COMPUTED_VALUE"""),24779100)</f>
        <v>24779100</v>
      </c>
    </row>
    <row r="237" spans="1:6">
      <c r="A237" s="1">
        <f ca="1">IFERROR(__xludf.DUMMYFUNCTION("""COMPUTED_VALUE"""),42354.625)</f>
        <v>42354.625</v>
      </c>
      <c r="B237" s="2">
        <f ca="1">IFERROR(__xludf.DUMMYFUNCTION("""COMPUTED_VALUE"""),4875)</f>
        <v>4875</v>
      </c>
      <c r="C237" s="2">
        <f ca="1">IFERROR(__xludf.DUMMYFUNCTION("""COMPUTED_VALUE"""),5000)</f>
        <v>5000</v>
      </c>
      <c r="D237" s="2">
        <f ca="1">IFERROR(__xludf.DUMMYFUNCTION("""COMPUTED_VALUE"""),4820)</f>
        <v>4820</v>
      </c>
      <c r="E237" s="2">
        <f ca="1">IFERROR(__xludf.DUMMYFUNCTION("""COMPUTED_VALUE"""),5000)</f>
        <v>5000</v>
      </c>
      <c r="F237" s="2">
        <f ca="1">IFERROR(__xludf.DUMMYFUNCTION("""COMPUTED_VALUE"""),28257300)</f>
        <v>28257300</v>
      </c>
    </row>
    <row r="238" spans="1:6">
      <c r="A238" s="1">
        <f ca="1">IFERROR(__xludf.DUMMYFUNCTION("""COMPUTED_VALUE"""),42355.625)</f>
        <v>42355.625</v>
      </c>
      <c r="B238" s="2">
        <f ca="1">IFERROR(__xludf.DUMMYFUNCTION("""COMPUTED_VALUE"""),5100)</f>
        <v>5100</v>
      </c>
      <c r="C238" s="2">
        <f ca="1">IFERROR(__xludf.DUMMYFUNCTION("""COMPUTED_VALUE"""),5150)</f>
        <v>5150</v>
      </c>
      <c r="D238" s="2">
        <f ca="1">IFERROR(__xludf.DUMMYFUNCTION("""COMPUTED_VALUE"""),5050)</f>
        <v>5050</v>
      </c>
      <c r="E238" s="2">
        <f ca="1">IFERROR(__xludf.DUMMYFUNCTION("""COMPUTED_VALUE"""),5050)</f>
        <v>5050</v>
      </c>
      <c r="F238" s="2">
        <f ca="1">IFERROR(__xludf.DUMMYFUNCTION("""COMPUTED_VALUE"""),32566400)</f>
        <v>32566400</v>
      </c>
    </row>
    <row r="239" spans="1:6">
      <c r="A239" s="1">
        <f ca="1">IFERROR(__xludf.DUMMYFUNCTION("""COMPUTED_VALUE"""),42356.625)</f>
        <v>42356.625</v>
      </c>
      <c r="B239" s="2">
        <f ca="1">IFERROR(__xludf.DUMMYFUNCTION("""COMPUTED_VALUE"""),5025)</f>
        <v>5025</v>
      </c>
      <c r="C239" s="2">
        <f ca="1">IFERROR(__xludf.DUMMYFUNCTION("""COMPUTED_VALUE"""),5025)</f>
        <v>5025</v>
      </c>
      <c r="D239" s="2">
        <f ca="1">IFERROR(__xludf.DUMMYFUNCTION("""COMPUTED_VALUE"""),4955)</f>
        <v>4955</v>
      </c>
      <c r="E239" s="2">
        <f ca="1">IFERROR(__xludf.DUMMYFUNCTION("""COMPUTED_VALUE"""),4960)</f>
        <v>4960</v>
      </c>
      <c r="F239" s="2">
        <f ca="1">IFERROR(__xludf.DUMMYFUNCTION("""COMPUTED_VALUE"""),20905400)</f>
        <v>20905400</v>
      </c>
    </row>
    <row r="240" spans="1:6">
      <c r="A240" s="1">
        <f ca="1">IFERROR(__xludf.DUMMYFUNCTION("""COMPUTED_VALUE"""),42359.625)</f>
        <v>42359.625</v>
      </c>
      <c r="B240" s="2">
        <f ca="1">IFERROR(__xludf.DUMMYFUNCTION("""COMPUTED_VALUE"""),4930)</f>
        <v>4930</v>
      </c>
      <c r="C240" s="2">
        <f ca="1">IFERROR(__xludf.DUMMYFUNCTION("""COMPUTED_VALUE"""),4995)</f>
        <v>4995</v>
      </c>
      <c r="D240" s="2">
        <f ca="1">IFERROR(__xludf.DUMMYFUNCTION("""COMPUTED_VALUE"""),4825)</f>
        <v>4825</v>
      </c>
      <c r="E240" s="2">
        <f ca="1">IFERROR(__xludf.DUMMYFUNCTION("""COMPUTED_VALUE"""),4855)</f>
        <v>4855</v>
      </c>
      <c r="F240" s="2">
        <f ca="1">IFERROR(__xludf.DUMMYFUNCTION("""COMPUTED_VALUE"""),25440700)</f>
        <v>25440700</v>
      </c>
    </row>
    <row r="241" spans="1:6">
      <c r="A241" s="1">
        <f ca="1">IFERROR(__xludf.DUMMYFUNCTION("""COMPUTED_VALUE"""),42360.625)</f>
        <v>42360.625</v>
      </c>
      <c r="B241" s="2">
        <f ca="1">IFERROR(__xludf.DUMMYFUNCTION("""COMPUTED_VALUE"""),4870)</f>
        <v>4870</v>
      </c>
      <c r="C241" s="2">
        <f ca="1">IFERROR(__xludf.DUMMYFUNCTION("""COMPUTED_VALUE"""),4930)</f>
        <v>4930</v>
      </c>
      <c r="D241" s="2">
        <f ca="1">IFERROR(__xludf.DUMMYFUNCTION("""COMPUTED_VALUE"""),4865)</f>
        <v>4865</v>
      </c>
      <c r="E241" s="2">
        <f ca="1">IFERROR(__xludf.DUMMYFUNCTION("""COMPUTED_VALUE"""),4905)</f>
        <v>4905</v>
      </c>
      <c r="F241" s="2">
        <f ca="1">IFERROR(__xludf.DUMMYFUNCTION("""COMPUTED_VALUE"""),12196500)</f>
        <v>12196500</v>
      </c>
    </row>
    <row r="242" spans="1:6">
      <c r="A242" s="1">
        <f ca="1">IFERROR(__xludf.DUMMYFUNCTION("""COMPUTED_VALUE"""),42361.625)</f>
        <v>42361.625</v>
      </c>
      <c r="B242" s="2">
        <f ca="1">IFERROR(__xludf.DUMMYFUNCTION("""COMPUTED_VALUE"""),4950)</f>
        <v>4950</v>
      </c>
      <c r="C242" s="2">
        <f ca="1">IFERROR(__xludf.DUMMYFUNCTION("""COMPUTED_VALUE"""),4950)</f>
        <v>4950</v>
      </c>
      <c r="D242" s="2">
        <f ca="1">IFERROR(__xludf.DUMMYFUNCTION("""COMPUTED_VALUE"""),4865)</f>
        <v>4865</v>
      </c>
      <c r="E242" s="2">
        <f ca="1">IFERROR(__xludf.DUMMYFUNCTION("""COMPUTED_VALUE"""),4880)</f>
        <v>4880</v>
      </c>
      <c r="F242" s="2">
        <f ca="1">IFERROR(__xludf.DUMMYFUNCTION("""COMPUTED_VALUE"""),10192100)</f>
        <v>10192100</v>
      </c>
    </row>
    <row r="243" spans="1:6">
      <c r="A243" s="1">
        <f ca="1">IFERROR(__xludf.DUMMYFUNCTION("""COMPUTED_VALUE"""),42366.625)</f>
        <v>42366.625</v>
      </c>
      <c r="B243" s="2">
        <f ca="1">IFERROR(__xludf.DUMMYFUNCTION("""COMPUTED_VALUE"""),4935)</f>
        <v>4935</v>
      </c>
      <c r="C243" s="2">
        <f ca="1">IFERROR(__xludf.DUMMYFUNCTION("""COMPUTED_VALUE"""),5025)</f>
        <v>5025</v>
      </c>
      <c r="D243" s="2">
        <f ca="1">IFERROR(__xludf.DUMMYFUNCTION("""COMPUTED_VALUE"""),4880)</f>
        <v>4880</v>
      </c>
      <c r="E243" s="2">
        <f ca="1">IFERROR(__xludf.DUMMYFUNCTION("""COMPUTED_VALUE"""),5000)</f>
        <v>5000</v>
      </c>
      <c r="F243" s="2">
        <f ca="1">IFERROR(__xludf.DUMMYFUNCTION("""COMPUTED_VALUE"""),12873400)</f>
        <v>12873400</v>
      </c>
    </row>
    <row r="244" spans="1:6">
      <c r="A244" s="1">
        <f ca="1">IFERROR(__xludf.DUMMYFUNCTION("""COMPUTED_VALUE"""),42367.625)</f>
        <v>42367.625</v>
      </c>
      <c r="B244" s="2">
        <f ca="1">IFERROR(__xludf.DUMMYFUNCTION("""COMPUTED_VALUE"""),5000)</f>
        <v>5000</v>
      </c>
      <c r="C244" s="2">
        <f ca="1">IFERROR(__xludf.DUMMYFUNCTION("""COMPUTED_VALUE"""),5025)</f>
        <v>5025</v>
      </c>
      <c r="D244" s="2">
        <f ca="1">IFERROR(__xludf.DUMMYFUNCTION("""COMPUTED_VALUE"""),4975)</f>
        <v>4975</v>
      </c>
      <c r="E244" s="2">
        <f ca="1">IFERROR(__xludf.DUMMYFUNCTION("""COMPUTED_VALUE"""),4990)</f>
        <v>4990</v>
      </c>
      <c r="F244" s="2">
        <f ca="1">IFERROR(__xludf.DUMMYFUNCTION("""COMPUTED_VALUE"""),5899100)</f>
        <v>5899100</v>
      </c>
    </row>
    <row r="245" spans="1:6">
      <c r="A245" s="1">
        <f ca="1">IFERROR(__xludf.DUMMYFUNCTION("""COMPUTED_VALUE"""),42368.625)</f>
        <v>42368.625</v>
      </c>
      <c r="B245" s="2">
        <f ca="1">IFERROR(__xludf.DUMMYFUNCTION("""COMPUTED_VALUE"""),5000)</f>
        <v>5000</v>
      </c>
      <c r="C245" s="2">
        <f ca="1">IFERROR(__xludf.DUMMYFUNCTION("""COMPUTED_VALUE"""),5050)</f>
        <v>5050</v>
      </c>
      <c r="D245" s="2">
        <f ca="1">IFERROR(__xludf.DUMMYFUNCTION("""COMPUTED_VALUE"""),4985)</f>
        <v>4985</v>
      </c>
      <c r="E245" s="2">
        <f ca="1">IFERROR(__xludf.DUMMYFUNCTION("""COMPUTED_VALUE"""),4990)</f>
        <v>4990</v>
      </c>
      <c r="F245" s="2">
        <f ca="1">IFERROR(__xludf.DUMMYFUNCTION("""COMPUTED_VALUE"""),19955800)</f>
        <v>19955800</v>
      </c>
    </row>
    <row r="246" spans="1:6">
      <c r="A246" s="1">
        <f ca="1">IFERROR(__xludf.DUMMYFUNCTION("""COMPUTED_VALUE"""),42373.625)</f>
        <v>42373.625</v>
      </c>
      <c r="B246" s="2">
        <f ca="1">IFERROR(__xludf.DUMMYFUNCTION("""COMPUTED_VALUE"""),4990)</f>
        <v>4990</v>
      </c>
      <c r="C246" s="2">
        <f ca="1">IFERROR(__xludf.DUMMYFUNCTION("""COMPUTED_VALUE"""),5025)</f>
        <v>5025</v>
      </c>
      <c r="D246" s="2">
        <f ca="1">IFERROR(__xludf.DUMMYFUNCTION("""COMPUTED_VALUE"""),4885)</f>
        <v>4885</v>
      </c>
      <c r="E246" s="2">
        <f ca="1">IFERROR(__xludf.DUMMYFUNCTION("""COMPUTED_VALUE"""),4890)</f>
        <v>4890</v>
      </c>
      <c r="F246" s="2">
        <f ca="1">IFERROR(__xludf.DUMMYFUNCTION("""COMPUTED_VALUE"""),13664000)</f>
        <v>13664000</v>
      </c>
    </row>
    <row r="247" spans="1:6">
      <c r="A247" s="1">
        <f ca="1">IFERROR(__xludf.DUMMYFUNCTION("""COMPUTED_VALUE"""),42374.625)</f>
        <v>42374.625</v>
      </c>
      <c r="B247" s="2">
        <f ca="1">IFERROR(__xludf.DUMMYFUNCTION("""COMPUTED_VALUE"""),4890)</f>
        <v>4890</v>
      </c>
      <c r="C247" s="2">
        <f ca="1">IFERROR(__xludf.DUMMYFUNCTION("""COMPUTED_VALUE"""),4975)</f>
        <v>4975</v>
      </c>
      <c r="D247" s="2">
        <f ca="1">IFERROR(__xludf.DUMMYFUNCTION("""COMPUTED_VALUE"""),4890)</f>
        <v>4890</v>
      </c>
      <c r="E247" s="2">
        <f ca="1">IFERROR(__xludf.DUMMYFUNCTION("""COMPUTED_VALUE"""),4950)</f>
        <v>4950</v>
      </c>
      <c r="F247" s="2">
        <f ca="1">IFERROR(__xludf.DUMMYFUNCTION("""COMPUTED_VALUE"""),26464400)</f>
        <v>26464400</v>
      </c>
    </row>
    <row r="248" spans="1:6">
      <c r="A248" s="1">
        <f ca="1">IFERROR(__xludf.DUMMYFUNCTION("""COMPUTED_VALUE"""),42375.625)</f>
        <v>42375.625</v>
      </c>
      <c r="B248" s="2">
        <f ca="1">IFERROR(__xludf.DUMMYFUNCTION("""COMPUTED_VALUE"""),4960)</f>
        <v>4960</v>
      </c>
      <c r="C248" s="2">
        <f ca="1">IFERROR(__xludf.DUMMYFUNCTION("""COMPUTED_VALUE"""),5200)</f>
        <v>5200</v>
      </c>
      <c r="D248" s="2">
        <f ca="1">IFERROR(__xludf.DUMMYFUNCTION("""COMPUTED_VALUE"""),4935)</f>
        <v>4935</v>
      </c>
      <c r="E248" s="2">
        <f ca="1">IFERROR(__xludf.DUMMYFUNCTION("""COMPUTED_VALUE"""),5050)</f>
        <v>5050</v>
      </c>
      <c r="F248" s="2">
        <f ca="1">IFERROR(__xludf.DUMMYFUNCTION("""COMPUTED_VALUE"""),36383200)</f>
        <v>36383200</v>
      </c>
    </row>
    <row r="249" spans="1:6">
      <c r="A249" s="1">
        <f ca="1">IFERROR(__xludf.DUMMYFUNCTION("""COMPUTED_VALUE"""),42376.625)</f>
        <v>42376.625</v>
      </c>
      <c r="B249" s="2">
        <f ca="1">IFERROR(__xludf.DUMMYFUNCTION("""COMPUTED_VALUE"""),5000)</f>
        <v>5000</v>
      </c>
      <c r="C249" s="2">
        <f ca="1">IFERROR(__xludf.DUMMYFUNCTION("""COMPUTED_VALUE"""),5075)</f>
        <v>5075</v>
      </c>
      <c r="D249" s="2">
        <f ca="1">IFERROR(__xludf.DUMMYFUNCTION("""COMPUTED_VALUE"""),4985)</f>
        <v>4985</v>
      </c>
      <c r="E249" s="2">
        <f ca="1">IFERROR(__xludf.DUMMYFUNCTION("""COMPUTED_VALUE"""),4985)</f>
        <v>4985</v>
      </c>
      <c r="F249" s="2">
        <f ca="1">IFERROR(__xludf.DUMMYFUNCTION("""COMPUTED_VALUE"""),18649900)</f>
        <v>18649900</v>
      </c>
    </row>
    <row r="250" spans="1:6">
      <c r="A250" s="1">
        <f ca="1">IFERROR(__xludf.DUMMYFUNCTION("""COMPUTED_VALUE"""),42377.625)</f>
        <v>42377.625</v>
      </c>
      <c r="B250" s="2">
        <f ca="1">IFERROR(__xludf.DUMMYFUNCTION("""COMPUTED_VALUE"""),5000)</f>
        <v>5000</v>
      </c>
      <c r="C250" s="2">
        <f ca="1">IFERROR(__xludf.DUMMYFUNCTION("""COMPUTED_VALUE"""),5050)</f>
        <v>5050</v>
      </c>
      <c r="D250" s="2">
        <f ca="1">IFERROR(__xludf.DUMMYFUNCTION("""COMPUTED_VALUE"""),4975)</f>
        <v>4975</v>
      </c>
      <c r="E250" s="2">
        <f ca="1">IFERROR(__xludf.DUMMYFUNCTION("""COMPUTED_VALUE"""),5000)</f>
        <v>5000</v>
      </c>
      <c r="F250" s="2">
        <f ca="1">IFERROR(__xludf.DUMMYFUNCTION("""COMPUTED_VALUE"""),24349200)</f>
        <v>24349200</v>
      </c>
    </row>
    <row r="251" spans="1:6">
      <c r="A251" s="1">
        <f ca="1">IFERROR(__xludf.DUMMYFUNCTION("""COMPUTED_VALUE"""),42380.625)</f>
        <v>42380.625</v>
      </c>
      <c r="B251" s="2">
        <f ca="1">IFERROR(__xludf.DUMMYFUNCTION("""COMPUTED_VALUE"""),4975)</f>
        <v>4975</v>
      </c>
      <c r="C251" s="2">
        <f ca="1">IFERROR(__xludf.DUMMYFUNCTION("""COMPUTED_VALUE"""),4975)</f>
        <v>4975</v>
      </c>
      <c r="D251" s="2">
        <f ca="1">IFERROR(__xludf.DUMMYFUNCTION("""COMPUTED_VALUE"""),4925)</f>
        <v>4925</v>
      </c>
      <c r="E251" s="2">
        <f ca="1">IFERROR(__xludf.DUMMYFUNCTION("""COMPUTED_VALUE"""),4935)</f>
        <v>4935</v>
      </c>
      <c r="F251" s="2">
        <f ca="1">IFERROR(__xludf.DUMMYFUNCTION("""COMPUTED_VALUE"""),21524500)</f>
        <v>21524500</v>
      </c>
    </row>
    <row r="252" spans="1:6">
      <c r="A252" s="1">
        <f ca="1">IFERROR(__xludf.DUMMYFUNCTION("""COMPUTED_VALUE"""),42381.625)</f>
        <v>42381.625</v>
      </c>
      <c r="B252" s="2">
        <f ca="1">IFERROR(__xludf.DUMMYFUNCTION("""COMPUTED_VALUE"""),4975)</f>
        <v>4975</v>
      </c>
      <c r="C252" s="2">
        <f ca="1">IFERROR(__xludf.DUMMYFUNCTION("""COMPUTED_VALUE"""),5000)</f>
        <v>5000</v>
      </c>
      <c r="D252" s="2">
        <f ca="1">IFERROR(__xludf.DUMMYFUNCTION("""COMPUTED_VALUE"""),4920)</f>
        <v>4920</v>
      </c>
      <c r="E252" s="2">
        <f ca="1">IFERROR(__xludf.DUMMYFUNCTION("""COMPUTED_VALUE"""),4920)</f>
        <v>4920</v>
      </c>
      <c r="F252" s="2">
        <f ca="1">IFERROR(__xludf.DUMMYFUNCTION("""COMPUTED_VALUE"""),21758500)</f>
        <v>21758500</v>
      </c>
    </row>
    <row r="253" spans="1:6">
      <c r="A253" s="1">
        <f ca="1">IFERROR(__xludf.DUMMYFUNCTION("""COMPUTED_VALUE"""),42382.625)</f>
        <v>42382.625</v>
      </c>
      <c r="B253" s="2">
        <f ca="1">IFERROR(__xludf.DUMMYFUNCTION("""COMPUTED_VALUE"""),4990)</f>
        <v>4990</v>
      </c>
      <c r="C253" s="2">
        <f ca="1">IFERROR(__xludf.DUMMYFUNCTION("""COMPUTED_VALUE"""),5025)</f>
        <v>5025</v>
      </c>
      <c r="D253" s="2">
        <f ca="1">IFERROR(__xludf.DUMMYFUNCTION("""COMPUTED_VALUE"""),4945)</f>
        <v>4945</v>
      </c>
      <c r="E253" s="2">
        <f ca="1">IFERROR(__xludf.DUMMYFUNCTION("""COMPUTED_VALUE"""),4985)</f>
        <v>4985</v>
      </c>
      <c r="F253" s="2">
        <f ca="1">IFERROR(__xludf.DUMMYFUNCTION("""COMPUTED_VALUE"""),25416000)</f>
        <v>25416000</v>
      </c>
    </row>
    <row r="254" spans="1:6">
      <c r="A254" s="1">
        <f ca="1">IFERROR(__xludf.DUMMYFUNCTION("""COMPUTED_VALUE"""),42383.625)</f>
        <v>42383.625</v>
      </c>
      <c r="B254" s="2">
        <f ca="1">IFERROR(__xludf.DUMMYFUNCTION("""COMPUTED_VALUE"""),4930)</f>
        <v>4930</v>
      </c>
      <c r="C254" s="2">
        <f ca="1">IFERROR(__xludf.DUMMYFUNCTION("""COMPUTED_VALUE"""),5050)</f>
        <v>5050</v>
      </c>
      <c r="D254" s="2">
        <f ca="1">IFERROR(__xludf.DUMMYFUNCTION("""COMPUTED_VALUE"""),4885)</f>
        <v>4885</v>
      </c>
      <c r="E254" s="2">
        <f ca="1">IFERROR(__xludf.DUMMYFUNCTION("""COMPUTED_VALUE"""),5025)</f>
        <v>5025</v>
      </c>
      <c r="F254" s="2">
        <f ca="1">IFERROR(__xludf.DUMMYFUNCTION("""COMPUTED_VALUE"""),46652800)</f>
        <v>46652800</v>
      </c>
    </row>
    <row r="255" spans="1:6">
      <c r="A255" s="1">
        <f ca="1">IFERROR(__xludf.DUMMYFUNCTION("""COMPUTED_VALUE"""),42384.625)</f>
        <v>42384.625</v>
      </c>
      <c r="B255" s="2">
        <f ca="1">IFERROR(__xludf.DUMMYFUNCTION("""COMPUTED_VALUE"""),5050)</f>
        <v>5050</v>
      </c>
      <c r="C255" s="2">
        <f ca="1">IFERROR(__xludf.DUMMYFUNCTION("""COMPUTED_VALUE"""),5075)</f>
        <v>5075</v>
      </c>
      <c r="D255" s="2">
        <f ca="1">IFERROR(__xludf.DUMMYFUNCTION("""COMPUTED_VALUE"""),4975)</f>
        <v>4975</v>
      </c>
      <c r="E255" s="2">
        <f ca="1">IFERROR(__xludf.DUMMYFUNCTION("""COMPUTED_VALUE"""),4975)</f>
        <v>4975</v>
      </c>
      <c r="F255" s="2">
        <f ca="1">IFERROR(__xludf.DUMMYFUNCTION("""COMPUTED_VALUE"""),18453700)</f>
        <v>18453700</v>
      </c>
    </row>
    <row r="256" spans="1:6">
      <c r="A256" s="1">
        <f ca="1">IFERROR(__xludf.DUMMYFUNCTION("""COMPUTED_VALUE"""),42387.625)</f>
        <v>42387.625</v>
      </c>
      <c r="B256" s="2">
        <f ca="1">IFERROR(__xludf.DUMMYFUNCTION("""COMPUTED_VALUE"""),4930)</f>
        <v>4930</v>
      </c>
      <c r="C256" s="2">
        <f ca="1">IFERROR(__xludf.DUMMYFUNCTION("""COMPUTED_VALUE"""),4970)</f>
        <v>4970</v>
      </c>
      <c r="D256" s="2">
        <f ca="1">IFERROR(__xludf.DUMMYFUNCTION("""COMPUTED_VALUE"""),4915)</f>
        <v>4915</v>
      </c>
      <c r="E256" s="2">
        <f ca="1">IFERROR(__xludf.DUMMYFUNCTION("""COMPUTED_VALUE"""),4920)</f>
        <v>4920</v>
      </c>
      <c r="F256" s="2">
        <f ca="1">IFERROR(__xludf.DUMMYFUNCTION("""COMPUTED_VALUE"""),23961300)</f>
        <v>23961300</v>
      </c>
    </row>
    <row r="257" spans="1:6">
      <c r="A257" s="1">
        <f ca="1">IFERROR(__xludf.DUMMYFUNCTION("""COMPUTED_VALUE"""),42388.625)</f>
        <v>42388.625</v>
      </c>
      <c r="B257" s="2">
        <f ca="1">IFERROR(__xludf.DUMMYFUNCTION("""COMPUTED_VALUE"""),4920)</f>
        <v>4920</v>
      </c>
      <c r="C257" s="2">
        <f ca="1">IFERROR(__xludf.DUMMYFUNCTION("""COMPUTED_VALUE"""),4960)</f>
        <v>4960</v>
      </c>
      <c r="D257" s="2">
        <f ca="1">IFERROR(__xludf.DUMMYFUNCTION("""COMPUTED_VALUE"""),4910)</f>
        <v>4910</v>
      </c>
      <c r="E257" s="2">
        <f ca="1">IFERROR(__xludf.DUMMYFUNCTION("""COMPUTED_VALUE"""),4960)</f>
        <v>4960</v>
      </c>
      <c r="F257" s="2">
        <f ca="1">IFERROR(__xludf.DUMMYFUNCTION("""COMPUTED_VALUE"""),9841000)</f>
        <v>9841000</v>
      </c>
    </row>
    <row r="258" spans="1:6">
      <c r="A258" s="1">
        <f ca="1">IFERROR(__xludf.DUMMYFUNCTION("""COMPUTED_VALUE"""),42389.625)</f>
        <v>42389.625</v>
      </c>
      <c r="B258" s="2">
        <f ca="1">IFERROR(__xludf.DUMMYFUNCTION("""COMPUTED_VALUE"""),4940)</f>
        <v>4940</v>
      </c>
      <c r="C258" s="2">
        <f ca="1">IFERROR(__xludf.DUMMYFUNCTION("""COMPUTED_VALUE"""),4945)</f>
        <v>4945</v>
      </c>
      <c r="D258" s="2">
        <f ca="1">IFERROR(__xludf.DUMMYFUNCTION("""COMPUTED_VALUE"""),4850)</f>
        <v>4850</v>
      </c>
      <c r="E258" s="2">
        <f ca="1">IFERROR(__xludf.DUMMYFUNCTION("""COMPUTED_VALUE"""),4850)</f>
        <v>4850</v>
      </c>
      <c r="F258" s="2">
        <f ca="1">IFERROR(__xludf.DUMMYFUNCTION("""COMPUTED_VALUE"""),33404700)</f>
        <v>33404700</v>
      </c>
    </row>
    <row r="259" spans="1:6">
      <c r="A259" s="1">
        <f ca="1">IFERROR(__xludf.DUMMYFUNCTION("""COMPUTED_VALUE"""),42390.625)</f>
        <v>42390.625</v>
      </c>
      <c r="B259" s="2">
        <f ca="1">IFERROR(__xludf.DUMMYFUNCTION("""COMPUTED_VALUE"""),4875)</f>
        <v>4875</v>
      </c>
      <c r="C259" s="2">
        <f ca="1">IFERROR(__xludf.DUMMYFUNCTION("""COMPUTED_VALUE"""),4925)</f>
        <v>4925</v>
      </c>
      <c r="D259" s="2">
        <f ca="1">IFERROR(__xludf.DUMMYFUNCTION("""COMPUTED_VALUE"""),4865)</f>
        <v>4865</v>
      </c>
      <c r="E259" s="2">
        <f ca="1">IFERROR(__xludf.DUMMYFUNCTION("""COMPUTED_VALUE"""),4870)</f>
        <v>4870</v>
      </c>
      <c r="F259" s="2">
        <f ca="1">IFERROR(__xludf.DUMMYFUNCTION("""COMPUTED_VALUE"""),17101900)</f>
        <v>17101900</v>
      </c>
    </row>
    <row r="260" spans="1:6">
      <c r="A260" s="1">
        <f ca="1">IFERROR(__xludf.DUMMYFUNCTION("""COMPUTED_VALUE"""),42391.625)</f>
        <v>42391.625</v>
      </c>
      <c r="B260" s="2">
        <f ca="1">IFERROR(__xludf.DUMMYFUNCTION("""COMPUTED_VALUE"""),4925)</f>
        <v>4925</v>
      </c>
      <c r="C260" s="2">
        <f ca="1">IFERROR(__xludf.DUMMYFUNCTION("""COMPUTED_VALUE"""),5025)</f>
        <v>5025</v>
      </c>
      <c r="D260" s="2">
        <f ca="1">IFERROR(__xludf.DUMMYFUNCTION("""COMPUTED_VALUE"""),4920)</f>
        <v>4920</v>
      </c>
      <c r="E260" s="2">
        <f ca="1">IFERROR(__xludf.DUMMYFUNCTION("""COMPUTED_VALUE"""),5000)</f>
        <v>5000</v>
      </c>
      <c r="F260" s="2">
        <f ca="1">IFERROR(__xludf.DUMMYFUNCTION("""COMPUTED_VALUE"""),35582700)</f>
        <v>35582700</v>
      </c>
    </row>
    <row r="261" spans="1:6">
      <c r="A261" s="1">
        <f ca="1">IFERROR(__xludf.DUMMYFUNCTION("""COMPUTED_VALUE"""),42394.625)</f>
        <v>42394.625</v>
      </c>
      <c r="B261" s="2">
        <f ca="1">IFERROR(__xludf.DUMMYFUNCTION("""COMPUTED_VALUE"""),5050)</f>
        <v>5050</v>
      </c>
      <c r="C261" s="2">
        <f ca="1">IFERROR(__xludf.DUMMYFUNCTION("""COMPUTED_VALUE"""),5150)</f>
        <v>5150</v>
      </c>
      <c r="D261" s="2">
        <f ca="1">IFERROR(__xludf.DUMMYFUNCTION("""COMPUTED_VALUE"""),5000)</f>
        <v>5000</v>
      </c>
      <c r="E261" s="2">
        <f ca="1">IFERROR(__xludf.DUMMYFUNCTION("""COMPUTED_VALUE"""),5025)</f>
        <v>5025</v>
      </c>
      <c r="F261" s="2">
        <f ca="1">IFERROR(__xludf.DUMMYFUNCTION("""COMPUTED_VALUE"""),42397600)</f>
        <v>42397600</v>
      </c>
    </row>
    <row r="262" spans="1:6">
      <c r="A262" s="1">
        <f ca="1">IFERROR(__xludf.DUMMYFUNCTION("""COMPUTED_VALUE"""),42395.625)</f>
        <v>42395.625</v>
      </c>
      <c r="B262" s="2">
        <f ca="1">IFERROR(__xludf.DUMMYFUNCTION("""COMPUTED_VALUE"""),4980)</f>
        <v>4980</v>
      </c>
      <c r="C262" s="2">
        <f ca="1">IFERROR(__xludf.DUMMYFUNCTION("""COMPUTED_VALUE"""),5025)</f>
        <v>5025</v>
      </c>
      <c r="D262" s="2">
        <f ca="1">IFERROR(__xludf.DUMMYFUNCTION("""COMPUTED_VALUE"""),4905)</f>
        <v>4905</v>
      </c>
      <c r="E262" s="2">
        <f ca="1">IFERROR(__xludf.DUMMYFUNCTION("""COMPUTED_VALUE"""),4930)</f>
        <v>4930</v>
      </c>
      <c r="F262" s="2">
        <f ca="1">IFERROR(__xludf.DUMMYFUNCTION("""COMPUTED_VALUE"""),26390100)</f>
        <v>26390100</v>
      </c>
    </row>
    <row r="263" spans="1:6">
      <c r="A263" s="1">
        <f ca="1">IFERROR(__xludf.DUMMYFUNCTION("""COMPUTED_VALUE"""),42396.625)</f>
        <v>42396.625</v>
      </c>
      <c r="B263" s="2">
        <f ca="1">IFERROR(__xludf.DUMMYFUNCTION("""COMPUTED_VALUE"""),4960)</f>
        <v>4960</v>
      </c>
      <c r="C263" s="2">
        <f ca="1">IFERROR(__xludf.DUMMYFUNCTION("""COMPUTED_VALUE"""),4985)</f>
        <v>4985</v>
      </c>
      <c r="D263" s="2">
        <f ca="1">IFERROR(__xludf.DUMMYFUNCTION("""COMPUTED_VALUE"""),4915)</f>
        <v>4915</v>
      </c>
      <c r="E263" s="2">
        <f ca="1">IFERROR(__xludf.DUMMYFUNCTION("""COMPUTED_VALUE"""),4950)</f>
        <v>4950</v>
      </c>
      <c r="F263" s="2">
        <f ca="1">IFERROR(__xludf.DUMMYFUNCTION("""COMPUTED_VALUE"""),17876800)</f>
        <v>17876800</v>
      </c>
    </row>
    <row r="264" spans="1:6">
      <c r="A264" s="1">
        <f ca="1">IFERROR(__xludf.DUMMYFUNCTION("""COMPUTED_VALUE"""),42397.625)</f>
        <v>42397.625</v>
      </c>
      <c r="B264" s="2">
        <f ca="1">IFERROR(__xludf.DUMMYFUNCTION("""COMPUTED_VALUE"""),4950)</f>
        <v>4950</v>
      </c>
      <c r="C264" s="2">
        <f ca="1">IFERROR(__xludf.DUMMYFUNCTION("""COMPUTED_VALUE"""),4965)</f>
        <v>4965</v>
      </c>
      <c r="D264" s="2">
        <f ca="1">IFERROR(__xludf.DUMMYFUNCTION("""COMPUTED_VALUE"""),4905)</f>
        <v>4905</v>
      </c>
      <c r="E264" s="2">
        <f ca="1">IFERROR(__xludf.DUMMYFUNCTION("""COMPUTED_VALUE"""),4960)</f>
        <v>4960</v>
      </c>
      <c r="F264" s="2">
        <f ca="1">IFERROR(__xludf.DUMMYFUNCTION("""COMPUTED_VALUE"""),22210200)</f>
        <v>22210200</v>
      </c>
    </row>
    <row r="265" spans="1:6">
      <c r="A265" s="1">
        <f ca="1">IFERROR(__xludf.DUMMYFUNCTION("""COMPUTED_VALUE"""),42398.625)</f>
        <v>42398.625</v>
      </c>
      <c r="B265" s="2">
        <f ca="1">IFERROR(__xludf.DUMMYFUNCTION("""COMPUTED_VALUE"""),4960)</f>
        <v>4960</v>
      </c>
      <c r="C265" s="2">
        <f ca="1">IFERROR(__xludf.DUMMYFUNCTION("""COMPUTED_VALUE"""),4980)</f>
        <v>4980</v>
      </c>
      <c r="D265" s="2">
        <f ca="1">IFERROR(__xludf.DUMMYFUNCTION("""COMPUTED_VALUE"""),4875)</f>
        <v>4875</v>
      </c>
      <c r="E265" s="2">
        <f ca="1">IFERROR(__xludf.DUMMYFUNCTION("""COMPUTED_VALUE"""),4910)</f>
        <v>4910</v>
      </c>
      <c r="F265" s="2">
        <f ca="1">IFERROR(__xludf.DUMMYFUNCTION("""COMPUTED_VALUE"""),50066800)</f>
        <v>50066800</v>
      </c>
    </row>
    <row r="266" spans="1:6">
      <c r="A266" s="1">
        <f ca="1">IFERROR(__xludf.DUMMYFUNCTION("""COMPUTED_VALUE"""),42401.625)</f>
        <v>42401.625</v>
      </c>
      <c r="B266" s="2">
        <f ca="1">IFERROR(__xludf.DUMMYFUNCTION("""COMPUTED_VALUE"""),4950)</f>
        <v>4950</v>
      </c>
      <c r="C266" s="2">
        <f ca="1">IFERROR(__xludf.DUMMYFUNCTION("""COMPUTED_VALUE"""),4955)</f>
        <v>4955</v>
      </c>
      <c r="D266" s="2">
        <f ca="1">IFERROR(__xludf.DUMMYFUNCTION("""COMPUTED_VALUE"""),4835)</f>
        <v>4835</v>
      </c>
      <c r="E266" s="2">
        <f ca="1">IFERROR(__xludf.DUMMYFUNCTION("""COMPUTED_VALUE"""),4880)</f>
        <v>4880</v>
      </c>
      <c r="F266" s="2">
        <f ca="1">IFERROR(__xludf.DUMMYFUNCTION("""COMPUTED_VALUE"""),38571400)</f>
        <v>38571400</v>
      </c>
    </row>
    <row r="267" spans="1:6">
      <c r="A267" s="1">
        <f ca="1">IFERROR(__xludf.DUMMYFUNCTION("""COMPUTED_VALUE"""),42402.625)</f>
        <v>42402.625</v>
      </c>
      <c r="B267" s="2">
        <f ca="1">IFERROR(__xludf.DUMMYFUNCTION("""COMPUTED_VALUE"""),4880)</f>
        <v>4880</v>
      </c>
      <c r="C267" s="2">
        <f ca="1">IFERROR(__xludf.DUMMYFUNCTION("""COMPUTED_VALUE"""),4925)</f>
        <v>4925</v>
      </c>
      <c r="D267" s="2">
        <f ca="1">IFERROR(__xludf.DUMMYFUNCTION("""COMPUTED_VALUE"""),4875)</f>
        <v>4875</v>
      </c>
      <c r="E267" s="2">
        <f ca="1">IFERROR(__xludf.DUMMYFUNCTION("""COMPUTED_VALUE"""),4890)</f>
        <v>4890</v>
      </c>
      <c r="F267" s="2">
        <f ca="1">IFERROR(__xludf.DUMMYFUNCTION("""COMPUTED_VALUE"""),16567900)</f>
        <v>16567900</v>
      </c>
    </row>
    <row r="268" spans="1:6">
      <c r="A268" s="1">
        <f ca="1">IFERROR(__xludf.DUMMYFUNCTION("""COMPUTED_VALUE"""),42403.625)</f>
        <v>42403.625</v>
      </c>
      <c r="B268" s="2">
        <f ca="1">IFERROR(__xludf.DUMMYFUNCTION("""COMPUTED_VALUE"""),4845)</f>
        <v>4845</v>
      </c>
      <c r="C268" s="2">
        <f ca="1">IFERROR(__xludf.DUMMYFUNCTION("""COMPUTED_VALUE"""),4880)</f>
        <v>4880</v>
      </c>
      <c r="D268" s="2">
        <f ca="1">IFERROR(__xludf.DUMMYFUNCTION("""COMPUTED_VALUE"""),4840)</f>
        <v>4840</v>
      </c>
      <c r="E268" s="2">
        <f ca="1">IFERROR(__xludf.DUMMYFUNCTION("""COMPUTED_VALUE"""),4870)</f>
        <v>4870</v>
      </c>
      <c r="F268" s="2">
        <f ca="1">IFERROR(__xludf.DUMMYFUNCTION("""COMPUTED_VALUE"""),33171500)</f>
        <v>33171500</v>
      </c>
    </row>
    <row r="269" spans="1:6">
      <c r="A269" s="1">
        <f ca="1">IFERROR(__xludf.DUMMYFUNCTION("""COMPUTED_VALUE"""),42404.625)</f>
        <v>42404.625</v>
      </c>
      <c r="B269" s="2">
        <f ca="1">IFERROR(__xludf.DUMMYFUNCTION("""COMPUTED_VALUE"""),4905)</f>
        <v>4905</v>
      </c>
      <c r="C269" s="2">
        <f ca="1">IFERROR(__xludf.DUMMYFUNCTION("""COMPUTED_VALUE"""),4955)</f>
        <v>4955</v>
      </c>
      <c r="D269" s="2">
        <f ca="1">IFERROR(__xludf.DUMMYFUNCTION("""COMPUTED_VALUE"""),4890)</f>
        <v>4890</v>
      </c>
      <c r="E269" s="2">
        <f ca="1">IFERROR(__xludf.DUMMYFUNCTION("""COMPUTED_VALUE"""),4950)</f>
        <v>4950</v>
      </c>
      <c r="F269" s="2">
        <f ca="1">IFERROR(__xludf.DUMMYFUNCTION("""COMPUTED_VALUE"""),33352200)</f>
        <v>33352200</v>
      </c>
    </row>
    <row r="270" spans="1:6">
      <c r="A270" s="1">
        <f ca="1">IFERROR(__xludf.DUMMYFUNCTION("""COMPUTED_VALUE"""),42405.625)</f>
        <v>42405.625</v>
      </c>
      <c r="B270" s="2">
        <f ca="1">IFERROR(__xludf.DUMMYFUNCTION("""COMPUTED_VALUE"""),4960)</f>
        <v>4960</v>
      </c>
      <c r="C270" s="2">
        <f ca="1">IFERROR(__xludf.DUMMYFUNCTION("""COMPUTED_VALUE"""),5325)</f>
        <v>5325</v>
      </c>
      <c r="D270" s="2">
        <f ca="1">IFERROR(__xludf.DUMMYFUNCTION("""COMPUTED_VALUE"""),4955)</f>
        <v>4955</v>
      </c>
      <c r="E270" s="2">
        <f ca="1">IFERROR(__xludf.DUMMYFUNCTION("""COMPUTED_VALUE"""),5275)</f>
        <v>5275</v>
      </c>
      <c r="F270" s="2">
        <f ca="1">IFERROR(__xludf.DUMMYFUNCTION("""COMPUTED_VALUE"""),113305100)</f>
        <v>113305100</v>
      </c>
    </row>
    <row r="271" spans="1:6">
      <c r="A271" s="1">
        <f ca="1">IFERROR(__xludf.DUMMYFUNCTION("""COMPUTED_VALUE"""),42409.625)</f>
        <v>42409.625</v>
      </c>
      <c r="B271" s="2">
        <f ca="1">IFERROR(__xludf.DUMMYFUNCTION("""COMPUTED_VALUE"""),5225)</f>
        <v>5225</v>
      </c>
      <c r="C271" s="2">
        <f ca="1">IFERROR(__xludf.DUMMYFUNCTION("""COMPUTED_VALUE"""),5425)</f>
        <v>5425</v>
      </c>
      <c r="D271" s="2">
        <f ca="1">IFERROR(__xludf.DUMMYFUNCTION("""COMPUTED_VALUE"""),5200)</f>
        <v>5200</v>
      </c>
      <c r="E271" s="2">
        <f ca="1">IFERROR(__xludf.DUMMYFUNCTION("""COMPUTED_VALUE"""),5300)</f>
        <v>5300</v>
      </c>
      <c r="F271" s="2">
        <f ca="1">IFERROR(__xludf.DUMMYFUNCTION("""COMPUTED_VALUE"""),56088700)</f>
        <v>56088700</v>
      </c>
    </row>
    <row r="272" spans="1:6">
      <c r="A272" s="1">
        <f ca="1">IFERROR(__xludf.DUMMYFUNCTION("""COMPUTED_VALUE"""),42410.625)</f>
        <v>42410.625</v>
      </c>
      <c r="B272" s="2">
        <f ca="1">IFERROR(__xludf.DUMMYFUNCTION("""COMPUTED_VALUE"""),5250)</f>
        <v>5250</v>
      </c>
      <c r="C272" s="2">
        <f ca="1">IFERROR(__xludf.DUMMYFUNCTION("""COMPUTED_VALUE"""),5375)</f>
        <v>5375</v>
      </c>
      <c r="D272" s="2">
        <f ca="1">IFERROR(__xludf.DUMMYFUNCTION("""COMPUTED_VALUE"""),5250)</f>
        <v>5250</v>
      </c>
      <c r="E272" s="2">
        <f ca="1">IFERROR(__xludf.DUMMYFUNCTION("""COMPUTED_VALUE"""),5325)</f>
        <v>5325</v>
      </c>
      <c r="F272" s="2">
        <f ca="1">IFERROR(__xludf.DUMMYFUNCTION("""COMPUTED_VALUE"""),17263000)</f>
        <v>17263000</v>
      </c>
    </row>
    <row r="273" spans="1:6">
      <c r="A273" s="1">
        <f ca="1">IFERROR(__xludf.DUMMYFUNCTION("""COMPUTED_VALUE"""),42411.625)</f>
        <v>42411.625</v>
      </c>
      <c r="B273" s="2">
        <f ca="1">IFERROR(__xludf.DUMMYFUNCTION("""COMPUTED_VALUE"""),5300)</f>
        <v>5300</v>
      </c>
      <c r="C273" s="2">
        <f ca="1">IFERROR(__xludf.DUMMYFUNCTION("""COMPUTED_VALUE"""),5500)</f>
        <v>5500</v>
      </c>
      <c r="D273" s="2">
        <f ca="1">IFERROR(__xludf.DUMMYFUNCTION("""COMPUTED_VALUE"""),5300)</f>
        <v>5300</v>
      </c>
      <c r="E273" s="2">
        <f ca="1">IFERROR(__xludf.DUMMYFUNCTION("""COMPUTED_VALUE"""),5400)</f>
        <v>5400</v>
      </c>
      <c r="F273" s="2">
        <f ca="1">IFERROR(__xludf.DUMMYFUNCTION("""COMPUTED_VALUE"""),55328900)</f>
        <v>55328900</v>
      </c>
    </row>
    <row r="274" spans="1:6">
      <c r="A274" s="1">
        <f ca="1">IFERROR(__xludf.DUMMYFUNCTION("""COMPUTED_VALUE"""),42412.625)</f>
        <v>42412.625</v>
      </c>
      <c r="B274" s="2">
        <f ca="1">IFERROR(__xludf.DUMMYFUNCTION("""COMPUTED_VALUE"""),5350)</f>
        <v>5350</v>
      </c>
      <c r="C274" s="2">
        <f ca="1">IFERROR(__xludf.DUMMYFUNCTION("""COMPUTED_VALUE"""),5500)</f>
        <v>5500</v>
      </c>
      <c r="D274" s="2">
        <f ca="1">IFERROR(__xludf.DUMMYFUNCTION("""COMPUTED_VALUE"""),5275)</f>
        <v>5275</v>
      </c>
      <c r="E274" s="2">
        <f ca="1">IFERROR(__xludf.DUMMYFUNCTION("""COMPUTED_VALUE"""),5275)</f>
        <v>5275</v>
      </c>
      <c r="F274" s="2">
        <f ca="1">IFERROR(__xludf.DUMMYFUNCTION("""COMPUTED_VALUE"""),25989000)</f>
        <v>25989000</v>
      </c>
    </row>
    <row r="275" spans="1:6">
      <c r="A275" s="1">
        <f ca="1">IFERROR(__xludf.DUMMYFUNCTION("""COMPUTED_VALUE"""),42415.625)</f>
        <v>42415.625</v>
      </c>
      <c r="B275" s="2">
        <f ca="1">IFERROR(__xludf.DUMMYFUNCTION("""COMPUTED_VALUE"""),5375)</f>
        <v>5375</v>
      </c>
      <c r="C275" s="2">
        <f ca="1">IFERROR(__xludf.DUMMYFUNCTION("""COMPUTED_VALUE"""),5425)</f>
        <v>5425</v>
      </c>
      <c r="D275" s="2">
        <f ca="1">IFERROR(__xludf.DUMMYFUNCTION("""COMPUTED_VALUE"""),5350)</f>
        <v>5350</v>
      </c>
      <c r="E275" s="2">
        <f ca="1">IFERROR(__xludf.DUMMYFUNCTION("""COMPUTED_VALUE"""),5400)</f>
        <v>5400</v>
      </c>
      <c r="F275" s="2">
        <f ca="1">IFERROR(__xludf.DUMMYFUNCTION("""COMPUTED_VALUE"""),24619800)</f>
        <v>24619800</v>
      </c>
    </row>
    <row r="276" spans="1:6">
      <c r="A276" s="1">
        <f ca="1">IFERROR(__xludf.DUMMYFUNCTION("""COMPUTED_VALUE"""),42416.625)</f>
        <v>42416.625</v>
      </c>
      <c r="B276" s="2">
        <f ca="1">IFERROR(__xludf.DUMMYFUNCTION("""COMPUTED_VALUE"""),5375)</f>
        <v>5375</v>
      </c>
      <c r="C276" s="2">
        <f ca="1">IFERROR(__xludf.DUMMYFUNCTION("""COMPUTED_VALUE"""),5475)</f>
        <v>5475</v>
      </c>
      <c r="D276" s="2">
        <f ca="1">IFERROR(__xludf.DUMMYFUNCTION("""COMPUTED_VALUE"""),5325)</f>
        <v>5325</v>
      </c>
      <c r="E276" s="2">
        <f ca="1">IFERROR(__xludf.DUMMYFUNCTION("""COMPUTED_VALUE"""),5400)</f>
        <v>5400</v>
      </c>
      <c r="F276" s="2">
        <f ca="1">IFERROR(__xludf.DUMMYFUNCTION("""COMPUTED_VALUE"""),14706200)</f>
        <v>14706200</v>
      </c>
    </row>
    <row r="277" spans="1:6">
      <c r="A277" s="1">
        <f ca="1">IFERROR(__xludf.DUMMYFUNCTION("""COMPUTED_VALUE"""),42417.625)</f>
        <v>42417.625</v>
      </c>
      <c r="B277" s="2">
        <f ca="1">IFERROR(__xludf.DUMMYFUNCTION("""COMPUTED_VALUE"""),5425)</f>
        <v>5425</v>
      </c>
      <c r="C277" s="2">
        <f ca="1">IFERROR(__xludf.DUMMYFUNCTION("""COMPUTED_VALUE"""),5550)</f>
        <v>5550</v>
      </c>
      <c r="D277" s="2">
        <f ca="1">IFERROR(__xludf.DUMMYFUNCTION("""COMPUTED_VALUE"""),5400)</f>
        <v>5400</v>
      </c>
      <c r="E277" s="2">
        <f ca="1">IFERROR(__xludf.DUMMYFUNCTION("""COMPUTED_VALUE"""),5475)</f>
        <v>5475</v>
      </c>
      <c r="F277" s="2">
        <f ca="1">IFERROR(__xludf.DUMMYFUNCTION("""COMPUTED_VALUE"""),31709600)</f>
        <v>31709600</v>
      </c>
    </row>
    <row r="278" spans="1:6">
      <c r="A278" s="1">
        <f ca="1">IFERROR(__xludf.DUMMYFUNCTION("""COMPUTED_VALUE"""),42418.625)</f>
        <v>42418.625</v>
      </c>
      <c r="B278" s="2">
        <f ca="1">IFERROR(__xludf.DUMMYFUNCTION("""COMPUTED_VALUE"""),5550)</f>
        <v>5550</v>
      </c>
      <c r="C278" s="2">
        <f ca="1">IFERROR(__xludf.DUMMYFUNCTION("""COMPUTED_VALUE"""),5675)</f>
        <v>5675</v>
      </c>
      <c r="D278" s="2">
        <f ca="1">IFERROR(__xludf.DUMMYFUNCTION("""COMPUTED_VALUE"""),5450)</f>
        <v>5450</v>
      </c>
      <c r="E278" s="2">
        <f ca="1">IFERROR(__xludf.DUMMYFUNCTION("""COMPUTED_VALUE"""),5450)</f>
        <v>5450</v>
      </c>
      <c r="F278" s="2">
        <f ca="1">IFERROR(__xludf.DUMMYFUNCTION("""COMPUTED_VALUE"""),52620500)</f>
        <v>52620500</v>
      </c>
    </row>
    <row r="279" spans="1:6">
      <c r="A279" s="1">
        <f ca="1">IFERROR(__xludf.DUMMYFUNCTION("""COMPUTED_VALUE"""),42419.625)</f>
        <v>42419.625</v>
      </c>
      <c r="B279" s="2">
        <f ca="1">IFERROR(__xludf.DUMMYFUNCTION("""COMPUTED_VALUE"""),5150)</f>
        <v>5150</v>
      </c>
      <c r="C279" s="2">
        <f ca="1">IFERROR(__xludf.DUMMYFUNCTION("""COMPUTED_VALUE"""),5250)</f>
        <v>5250</v>
      </c>
      <c r="D279" s="2">
        <f ca="1">IFERROR(__xludf.DUMMYFUNCTION("""COMPUTED_VALUE"""),5100)</f>
        <v>5100</v>
      </c>
      <c r="E279" s="2">
        <f ca="1">IFERROR(__xludf.DUMMYFUNCTION("""COMPUTED_VALUE"""),5100)</f>
        <v>5100</v>
      </c>
      <c r="F279" s="2">
        <f ca="1">IFERROR(__xludf.DUMMYFUNCTION("""COMPUTED_VALUE"""),119551900)</f>
        <v>119551900</v>
      </c>
    </row>
    <row r="280" spans="1:6">
      <c r="A280" s="1">
        <f ca="1">IFERROR(__xludf.DUMMYFUNCTION("""COMPUTED_VALUE"""),42422.625)</f>
        <v>42422.625</v>
      </c>
      <c r="B280" s="2">
        <f ca="1">IFERROR(__xludf.DUMMYFUNCTION("""COMPUTED_VALUE"""),5125)</f>
        <v>5125</v>
      </c>
      <c r="C280" s="2">
        <f ca="1">IFERROR(__xludf.DUMMYFUNCTION("""COMPUTED_VALUE"""),5150)</f>
        <v>5150</v>
      </c>
      <c r="D280" s="2">
        <f ca="1">IFERROR(__xludf.DUMMYFUNCTION("""COMPUTED_VALUE"""),4985)</f>
        <v>4985</v>
      </c>
      <c r="E280" s="2">
        <f ca="1">IFERROR(__xludf.DUMMYFUNCTION("""COMPUTED_VALUE"""),5000)</f>
        <v>5000</v>
      </c>
      <c r="F280" s="2">
        <f ca="1">IFERROR(__xludf.DUMMYFUNCTION("""COMPUTED_VALUE"""),54925700)</f>
        <v>54925700</v>
      </c>
    </row>
    <row r="281" spans="1:6">
      <c r="A281" s="1">
        <f ca="1">IFERROR(__xludf.DUMMYFUNCTION("""COMPUTED_VALUE"""),42423.625)</f>
        <v>42423.625</v>
      </c>
      <c r="B281" s="2">
        <f ca="1">IFERROR(__xludf.DUMMYFUNCTION("""COMPUTED_VALUE"""),5025)</f>
        <v>5025</v>
      </c>
      <c r="C281" s="2">
        <f ca="1">IFERROR(__xludf.DUMMYFUNCTION("""COMPUTED_VALUE"""),5050)</f>
        <v>5050</v>
      </c>
      <c r="D281" s="2">
        <f ca="1">IFERROR(__xludf.DUMMYFUNCTION("""COMPUTED_VALUE"""),4880)</f>
        <v>4880</v>
      </c>
      <c r="E281" s="2">
        <f ca="1">IFERROR(__xludf.DUMMYFUNCTION("""COMPUTED_VALUE"""),4955)</f>
        <v>4955</v>
      </c>
      <c r="F281" s="2">
        <f ca="1">IFERROR(__xludf.DUMMYFUNCTION("""COMPUTED_VALUE"""),48324900)</f>
        <v>48324900</v>
      </c>
    </row>
    <row r="282" spans="1:6">
      <c r="A282" s="1">
        <f ca="1">IFERROR(__xludf.DUMMYFUNCTION("""COMPUTED_VALUE"""),42424.625)</f>
        <v>42424.625</v>
      </c>
      <c r="B282" s="2">
        <f ca="1">IFERROR(__xludf.DUMMYFUNCTION("""COMPUTED_VALUE"""),4970)</f>
        <v>4970</v>
      </c>
      <c r="C282" s="2">
        <f ca="1">IFERROR(__xludf.DUMMYFUNCTION("""COMPUTED_VALUE"""),5125)</f>
        <v>5125</v>
      </c>
      <c r="D282" s="2">
        <f ca="1">IFERROR(__xludf.DUMMYFUNCTION("""COMPUTED_VALUE"""),4965)</f>
        <v>4965</v>
      </c>
      <c r="E282" s="2">
        <f ca="1">IFERROR(__xludf.DUMMYFUNCTION("""COMPUTED_VALUE"""),5125)</f>
        <v>5125</v>
      </c>
      <c r="F282" s="2">
        <f ca="1">IFERROR(__xludf.DUMMYFUNCTION("""COMPUTED_VALUE"""),32579200)</f>
        <v>32579200</v>
      </c>
    </row>
    <row r="283" spans="1:6">
      <c r="A283" s="1">
        <f ca="1">IFERROR(__xludf.DUMMYFUNCTION("""COMPUTED_VALUE"""),42425.625)</f>
        <v>42425.625</v>
      </c>
      <c r="B283" s="2">
        <f ca="1">IFERROR(__xludf.DUMMYFUNCTION("""COMPUTED_VALUE"""),5100)</f>
        <v>5100</v>
      </c>
      <c r="C283" s="2">
        <f ca="1">IFERROR(__xludf.DUMMYFUNCTION("""COMPUTED_VALUE"""),5125)</f>
        <v>5125</v>
      </c>
      <c r="D283" s="2">
        <f ca="1">IFERROR(__xludf.DUMMYFUNCTION("""COMPUTED_VALUE"""),4980)</f>
        <v>4980</v>
      </c>
      <c r="E283" s="2">
        <f ca="1">IFERROR(__xludf.DUMMYFUNCTION("""COMPUTED_VALUE"""),5000)</f>
        <v>5000</v>
      </c>
      <c r="F283" s="2">
        <f ca="1">IFERROR(__xludf.DUMMYFUNCTION("""COMPUTED_VALUE"""),19020200)</f>
        <v>19020200</v>
      </c>
    </row>
    <row r="284" spans="1:6">
      <c r="A284" s="1">
        <f ca="1">IFERROR(__xludf.DUMMYFUNCTION("""COMPUTED_VALUE"""),42426.625)</f>
        <v>42426.625</v>
      </c>
      <c r="B284" s="2">
        <f ca="1">IFERROR(__xludf.DUMMYFUNCTION("""COMPUTED_VALUE"""),5050)</f>
        <v>5050</v>
      </c>
      <c r="C284" s="2">
        <f ca="1">IFERROR(__xludf.DUMMYFUNCTION("""COMPUTED_VALUE"""),5075)</f>
        <v>5075</v>
      </c>
      <c r="D284" s="2">
        <f ca="1">IFERROR(__xludf.DUMMYFUNCTION("""COMPUTED_VALUE"""),5000)</f>
        <v>5000</v>
      </c>
      <c r="E284" s="2">
        <f ca="1">IFERROR(__xludf.DUMMYFUNCTION("""COMPUTED_VALUE"""),5025)</f>
        <v>5025</v>
      </c>
      <c r="F284" s="2">
        <f ca="1">IFERROR(__xludf.DUMMYFUNCTION("""COMPUTED_VALUE"""),27101900)</f>
        <v>27101900</v>
      </c>
    </row>
    <row r="285" spans="1:6">
      <c r="A285" s="1">
        <f ca="1">IFERROR(__xludf.DUMMYFUNCTION("""COMPUTED_VALUE"""),42429.625)</f>
        <v>42429.625</v>
      </c>
      <c r="B285" s="2">
        <f ca="1">IFERROR(__xludf.DUMMYFUNCTION("""COMPUTED_VALUE"""),5050)</f>
        <v>5050</v>
      </c>
      <c r="C285" s="2">
        <f ca="1">IFERROR(__xludf.DUMMYFUNCTION("""COMPUTED_VALUE"""),5075)</f>
        <v>5075</v>
      </c>
      <c r="D285" s="2">
        <f ca="1">IFERROR(__xludf.DUMMYFUNCTION("""COMPUTED_VALUE"""),5000)</f>
        <v>5000</v>
      </c>
      <c r="E285" s="2">
        <f ca="1">IFERROR(__xludf.DUMMYFUNCTION("""COMPUTED_VALUE"""),5075)</f>
        <v>5075</v>
      </c>
      <c r="F285" s="2">
        <f ca="1">IFERROR(__xludf.DUMMYFUNCTION("""COMPUTED_VALUE"""),25256800)</f>
        <v>25256800</v>
      </c>
    </row>
    <row r="286" spans="1:6">
      <c r="A286" s="1">
        <f ca="1">IFERROR(__xludf.DUMMYFUNCTION("""COMPUTED_VALUE"""),42430.625)</f>
        <v>42430.625</v>
      </c>
      <c r="B286" s="2">
        <f ca="1">IFERROR(__xludf.DUMMYFUNCTION("""COMPUTED_VALUE"""),5075)</f>
        <v>5075</v>
      </c>
      <c r="C286" s="2">
        <f ca="1">IFERROR(__xludf.DUMMYFUNCTION("""COMPUTED_VALUE"""),5100)</f>
        <v>5100</v>
      </c>
      <c r="D286" s="2">
        <f ca="1">IFERROR(__xludf.DUMMYFUNCTION("""COMPUTED_VALUE"""),4965)</f>
        <v>4965</v>
      </c>
      <c r="E286" s="2">
        <f ca="1">IFERROR(__xludf.DUMMYFUNCTION("""COMPUTED_VALUE"""),4990)</f>
        <v>4990</v>
      </c>
      <c r="F286" s="2">
        <f ca="1">IFERROR(__xludf.DUMMYFUNCTION("""COMPUTED_VALUE"""),34580400)</f>
        <v>34580400</v>
      </c>
    </row>
    <row r="287" spans="1:6">
      <c r="A287" s="1">
        <f ca="1">IFERROR(__xludf.DUMMYFUNCTION("""COMPUTED_VALUE"""),42431.625)</f>
        <v>42431.625</v>
      </c>
      <c r="B287" s="2">
        <f ca="1">IFERROR(__xludf.DUMMYFUNCTION("""COMPUTED_VALUE"""),5025)</f>
        <v>5025</v>
      </c>
      <c r="C287" s="2">
        <f ca="1">IFERROR(__xludf.DUMMYFUNCTION("""COMPUTED_VALUE"""),5075)</f>
        <v>5075</v>
      </c>
      <c r="D287" s="2">
        <f ca="1">IFERROR(__xludf.DUMMYFUNCTION("""COMPUTED_VALUE"""),4990)</f>
        <v>4990</v>
      </c>
      <c r="E287" s="2">
        <f ca="1">IFERROR(__xludf.DUMMYFUNCTION("""COMPUTED_VALUE"""),5000)</f>
        <v>5000</v>
      </c>
      <c r="F287" s="2">
        <f ca="1">IFERROR(__xludf.DUMMYFUNCTION("""COMPUTED_VALUE"""),38139500)</f>
        <v>38139500</v>
      </c>
    </row>
    <row r="288" spans="1:6">
      <c r="A288" s="1">
        <f ca="1">IFERROR(__xludf.DUMMYFUNCTION("""COMPUTED_VALUE"""),42432.625)</f>
        <v>42432.625</v>
      </c>
      <c r="B288" s="2">
        <f ca="1">IFERROR(__xludf.DUMMYFUNCTION("""COMPUTED_VALUE"""),5050)</f>
        <v>5050</v>
      </c>
      <c r="C288" s="2">
        <f ca="1">IFERROR(__xludf.DUMMYFUNCTION("""COMPUTED_VALUE"""),5200)</f>
        <v>5200</v>
      </c>
      <c r="D288" s="2">
        <f ca="1">IFERROR(__xludf.DUMMYFUNCTION("""COMPUTED_VALUE"""),5050)</f>
        <v>5050</v>
      </c>
      <c r="E288" s="2">
        <f ca="1">IFERROR(__xludf.DUMMYFUNCTION("""COMPUTED_VALUE"""),5150)</f>
        <v>5150</v>
      </c>
      <c r="F288" s="2">
        <f ca="1">IFERROR(__xludf.DUMMYFUNCTION("""COMPUTED_VALUE"""),47901900)</f>
        <v>47901900</v>
      </c>
    </row>
    <row r="289" spans="1:6">
      <c r="A289" s="1">
        <f ca="1">IFERROR(__xludf.DUMMYFUNCTION("""COMPUTED_VALUE"""),42433.625)</f>
        <v>42433.625</v>
      </c>
      <c r="B289" s="2">
        <f ca="1">IFERROR(__xludf.DUMMYFUNCTION("""COMPUTED_VALUE"""),5175)</f>
        <v>5175</v>
      </c>
      <c r="C289" s="2">
        <f ca="1">IFERROR(__xludf.DUMMYFUNCTION("""COMPUTED_VALUE"""),5300)</f>
        <v>5300</v>
      </c>
      <c r="D289" s="2">
        <f ca="1">IFERROR(__xludf.DUMMYFUNCTION("""COMPUTED_VALUE"""),5175)</f>
        <v>5175</v>
      </c>
      <c r="E289" s="2">
        <f ca="1">IFERROR(__xludf.DUMMYFUNCTION("""COMPUTED_VALUE"""),5275)</f>
        <v>5275</v>
      </c>
      <c r="F289" s="2">
        <f ca="1">IFERROR(__xludf.DUMMYFUNCTION("""COMPUTED_VALUE"""),36420500)</f>
        <v>36420500</v>
      </c>
    </row>
    <row r="290" spans="1:6">
      <c r="A290" s="1">
        <f ca="1">IFERROR(__xludf.DUMMYFUNCTION("""COMPUTED_VALUE"""),42436.625)</f>
        <v>42436.625</v>
      </c>
      <c r="B290" s="2">
        <f ca="1">IFERROR(__xludf.DUMMYFUNCTION("""COMPUTED_VALUE"""),5300)</f>
        <v>5300</v>
      </c>
      <c r="C290" s="2">
        <f ca="1">IFERROR(__xludf.DUMMYFUNCTION("""COMPUTED_VALUE"""),5375)</f>
        <v>5375</v>
      </c>
      <c r="D290" s="2">
        <f ca="1">IFERROR(__xludf.DUMMYFUNCTION("""COMPUTED_VALUE"""),5275)</f>
        <v>5275</v>
      </c>
      <c r="E290" s="2">
        <f ca="1">IFERROR(__xludf.DUMMYFUNCTION("""COMPUTED_VALUE"""),5300)</f>
        <v>5300</v>
      </c>
      <c r="F290" s="2">
        <f ca="1">IFERROR(__xludf.DUMMYFUNCTION("""COMPUTED_VALUE"""),34765700)</f>
        <v>34765700</v>
      </c>
    </row>
    <row r="291" spans="1:6">
      <c r="A291" s="1">
        <f ca="1">IFERROR(__xludf.DUMMYFUNCTION("""COMPUTED_VALUE"""),42437.625)</f>
        <v>42437.625</v>
      </c>
      <c r="B291" s="2">
        <f ca="1">IFERROR(__xludf.DUMMYFUNCTION("""COMPUTED_VALUE"""),5325)</f>
        <v>5325</v>
      </c>
      <c r="C291" s="2">
        <f ca="1">IFERROR(__xludf.DUMMYFUNCTION("""COMPUTED_VALUE"""),5350)</f>
        <v>5350</v>
      </c>
      <c r="D291" s="2">
        <f ca="1">IFERROR(__xludf.DUMMYFUNCTION("""COMPUTED_VALUE"""),5175)</f>
        <v>5175</v>
      </c>
      <c r="E291" s="2">
        <f ca="1">IFERROR(__xludf.DUMMYFUNCTION("""COMPUTED_VALUE"""),5275)</f>
        <v>5275</v>
      </c>
      <c r="F291" s="2">
        <f ca="1">IFERROR(__xludf.DUMMYFUNCTION("""COMPUTED_VALUE"""),26220200)</f>
        <v>26220200</v>
      </c>
    </row>
    <row r="292" spans="1:6">
      <c r="A292" s="1">
        <f ca="1">IFERROR(__xludf.DUMMYFUNCTION("""COMPUTED_VALUE"""),42439.625)</f>
        <v>42439.625</v>
      </c>
      <c r="B292" s="2">
        <f ca="1">IFERROR(__xludf.DUMMYFUNCTION("""COMPUTED_VALUE"""),5250)</f>
        <v>5250</v>
      </c>
      <c r="C292" s="2">
        <f ca="1">IFERROR(__xludf.DUMMYFUNCTION("""COMPUTED_VALUE"""),5275)</f>
        <v>5275</v>
      </c>
      <c r="D292" s="2">
        <f ca="1">IFERROR(__xludf.DUMMYFUNCTION("""COMPUTED_VALUE"""),5175)</f>
        <v>5175</v>
      </c>
      <c r="E292" s="2">
        <f ca="1">IFERROR(__xludf.DUMMYFUNCTION("""COMPUTED_VALUE"""),5250)</f>
        <v>5250</v>
      </c>
      <c r="F292" s="2">
        <f ca="1">IFERROR(__xludf.DUMMYFUNCTION("""COMPUTED_VALUE"""),23571700)</f>
        <v>23571700</v>
      </c>
    </row>
    <row r="293" spans="1:6">
      <c r="A293" s="1">
        <f ca="1">IFERROR(__xludf.DUMMYFUNCTION("""COMPUTED_VALUE"""),42440.625)</f>
        <v>42440.625</v>
      </c>
      <c r="B293" s="2">
        <f ca="1">IFERROR(__xludf.DUMMYFUNCTION("""COMPUTED_VALUE"""),5225)</f>
        <v>5225</v>
      </c>
      <c r="C293" s="2">
        <f ca="1">IFERROR(__xludf.DUMMYFUNCTION("""COMPUTED_VALUE"""),5375)</f>
        <v>5375</v>
      </c>
      <c r="D293" s="2">
        <f ca="1">IFERROR(__xludf.DUMMYFUNCTION("""COMPUTED_VALUE"""),5200)</f>
        <v>5200</v>
      </c>
      <c r="E293" s="2">
        <f ca="1">IFERROR(__xludf.DUMMYFUNCTION("""COMPUTED_VALUE"""),5350)</f>
        <v>5350</v>
      </c>
      <c r="F293" s="2">
        <f ca="1">IFERROR(__xludf.DUMMYFUNCTION("""COMPUTED_VALUE"""),30395500)</f>
        <v>30395500</v>
      </c>
    </row>
    <row r="294" spans="1:6">
      <c r="A294" s="1">
        <f ca="1">IFERROR(__xludf.DUMMYFUNCTION("""COMPUTED_VALUE"""),42443.625)</f>
        <v>42443.625</v>
      </c>
      <c r="B294" s="2">
        <f ca="1">IFERROR(__xludf.DUMMYFUNCTION("""COMPUTED_VALUE"""),5350)</f>
        <v>5350</v>
      </c>
      <c r="C294" s="2">
        <f ca="1">IFERROR(__xludf.DUMMYFUNCTION("""COMPUTED_VALUE"""),5425)</f>
        <v>5425</v>
      </c>
      <c r="D294" s="2">
        <f ca="1">IFERROR(__xludf.DUMMYFUNCTION("""COMPUTED_VALUE"""),5300)</f>
        <v>5300</v>
      </c>
      <c r="E294" s="2">
        <f ca="1">IFERROR(__xludf.DUMMYFUNCTION("""COMPUTED_VALUE"""),5325)</f>
        <v>5325</v>
      </c>
      <c r="F294" s="2">
        <f ca="1">IFERROR(__xludf.DUMMYFUNCTION("""COMPUTED_VALUE"""),24801800)</f>
        <v>24801800</v>
      </c>
    </row>
    <row r="295" spans="1:6">
      <c r="A295" s="1">
        <f ca="1">IFERROR(__xludf.DUMMYFUNCTION("""COMPUTED_VALUE"""),42444.625)</f>
        <v>42444.625</v>
      </c>
      <c r="B295" s="2">
        <f ca="1">IFERROR(__xludf.DUMMYFUNCTION("""COMPUTED_VALUE"""),5375)</f>
        <v>5375</v>
      </c>
      <c r="C295" s="2">
        <f ca="1">IFERROR(__xludf.DUMMYFUNCTION("""COMPUTED_VALUE"""),5375)</f>
        <v>5375</v>
      </c>
      <c r="D295" s="2">
        <f ca="1">IFERROR(__xludf.DUMMYFUNCTION("""COMPUTED_VALUE"""),5300)</f>
        <v>5300</v>
      </c>
      <c r="E295" s="2">
        <f ca="1">IFERROR(__xludf.DUMMYFUNCTION("""COMPUTED_VALUE"""),5350)</f>
        <v>5350</v>
      </c>
      <c r="F295" s="2">
        <f ca="1">IFERROR(__xludf.DUMMYFUNCTION("""COMPUTED_VALUE"""),16129500)</f>
        <v>16129500</v>
      </c>
    </row>
    <row r="296" spans="1:6">
      <c r="A296" s="1">
        <f ca="1">IFERROR(__xludf.DUMMYFUNCTION("""COMPUTED_VALUE"""),42445.625)</f>
        <v>42445.625</v>
      </c>
      <c r="B296" s="2">
        <f ca="1">IFERROR(__xludf.DUMMYFUNCTION("""COMPUTED_VALUE"""),5400)</f>
        <v>5400</v>
      </c>
      <c r="C296" s="2">
        <f ca="1">IFERROR(__xludf.DUMMYFUNCTION("""COMPUTED_VALUE"""),5400)</f>
        <v>5400</v>
      </c>
      <c r="D296" s="2">
        <f ca="1">IFERROR(__xludf.DUMMYFUNCTION("""COMPUTED_VALUE"""),5325)</f>
        <v>5325</v>
      </c>
      <c r="E296" s="2">
        <f ca="1">IFERROR(__xludf.DUMMYFUNCTION("""COMPUTED_VALUE"""),5350)</f>
        <v>5350</v>
      </c>
      <c r="F296" s="2">
        <f ca="1">IFERROR(__xludf.DUMMYFUNCTION("""COMPUTED_VALUE"""),29000200)</f>
        <v>29000200</v>
      </c>
    </row>
    <row r="297" spans="1:6">
      <c r="A297" s="1">
        <f ca="1">IFERROR(__xludf.DUMMYFUNCTION("""COMPUTED_VALUE"""),42446.625)</f>
        <v>42446.625</v>
      </c>
      <c r="B297" s="2">
        <f ca="1">IFERROR(__xludf.DUMMYFUNCTION("""COMPUTED_VALUE"""),5400)</f>
        <v>5400</v>
      </c>
      <c r="C297" s="2">
        <f ca="1">IFERROR(__xludf.DUMMYFUNCTION("""COMPUTED_VALUE"""),5425)</f>
        <v>5425</v>
      </c>
      <c r="D297" s="2">
        <f ca="1">IFERROR(__xludf.DUMMYFUNCTION("""COMPUTED_VALUE"""),5375)</f>
        <v>5375</v>
      </c>
      <c r="E297" s="2">
        <f ca="1">IFERROR(__xludf.DUMMYFUNCTION("""COMPUTED_VALUE"""),5375)</f>
        <v>5375</v>
      </c>
      <c r="F297" s="2">
        <f ca="1">IFERROR(__xludf.DUMMYFUNCTION("""COMPUTED_VALUE"""),46278100)</f>
        <v>46278100</v>
      </c>
    </row>
    <row r="298" spans="1:6">
      <c r="A298" s="1">
        <f ca="1">IFERROR(__xludf.DUMMYFUNCTION("""COMPUTED_VALUE"""),42447.625)</f>
        <v>42447.625</v>
      </c>
      <c r="B298" s="2">
        <f ca="1">IFERROR(__xludf.DUMMYFUNCTION("""COMPUTED_VALUE"""),5300)</f>
        <v>5300</v>
      </c>
      <c r="C298" s="2">
        <f ca="1">IFERROR(__xludf.DUMMYFUNCTION("""COMPUTED_VALUE"""),5400)</f>
        <v>5400</v>
      </c>
      <c r="D298" s="2">
        <f ca="1">IFERROR(__xludf.DUMMYFUNCTION("""COMPUTED_VALUE"""),5275)</f>
        <v>5275</v>
      </c>
      <c r="E298" s="2">
        <f ca="1">IFERROR(__xludf.DUMMYFUNCTION("""COMPUTED_VALUE"""),5375)</f>
        <v>5375</v>
      </c>
      <c r="F298" s="2">
        <f ca="1">IFERROR(__xludf.DUMMYFUNCTION("""COMPUTED_VALUE"""),34656600)</f>
        <v>34656600</v>
      </c>
    </row>
    <row r="299" spans="1:6">
      <c r="A299" s="1">
        <f ca="1">IFERROR(__xludf.DUMMYFUNCTION("""COMPUTED_VALUE"""),42450.625)</f>
        <v>42450.625</v>
      </c>
      <c r="B299" s="2">
        <f ca="1">IFERROR(__xludf.DUMMYFUNCTION("""COMPUTED_VALUE"""),5400)</f>
        <v>5400</v>
      </c>
      <c r="C299" s="2">
        <f ca="1">IFERROR(__xludf.DUMMYFUNCTION("""COMPUTED_VALUE"""),5450)</f>
        <v>5450</v>
      </c>
      <c r="D299" s="2">
        <f ca="1">IFERROR(__xludf.DUMMYFUNCTION("""COMPUTED_VALUE"""),5350)</f>
        <v>5350</v>
      </c>
      <c r="E299" s="2">
        <f ca="1">IFERROR(__xludf.DUMMYFUNCTION("""COMPUTED_VALUE"""),5375)</f>
        <v>5375</v>
      </c>
      <c r="F299" s="2">
        <f ca="1">IFERROR(__xludf.DUMMYFUNCTION("""COMPUTED_VALUE"""),21800800)</f>
        <v>21800800</v>
      </c>
    </row>
    <row r="300" spans="1:6">
      <c r="A300" s="1">
        <f ca="1">IFERROR(__xludf.DUMMYFUNCTION("""COMPUTED_VALUE"""),42451.625)</f>
        <v>42451.625</v>
      </c>
      <c r="B300" s="2">
        <f ca="1">IFERROR(__xludf.DUMMYFUNCTION("""COMPUTED_VALUE"""),5400)</f>
        <v>5400</v>
      </c>
      <c r="C300" s="2">
        <f ca="1">IFERROR(__xludf.DUMMYFUNCTION("""COMPUTED_VALUE"""),5425)</f>
        <v>5425</v>
      </c>
      <c r="D300" s="2">
        <f ca="1">IFERROR(__xludf.DUMMYFUNCTION("""COMPUTED_VALUE"""),5350)</f>
        <v>5350</v>
      </c>
      <c r="E300" s="2">
        <f ca="1">IFERROR(__xludf.DUMMYFUNCTION("""COMPUTED_VALUE"""),5375)</f>
        <v>5375</v>
      </c>
      <c r="F300" s="2">
        <f ca="1">IFERROR(__xludf.DUMMYFUNCTION("""COMPUTED_VALUE"""),30532900)</f>
        <v>30532900</v>
      </c>
    </row>
    <row r="301" spans="1:6">
      <c r="A301" s="1">
        <f ca="1">IFERROR(__xludf.DUMMYFUNCTION("""COMPUTED_VALUE"""),42452.625)</f>
        <v>42452.625</v>
      </c>
      <c r="B301" s="2">
        <f ca="1">IFERROR(__xludf.DUMMYFUNCTION("""COMPUTED_VALUE"""),5425)</f>
        <v>5425</v>
      </c>
      <c r="C301" s="2">
        <f ca="1">IFERROR(__xludf.DUMMYFUNCTION("""COMPUTED_VALUE"""),5425)</f>
        <v>5425</v>
      </c>
      <c r="D301" s="2">
        <f ca="1">IFERROR(__xludf.DUMMYFUNCTION("""COMPUTED_VALUE"""),5250)</f>
        <v>5250</v>
      </c>
      <c r="E301" s="2">
        <f ca="1">IFERROR(__xludf.DUMMYFUNCTION("""COMPUTED_VALUE"""),5300)</f>
        <v>5300</v>
      </c>
      <c r="F301" s="2">
        <f ca="1">IFERROR(__xludf.DUMMYFUNCTION("""COMPUTED_VALUE"""),22577000)</f>
        <v>22577000</v>
      </c>
    </row>
    <row r="302" spans="1:6">
      <c r="A302" s="1">
        <f ca="1">IFERROR(__xludf.DUMMYFUNCTION("""COMPUTED_VALUE"""),42453.625)</f>
        <v>42453.625</v>
      </c>
      <c r="B302" s="2">
        <f ca="1">IFERROR(__xludf.DUMMYFUNCTION("""COMPUTED_VALUE"""),5300)</f>
        <v>5300</v>
      </c>
      <c r="C302" s="2">
        <f ca="1">IFERROR(__xludf.DUMMYFUNCTION("""COMPUTED_VALUE"""),5300)</f>
        <v>5300</v>
      </c>
      <c r="D302" s="2">
        <f ca="1">IFERROR(__xludf.DUMMYFUNCTION("""COMPUTED_VALUE"""),5125)</f>
        <v>5125</v>
      </c>
      <c r="E302" s="2">
        <f ca="1">IFERROR(__xludf.DUMMYFUNCTION("""COMPUTED_VALUE"""),5150)</f>
        <v>5150</v>
      </c>
      <c r="F302" s="2">
        <f ca="1">IFERROR(__xludf.DUMMYFUNCTION("""COMPUTED_VALUE"""),20897600)</f>
        <v>20897600</v>
      </c>
    </row>
    <row r="303" spans="1:6">
      <c r="A303" s="1">
        <f ca="1">IFERROR(__xludf.DUMMYFUNCTION("""COMPUTED_VALUE"""),42457.625)</f>
        <v>42457.625</v>
      </c>
      <c r="B303" s="2">
        <f ca="1">IFERROR(__xludf.DUMMYFUNCTION("""COMPUTED_VALUE"""),5100)</f>
        <v>5100</v>
      </c>
      <c r="C303" s="2">
        <f ca="1">IFERROR(__xludf.DUMMYFUNCTION("""COMPUTED_VALUE"""),5150)</f>
        <v>5150</v>
      </c>
      <c r="D303" s="2">
        <f ca="1">IFERROR(__xludf.DUMMYFUNCTION("""COMPUTED_VALUE"""),5075)</f>
        <v>5075</v>
      </c>
      <c r="E303" s="2">
        <f ca="1">IFERROR(__xludf.DUMMYFUNCTION("""COMPUTED_VALUE"""),5100)</f>
        <v>5100</v>
      </c>
      <c r="F303" s="2">
        <f ca="1">IFERROR(__xludf.DUMMYFUNCTION("""COMPUTED_VALUE"""),8741500)</f>
        <v>8741500</v>
      </c>
    </row>
    <row r="304" spans="1:6">
      <c r="A304" s="1">
        <f ca="1">IFERROR(__xludf.DUMMYFUNCTION("""COMPUTED_VALUE"""),42458.625)</f>
        <v>42458.625</v>
      </c>
      <c r="B304" s="2">
        <f ca="1">IFERROR(__xludf.DUMMYFUNCTION("""COMPUTED_VALUE"""),5075)</f>
        <v>5075</v>
      </c>
      <c r="C304" s="2">
        <f ca="1">IFERROR(__xludf.DUMMYFUNCTION("""COMPUTED_VALUE"""),5125)</f>
        <v>5125</v>
      </c>
      <c r="D304" s="2">
        <f ca="1">IFERROR(__xludf.DUMMYFUNCTION("""COMPUTED_VALUE"""),5000)</f>
        <v>5000</v>
      </c>
      <c r="E304" s="2">
        <f ca="1">IFERROR(__xludf.DUMMYFUNCTION("""COMPUTED_VALUE"""),5050)</f>
        <v>5050</v>
      </c>
      <c r="F304" s="2">
        <f ca="1">IFERROR(__xludf.DUMMYFUNCTION("""COMPUTED_VALUE"""),13966600)</f>
        <v>13966600</v>
      </c>
    </row>
    <row r="305" spans="1:6">
      <c r="A305" s="1">
        <f ca="1">IFERROR(__xludf.DUMMYFUNCTION("""COMPUTED_VALUE"""),42459.625)</f>
        <v>42459.625</v>
      </c>
      <c r="B305" s="2">
        <f ca="1">IFERROR(__xludf.DUMMYFUNCTION("""COMPUTED_VALUE"""),5100)</f>
        <v>5100</v>
      </c>
      <c r="C305" s="2">
        <f ca="1">IFERROR(__xludf.DUMMYFUNCTION("""COMPUTED_VALUE"""),5175)</f>
        <v>5175</v>
      </c>
      <c r="D305" s="2">
        <f ca="1">IFERROR(__xludf.DUMMYFUNCTION("""COMPUTED_VALUE"""),5075)</f>
        <v>5075</v>
      </c>
      <c r="E305" s="2">
        <f ca="1">IFERROR(__xludf.DUMMYFUNCTION("""COMPUTED_VALUE"""),5175)</f>
        <v>5175</v>
      </c>
      <c r="F305" s="2">
        <f ca="1">IFERROR(__xludf.DUMMYFUNCTION("""COMPUTED_VALUE"""),24917400)</f>
        <v>24917400</v>
      </c>
    </row>
    <row r="306" spans="1:6">
      <c r="A306" s="1">
        <f ca="1">IFERROR(__xludf.DUMMYFUNCTION("""COMPUTED_VALUE"""),42460.625)</f>
        <v>42460.625</v>
      </c>
      <c r="B306" s="2">
        <f ca="1">IFERROR(__xludf.DUMMYFUNCTION("""COMPUTED_VALUE"""),5200)</f>
        <v>5200</v>
      </c>
      <c r="C306" s="2">
        <f ca="1">IFERROR(__xludf.DUMMYFUNCTION("""COMPUTED_VALUE"""),5225)</f>
        <v>5225</v>
      </c>
      <c r="D306" s="2">
        <f ca="1">IFERROR(__xludf.DUMMYFUNCTION("""COMPUTED_VALUE"""),5150)</f>
        <v>5150</v>
      </c>
      <c r="E306" s="2">
        <f ca="1">IFERROR(__xludf.DUMMYFUNCTION("""COMPUTED_VALUE"""),5200)</f>
        <v>5200</v>
      </c>
      <c r="F306" s="2">
        <f ca="1">IFERROR(__xludf.DUMMYFUNCTION("""COMPUTED_VALUE"""),27788000)</f>
        <v>27788000</v>
      </c>
    </row>
    <row r="307" spans="1:6">
      <c r="A307" s="1">
        <f ca="1">IFERROR(__xludf.DUMMYFUNCTION("""COMPUTED_VALUE"""),42461.625)</f>
        <v>42461.625</v>
      </c>
      <c r="B307" s="2">
        <f ca="1">IFERROR(__xludf.DUMMYFUNCTION("""COMPUTED_VALUE"""),5100)</f>
        <v>5100</v>
      </c>
      <c r="C307" s="2">
        <f ca="1">IFERROR(__xludf.DUMMYFUNCTION("""COMPUTED_VALUE"""),5150)</f>
        <v>5150</v>
      </c>
      <c r="D307" s="2">
        <f ca="1">IFERROR(__xludf.DUMMYFUNCTION("""COMPUTED_VALUE"""),5050)</f>
        <v>5050</v>
      </c>
      <c r="E307" s="2">
        <f ca="1">IFERROR(__xludf.DUMMYFUNCTION("""COMPUTED_VALUE"""),5100)</f>
        <v>5100</v>
      </c>
      <c r="F307" s="2">
        <f ca="1">IFERROR(__xludf.DUMMYFUNCTION("""COMPUTED_VALUE"""),19396700)</f>
        <v>19396700</v>
      </c>
    </row>
    <row r="308" spans="1:6">
      <c r="A308" s="1">
        <f ca="1">IFERROR(__xludf.DUMMYFUNCTION("""COMPUTED_VALUE"""),42464.625)</f>
        <v>42464.625</v>
      </c>
      <c r="B308" s="2">
        <f ca="1">IFERROR(__xludf.DUMMYFUNCTION("""COMPUTED_VALUE"""),5125)</f>
        <v>5125</v>
      </c>
      <c r="C308" s="2">
        <f ca="1">IFERROR(__xludf.DUMMYFUNCTION("""COMPUTED_VALUE"""),5150)</f>
        <v>5150</v>
      </c>
      <c r="D308" s="2">
        <f ca="1">IFERROR(__xludf.DUMMYFUNCTION("""COMPUTED_VALUE"""),5075)</f>
        <v>5075</v>
      </c>
      <c r="E308" s="2">
        <f ca="1">IFERROR(__xludf.DUMMYFUNCTION("""COMPUTED_VALUE"""),5125)</f>
        <v>5125</v>
      </c>
      <c r="F308" s="2">
        <f ca="1">IFERROR(__xludf.DUMMYFUNCTION("""COMPUTED_VALUE"""),14505200)</f>
        <v>14505200</v>
      </c>
    </row>
    <row r="309" spans="1:6">
      <c r="A309" s="1">
        <f ca="1">IFERROR(__xludf.DUMMYFUNCTION("""COMPUTED_VALUE"""),42465.625)</f>
        <v>42465.625</v>
      </c>
      <c r="B309" s="2">
        <f ca="1">IFERROR(__xludf.DUMMYFUNCTION("""COMPUTED_VALUE"""),5125)</f>
        <v>5125</v>
      </c>
      <c r="C309" s="2">
        <f ca="1">IFERROR(__xludf.DUMMYFUNCTION("""COMPUTED_VALUE"""),5275)</f>
        <v>5275</v>
      </c>
      <c r="D309" s="2">
        <f ca="1">IFERROR(__xludf.DUMMYFUNCTION("""COMPUTED_VALUE"""),5100)</f>
        <v>5100</v>
      </c>
      <c r="E309" s="2">
        <f ca="1">IFERROR(__xludf.DUMMYFUNCTION("""COMPUTED_VALUE"""),5200)</f>
        <v>5200</v>
      </c>
      <c r="F309" s="2">
        <f ca="1">IFERROR(__xludf.DUMMYFUNCTION("""COMPUTED_VALUE"""),32551600)</f>
        <v>32551600</v>
      </c>
    </row>
    <row r="310" spans="1:6">
      <c r="A310" s="1">
        <f ca="1">IFERROR(__xludf.DUMMYFUNCTION("""COMPUTED_VALUE"""),42466.625)</f>
        <v>42466.625</v>
      </c>
      <c r="B310" s="2">
        <f ca="1">IFERROR(__xludf.DUMMYFUNCTION("""COMPUTED_VALUE"""),5225)</f>
        <v>5225</v>
      </c>
      <c r="C310" s="2">
        <f ca="1">IFERROR(__xludf.DUMMYFUNCTION("""COMPUTED_VALUE"""),5275)</f>
        <v>5275</v>
      </c>
      <c r="D310" s="2">
        <f ca="1">IFERROR(__xludf.DUMMYFUNCTION("""COMPUTED_VALUE"""),5200)</f>
        <v>5200</v>
      </c>
      <c r="E310" s="2">
        <f ca="1">IFERROR(__xludf.DUMMYFUNCTION("""COMPUTED_VALUE"""),5200)</f>
        <v>5200</v>
      </c>
      <c r="F310" s="2">
        <f ca="1">IFERROR(__xludf.DUMMYFUNCTION("""COMPUTED_VALUE"""),16332700)</f>
        <v>16332700</v>
      </c>
    </row>
    <row r="311" spans="1:6">
      <c r="A311" s="1">
        <f ca="1">IFERROR(__xludf.DUMMYFUNCTION("""COMPUTED_VALUE"""),42467.625)</f>
        <v>42467.625</v>
      </c>
      <c r="B311" s="2">
        <f ca="1">IFERROR(__xludf.DUMMYFUNCTION("""COMPUTED_VALUE"""),5275)</f>
        <v>5275</v>
      </c>
      <c r="C311" s="2">
        <f ca="1">IFERROR(__xludf.DUMMYFUNCTION("""COMPUTED_VALUE"""),5300)</f>
        <v>5300</v>
      </c>
      <c r="D311" s="2">
        <f ca="1">IFERROR(__xludf.DUMMYFUNCTION("""COMPUTED_VALUE"""),5250)</f>
        <v>5250</v>
      </c>
      <c r="E311" s="2">
        <f ca="1">IFERROR(__xludf.DUMMYFUNCTION("""COMPUTED_VALUE"""),5275)</f>
        <v>5275</v>
      </c>
      <c r="F311" s="2">
        <f ca="1">IFERROR(__xludf.DUMMYFUNCTION("""COMPUTED_VALUE"""),35758600)</f>
        <v>35758600</v>
      </c>
    </row>
    <row r="312" spans="1:6">
      <c r="A312" s="1">
        <f ca="1">IFERROR(__xludf.DUMMYFUNCTION("""COMPUTED_VALUE"""),42468.625)</f>
        <v>42468.625</v>
      </c>
      <c r="B312" s="2">
        <f ca="1">IFERROR(__xludf.DUMMYFUNCTION("""COMPUTED_VALUE"""),5275)</f>
        <v>5275</v>
      </c>
      <c r="C312" s="2">
        <f ca="1">IFERROR(__xludf.DUMMYFUNCTION("""COMPUTED_VALUE"""),5275)</f>
        <v>5275</v>
      </c>
      <c r="D312" s="2">
        <f ca="1">IFERROR(__xludf.DUMMYFUNCTION("""COMPUTED_VALUE"""),5150)</f>
        <v>5150</v>
      </c>
      <c r="E312" s="2">
        <f ca="1">IFERROR(__xludf.DUMMYFUNCTION("""COMPUTED_VALUE"""),5200)</f>
        <v>5200</v>
      </c>
      <c r="F312" s="2">
        <f ca="1">IFERROR(__xludf.DUMMYFUNCTION("""COMPUTED_VALUE"""),23818600)</f>
        <v>23818600</v>
      </c>
    </row>
    <row r="313" spans="1:6">
      <c r="A313" s="1">
        <f ca="1">IFERROR(__xludf.DUMMYFUNCTION("""COMPUTED_VALUE"""),42471.625)</f>
        <v>42471.625</v>
      </c>
      <c r="B313" s="2">
        <f ca="1">IFERROR(__xludf.DUMMYFUNCTION("""COMPUTED_VALUE"""),5225)</f>
        <v>5225</v>
      </c>
      <c r="C313" s="2">
        <f ca="1">IFERROR(__xludf.DUMMYFUNCTION("""COMPUTED_VALUE"""),5275)</f>
        <v>5275</v>
      </c>
      <c r="D313" s="2">
        <f ca="1">IFERROR(__xludf.DUMMYFUNCTION("""COMPUTED_VALUE"""),5025)</f>
        <v>5025</v>
      </c>
      <c r="E313" s="2">
        <f ca="1">IFERROR(__xludf.DUMMYFUNCTION("""COMPUTED_VALUE"""),5075)</f>
        <v>5075</v>
      </c>
      <c r="F313" s="2">
        <f ca="1">IFERROR(__xludf.DUMMYFUNCTION("""COMPUTED_VALUE"""),26048600)</f>
        <v>26048600</v>
      </c>
    </row>
    <row r="314" spans="1:6">
      <c r="A314" s="1">
        <f ca="1">IFERROR(__xludf.DUMMYFUNCTION("""COMPUTED_VALUE"""),42472.625)</f>
        <v>42472.625</v>
      </c>
      <c r="B314" s="2">
        <f ca="1">IFERROR(__xludf.DUMMYFUNCTION("""COMPUTED_VALUE"""),5100)</f>
        <v>5100</v>
      </c>
      <c r="C314" s="2">
        <f ca="1">IFERROR(__xludf.DUMMYFUNCTION("""COMPUTED_VALUE"""),5175)</f>
        <v>5175</v>
      </c>
      <c r="D314" s="2">
        <f ca="1">IFERROR(__xludf.DUMMYFUNCTION("""COMPUTED_VALUE"""),5050)</f>
        <v>5050</v>
      </c>
      <c r="E314" s="2">
        <f ca="1">IFERROR(__xludf.DUMMYFUNCTION("""COMPUTED_VALUE"""),5100)</f>
        <v>5100</v>
      </c>
      <c r="F314" s="2">
        <f ca="1">IFERROR(__xludf.DUMMYFUNCTION("""COMPUTED_VALUE"""),23049200)</f>
        <v>23049200</v>
      </c>
    </row>
    <row r="315" spans="1:6">
      <c r="A315" s="1">
        <f ca="1">IFERROR(__xludf.DUMMYFUNCTION("""COMPUTED_VALUE"""),42480.625)</f>
        <v>42480.625</v>
      </c>
      <c r="B315" s="2">
        <f ca="1">IFERROR(__xludf.DUMMYFUNCTION("""COMPUTED_VALUE"""),4915)</f>
        <v>4915</v>
      </c>
      <c r="C315" s="2">
        <f ca="1">IFERROR(__xludf.DUMMYFUNCTION("""COMPUTED_VALUE"""),4940)</f>
        <v>4940</v>
      </c>
      <c r="D315" s="2">
        <f ca="1">IFERROR(__xludf.DUMMYFUNCTION("""COMPUTED_VALUE"""),4890)</f>
        <v>4890</v>
      </c>
      <c r="E315" s="2">
        <f ca="1">IFERROR(__xludf.DUMMYFUNCTION("""COMPUTED_VALUE"""),4910)</f>
        <v>4910</v>
      </c>
      <c r="F315" s="2">
        <f ca="1">IFERROR(__xludf.DUMMYFUNCTION("""COMPUTED_VALUE"""),57421000)</f>
        <v>57421000</v>
      </c>
    </row>
    <row r="316" spans="1:6">
      <c r="A316" s="1">
        <f ca="1">IFERROR(__xludf.DUMMYFUNCTION("""COMPUTED_VALUE"""),42481.625)</f>
        <v>42481.625</v>
      </c>
      <c r="B316" s="2">
        <f ca="1">IFERROR(__xludf.DUMMYFUNCTION("""COMPUTED_VALUE"""),4910)</f>
        <v>4910</v>
      </c>
      <c r="C316" s="2">
        <f ca="1">IFERROR(__xludf.DUMMYFUNCTION("""COMPUTED_VALUE"""),4965)</f>
        <v>4965</v>
      </c>
      <c r="D316" s="2">
        <f ca="1">IFERROR(__xludf.DUMMYFUNCTION("""COMPUTED_VALUE"""),4905)</f>
        <v>4905</v>
      </c>
      <c r="E316" s="2">
        <f ca="1">IFERROR(__xludf.DUMMYFUNCTION("""COMPUTED_VALUE"""),4930)</f>
        <v>4930</v>
      </c>
      <c r="F316" s="2">
        <f ca="1">IFERROR(__xludf.DUMMYFUNCTION("""COMPUTED_VALUE"""),40488800)</f>
        <v>40488800</v>
      </c>
    </row>
    <row r="317" spans="1:6">
      <c r="A317" s="1">
        <f ca="1">IFERROR(__xludf.DUMMYFUNCTION("""COMPUTED_VALUE"""),42482.625)</f>
        <v>42482.625</v>
      </c>
      <c r="B317" s="2">
        <f ca="1">IFERROR(__xludf.DUMMYFUNCTION("""COMPUTED_VALUE"""),4930)</f>
        <v>4930</v>
      </c>
      <c r="C317" s="2">
        <f ca="1">IFERROR(__xludf.DUMMYFUNCTION("""COMPUTED_VALUE"""),4935)</f>
        <v>4935</v>
      </c>
      <c r="D317" s="2">
        <f ca="1">IFERROR(__xludf.DUMMYFUNCTION("""COMPUTED_VALUE"""),4880)</f>
        <v>4880</v>
      </c>
      <c r="E317" s="2">
        <f ca="1">IFERROR(__xludf.DUMMYFUNCTION("""COMPUTED_VALUE"""),4895)</f>
        <v>4895</v>
      </c>
      <c r="F317" s="2">
        <f ca="1">IFERROR(__xludf.DUMMYFUNCTION("""COMPUTED_VALUE"""),39196900)</f>
        <v>39196900</v>
      </c>
    </row>
    <row r="318" spans="1:6">
      <c r="A318" s="1">
        <f ca="1">IFERROR(__xludf.DUMMYFUNCTION("""COMPUTED_VALUE"""),42485.625)</f>
        <v>42485.625</v>
      </c>
      <c r="B318" s="2">
        <f ca="1">IFERROR(__xludf.DUMMYFUNCTION("""COMPUTED_VALUE"""),4895)</f>
        <v>4895</v>
      </c>
      <c r="C318" s="2">
        <f ca="1">IFERROR(__xludf.DUMMYFUNCTION("""COMPUTED_VALUE"""),4915)</f>
        <v>4915</v>
      </c>
      <c r="D318" s="2">
        <f ca="1">IFERROR(__xludf.DUMMYFUNCTION("""COMPUTED_VALUE"""),4770)</f>
        <v>4770</v>
      </c>
      <c r="E318" s="2">
        <f ca="1">IFERROR(__xludf.DUMMYFUNCTION("""COMPUTED_VALUE"""),4795)</f>
        <v>4795</v>
      </c>
      <c r="F318" s="2">
        <f ca="1">IFERROR(__xludf.DUMMYFUNCTION("""COMPUTED_VALUE"""),58934800)</f>
        <v>58934800</v>
      </c>
    </row>
    <row r="319" spans="1:6">
      <c r="A319" s="1">
        <f ca="1">IFERROR(__xludf.DUMMYFUNCTION("""COMPUTED_VALUE"""),42486.625)</f>
        <v>42486.625</v>
      </c>
      <c r="B319" s="2">
        <f ca="1">IFERROR(__xludf.DUMMYFUNCTION("""COMPUTED_VALUE"""),4785)</f>
        <v>4785</v>
      </c>
      <c r="C319" s="2">
        <f ca="1">IFERROR(__xludf.DUMMYFUNCTION("""COMPUTED_VALUE"""),4785)</f>
        <v>4785</v>
      </c>
      <c r="D319" s="2">
        <f ca="1">IFERROR(__xludf.DUMMYFUNCTION("""COMPUTED_VALUE"""),4605)</f>
        <v>4605</v>
      </c>
      <c r="E319" s="2">
        <f ca="1">IFERROR(__xludf.DUMMYFUNCTION("""COMPUTED_VALUE"""),4650)</f>
        <v>4650</v>
      </c>
      <c r="F319" s="2">
        <f ca="1">IFERROR(__xludf.DUMMYFUNCTION("""COMPUTED_VALUE"""),88220100)</f>
        <v>88220100</v>
      </c>
    </row>
    <row r="320" spans="1:6">
      <c r="A320" s="1">
        <f ca="1">IFERROR(__xludf.DUMMYFUNCTION("""COMPUTED_VALUE"""),42487.625)</f>
        <v>42487.625</v>
      </c>
      <c r="B320" s="2">
        <f ca="1">IFERROR(__xludf.DUMMYFUNCTION("""COMPUTED_VALUE"""),4650)</f>
        <v>4650</v>
      </c>
      <c r="C320" s="2">
        <f ca="1">IFERROR(__xludf.DUMMYFUNCTION("""COMPUTED_VALUE"""),4695)</f>
        <v>4695</v>
      </c>
      <c r="D320" s="2">
        <f ca="1">IFERROR(__xludf.DUMMYFUNCTION("""COMPUTED_VALUE"""),4610)</f>
        <v>4610</v>
      </c>
      <c r="E320" s="2">
        <f ca="1">IFERROR(__xludf.DUMMYFUNCTION("""COMPUTED_VALUE"""),4610)</f>
        <v>4610</v>
      </c>
      <c r="F320" s="2">
        <f ca="1">IFERROR(__xludf.DUMMYFUNCTION("""COMPUTED_VALUE"""),51269100)</f>
        <v>51269100</v>
      </c>
    </row>
    <row r="321" spans="1:6">
      <c r="A321" s="1">
        <f ca="1">IFERROR(__xludf.DUMMYFUNCTION("""COMPUTED_VALUE"""),42488.625)</f>
        <v>42488.625</v>
      </c>
      <c r="B321" s="2">
        <f ca="1">IFERROR(__xludf.DUMMYFUNCTION("""COMPUTED_VALUE"""),4675)</f>
        <v>4675</v>
      </c>
      <c r="C321" s="2">
        <f ca="1">IFERROR(__xludf.DUMMYFUNCTION("""COMPUTED_VALUE"""),4680)</f>
        <v>4680</v>
      </c>
      <c r="D321" s="2">
        <f ca="1">IFERROR(__xludf.DUMMYFUNCTION("""COMPUTED_VALUE"""),4610)</f>
        <v>4610</v>
      </c>
      <c r="E321" s="2">
        <f ca="1">IFERROR(__xludf.DUMMYFUNCTION("""COMPUTED_VALUE"""),4620)</f>
        <v>4620</v>
      </c>
      <c r="F321" s="2">
        <f ca="1">IFERROR(__xludf.DUMMYFUNCTION("""COMPUTED_VALUE"""),40001400)</f>
        <v>40001400</v>
      </c>
    </row>
    <row r="322" spans="1:6">
      <c r="A322" s="1">
        <f ca="1">IFERROR(__xludf.DUMMYFUNCTION("""COMPUTED_VALUE"""),42489.625)</f>
        <v>42489.625</v>
      </c>
      <c r="B322" s="2">
        <f ca="1">IFERROR(__xludf.DUMMYFUNCTION("""COMPUTED_VALUE"""),4625)</f>
        <v>4625</v>
      </c>
      <c r="C322" s="2">
        <f ca="1">IFERROR(__xludf.DUMMYFUNCTION("""COMPUTED_VALUE"""),4630)</f>
        <v>4630</v>
      </c>
      <c r="D322" s="2">
        <f ca="1">IFERROR(__xludf.DUMMYFUNCTION("""COMPUTED_VALUE"""),4570)</f>
        <v>4570</v>
      </c>
      <c r="E322" s="2">
        <f ca="1">IFERROR(__xludf.DUMMYFUNCTION("""COMPUTED_VALUE"""),4585)</f>
        <v>4585</v>
      </c>
      <c r="F322" s="2">
        <f ca="1">IFERROR(__xludf.DUMMYFUNCTION("""COMPUTED_VALUE"""),24098800)</f>
        <v>24098800</v>
      </c>
    </row>
    <row r="323" spans="1:6">
      <c r="A323" s="1">
        <f ca="1">IFERROR(__xludf.DUMMYFUNCTION("""COMPUTED_VALUE"""),42492.625)</f>
        <v>42492.625</v>
      </c>
      <c r="B323" s="2">
        <f ca="1">IFERROR(__xludf.DUMMYFUNCTION("""COMPUTED_VALUE"""),4580)</f>
        <v>4580</v>
      </c>
      <c r="C323" s="2">
        <f ca="1">IFERROR(__xludf.DUMMYFUNCTION("""COMPUTED_VALUE"""),4580)</f>
        <v>4580</v>
      </c>
      <c r="D323" s="2">
        <f ca="1">IFERROR(__xludf.DUMMYFUNCTION("""COMPUTED_VALUE"""),4470)</f>
        <v>4470</v>
      </c>
      <c r="E323" s="2">
        <f ca="1">IFERROR(__xludf.DUMMYFUNCTION("""COMPUTED_VALUE"""),4490)</f>
        <v>4490</v>
      </c>
      <c r="F323" s="2">
        <f ca="1">IFERROR(__xludf.DUMMYFUNCTION("""COMPUTED_VALUE"""),33067600)</f>
        <v>33067600</v>
      </c>
    </row>
    <row r="324" spans="1:6">
      <c r="A324" s="1">
        <f ca="1">IFERROR(__xludf.DUMMYFUNCTION("""COMPUTED_VALUE"""),42493.625)</f>
        <v>42493.625</v>
      </c>
      <c r="B324" s="2">
        <f ca="1">IFERROR(__xludf.DUMMYFUNCTION("""COMPUTED_VALUE"""),4500)</f>
        <v>4500</v>
      </c>
      <c r="C324" s="2">
        <f ca="1">IFERROR(__xludf.DUMMYFUNCTION("""COMPUTED_VALUE"""),4670)</f>
        <v>4670</v>
      </c>
      <c r="D324" s="2">
        <f ca="1">IFERROR(__xludf.DUMMYFUNCTION("""COMPUTED_VALUE"""),4500)</f>
        <v>4500</v>
      </c>
      <c r="E324" s="2">
        <f ca="1">IFERROR(__xludf.DUMMYFUNCTION("""COMPUTED_VALUE"""),4630)</f>
        <v>4630</v>
      </c>
      <c r="F324" s="2">
        <f ca="1">IFERROR(__xludf.DUMMYFUNCTION("""COMPUTED_VALUE"""),71798100)</f>
        <v>71798100</v>
      </c>
    </row>
    <row r="325" spans="1:6">
      <c r="A325" s="1">
        <f ca="1">IFERROR(__xludf.DUMMYFUNCTION("""COMPUTED_VALUE"""),42494.625)</f>
        <v>42494.625</v>
      </c>
      <c r="B325" s="2">
        <f ca="1">IFERROR(__xludf.DUMMYFUNCTION("""COMPUTED_VALUE"""),4630)</f>
        <v>4630</v>
      </c>
      <c r="C325" s="2">
        <f ca="1">IFERROR(__xludf.DUMMYFUNCTION("""COMPUTED_VALUE"""),4650)</f>
        <v>4650</v>
      </c>
      <c r="D325" s="2">
        <f ca="1">IFERROR(__xludf.DUMMYFUNCTION("""COMPUTED_VALUE"""),4520)</f>
        <v>4520</v>
      </c>
      <c r="E325" s="2">
        <f ca="1">IFERROR(__xludf.DUMMYFUNCTION("""COMPUTED_VALUE"""),4620)</f>
        <v>4620</v>
      </c>
      <c r="F325" s="2">
        <f ca="1">IFERROR(__xludf.DUMMYFUNCTION("""COMPUTED_VALUE"""),42589800)</f>
        <v>42589800</v>
      </c>
    </row>
    <row r="326" spans="1:6">
      <c r="A326" s="1">
        <f ca="1">IFERROR(__xludf.DUMMYFUNCTION("""COMPUTED_VALUE"""),42499.625)</f>
        <v>42499.625</v>
      </c>
      <c r="B326" s="2">
        <f ca="1">IFERROR(__xludf.DUMMYFUNCTION("""COMPUTED_VALUE"""),4650)</f>
        <v>4650</v>
      </c>
      <c r="C326" s="2">
        <f ca="1">IFERROR(__xludf.DUMMYFUNCTION("""COMPUTED_VALUE"""),4650)</f>
        <v>4650</v>
      </c>
      <c r="D326" s="2">
        <f ca="1">IFERROR(__xludf.DUMMYFUNCTION("""COMPUTED_VALUE"""),4470)</f>
        <v>4470</v>
      </c>
      <c r="E326" s="2">
        <f ca="1">IFERROR(__xludf.DUMMYFUNCTION("""COMPUTED_VALUE"""),4510)</f>
        <v>4510</v>
      </c>
      <c r="F326" s="2">
        <f ca="1">IFERROR(__xludf.DUMMYFUNCTION("""COMPUTED_VALUE"""),35596300)</f>
        <v>35596300</v>
      </c>
    </row>
    <row r="327" spans="1:6">
      <c r="A327" s="1">
        <f ca="1">IFERROR(__xludf.DUMMYFUNCTION("""COMPUTED_VALUE"""),42500.625)</f>
        <v>42500.625</v>
      </c>
      <c r="B327" s="2">
        <f ca="1">IFERROR(__xludf.DUMMYFUNCTION("""COMPUTED_VALUE"""),4500)</f>
        <v>4500</v>
      </c>
      <c r="C327" s="2">
        <f ca="1">IFERROR(__xludf.DUMMYFUNCTION("""COMPUTED_VALUE"""),4570)</f>
        <v>4570</v>
      </c>
      <c r="D327" s="2">
        <f ca="1">IFERROR(__xludf.DUMMYFUNCTION("""COMPUTED_VALUE"""),4450)</f>
        <v>4450</v>
      </c>
      <c r="E327" s="2">
        <f ca="1">IFERROR(__xludf.DUMMYFUNCTION("""COMPUTED_VALUE"""),4560)</f>
        <v>4560</v>
      </c>
      <c r="F327" s="2">
        <f ca="1">IFERROR(__xludf.DUMMYFUNCTION("""COMPUTED_VALUE"""),33087100)</f>
        <v>33087100</v>
      </c>
    </row>
    <row r="328" spans="1:6">
      <c r="A328" s="1">
        <f ca="1">IFERROR(__xludf.DUMMYFUNCTION("""COMPUTED_VALUE"""),42501.625)</f>
        <v>42501.625</v>
      </c>
      <c r="B328" s="2">
        <f ca="1">IFERROR(__xludf.DUMMYFUNCTION("""COMPUTED_VALUE"""),4600)</f>
        <v>4600</v>
      </c>
      <c r="C328" s="2">
        <f ca="1">IFERROR(__xludf.DUMMYFUNCTION("""COMPUTED_VALUE"""),4680)</f>
        <v>4680</v>
      </c>
      <c r="D328" s="2">
        <f ca="1">IFERROR(__xludf.DUMMYFUNCTION("""COMPUTED_VALUE"""),4560)</f>
        <v>4560</v>
      </c>
      <c r="E328" s="2">
        <f ca="1">IFERROR(__xludf.DUMMYFUNCTION("""COMPUTED_VALUE"""),4680)</f>
        <v>4680</v>
      </c>
      <c r="F328" s="2">
        <f ca="1">IFERROR(__xludf.DUMMYFUNCTION("""COMPUTED_VALUE"""),43832800)</f>
        <v>43832800</v>
      </c>
    </row>
    <row r="329" spans="1:6">
      <c r="A329" s="1">
        <f ca="1">IFERROR(__xludf.DUMMYFUNCTION("""COMPUTED_VALUE"""),42502.625)</f>
        <v>42502.625</v>
      </c>
      <c r="B329" s="2">
        <f ca="1">IFERROR(__xludf.DUMMYFUNCTION("""COMPUTED_VALUE"""),4650)</f>
        <v>4650</v>
      </c>
      <c r="C329" s="2">
        <f ca="1">IFERROR(__xludf.DUMMYFUNCTION("""COMPUTED_VALUE"""),4700)</f>
        <v>4700</v>
      </c>
      <c r="D329" s="2">
        <f ca="1">IFERROR(__xludf.DUMMYFUNCTION("""COMPUTED_VALUE"""),4560)</f>
        <v>4560</v>
      </c>
      <c r="E329" s="2">
        <f ca="1">IFERROR(__xludf.DUMMYFUNCTION("""COMPUTED_VALUE"""),4590)</f>
        <v>4590</v>
      </c>
      <c r="F329" s="2">
        <f ca="1">IFERROR(__xludf.DUMMYFUNCTION("""COMPUTED_VALUE"""),20098700)</f>
        <v>20098700</v>
      </c>
    </row>
    <row r="330" spans="1:6">
      <c r="A330" s="1">
        <f ca="1">IFERROR(__xludf.DUMMYFUNCTION("""COMPUTED_VALUE"""),42503.625)</f>
        <v>42503.625</v>
      </c>
      <c r="B330" s="2">
        <f ca="1">IFERROR(__xludf.DUMMYFUNCTION("""COMPUTED_VALUE"""),4620)</f>
        <v>4620</v>
      </c>
      <c r="C330" s="2">
        <f ca="1">IFERROR(__xludf.DUMMYFUNCTION("""COMPUTED_VALUE"""),4620)</f>
        <v>4620</v>
      </c>
      <c r="D330" s="2">
        <f ca="1">IFERROR(__xludf.DUMMYFUNCTION("""COMPUTED_VALUE"""),4440)</f>
        <v>4440</v>
      </c>
      <c r="E330" s="2">
        <f ca="1">IFERROR(__xludf.DUMMYFUNCTION("""COMPUTED_VALUE"""),4480)</f>
        <v>4480</v>
      </c>
      <c r="F330" s="2">
        <f ca="1">IFERROR(__xludf.DUMMYFUNCTION("""COMPUTED_VALUE"""),23967700)</f>
        <v>23967700</v>
      </c>
    </row>
    <row r="331" spans="1:6">
      <c r="A331" s="1">
        <f ca="1">IFERROR(__xludf.DUMMYFUNCTION("""COMPUTED_VALUE"""),42506.625)</f>
        <v>42506.625</v>
      </c>
      <c r="B331" s="2">
        <f ca="1">IFERROR(__xludf.DUMMYFUNCTION("""COMPUTED_VALUE"""),4500)</f>
        <v>4500</v>
      </c>
      <c r="C331" s="2">
        <f ca="1">IFERROR(__xludf.DUMMYFUNCTION("""COMPUTED_VALUE"""),4500)</f>
        <v>4500</v>
      </c>
      <c r="D331" s="2">
        <f ca="1">IFERROR(__xludf.DUMMYFUNCTION("""COMPUTED_VALUE"""),4400)</f>
        <v>4400</v>
      </c>
      <c r="E331" s="2">
        <f ca="1">IFERROR(__xludf.DUMMYFUNCTION("""COMPUTED_VALUE"""),4410)</f>
        <v>4410</v>
      </c>
      <c r="F331" s="2">
        <f ca="1">IFERROR(__xludf.DUMMYFUNCTION("""COMPUTED_VALUE"""),17224500)</f>
        <v>17224500</v>
      </c>
    </row>
    <row r="332" spans="1:6">
      <c r="A332" s="1">
        <f ca="1">IFERROR(__xludf.DUMMYFUNCTION("""COMPUTED_VALUE"""),42507.625)</f>
        <v>42507.625</v>
      </c>
      <c r="B332" s="2">
        <f ca="1">IFERROR(__xludf.DUMMYFUNCTION("""COMPUTED_VALUE"""),4450)</f>
        <v>4450</v>
      </c>
      <c r="C332" s="2">
        <f ca="1">IFERROR(__xludf.DUMMYFUNCTION("""COMPUTED_VALUE"""),4470)</f>
        <v>4470</v>
      </c>
      <c r="D332" s="2">
        <f ca="1">IFERROR(__xludf.DUMMYFUNCTION("""COMPUTED_VALUE"""),4280)</f>
        <v>4280</v>
      </c>
      <c r="E332" s="2">
        <f ca="1">IFERROR(__xludf.DUMMYFUNCTION("""COMPUTED_VALUE"""),4310)</f>
        <v>4310</v>
      </c>
      <c r="F332" s="2">
        <f ca="1">IFERROR(__xludf.DUMMYFUNCTION("""COMPUTED_VALUE"""),28552700)</f>
        <v>28552700</v>
      </c>
    </row>
    <row r="333" spans="1:6">
      <c r="A333" s="1">
        <f ca="1">IFERROR(__xludf.DUMMYFUNCTION("""COMPUTED_VALUE"""),42508.625)</f>
        <v>42508.625</v>
      </c>
      <c r="B333" s="2">
        <f ca="1">IFERROR(__xludf.DUMMYFUNCTION("""COMPUTED_VALUE"""),4310)</f>
        <v>4310</v>
      </c>
      <c r="C333" s="2">
        <f ca="1">IFERROR(__xludf.DUMMYFUNCTION("""COMPUTED_VALUE"""),4420)</f>
        <v>4420</v>
      </c>
      <c r="D333" s="2">
        <f ca="1">IFERROR(__xludf.DUMMYFUNCTION("""COMPUTED_VALUE"""),4270)</f>
        <v>4270</v>
      </c>
      <c r="E333" s="2">
        <f ca="1">IFERROR(__xludf.DUMMYFUNCTION("""COMPUTED_VALUE"""),4400)</f>
        <v>4400</v>
      </c>
      <c r="F333" s="2">
        <f ca="1">IFERROR(__xludf.DUMMYFUNCTION("""COMPUTED_VALUE"""),41504200)</f>
        <v>41504200</v>
      </c>
    </row>
    <row r="334" spans="1:6">
      <c r="A334" s="1">
        <f ca="1">IFERROR(__xludf.DUMMYFUNCTION("""COMPUTED_VALUE"""),42509.625)</f>
        <v>42509.625</v>
      </c>
      <c r="B334" s="2">
        <f ca="1">IFERROR(__xludf.DUMMYFUNCTION("""COMPUTED_VALUE"""),4400)</f>
        <v>4400</v>
      </c>
      <c r="C334" s="2">
        <f ca="1">IFERROR(__xludf.DUMMYFUNCTION("""COMPUTED_VALUE"""),4420)</f>
        <v>4420</v>
      </c>
      <c r="D334" s="2">
        <f ca="1">IFERROR(__xludf.DUMMYFUNCTION("""COMPUTED_VALUE"""),4290)</f>
        <v>4290</v>
      </c>
      <c r="E334" s="2">
        <f ca="1">IFERROR(__xludf.DUMMYFUNCTION("""COMPUTED_VALUE"""),4360)</f>
        <v>4360</v>
      </c>
      <c r="F334" s="2">
        <f ca="1">IFERROR(__xludf.DUMMYFUNCTION("""COMPUTED_VALUE"""),33421400)</f>
        <v>33421400</v>
      </c>
    </row>
    <row r="335" spans="1:6">
      <c r="A335" s="1">
        <f ca="1">IFERROR(__xludf.DUMMYFUNCTION("""COMPUTED_VALUE"""),42510.625)</f>
        <v>42510.625</v>
      </c>
      <c r="B335" s="2">
        <f ca="1">IFERROR(__xludf.DUMMYFUNCTION("""COMPUTED_VALUE"""),4330)</f>
        <v>4330</v>
      </c>
      <c r="C335" s="2">
        <f ca="1">IFERROR(__xludf.DUMMYFUNCTION("""COMPUTED_VALUE"""),4400)</f>
        <v>4400</v>
      </c>
      <c r="D335" s="2">
        <f ca="1">IFERROR(__xludf.DUMMYFUNCTION("""COMPUTED_VALUE"""),4310)</f>
        <v>4310</v>
      </c>
      <c r="E335" s="2">
        <f ca="1">IFERROR(__xludf.DUMMYFUNCTION("""COMPUTED_VALUE"""),4380)</f>
        <v>4380</v>
      </c>
      <c r="F335" s="2">
        <f ca="1">IFERROR(__xludf.DUMMYFUNCTION("""COMPUTED_VALUE"""),19167000)</f>
        <v>19167000</v>
      </c>
    </row>
    <row r="336" spans="1:6">
      <c r="A336" s="1">
        <f ca="1">IFERROR(__xludf.DUMMYFUNCTION("""COMPUTED_VALUE"""),42513.625)</f>
        <v>42513.625</v>
      </c>
      <c r="B336" s="2">
        <f ca="1">IFERROR(__xludf.DUMMYFUNCTION("""COMPUTED_VALUE"""),4380)</f>
        <v>4380</v>
      </c>
      <c r="C336" s="2">
        <f ca="1">IFERROR(__xludf.DUMMYFUNCTION("""COMPUTED_VALUE"""),4440)</f>
        <v>4440</v>
      </c>
      <c r="D336" s="2">
        <f ca="1">IFERROR(__xludf.DUMMYFUNCTION("""COMPUTED_VALUE"""),4360)</f>
        <v>4360</v>
      </c>
      <c r="E336" s="2">
        <f ca="1">IFERROR(__xludf.DUMMYFUNCTION("""COMPUTED_VALUE"""),4430)</f>
        <v>4430</v>
      </c>
      <c r="F336" s="2">
        <f ca="1">IFERROR(__xludf.DUMMYFUNCTION("""COMPUTED_VALUE"""),22626000)</f>
        <v>22626000</v>
      </c>
    </row>
    <row r="337" spans="1:6">
      <c r="A337" s="1">
        <f ca="1">IFERROR(__xludf.DUMMYFUNCTION("""COMPUTED_VALUE"""),42514.625)</f>
        <v>42514.625</v>
      </c>
      <c r="B337" s="2">
        <f ca="1">IFERROR(__xludf.DUMMYFUNCTION("""COMPUTED_VALUE"""),4430)</f>
        <v>4430</v>
      </c>
      <c r="C337" s="2">
        <f ca="1">IFERROR(__xludf.DUMMYFUNCTION("""COMPUTED_VALUE"""),4460)</f>
        <v>4460</v>
      </c>
      <c r="D337" s="2">
        <f ca="1">IFERROR(__xludf.DUMMYFUNCTION("""COMPUTED_VALUE"""),4410)</f>
        <v>4410</v>
      </c>
      <c r="E337" s="2">
        <f ca="1">IFERROR(__xludf.DUMMYFUNCTION("""COMPUTED_VALUE"""),4440)</f>
        <v>4440</v>
      </c>
      <c r="F337" s="2">
        <f ca="1">IFERROR(__xludf.DUMMYFUNCTION("""COMPUTED_VALUE"""),30446200)</f>
        <v>30446200</v>
      </c>
    </row>
    <row r="338" spans="1:6">
      <c r="A338" s="1">
        <f ca="1">IFERROR(__xludf.DUMMYFUNCTION("""COMPUTED_VALUE"""),42515.625)</f>
        <v>42515.625</v>
      </c>
      <c r="B338" s="2">
        <f ca="1">IFERROR(__xludf.DUMMYFUNCTION("""COMPUTED_VALUE"""),4480)</f>
        <v>4480</v>
      </c>
      <c r="C338" s="2">
        <f ca="1">IFERROR(__xludf.DUMMYFUNCTION("""COMPUTED_VALUE"""),4520)</f>
        <v>4520</v>
      </c>
      <c r="D338" s="2">
        <f ca="1">IFERROR(__xludf.DUMMYFUNCTION("""COMPUTED_VALUE"""),4470)</f>
        <v>4470</v>
      </c>
      <c r="E338" s="2">
        <f ca="1">IFERROR(__xludf.DUMMYFUNCTION("""COMPUTED_VALUE"""),4510)</f>
        <v>4510</v>
      </c>
      <c r="F338" s="2">
        <f ca="1">IFERROR(__xludf.DUMMYFUNCTION("""COMPUTED_VALUE"""),26476300)</f>
        <v>26476300</v>
      </c>
    </row>
    <row r="339" spans="1:6">
      <c r="A339" s="1">
        <f ca="1">IFERROR(__xludf.DUMMYFUNCTION("""COMPUTED_VALUE"""),42516.625)</f>
        <v>42516.625</v>
      </c>
      <c r="B339" s="2">
        <f ca="1">IFERROR(__xludf.DUMMYFUNCTION("""COMPUTED_VALUE"""),4540)</f>
        <v>4540</v>
      </c>
      <c r="C339" s="2">
        <f ca="1">IFERROR(__xludf.DUMMYFUNCTION("""COMPUTED_VALUE"""),4570)</f>
        <v>4570</v>
      </c>
      <c r="D339" s="2">
        <f ca="1">IFERROR(__xludf.DUMMYFUNCTION("""COMPUTED_VALUE"""),4480)</f>
        <v>4480</v>
      </c>
      <c r="E339" s="2">
        <f ca="1">IFERROR(__xludf.DUMMYFUNCTION("""COMPUTED_VALUE"""),4550)</f>
        <v>4550</v>
      </c>
      <c r="F339" s="2">
        <f ca="1">IFERROR(__xludf.DUMMYFUNCTION("""COMPUTED_VALUE"""),29009000)</f>
        <v>29009000</v>
      </c>
    </row>
    <row r="340" spans="1:6">
      <c r="A340" s="1">
        <f ca="1">IFERROR(__xludf.DUMMYFUNCTION("""COMPUTED_VALUE"""),42517.625)</f>
        <v>42517.625</v>
      </c>
      <c r="B340" s="2">
        <f ca="1">IFERROR(__xludf.DUMMYFUNCTION("""COMPUTED_VALUE"""),4550)</f>
        <v>4550</v>
      </c>
      <c r="C340" s="2">
        <f ca="1">IFERROR(__xludf.DUMMYFUNCTION("""COMPUTED_VALUE"""),4680)</f>
        <v>4680</v>
      </c>
      <c r="D340" s="2">
        <f ca="1">IFERROR(__xludf.DUMMYFUNCTION("""COMPUTED_VALUE"""),4530)</f>
        <v>4530</v>
      </c>
      <c r="E340" s="2">
        <f ca="1">IFERROR(__xludf.DUMMYFUNCTION("""COMPUTED_VALUE"""),4630)</f>
        <v>4630</v>
      </c>
      <c r="F340" s="2">
        <f ca="1">IFERROR(__xludf.DUMMYFUNCTION("""COMPUTED_VALUE"""),36116000)</f>
        <v>36116000</v>
      </c>
    </row>
    <row r="341" spans="1:6">
      <c r="A341" s="1">
        <f ca="1">IFERROR(__xludf.DUMMYFUNCTION("""COMPUTED_VALUE"""),42520.625)</f>
        <v>42520.625</v>
      </c>
      <c r="B341" s="2">
        <f ca="1">IFERROR(__xludf.DUMMYFUNCTION("""COMPUTED_VALUE"""),4680)</f>
        <v>4680</v>
      </c>
      <c r="C341" s="2">
        <f ca="1">IFERROR(__xludf.DUMMYFUNCTION("""COMPUTED_VALUE"""),4760)</f>
        <v>4760</v>
      </c>
      <c r="D341" s="2">
        <f ca="1">IFERROR(__xludf.DUMMYFUNCTION("""COMPUTED_VALUE"""),4650)</f>
        <v>4650</v>
      </c>
      <c r="E341" s="2">
        <f ca="1">IFERROR(__xludf.DUMMYFUNCTION("""COMPUTED_VALUE"""),4720)</f>
        <v>4720</v>
      </c>
      <c r="F341" s="2">
        <f ca="1">IFERROR(__xludf.DUMMYFUNCTION("""COMPUTED_VALUE"""),35140800)</f>
        <v>35140800</v>
      </c>
    </row>
    <row r="342" spans="1:6">
      <c r="A342" s="1">
        <f ca="1">IFERROR(__xludf.DUMMYFUNCTION("""COMPUTED_VALUE"""),42521.625)</f>
        <v>42521.625</v>
      </c>
      <c r="B342" s="2">
        <f ca="1">IFERROR(__xludf.DUMMYFUNCTION("""COMPUTED_VALUE"""),4750)</f>
        <v>4750</v>
      </c>
      <c r="C342" s="2">
        <f ca="1">IFERROR(__xludf.DUMMYFUNCTION("""COMPUTED_VALUE"""),4800)</f>
        <v>4800</v>
      </c>
      <c r="D342" s="2">
        <f ca="1">IFERROR(__xludf.DUMMYFUNCTION("""COMPUTED_VALUE"""),4670)</f>
        <v>4670</v>
      </c>
      <c r="E342" s="2">
        <f ca="1">IFERROR(__xludf.DUMMYFUNCTION("""COMPUTED_VALUE"""),4800)</f>
        <v>4800</v>
      </c>
      <c r="F342" s="2">
        <f ca="1">IFERROR(__xludf.DUMMYFUNCTION("""COMPUTED_VALUE"""),53911000)</f>
        <v>53911000</v>
      </c>
    </row>
    <row r="343" spans="1:6">
      <c r="A343" s="1">
        <f ca="1">IFERROR(__xludf.DUMMYFUNCTION("""COMPUTED_VALUE"""),42522.625)</f>
        <v>42522.625</v>
      </c>
      <c r="B343" s="2">
        <f ca="1">IFERROR(__xludf.DUMMYFUNCTION("""COMPUTED_VALUE"""),4720)</f>
        <v>4720</v>
      </c>
      <c r="C343" s="2">
        <f ca="1">IFERROR(__xludf.DUMMYFUNCTION("""COMPUTED_VALUE"""),4790)</f>
        <v>4790</v>
      </c>
      <c r="D343" s="2">
        <f ca="1">IFERROR(__xludf.DUMMYFUNCTION("""COMPUTED_VALUE"""),4720)</f>
        <v>4720</v>
      </c>
      <c r="E343" s="2">
        <f ca="1">IFERROR(__xludf.DUMMYFUNCTION("""COMPUTED_VALUE"""),4770)</f>
        <v>4770</v>
      </c>
      <c r="F343" s="2">
        <f ca="1">IFERROR(__xludf.DUMMYFUNCTION("""COMPUTED_VALUE"""),19619700)</f>
        <v>19619700</v>
      </c>
    </row>
    <row r="344" spans="1:6">
      <c r="A344" s="1">
        <f ca="1">IFERROR(__xludf.DUMMYFUNCTION("""COMPUTED_VALUE"""),42523.625)</f>
        <v>42523.625</v>
      </c>
      <c r="B344" s="2">
        <f ca="1">IFERROR(__xludf.DUMMYFUNCTION("""COMPUTED_VALUE"""),4730)</f>
        <v>4730</v>
      </c>
      <c r="C344" s="2">
        <f ca="1">IFERROR(__xludf.DUMMYFUNCTION("""COMPUTED_VALUE"""),4750)</f>
        <v>4750</v>
      </c>
      <c r="D344" s="2">
        <f ca="1">IFERROR(__xludf.DUMMYFUNCTION("""COMPUTED_VALUE"""),4650)</f>
        <v>4650</v>
      </c>
      <c r="E344" s="2">
        <f ca="1">IFERROR(__xludf.DUMMYFUNCTION("""COMPUTED_VALUE"""),4690)</f>
        <v>4690</v>
      </c>
      <c r="F344" s="2">
        <f ca="1">IFERROR(__xludf.DUMMYFUNCTION("""COMPUTED_VALUE"""),22585400)</f>
        <v>22585400</v>
      </c>
    </row>
    <row r="345" spans="1:6">
      <c r="A345" s="1">
        <f ca="1">IFERROR(__xludf.DUMMYFUNCTION("""COMPUTED_VALUE"""),42524.625)</f>
        <v>42524.625</v>
      </c>
      <c r="B345" s="2">
        <f ca="1">IFERROR(__xludf.DUMMYFUNCTION("""COMPUTED_VALUE"""),4710)</f>
        <v>4710</v>
      </c>
      <c r="C345" s="2">
        <f ca="1">IFERROR(__xludf.DUMMYFUNCTION("""COMPUTED_VALUE"""),4730)</f>
        <v>4730</v>
      </c>
      <c r="D345" s="2">
        <f ca="1">IFERROR(__xludf.DUMMYFUNCTION("""COMPUTED_VALUE"""),4670)</f>
        <v>4670</v>
      </c>
      <c r="E345" s="2">
        <f ca="1">IFERROR(__xludf.DUMMYFUNCTION("""COMPUTED_VALUE"""),4700)</f>
        <v>4700</v>
      </c>
      <c r="F345" s="2">
        <f ca="1">IFERROR(__xludf.DUMMYFUNCTION("""COMPUTED_VALUE"""),15443800)</f>
        <v>15443800</v>
      </c>
    </row>
    <row r="346" spans="1:6">
      <c r="A346" s="1">
        <f ca="1">IFERROR(__xludf.DUMMYFUNCTION("""COMPUTED_VALUE"""),42527.625)</f>
        <v>42527.625</v>
      </c>
      <c r="B346" s="2">
        <f ca="1">IFERROR(__xludf.DUMMYFUNCTION("""COMPUTED_VALUE"""),4730)</f>
        <v>4730</v>
      </c>
      <c r="C346" s="2">
        <f ca="1">IFERROR(__xludf.DUMMYFUNCTION("""COMPUTED_VALUE"""),4770)</f>
        <v>4770</v>
      </c>
      <c r="D346" s="2">
        <f ca="1">IFERROR(__xludf.DUMMYFUNCTION("""COMPUTED_VALUE"""),4720)</f>
        <v>4720</v>
      </c>
      <c r="E346" s="2">
        <f ca="1">IFERROR(__xludf.DUMMYFUNCTION("""COMPUTED_VALUE"""),4770)</f>
        <v>4770</v>
      </c>
      <c r="F346" s="2">
        <f ca="1">IFERROR(__xludf.DUMMYFUNCTION("""COMPUTED_VALUE"""),20106600)</f>
        <v>20106600</v>
      </c>
    </row>
    <row r="347" spans="1:6">
      <c r="A347" s="1">
        <f ca="1">IFERROR(__xludf.DUMMYFUNCTION("""COMPUTED_VALUE"""),42528.625)</f>
        <v>42528.625</v>
      </c>
      <c r="B347" s="2">
        <f ca="1">IFERROR(__xludf.DUMMYFUNCTION("""COMPUTED_VALUE"""),4780)</f>
        <v>4780</v>
      </c>
      <c r="C347" s="2">
        <f ca="1">IFERROR(__xludf.DUMMYFUNCTION("""COMPUTED_VALUE"""),4850)</f>
        <v>4850</v>
      </c>
      <c r="D347" s="2">
        <f ca="1">IFERROR(__xludf.DUMMYFUNCTION("""COMPUTED_VALUE"""),4770)</f>
        <v>4770</v>
      </c>
      <c r="E347" s="2">
        <f ca="1">IFERROR(__xludf.DUMMYFUNCTION("""COMPUTED_VALUE"""),4820)</f>
        <v>4820</v>
      </c>
      <c r="F347" s="2">
        <f ca="1">IFERROR(__xludf.DUMMYFUNCTION("""COMPUTED_VALUE"""),38506600)</f>
        <v>38506600</v>
      </c>
    </row>
    <row r="348" spans="1:6">
      <c r="A348" s="1">
        <f ca="1">IFERROR(__xludf.DUMMYFUNCTION("""COMPUTED_VALUE"""),42529.625)</f>
        <v>42529.625</v>
      </c>
      <c r="B348" s="2">
        <f ca="1">IFERROR(__xludf.DUMMYFUNCTION("""COMPUTED_VALUE"""),4820)</f>
        <v>4820</v>
      </c>
      <c r="C348" s="2">
        <f ca="1">IFERROR(__xludf.DUMMYFUNCTION("""COMPUTED_VALUE"""),4840)</f>
        <v>4840</v>
      </c>
      <c r="D348" s="2">
        <f ca="1">IFERROR(__xludf.DUMMYFUNCTION("""COMPUTED_VALUE"""),4790)</f>
        <v>4790</v>
      </c>
      <c r="E348" s="2">
        <f ca="1">IFERROR(__xludf.DUMMYFUNCTION("""COMPUTED_VALUE"""),4820)</f>
        <v>4820</v>
      </c>
      <c r="F348" s="2">
        <f ca="1">IFERROR(__xludf.DUMMYFUNCTION("""COMPUTED_VALUE"""),22700500)</f>
        <v>22700500</v>
      </c>
    </row>
    <row r="349" spans="1:6">
      <c r="A349" s="1">
        <f ca="1">IFERROR(__xludf.DUMMYFUNCTION("""COMPUTED_VALUE"""),42530.625)</f>
        <v>42530.625</v>
      </c>
      <c r="B349" s="2">
        <f ca="1">IFERROR(__xludf.DUMMYFUNCTION("""COMPUTED_VALUE"""),4820)</f>
        <v>4820</v>
      </c>
      <c r="C349" s="2">
        <f ca="1">IFERROR(__xludf.DUMMYFUNCTION("""COMPUTED_VALUE"""),4830)</f>
        <v>4830</v>
      </c>
      <c r="D349" s="2">
        <f ca="1">IFERROR(__xludf.DUMMYFUNCTION("""COMPUTED_VALUE"""),4770)</f>
        <v>4770</v>
      </c>
      <c r="E349" s="2">
        <f ca="1">IFERROR(__xludf.DUMMYFUNCTION("""COMPUTED_VALUE"""),4770)</f>
        <v>4770</v>
      </c>
      <c r="F349" s="2">
        <f ca="1">IFERROR(__xludf.DUMMYFUNCTION("""COMPUTED_VALUE"""),17111700)</f>
        <v>17111700</v>
      </c>
    </row>
    <row r="350" spans="1:6">
      <c r="A350" s="1">
        <f ca="1">IFERROR(__xludf.DUMMYFUNCTION("""COMPUTED_VALUE"""),42531.625)</f>
        <v>42531.625</v>
      </c>
      <c r="B350" s="2">
        <f ca="1">IFERROR(__xludf.DUMMYFUNCTION("""COMPUTED_VALUE"""),4760)</f>
        <v>4760</v>
      </c>
      <c r="C350" s="2">
        <f ca="1">IFERROR(__xludf.DUMMYFUNCTION("""COMPUTED_VALUE"""),4820)</f>
        <v>4820</v>
      </c>
      <c r="D350" s="2">
        <f ca="1">IFERROR(__xludf.DUMMYFUNCTION("""COMPUTED_VALUE"""),4750)</f>
        <v>4750</v>
      </c>
      <c r="E350" s="2">
        <f ca="1">IFERROR(__xludf.DUMMYFUNCTION("""COMPUTED_VALUE"""),4760)</f>
        <v>4760</v>
      </c>
      <c r="F350" s="2">
        <f ca="1">IFERROR(__xludf.DUMMYFUNCTION("""COMPUTED_VALUE"""),10953900)</f>
        <v>10953900</v>
      </c>
    </row>
    <row r="351" spans="1:6">
      <c r="A351" s="1">
        <f ca="1">IFERROR(__xludf.DUMMYFUNCTION("""COMPUTED_VALUE"""),42534.625)</f>
        <v>42534.625</v>
      </c>
      <c r="B351" s="2">
        <f ca="1">IFERROR(__xludf.DUMMYFUNCTION("""COMPUTED_VALUE"""),4760)</f>
        <v>4760</v>
      </c>
      <c r="C351" s="2">
        <f ca="1">IFERROR(__xludf.DUMMYFUNCTION("""COMPUTED_VALUE"""),4760)</f>
        <v>4760</v>
      </c>
      <c r="D351" s="2">
        <f ca="1">IFERROR(__xludf.DUMMYFUNCTION("""COMPUTED_VALUE"""),4670)</f>
        <v>4670</v>
      </c>
      <c r="E351" s="2">
        <f ca="1">IFERROR(__xludf.DUMMYFUNCTION("""COMPUTED_VALUE"""),4690)</f>
        <v>4690</v>
      </c>
      <c r="F351" s="2">
        <f ca="1">IFERROR(__xludf.DUMMYFUNCTION("""COMPUTED_VALUE"""),11028800)</f>
        <v>11028800</v>
      </c>
    </row>
    <row r="352" spans="1:6">
      <c r="A352" s="1">
        <f ca="1">IFERROR(__xludf.DUMMYFUNCTION("""COMPUTED_VALUE"""),42535.625)</f>
        <v>42535.625</v>
      </c>
      <c r="B352" s="2">
        <f ca="1">IFERROR(__xludf.DUMMYFUNCTION("""COMPUTED_VALUE"""),4690)</f>
        <v>4690</v>
      </c>
      <c r="C352" s="2">
        <f ca="1">IFERROR(__xludf.DUMMYFUNCTION("""COMPUTED_VALUE"""),4720)</f>
        <v>4720</v>
      </c>
      <c r="D352" s="2">
        <f ca="1">IFERROR(__xludf.DUMMYFUNCTION("""COMPUTED_VALUE"""),4650)</f>
        <v>4650</v>
      </c>
      <c r="E352" s="2">
        <f ca="1">IFERROR(__xludf.DUMMYFUNCTION("""COMPUTED_VALUE"""),4660)</f>
        <v>4660</v>
      </c>
      <c r="F352" s="2">
        <f ca="1">IFERROR(__xludf.DUMMYFUNCTION("""COMPUTED_VALUE"""),16079300)</f>
        <v>16079300</v>
      </c>
    </row>
    <row r="353" spans="1:6">
      <c r="A353" s="1">
        <f ca="1">IFERROR(__xludf.DUMMYFUNCTION("""COMPUTED_VALUE"""),42536.625)</f>
        <v>42536.625</v>
      </c>
      <c r="B353" s="2">
        <f ca="1">IFERROR(__xludf.DUMMYFUNCTION("""COMPUTED_VALUE"""),4670)</f>
        <v>4670</v>
      </c>
      <c r="C353" s="2">
        <f ca="1">IFERROR(__xludf.DUMMYFUNCTION("""COMPUTED_VALUE"""),4730)</f>
        <v>4730</v>
      </c>
      <c r="D353" s="2">
        <f ca="1">IFERROR(__xludf.DUMMYFUNCTION("""COMPUTED_VALUE"""),4660)</f>
        <v>4660</v>
      </c>
      <c r="E353" s="2">
        <f ca="1">IFERROR(__xludf.DUMMYFUNCTION("""COMPUTED_VALUE"""),4730)</f>
        <v>4730</v>
      </c>
      <c r="F353" s="2">
        <f ca="1">IFERROR(__xludf.DUMMYFUNCTION("""COMPUTED_VALUE"""),15865200)</f>
        <v>15865200</v>
      </c>
    </row>
    <row r="354" spans="1:6">
      <c r="A354" s="1">
        <f ca="1">IFERROR(__xludf.DUMMYFUNCTION("""COMPUTED_VALUE"""),42537.625)</f>
        <v>42537.625</v>
      </c>
      <c r="B354" s="2">
        <f ca="1">IFERROR(__xludf.DUMMYFUNCTION("""COMPUTED_VALUE"""),4740)</f>
        <v>4740</v>
      </c>
      <c r="C354" s="2">
        <f ca="1">IFERROR(__xludf.DUMMYFUNCTION("""COMPUTED_VALUE"""),4760)</f>
        <v>4760</v>
      </c>
      <c r="D354" s="2">
        <f ca="1">IFERROR(__xludf.DUMMYFUNCTION("""COMPUTED_VALUE"""),4650)</f>
        <v>4650</v>
      </c>
      <c r="E354" s="2">
        <f ca="1">IFERROR(__xludf.DUMMYFUNCTION("""COMPUTED_VALUE"""),4670)</f>
        <v>4670</v>
      </c>
      <c r="F354" s="2">
        <f ca="1">IFERROR(__xludf.DUMMYFUNCTION("""COMPUTED_VALUE"""),12682600)</f>
        <v>12682600</v>
      </c>
    </row>
    <row r="355" spans="1:6">
      <c r="A355" s="1">
        <f ca="1">IFERROR(__xludf.DUMMYFUNCTION("""COMPUTED_VALUE"""),42538.625)</f>
        <v>42538.625</v>
      </c>
      <c r="B355" s="2">
        <f ca="1">IFERROR(__xludf.DUMMYFUNCTION("""COMPUTED_VALUE"""),4700)</f>
        <v>4700</v>
      </c>
      <c r="C355" s="2">
        <f ca="1">IFERROR(__xludf.DUMMYFUNCTION("""COMPUTED_VALUE"""),4720)</f>
        <v>4720</v>
      </c>
      <c r="D355" s="2">
        <f ca="1">IFERROR(__xludf.DUMMYFUNCTION("""COMPUTED_VALUE"""),4600)</f>
        <v>4600</v>
      </c>
      <c r="E355" s="2">
        <f ca="1">IFERROR(__xludf.DUMMYFUNCTION("""COMPUTED_VALUE"""),4660)</f>
        <v>4660</v>
      </c>
      <c r="F355" s="2">
        <f ca="1">IFERROR(__xludf.DUMMYFUNCTION("""COMPUTED_VALUE"""),16783500)</f>
        <v>16783500</v>
      </c>
    </row>
    <row r="356" spans="1:6">
      <c r="A356" s="1">
        <f ca="1">IFERROR(__xludf.DUMMYFUNCTION("""COMPUTED_VALUE"""),42541.625)</f>
        <v>42541.625</v>
      </c>
      <c r="B356" s="2">
        <f ca="1">IFERROR(__xludf.DUMMYFUNCTION("""COMPUTED_VALUE"""),4680)</f>
        <v>4680</v>
      </c>
      <c r="C356" s="2">
        <f ca="1">IFERROR(__xludf.DUMMYFUNCTION("""COMPUTED_VALUE"""),4750)</f>
        <v>4750</v>
      </c>
      <c r="D356" s="2">
        <f ca="1">IFERROR(__xludf.DUMMYFUNCTION("""COMPUTED_VALUE"""),4660)</f>
        <v>4660</v>
      </c>
      <c r="E356" s="2">
        <f ca="1">IFERROR(__xludf.DUMMYFUNCTION("""COMPUTED_VALUE"""),4720)</f>
        <v>4720</v>
      </c>
      <c r="F356" s="2">
        <f ca="1">IFERROR(__xludf.DUMMYFUNCTION("""COMPUTED_VALUE"""),13548200)</f>
        <v>13548200</v>
      </c>
    </row>
    <row r="357" spans="1:6">
      <c r="A357" s="1">
        <f ca="1">IFERROR(__xludf.DUMMYFUNCTION("""COMPUTED_VALUE"""),42542.625)</f>
        <v>42542.625</v>
      </c>
      <c r="B357" s="2">
        <f ca="1">IFERROR(__xludf.DUMMYFUNCTION("""COMPUTED_VALUE"""),4730)</f>
        <v>4730</v>
      </c>
      <c r="C357" s="2">
        <f ca="1">IFERROR(__xludf.DUMMYFUNCTION("""COMPUTED_VALUE"""),4850)</f>
        <v>4850</v>
      </c>
      <c r="D357" s="2">
        <f ca="1">IFERROR(__xludf.DUMMYFUNCTION("""COMPUTED_VALUE"""),4730)</f>
        <v>4730</v>
      </c>
      <c r="E357" s="2">
        <f ca="1">IFERROR(__xludf.DUMMYFUNCTION("""COMPUTED_VALUE"""),4850)</f>
        <v>4850</v>
      </c>
      <c r="F357" s="2">
        <f ca="1">IFERROR(__xludf.DUMMYFUNCTION("""COMPUTED_VALUE"""),30031700)</f>
        <v>30031700</v>
      </c>
    </row>
    <row r="358" spans="1:6">
      <c r="A358" s="1">
        <f ca="1">IFERROR(__xludf.DUMMYFUNCTION("""COMPUTED_VALUE"""),42543.625)</f>
        <v>42543.625</v>
      </c>
      <c r="B358" s="2">
        <f ca="1">IFERROR(__xludf.DUMMYFUNCTION("""COMPUTED_VALUE"""),4850)</f>
        <v>4850</v>
      </c>
      <c r="C358" s="2">
        <f ca="1">IFERROR(__xludf.DUMMYFUNCTION("""COMPUTED_VALUE"""),4920)</f>
        <v>4920</v>
      </c>
      <c r="D358" s="2">
        <f ca="1">IFERROR(__xludf.DUMMYFUNCTION("""COMPUTED_VALUE"""),4830)</f>
        <v>4830</v>
      </c>
      <c r="E358" s="2">
        <f ca="1">IFERROR(__xludf.DUMMYFUNCTION("""COMPUTED_VALUE"""),4920)</f>
        <v>4920</v>
      </c>
      <c r="F358" s="2">
        <f ca="1">IFERROR(__xludf.DUMMYFUNCTION("""COMPUTED_VALUE"""),27495400)</f>
        <v>27495400</v>
      </c>
    </row>
    <row r="359" spans="1:6">
      <c r="A359" s="1">
        <f ca="1">IFERROR(__xludf.DUMMYFUNCTION("""COMPUTED_VALUE"""),42544.625)</f>
        <v>42544.625</v>
      </c>
      <c r="B359" s="2">
        <f ca="1">IFERROR(__xludf.DUMMYFUNCTION("""COMPUTED_VALUE"""),4920)</f>
        <v>4920</v>
      </c>
      <c r="C359" s="2">
        <f ca="1">IFERROR(__xludf.DUMMYFUNCTION("""COMPUTED_VALUE"""),4920)</f>
        <v>4920</v>
      </c>
      <c r="D359" s="2">
        <f ca="1">IFERROR(__xludf.DUMMYFUNCTION("""COMPUTED_VALUE"""),4860)</f>
        <v>4860</v>
      </c>
      <c r="E359" s="2">
        <f ca="1">IFERROR(__xludf.DUMMYFUNCTION("""COMPUTED_VALUE"""),4890)</f>
        <v>4890</v>
      </c>
      <c r="F359" s="2">
        <f ca="1">IFERROR(__xludf.DUMMYFUNCTION("""COMPUTED_VALUE"""),13121000)</f>
        <v>13121000</v>
      </c>
    </row>
    <row r="360" spans="1:6">
      <c r="A360" s="1">
        <f ca="1">IFERROR(__xludf.DUMMYFUNCTION("""COMPUTED_VALUE"""),42545.625)</f>
        <v>42545.625</v>
      </c>
      <c r="B360" s="2">
        <f ca="1">IFERROR(__xludf.DUMMYFUNCTION("""COMPUTED_VALUE"""),4890)</f>
        <v>4890</v>
      </c>
      <c r="C360" s="2">
        <f ca="1">IFERROR(__xludf.DUMMYFUNCTION("""COMPUTED_VALUE"""),4900)</f>
        <v>4900</v>
      </c>
      <c r="D360" s="2">
        <f ca="1">IFERROR(__xludf.DUMMYFUNCTION("""COMPUTED_VALUE"""),4690)</f>
        <v>4690</v>
      </c>
      <c r="E360" s="2">
        <f ca="1">IFERROR(__xludf.DUMMYFUNCTION("""COMPUTED_VALUE"""),4890)</f>
        <v>4890</v>
      </c>
      <c r="F360" s="2">
        <f ca="1">IFERROR(__xludf.DUMMYFUNCTION("""COMPUTED_VALUE"""),21174200)</f>
        <v>21174200</v>
      </c>
    </row>
    <row r="361" spans="1:6">
      <c r="A361" s="1">
        <f ca="1">IFERROR(__xludf.DUMMYFUNCTION("""COMPUTED_VALUE"""),42548.625)</f>
        <v>42548.625</v>
      </c>
      <c r="B361" s="2">
        <f ca="1">IFERROR(__xludf.DUMMYFUNCTION("""COMPUTED_VALUE"""),4840)</f>
        <v>4840</v>
      </c>
      <c r="C361" s="2">
        <f ca="1">IFERROR(__xludf.DUMMYFUNCTION("""COMPUTED_VALUE"""),4870)</f>
        <v>4870</v>
      </c>
      <c r="D361" s="2">
        <f ca="1">IFERROR(__xludf.DUMMYFUNCTION("""COMPUTED_VALUE"""),4790)</f>
        <v>4790</v>
      </c>
      <c r="E361" s="2">
        <f ca="1">IFERROR(__xludf.DUMMYFUNCTION("""COMPUTED_VALUE"""),4840)</f>
        <v>4840</v>
      </c>
      <c r="F361" s="2">
        <f ca="1">IFERROR(__xludf.DUMMYFUNCTION("""COMPUTED_VALUE"""),17152800)</f>
        <v>17152800</v>
      </c>
    </row>
    <row r="362" spans="1:6">
      <c r="A362" s="1">
        <f ca="1">IFERROR(__xludf.DUMMYFUNCTION("""COMPUTED_VALUE"""),42549.625)</f>
        <v>42549.625</v>
      </c>
      <c r="B362" s="2">
        <f ca="1">IFERROR(__xludf.DUMMYFUNCTION("""COMPUTED_VALUE"""),4840)</f>
        <v>4840</v>
      </c>
      <c r="C362" s="2">
        <f ca="1">IFERROR(__xludf.DUMMYFUNCTION("""COMPUTED_VALUE"""),4950)</f>
        <v>4950</v>
      </c>
      <c r="D362" s="2">
        <f ca="1">IFERROR(__xludf.DUMMYFUNCTION("""COMPUTED_VALUE"""),4840)</f>
        <v>4840</v>
      </c>
      <c r="E362" s="2">
        <f ca="1">IFERROR(__xludf.DUMMYFUNCTION("""COMPUTED_VALUE"""),4950)</f>
        <v>4950</v>
      </c>
      <c r="F362" s="2">
        <f ca="1">IFERROR(__xludf.DUMMYFUNCTION("""COMPUTED_VALUE"""),44684800)</f>
        <v>44684800</v>
      </c>
    </row>
    <row r="363" spans="1:6">
      <c r="A363" s="1">
        <f ca="1">IFERROR(__xludf.DUMMYFUNCTION("""COMPUTED_VALUE"""),42550.625)</f>
        <v>42550.625</v>
      </c>
      <c r="B363" s="2">
        <f ca="1">IFERROR(__xludf.DUMMYFUNCTION("""COMPUTED_VALUE"""),4980)</f>
        <v>4980</v>
      </c>
      <c r="C363" s="2">
        <f ca="1">IFERROR(__xludf.DUMMYFUNCTION("""COMPUTED_VALUE"""),5200)</f>
        <v>5200</v>
      </c>
      <c r="D363" s="2">
        <f ca="1">IFERROR(__xludf.DUMMYFUNCTION("""COMPUTED_VALUE"""),4980)</f>
        <v>4980</v>
      </c>
      <c r="E363" s="2">
        <f ca="1">IFERROR(__xludf.DUMMYFUNCTION("""COMPUTED_VALUE"""),5200)</f>
        <v>5200</v>
      </c>
      <c r="F363" s="2">
        <f ca="1">IFERROR(__xludf.DUMMYFUNCTION("""COMPUTED_VALUE"""),96649700)</f>
        <v>96649700</v>
      </c>
    </row>
    <row r="364" spans="1:6">
      <c r="A364" s="1">
        <f ca="1">IFERROR(__xludf.DUMMYFUNCTION("""COMPUTED_VALUE"""),42551.625)</f>
        <v>42551.625</v>
      </c>
      <c r="B364" s="2">
        <f ca="1">IFERROR(__xludf.DUMMYFUNCTION("""COMPUTED_VALUE"""),5250)</f>
        <v>5250</v>
      </c>
      <c r="C364" s="2">
        <f ca="1">IFERROR(__xludf.DUMMYFUNCTION("""COMPUTED_VALUE"""),5275)</f>
        <v>5275</v>
      </c>
      <c r="D364" s="2">
        <f ca="1">IFERROR(__xludf.DUMMYFUNCTION("""COMPUTED_VALUE"""),5125)</f>
        <v>5125</v>
      </c>
      <c r="E364" s="2">
        <f ca="1">IFERROR(__xludf.DUMMYFUNCTION("""COMPUTED_VALUE"""),5200)</f>
        <v>5200</v>
      </c>
      <c r="F364" s="2">
        <f ca="1">IFERROR(__xludf.DUMMYFUNCTION("""COMPUTED_VALUE"""),44907800)</f>
        <v>44907800</v>
      </c>
    </row>
    <row r="365" spans="1:6">
      <c r="A365" s="1">
        <f ca="1">IFERROR(__xludf.DUMMYFUNCTION("""COMPUTED_VALUE"""),42552.625)</f>
        <v>42552.625</v>
      </c>
      <c r="B365" s="2">
        <f ca="1">IFERROR(__xludf.DUMMYFUNCTION("""COMPUTED_VALUE"""),5225)</f>
        <v>5225</v>
      </c>
      <c r="C365" s="2">
        <f ca="1">IFERROR(__xludf.DUMMYFUNCTION("""COMPUTED_VALUE"""),5225)</f>
        <v>5225</v>
      </c>
      <c r="D365" s="2">
        <f ca="1">IFERROR(__xludf.DUMMYFUNCTION("""COMPUTED_VALUE"""),5100)</f>
        <v>5100</v>
      </c>
      <c r="E365" s="2">
        <f ca="1">IFERROR(__xludf.DUMMYFUNCTION("""COMPUTED_VALUE"""),5150)</f>
        <v>5150</v>
      </c>
      <c r="F365" s="2">
        <f ca="1">IFERROR(__xludf.DUMMYFUNCTION("""COMPUTED_VALUE"""),9469400)</f>
        <v>9469400</v>
      </c>
    </row>
    <row r="366" spans="1:6">
      <c r="A366" s="1">
        <f ca="1">IFERROR(__xludf.DUMMYFUNCTION("""COMPUTED_VALUE"""),42562.625)</f>
        <v>42562.625</v>
      </c>
      <c r="B366" s="2">
        <f ca="1">IFERROR(__xludf.DUMMYFUNCTION("""COMPUTED_VALUE"""),5250)</f>
        <v>5250</v>
      </c>
      <c r="C366" s="2">
        <f ca="1">IFERROR(__xludf.DUMMYFUNCTION("""COMPUTED_VALUE"""),5350)</f>
        <v>5350</v>
      </c>
      <c r="D366" s="2">
        <f ca="1">IFERROR(__xludf.DUMMYFUNCTION("""COMPUTED_VALUE"""),5250)</f>
        <v>5250</v>
      </c>
      <c r="E366" s="2">
        <f ca="1">IFERROR(__xludf.DUMMYFUNCTION("""COMPUTED_VALUE"""),5300)</f>
        <v>5300</v>
      </c>
      <c r="F366" s="2">
        <f ca="1">IFERROR(__xludf.DUMMYFUNCTION("""COMPUTED_VALUE"""),41016300)</f>
        <v>41016300</v>
      </c>
    </row>
    <row r="367" spans="1:6">
      <c r="A367" s="1">
        <f ca="1">IFERROR(__xludf.DUMMYFUNCTION("""COMPUTED_VALUE"""),42563.625)</f>
        <v>42563.625</v>
      </c>
      <c r="B367" s="2">
        <f ca="1">IFERROR(__xludf.DUMMYFUNCTION("""COMPUTED_VALUE"""),5325)</f>
        <v>5325</v>
      </c>
      <c r="C367" s="2">
        <f ca="1">IFERROR(__xludf.DUMMYFUNCTION("""COMPUTED_VALUE"""),5450)</f>
        <v>5450</v>
      </c>
      <c r="D367" s="2">
        <f ca="1">IFERROR(__xludf.DUMMYFUNCTION("""COMPUTED_VALUE"""),5300)</f>
        <v>5300</v>
      </c>
      <c r="E367" s="2">
        <f ca="1">IFERROR(__xludf.DUMMYFUNCTION("""COMPUTED_VALUE"""),5425)</f>
        <v>5425</v>
      </c>
      <c r="F367" s="2">
        <f ca="1">IFERROR(__xludf.DUMMYFUNCTION("""COMPUTED_VALUE"""),44642200)</f>
        <v>44642200</v>
      </c>
    </row>
    <row r="368" spans="1:6">
      <c r="A368" s="1">
        <f ca="1">IFERROR(__xludf.DUMMYFUNCTION("""COMPUTED_VALUE"""),42564.625)</f>
        <v>42564.625</v>
      </c>
      <c r="B368" s="2">
        <f ca="1">IFERROR(__xludf.DUMMYFUNCTION("""COMPUTED_VALUE"""),5475)</f>
        <v>5475</v>
      </c>
      <c r="C368" s="2">
        <f ca="1">IFERROR(__xludf.DUMMYFUNCTION("""COMPUTED_VALUE"""),5475)</f>
        <v>5475</v>
      </c>
      <c r="D368" s="2">
        <f ca="1">IFERROR(__xludf.DUMMYFUNCTION("""COMPUTED_VALUE"""),5350)</f>
        <v>5350</v>
      </c>
      <c r="E368" s="2">
        <f ca="1">IFERROR(__xludf.DUMMYFUNCTION("""COMPUTED_VALUE"""),5400)</f>
        <v>5400</v>
      </c>
      <c r="F368" s="2">
        <f ca="1">IFERROR(__xludf.DUMMYFUNCTION("""COMPUTED_VALUE"""),16179700)</f>
        <v>16179700</v>
      </c>
    </row>
    <row r="369" spans="1:6">
      <c r="A369" s="1">
        <f ca="1">IFERROR(__xludf.DUMMYFUNCTION("""COMPUTED_VALUE"""),42565.625)</f>
        <v>42565.625</v>
      </c>
      <c r="B369" s="2">
        <f ca="1">IFERROR(__xludf.DUMMYFUNCTION("""COMPUTED_VALUE"""),5450)</f>
        <v>5450</v>
      </c>
      <c r="C369" s="2">
        <f ca="1">IFERROR(__xludf.DUMMYFUNCTION("""COMPUTED_VALUE"""),5450)</f>
        <v>5450</v>
      </c>
      <c r="D369" s="2">
        <f ca="1">IFERROR(__xludf.DUMMYFUNCTION("""COMPUTED_VALUE"""),5300)</f>
        <v>5300</v>
      </c>
      <c r="E369" s="2">
        <f ca="1">IFERROR(__xludf.DUMMYFUNCTION("""COMPUTED_VALUE"""),5300)</f>
        <v>5300</v>
      </c>
      <c r="F369" s="2">
        <f ca="1">IFERROR(__xludf.DUMMYFUNCTION("""COMPUTED_VALUE"""),19319500)</f>
        <v>19319500</v>
      </c>
    </row>
    <row r="370" spans="1:6">
      <c r="A370" s="1">
        <f ca="1">IFERROR(__xludf.DUMMYFUNCTION("""COMPUTED_VALUE"""),42566.625)</f>
        <v>42566.625</v>
      </c>
      <c r="B370" s="2">
        <f ca="1">IFERROR(__xludf.DUMMYFUNCTION("""COMPUTED_VALUE"""),5375)</f>
        <v>5375</v>
      </c>
      <c r="C370" s="2">
        <f ca="1">IFERROR(__xludf.DUMMYFUNCTION("""COMPUTED_VALUE"""),5450)</f>
        <v>5450</v>
      </c>
      <c r="D370" s="2">
        <f ca="1">IFERROR(__xludf.DUMMYFUNCTION("""COMPUTED_VALUE"""),5350)</f>
        <v>5350</v>
      </c>
      <c r="E370" s="2">
        <f ca="1">IFERROR(__xludf.DUMMYFUNCTION("""COMPUTED_VALUE"""),5450)</f>
        <v>5450</v>
      </c>
      <c r="F370" s="2">
        <f ca="1">IFERROR(__xludf.DUMMYFUNCTION("""COMPUTED_VALUE"""),24534400)</f>
        <v>24534400</v>
      </c>
    </row>
    <row r="371" spans="1:6">
      <c r="A371" s="1">
        <f ca="1">IFERROR(__xludf.DUMMYFUNCTION("""COMPUTED_VALUE"""),42569.625)</f>
        <v>42569.625</v>
      </c>
      <c r="B371" s="2">
        <f ca="1">IFERROR(__xludf.DUMMYFUNCTION("""COMPUTED_VALUE"""),5400)</f>
        <v>5400</v>
      </c>
      <c r="C371" s="2">
        <f ca="1">IFERROR(__xludf.DUMMYFUNCTION("""COMPUTED_VALUE"""),5475)</f>
        <v>5475</v>
      </c>
      <c r="D371" s="2">
        <f ca="1">IFERROR(__xludf.DUMMYFUNCTION("""COMPUTED_VALUE"""),5350)</f>
        <v>5350</v>
      </c>
      <c r="E371" s="2">
        <f ca="1">IFERROR(__xludf.DUMMYFUNCTION("""COMPUTED_VALUE"""),5475)</f>
        <v>5475</v>
      </c>
      <c r="F371" s="2">
        <f ca="1">IFERROR(__xludf.DUMMYFUNCTION("""COMPUTED_VALUE"""),11566800)</f>
        <v>11566800</v>
      </c>
    </row>
    <row r="372" spans="1:6">
      <c r="A372" s="1">
        <f ca="1">IFERROR(__xludf.DUMMYFUNCTION("""COMPUTED_VALUE"""),42570.625)</f>
        <v>42570.625</v>
      </c>
      <c r="B372" s="2">
        <f ca="1">IFERROR(__xludf.DUMMYFUNCTION("""COMPUTED_VALUE"""),5500)</f>
        <v>5500</v>
      </c>
      <c r="C372" s="2">
        <f ca="1">IFERROR(__xludf.DUMMYFUNCTION("""COMPUTED_VALUE"""),5675)</f>
        <v>5675</v>
      </c>
      <c r="D372" s="2">
        <f ca="1">IFERROR(__xludf.DUMMYFUNCTION("""COMPUTED_VALUE"""),5450)</f>
        <v>5450</v>
      </c>
      <c r="E372" s="2">
        <f ca="1">IFERROR(__xludf.DUMMYFUNCTION("""COMPUTED_VALUE"""),5600)</f>
        <v>5600</v>
      </c>
      <c r="F372" s="2">
        <f ca="1">IFERROR(__xludf.DUMMYFUNCTION("""COMPUTED_VALUE"""),33771000)</f>
        <v>33771000</v>
      </c>
    </row>
    <row r="373" spans="1:6">
      <c r="A373" s="1">
        <f ca="1">IFERROR(__xludf.DUMMYFUNCTION("""COMPUTED_VALUE"""),42571.625)</f>
        <v>42571.625</v>
      </c>
      <c r="B373" s="2">
        <f ca="1">IFERROR(__xludf.DUMMYFUNCTION("""COMPUTED_VALUE"""),5600)</f>
        <v>5600</v>
      </c>
      <c r="C373" s="2">
        <f ca="1">IFERROR(__xludf.DUMMYFUNCTION("""COMPUTED_VALUE"""),5700)</f>
        <v>5700</v>
      </c>
      <c r="D373" s="2">
        <f ca="1">IFERROR(__xludf.DUMMYFUNCTION("""COMPUTED_VALUE"""),5575)</f>
        <v>5575</v>
      </c>
      <c r="E373" s="2">
        <f ca="1">IFERROR(__xludf.DUMMYFUNCTION("""COMPUTED_VALUE"""),5650)</f>
        <v>5650</v>
      </c>
      <c r="F373" s="2">
        <f ca="1">IFERROR(__xludf.DUMMYFUNCTION("""COMPUTED_VALUE"""),23690400)</f>
        <v>23690400</v>
      </c>
    </row>
    <row r="374" spans="1:6">
      <c r="A374" s="1">
        <f ca="1">IFERROR(__xludf.DUMMYFUNCTION("""COMPUTED_VALUE"""),42572.625)</f>
        <v>42572.625</v>
      </c>
      <c r="B374" s="2">
        <f ca="1">IFERROR(__xludf.DUMMYFUNCTION("""COMPUTED_VALUE"""),5675)</f>
        <v>5675</v>
      </c>
      <c r="C374" s="2">
        <f ca="1">IFERROR(__xludf.DUMMYFUNCTION("""COMPUTED_VALUE"""),5675)</f>
        <v>5675</v>
      </c>
      <c r="D374" s="2">
        <f ca="1">IFERROR(__xludf.DUMMYFUNCTION("""COMPUTED_VALUE"""),5525)</f>
        <v>5525</v>
      </c>
      <c r="E374" s="2">
        <f ca="1">IFERROR(__xludf.DUMMYFUNCTION("""COMPUTED_VALUE"""),5575)</f>
        <v>5575</v>
      </c>
      <c r="F374" s="2">
        <f ca="1">IFERROR(__xludf.DUMMYFUNCTION("""COMPUTED_VALUE"""),16927100)</f>
        <v>16927100</v>
      </c>
    </row>
    <row r="375" spans="1:6">
      <c r="A375" s="1">
        <f ca="1">IFERROR(__xludf.DUMMYFUNCTION("""COMPUTED_VALUE"""),42573.625)</f>
        <v>42573.625</v>
      </c>
      <c r="B375" s="2">
        <f ca="1">IFERROR(__xludf.DUMMYFUNCTION("""COMPUTED_VALUE"""),5500)</f>
        <v>5500</v>
      </c>
      <c r="C375" s="2">
        <f ca="1">IFERROR(__xludf.DUMMYFUNCTION("""COMPUTED_VALUE"""),5500)</f>
        <v>5500</v>
      </c>
      <c r="D375" s="2">
        <f ca="1">IFERROR(__xludf.DUMMYFUNCTION("""COMPUTED_VALUE"""),5300)</f>
        <v>5300</v>
      </c>
      <c r="E375" s="2">
        <f ca="1">IFERROR(__xludf.DUMMYFUNCTION("""COMPUTED_VALUE"""),5300)</f>
        <v>5300</v>
      </c>
      <c r="F375" s="2">
        <f ca="1">IFERROR(__xludf.DUMMYFUNCTION("""COMPUTED_VALUE"""),41480200)</f>
        <v>41480200</v>
      </c>
    </row>
    <row r="376" spans="1:6">
      <c r="A376" s="1">
        <f ca="1">IFERROR(__xludf.DUMMYFUNCTION("""COMPUTED_VALUE"""),42576.625)</f>
        <v>42576.625</v>
      </c>
      <c r="B376" s="2">
        <f ca="1">IFERROR(__xludf.DUMMYFUNCTION("""COMPUTED_VALUE"""),5350)</f>
        <v>5350</v>
      </c>
      <c r="C376" s="2">
        <f ca="1">IFERROR(__xludf.DUMMYFUNCTION("""COMPUTED_VALUE"""),5375)</f>
        <v>5375</v>
      </c>
      <c r="D376" s="2">
        <f ca="1">IFERROR(__xludf.DUMMYFUNCTION("""COMPUTED_VALUE"""),5125)</f>
        <v>5125</v>
      </c>
      <c r="E376" s="2">
        <f ca="1">IFERROR(__xludf.DUMMYFUNCTION("""COMPUTED_VALUE"""),5175)</f>
        <v>5175</v>
      </c>
      <c r="F376" s="2">
        <f ca="1">IFERROR(__xludf.DUMMYFUNCTION("""COMPUTED_VALUE"""),49902900)</f>
        <v>49902900</v>
      </c>
    </row>
    <row r="377" spans="1:6">
      <c r="A377" s="1">
        <f ca="1">IFERROR(__xludf.DUMMYFUNCTION("""COMPUTED_VALUE"""),42577.625)</f>
        <v>42577.625</v>
      </c>
      <c r="B377" s="2">
        <f ca="1">IFERROR(__xludf.DUMMYFUNCTION("""COMPUTED_VALUE"""),5175)</f>
        <v>5175</v>
      </c>
      <c r="C377" s="2">
        <f ca="1">IFERROR(__xludf.DUMMYFUNCTION("""COMPUTED_VALUE"""),5325)</f>
        <v>5325</v>
      </c>
      <c r="D377" s="2">
        <f ca="1">IFERROR(__xludf.DUMMYFUNCTION("""COMPUTED_VALUE"""),5150)</f>
        <v>5150</v>
      </c>
      <c r="E377" s="2">
        <f ca="1">IFERROR(__xludf.DUMMYFUNCTION("""COMPUTED_VALUE"""),5225)</f>
        <v>5225</v>
      </c>
      <c r="F377" s="2">
        <f ca="1">IFERROR(__xludf.DUMMYFUNCTION("""COMPUTED_VALUE"""),46669100)</f>
        <v>46669100</v>
      </c>
    </row>
    <row r="378" spans="1:6">
      <c r="A378" s="1">
        <f ca="1">IFERROR(__xludf.DUMMYFUNCTION("""COMPUTED_VALUE"""),42578.625)</f>
        <v>42578.625</v>
      </c>
      <c r="B378" s="2">
        <f ca="1">IFERROR(__xludf.DUMMYFUNCTION("""COMPUTED_VALUE"""),5300)</f>
        <v>5300</v>
      </c>
      <c r="C378" s="2">
        <f ca="1">IFERROR(__xludf.DUMMYFUNCTION("""COMPUTED_VALUE"""),5450)</f>
        <v>5450</v>
      </c>
      <c r="D378" s="2">
        <f ca="1">IFERROR(__xludf.DUMMYFUNCTION("""COMPUTED_VALUE"""),5275)</f>
        <v>5275</v>
      </c>
      <c r="E378" s="2">
        <f ca="1">IFERROR(__xludf.DUMMYFUNCTION("""COMPUTED_VALUE"""),5375)</f>
        <v>5375</v>
      </c>
      <c r="F378" s="2">
        <f ca="1">IFERROR(__xludf.DUMMYFUNCTION("""COMPUTED_VALUE"""),71190000)</f>
        <v>71190000</v>
      </c>
    </row>
    <row r="379" spans="1:6">
      <c r="A379" s="1">
        <f ca="1">IFERROR(__xludf.DUMMYFUNCTION("""COMPUTED_VALUE"""),42579.625)</f>
        <v>42579.625</v>
      </c>
      <c r="B379" s="2">
        <f ca="1">IFERROR(__xludf.DUMMYFUNCTION("""COMPUTED_VALUE"""),5425)</f>
        <v>5425</v>
      </c>
      <c r="C379" s="2">
        <f ca="1">IFERROR(__xludf.DUMMYFUNCTION("""COMPUTED_VALUE"""),5450)</f>
        <v>5450</v>
      </c>
      <c r="D379" s="2">
        <f ca="1">IFERROR(__xludf.DUMMYFUNCTION("""COMPUTED_VALUE"""),5300)</f>
        <v>5300</v>
      </c>
      <c r="E379" s="2">
        <f ca="1">IFERROR(__xludf.DUMMYFUNCTION("""COMPUTED_VALUE"""),5400)</f>
        <v>5400</v>
      </c>
      <c r="F379" s="2">
        <f ca="1">IFERROR(__xludf.DUMMYFUNCTION("""COMPUTED_VALUE"""),25047000)</f>
        <v>25047000</v>
      </c>
    </row>
    <row r="380" spans="1:6">
      <c r="A380" s="1">
        <f ca="1">IFERROR(__xludf.DUMMYFUNCTION("""COMPUTED_VALUE"""),42580.625)</f>
        <v>42580.625</v>
      </c>
      <c r="B380" s="2">
        <f ca="1">IFERROR(__xludf.DUMMYFUNCTION("""COMPUTED_VALUE"""),5425)</f>
        <v>5425</v>
      </c>
      <c r="C380" s="2">
        <f ca="1">IFERROR(__xludf.DUMMYFUNCTION("""COMPUTED_VALUE"""),5450)</f>
        <v>5450</v>
      </c>
      <c r="D380" s="2">
        <f ca="1">IFERROR(__xludf.DUMMYFUNCTION("""COMPUTED_VALUE"""),5275)</f>
        <v>5275</v>
      </c>
      <c r="E380" s="2">
        <f ca="1">IFERROR(__xludf.DUMMYFUNCTION("""COMPUTED_VALUE"""),5350)</f>
        <v>5350</v>
      </c>
      <c r="F380" s="2">
        <f ca="1">IFERROR(__xludf.DUMMYFUNCTION("""COMPUTED_VALUE"""),29659300)</f>
        <v>29659300</v>
      </c>
    </row>
    <row r="381" spans="1:6">
      <c r="A381" s="1">
        <f ca="1">IFERROR(__xludf.DUMMYFUNCTION("""COMPUTED_VALUE"""),42583.625)</f>
        <v>42583.625</v>
      </c>
      <c r="B381" s="2">
        <f ca="1">IFERROR(__xludf.DUMMYFUNCTION("""COMPUTED_VALUE"""),5400)</f>
        <v>5400</v>
      </c>
      <c r="C381" s="2">
        <f ca="1">IFERROR(__xludf.DUMMYFUNCTION("""COMPUTED_VALUE"""),5575)</f>
        <v>5575</v>
      </c>
      <c r="D381" s="2">
        <f ca="1">IFERROR(__xludf.DUMMYFUNCTION("""COMPUTED_VALUE"""),5400)</f>
        <v>5400</v>
      </c>
      <c r="E381" s="2">
        <f ca="1">IFERROR(__xludf.DUMMYFUNCTION("""COMPUTED_VALUE"""),5525)</f>
        <v>5525</v>
      </c>
      <c r="F381" s="2">
        <f ca="1">IFERROR(__xludf.DUMMYFUNCTION("""COMPUTED_VALUE"""),48958000)</f>
        <v>48958000</v>
      </c>
    </row>
    <row r="382" spans="1:6">
      <c r="A382" s="1">
        <f ca="1">IFERROR(__xludf.DUMMYFUNCTION("""COMPUTED_VALUE"""),42584.625)</f>
        <v>42584.625</v>
      </c>
      <c r="B382" s="2">
        <f ca="1">IFERROR(__xludf.DUMMYFUNCTION("""COMPUTED_VALUE"""),5525)</f>
        <v>5525</v>
      </c>
      <c r="C382" s="2">
        <f ca="1">IFERROR(__xludf.DUMMYFUNCTION("""COMPUTED_VALUE"""),5550)</f>
        <v>5550</v>
      </c>
      <c r="D382" s="2">
        <f ca="1">IFERROR(__xludf.DUMMYFUNCTION("""COMPUTED_VALUE"""),5475)</f>
        <v>5475</v>
      </c>
      <c r="E382" s="2">
        <f ca="1">IFERROR(__xludf.DUMMYFUNCTION("""COMPUTED_VALUE"""),5475)</f>
        <v>5475</v>
      </c>
      <c r="F382" s="2">
        <f ca="1">IFERROR(__xludf.DUMMYFUNCTION("""COMPUTED_VALUE"""),22924000)</f>
        <v>22924000</v>
      </c>
    </row>
    <row r="383" spans="1:6">
      <c r="A383" s="1">
        <f ca="1">IFERROR(__xludf.DUMMYFUNCTION("""COMPUTED_VALUE"""),42585.625)</f>
        <v>42585.625</v>
      </c>
      <c r="B383" s="2">
        <f ca="1">IFERROR(__xludf.DUMMYFUNCTION("""COMPUTED_VALUE"""),5450)</f>
        <v>5450</v>
      </c>
      <c r="C383" s="2">
        <f ca="1">IFERROR(__xludf.DUMMYFUNCTION("""COMPUTED_VALUE"""),5500)</f>
        <v>5500</v>
      </c>
      <c r="D383" s="2">
        <f ca="1">IFERROR(__xludf.DUMMYFUNCTION("""COMPUTED_VALUE"""),5400)</f>
        <v>5400</v>
      </c>
      <c r="E383" s="2">
        <f ca="1">IFERROR(__xludf.DUMMYFUNCTION("""COMPUTED_VALUE"""),5425)</f>
        <v>5425</v>
      </c>
      <c r="F383" s="2">
        <f ca="1">IFERROR(__xludf.DUMMYFUNCTION("""COMPUTED_VALUE"""),17140600)</f>
        <v>17140600</v>
      </c>
    </row>
    <row r="384" spans="1:6">
      <c r="A384" s="1">
        <f ca="1">IFERROR(__xludf.DUMMYFUNCTION("""COMPUTED_VALUE"""),42586.625)</f>
        <v>42586.625</v>
      </c>
      <c r="B384" s="2">
        <f ca="1">IFERROR(__xludf.DUMMYFUNCTION("""COMPUTED_VALUE"""),5475)</f>
        <v>5475</v>
      </c>
      <c r="C384" s="2">
        <f ca="1">IFERROR(__xludf.DUMMYFUNCTION("""COMPUTED_VALUE"""),5500)</f>
        <v>5500</v>
      </c>
      <c r="D384" s="2">
        <f ca="1">IFERROR(__xludf.DUMMYFUNCTION("""COMPUTED_VALUE"""),5425)</f>
        <v>5425</v>
      </c>
      <c r="E384" s="2">
        <f ca="1">IFERROR(__xludf.DUMMYFUNCTION("""COMPUTED_VALUE"""),5450)</f>
        <v>5450</v>
      </c>
      <c r="F384" s="2">
        <f ca="1">IFERROR(__xludf.DUMMYFUNCTION("""COMPUTED_VALUE"""),17211200)</f>
        <v>17211200</v>
      </c>
    </row>
    <row r="385" spans="1:6">
      <c r="A385" s="1">
        <f ca="1">IFERROR(__xludf.DUMMYFUNCTION("""COMPUTED_VALUE"""),42587.625)</f>
        <v>42587.625</v>
      </c>
      <c r="B385" s="2">
        <f ca="1">IFERROR(__xludf.DUMMYFUNCTION("""COMPUTED_VALUE"""),5500)</f>
        <v>5500</v>
      </c>
      <c r="C385" s="2">
        <f ca="1">IFERROR(__xludf.DUMMYFUNCTION("""COMPUTED_VALUE"""),5725)</f>
        <v>5725</v>
      </c>
      <c r="D385" s="2">
        <f ca="1">IFERROR(__xludf.DUMMYFUNCTION("""COMPUTED_VALUE"""),5500)</f>
        <v>5500</v>
      </c>
      <c r="E385" s="2">
        <f ca="1">IFERROR(__xludf.DUMMYFUNCTION("""COMPUTED_VALUE"""),5650)</f>
        <v>5650</v>
      </c>
      <c r="F385" s="2">
        <f ca="1">IFERROR(__xludf.DUMMYFUNCTION("""COMPUTED_VALUE"""),85688400)</f>
        <v>85688400</v>
      </c>
    </row>
    <row r="386" spans="1:6">
      <c r="A386" s="1">
        <f ca="1">IFERROR(__xludf.DUMMYFUNCTION("""COMPUTED_VALUE"""),42590.625)</f>
        <v>42590.625</v>
      </c>
      <c r="B386" s="2">
        <f ca="1">IFERROR(__xludf.DUMMYFUNCTION("""COMPUTED_VALUE"""),5725)</f>
        <v>5725</v>
      </c>
      <c r="C386" s="2">
        <f ca="1">IFERROR(__xludf.DUMMYFUNCTION("""COMPUTED_VALUE"""),5875)</f>
        <v>5875</v>
      </c>
      <c r="D386" s="2">
        <f ca="1">IFERROR(__xludf.DUMMYFUNCTION("""COMPUTED_VALUE"""),5725)</f>
        <v>5725</v>
      </c>
      <c r="E386" s="2">
        <f ca="1">IFERROR(__xludf.DUMMYFUNCTION("""COMPUTED_VALUE"""),5850)</f>
        <v>5850</v>
      </c>
      <c r="F386" s="2">
        <f ca="1">IFERROR(__xludf.DUMMYFUNCTION("""COMPUTED_VALUE"""),61713000)</f>
        <v>61713000</v>
      </c>
    </row>
    <row r="387" spans="1:6">
      <c r="A387" s="1">
        <f ca="1">IFERROR(__xludf.DUMMYFUNCTION("""COMPUTED_VALUE"""),42591.625)</f>
        <v>42591.625</v>
      </c>
      <c r="B387" s="2">
        <f ca="1">IFERROR(__xludf.DUMMYFUNCTION("""COMPUTED_VALUE"""),5850)</f>
        <v>5850</v>
      </c>
      <c r="C387" s="2">
        <f ca="1">IFERROR(__xludf.DUMMYFUNCTION("""COMPUTED_VALUE"""),5900)</f>
        <v>5900</v>
      </c>
      <c r="D387" s="2">
        <f ca="1">IFERROR(__xludf.DUMMYFUNCTION("""COMPUTED_VALUE"""),5750)</f>
        <v>5750</v>
      </c>
      <c r="E387" s="2">
        <f ca="1">IFERROR(__xludf.DUMMYFUNCTION("""COMPUTED_VALUE"""),5800)</f>
        <v>5800</v>
      </c>
      <c r="F387" s="2">
        <f ca="1">IFERROR(__xludf.DUMMYFUNCTION("""COMPUTED_VALUE"""),32526800)</f>
        <v>32526800</v>
      </c>
    </row>
    <row r="388" spans="1:6">
      <c r="A388" s="1">
        <f ca="1">IFERROR(__xludf.DUMMYFUNCTION("""COMPUTED_VALUE"""),42592.625)</f>
        <v>42592.625</v>
      </c>
      <c r="B388" s="2">
        <f ca="1">IFERROR(__xludf.DUMMYFUNCTION("""COMPUTED_VALUE"""),5825)</f>
        <v>5825</v>
      </c>
      <c r="C388" s="2">
        <f ca="1">IFERROR(__xludf.DUMMYFUNCTION("""COMPUTED_VALUE"""),5975)</f>
        <v>5975</v>
      </c>
      <c r="D388" s="2">
        <f ca="1">IFERROR(__xludf.DUMMYFUNCTION("""COMPUTED_VALUE"""),5675)</f>
        <v>5675</v>
      </c>
      <c r="E388" s="2">
        <f ca="1">IFERROR(__xludf.DUMMYFUNCTION("""COMPUTED_VALUE"""),5700)</f>
        <v>5700</v>
      </c>
      <c r="F388" s="2">
        <f ca="1">IFERROR(__xludf.DUMMYFUNCTION("""COMPUTED_VALUE"""),26517900)</f>
        <v>26517900</v>
      </c>
    </row>
    <row r="389" spans="1:6">
      <c r="A389" s="1">
        <f ca="1">IFERROR(__xludf.DUMMYFUNCTION("""COMPUTED_VALUE"""),42593.625)</f>
        <v>42593.625</v>
      </c>
      <c r="B389" s="2">
        <f ca="1">IFERROR(__xludf.DUMMYFUNCTION("""COMPUTED_VALUE"""),5750)</f>
        <v>5750</v>
      </c>
      <c r="C389" s="2">
        <f ca="1">IFERROR(__xludf.DUMMYFUNCTION("""COMPUTED_VALUE"""),5775)</f>
        <v>5775</v>
      </c>
      <c r="D389" s="2">
        <f ca="1">IFERROR(__xludf.DUMMYFUNCTION("""COMPUTED_VALUE"""),5625)</f>
        <v>5625</v>
      </c>
      <c r="E389" s="2">
        <f ca="1">IFERROR(__xludf.DUMMYFUNCTION("""COMPUTED_VALUE"""),5625)</f>
        <v>5625</v>
      </c>
      <c r="F389" s="2">
        <f ca="1">IFERROR(__xludf.DUMMYFUNCTION("""COMPUTED_VALUE"""),21523600)</f>
        <v>21523600</v>
      </c>
    </row>
    <row r="390" spans="1:6">
      <c r="A390" s="1">
        <f ca="1">IFERROR(__xludf.DUMMYFUNCTION("""COMPUTED_VALUE"""),42594.625)</f>
        <v>42594.625</v>
      </c>
      <c r="B390" s="2">
        <f ca="1">IFERROR(__xludf.DUMMYFUNCTION("""COMPUTED_VALUE"""),5650)</f>
        <v>5650</v>
      </c>
      <c r="C390" s="2">
        <f ca="1">IFERROR(__xludf.DUMMYFUNCTION("""COMPUTED_VALUE"""),5700)</f>
        <v>5700</v>
      </c>
      <c r="D390" s="2">
        <f ca="1">IFERROR(__xludf.DUMMYFUNCTION("""COMPUTED_VALUE"""),5600)</f>
        <v>5600</v>
      </c>
      <c r="E390" s="2">
        <f ca="1">IFERROR(__xludf.DUMMYFUNCTION("""COMPUTED_VALUE"""),5625)</f>
        <v>5625</v>
      </c>
      <c r="F390" s="2">
        <f ca="1">IFERROR(__xludf.DUMMYFUNCTION("""COMPUTED_VALUE"""),32387500)</f>
        <v>32387500</v>
      </c>
    </row>
    <row r="391" spans="1:6">
      <c r="A391" s="1">
        <f ca="1">IFERROR(__xludf.DUMMYFUNCTION("""COMPUTED_VALUE"""),42597.625)</f>
        <v>42597.625</v>
      </c>
      <c r="B391" s="2">
        <f ca="1">IFERROR(__xludf.DUMMYFUNCTION("""COMPUTED_VALUE"""),5625)</f>
        <v>5625</v>
      </c>
      <c r="C391" s="2">
        <f ca="1">IFERROR(__xludf.DUMMYFUNCTION("""COMPUTED_VALUE"""),5675)</f>
        <v>5675</v>
      </c>
      <c r="D391" s="2">
        <f ca="1">IFERROR(__xludf.DUMMYFUNCTION("""COMPUTED_VALUE"""),5475)</f>
        <v>5475</v>
      </c>
      <c r="E391" s="2">
        <f ca="1">IFERROR(__xludf.DUMMYFUNCTION("""COMPUTED_VALUE"""),5650)</f>
        <v>5650</v>
      </c>
      <c r="F391" s="2">
        <f ca="1">IFERROR(__xludf.DUMMYFUNCTION("""COMPUTED_VALUE"""),32761100)</f>
        <v>32761100</v>
      </c>
    </row>
    <row r="392" spans="1:6">
      <c r="A392" s="1">
        <f ca="1">IFERROR(__xludf.DUMMYFUNCTION("""COMPUTED_VALUE"""),42598.625)</f>
        <v>42598.625</v>
      </c>
      <c r="B392" s="2">
        <f ca="1">IFERROR(__xludf.DUMMYFUNCTION("""COMPUTED_VALUE"""),5650)</f>
        <v>5650</v>
      </c>
      <c r="C392" s="2">
        <f ca="1">IFERROR(__xludf.DUMMYFUNCTION("""COMPUTED_VALUE"""),5800)</f>
        <v>5800</v>
      </c>
      <c r="D392" s="2">
        <f ca="1">IFERROR(__xludf.DUMMYFUNCTION("""COMPUTED_VALUE"""),5650)</f>
        <v>5650</v>
      </c>
      <c r="E392" s="2">
        <f ca="1">IFERROR(__xludf.DUMMYFUNCTION("""COMPUTED_VALUE"""),5800)</f>
        <v>5800</v>
      </c>
      <c r="F392" s="2">
        <f ca="1">IFERROR(__xludf.DUMMYFUNCTION("""COMPUTED_VALUE"""),29495300)</f>
        <v>29495300</v>
      </c>
    </row>
    <row r="393" spans="1:6">
      <c r="A393" s="1">
        <f ca="1">IFERROR(__xludf.DUMMYFUNCTION("""COMPUTED_VALUE"""),42600.625)</f>
        <v>42600.625</v>
      </c>
      <c r="B393" s="2">
        <f ca="1">IFERROR(__xludf.DUMMYFUNCTION("""COMPUTED_VALUE"""),5825)</f>
        <v>5825</v>
      </c>
      <c r="C393" s="2">
        <f ca="1">IFERROR(__xludf.DUMMYFUNCTION("""COMPUTED_VALUE"""),5950)</f>
        <v>5950</v>
      </c>
      <c r="D393" s="2">
        <f ca="1">IFERROR(__xludf.DUMMYFUNCTION("""COMPUTED_VALUE"""),5800)</f>
        <v>5800</v>
      </c>
      <c r="E393" s="2">
        <f ca="1">IFERROR(__xludf.DUMMYFUNCTION("""COMPUTED_VALUE"""),5875)</f>
        <v>5875</v>
      </c>
      <c r="F393" s="2">
        <f ca="1">IFERROR(__xludf.DUMMYFUNCTION("""COMPUTED_VALUE"""),50585500)</f>
        <v>50585500</v>
      </c>
    </row>
    <row r="394" spans="1:6">
      <c r="A394" s="1">
        <f ca="1">IFERROR(__xludf.DUMMYFUNCTION("""COMPUTED_VALUE"""),42601.625)</f>
        <v>42601.625</v>
      </c>
      <c r="B394" s="2">
        <f ca="1">IFERROR(__xludf.DUMMYFUNCTION("""COMPUTED_VALUE"""),5875)</f>
        <v>5875</v>
      </c>
      <c r="C394" s="2">
        <f ca="1">IFERROR(__xludf.DUMMYFUNCTION("""COMPUTED_VALUE"""),5975)</f>
        <v>5975</v>
      </c>
      <c r="D394" s="2">
        <f ca="1">IFERROR(__xludf.DUMMYFUNCTION("""COMPUTED_VALUE"""),5825)</f>
        <v>5825</v>
      </c>
      <c r="E394" s="2">
        <f ca="1">IFERROR(__xludf.DUMMYFUNCTION("""COMPUTED_VALUE"""),5850)</f>
        <v>5850</v>
      </c>
      <c r="F394" s="2">
        <f ca="1">IFERROR(__xludf.DUMMYFUNCTION("""COMPUTED_VALUE"""),20928900)</f>
        <v>20928900</v>
      </c>
    </row>
    <row r="395" spans="1:6">
      <c r="A395" s="1">
        <f ca="1">IFERROR(__xludf.DUMMYFUNCTION("""COMPUTED_VALUE"""),42604.625)</f>
        <v>42604.625</v>
      </c>
      <c r="B395" s="2">
        <f ca="1">IFERROR(__xludf.DUMMYFUNCTION("""COMPUTED_VALUE"""),5750)</f>
        <v>5750</v>
      </c>
      <c r="C395" s="2">
        <f ca="1">IFERROR(__xludf.DUMMYFUNCTION("""COMPUTED_VALUE"""),5800)</f>
        <v>5800</v>
      </c>
      <c r="D395" s="2">
        <f ca="1">IFERROR(__xludf.DUMMYFUNCTION("""COMPUTED_VALUE"""),5650)</f>
        <v>5650</v>
      </c>
      <c r="E395" s="2">
        <f ca="1">IFERROR(__xludf.DUMMYFUNCTION("""COMPUTED_VALUE"""),5775)</f>
        <v>5775</v>
      </c>
      <c r="F395" s="2">
        <f ca="1">IFERROR(__xludf.DUMMYFUNCTION("""COMPUTED_VALUE"""),24546500)</f>
        <v>24546500</v>
      </c>
    </row>
    <row r="396" spans="1:6">
      <c r="A396" s="1">
        <f ca="1">IFERROR(__xludf.DUMMYFUNCTION("""COMPUTED_VALUE"""),42605.625)</f>
        <v>42605.625</v>
      </c>
      <c r="B396" s="2">
        <f ca="1">IFERROR(__xludf.DUMMYFUNCTION("""COMPUTED_VALUE"""),5675)</f>
        <v>5675</v>
      </c>
      <c r="C396" s="2">
        <f ca="1">IFERROR(__xludf.DUMMYFUNCTION("""COMPUTED_VALUE"""),5825)</f>
        <v>5825</v>
      </c>
      <c r="D396" s="2">
        <f ca="1">IFERROR(__xludf.DUMMYFUNCTION("""COMPUTED_VALUE"""),5625)</f>
        <v>5625</v>
      </c>
      <c r="E396" s="2">
        <f ca="1">IFERROR(__xludf.DUMMYFUNCTION("""COMPUTED_VALUE"""),5800)</f>
        <v>5800</v>
      </c>
      <c r="F396" s="2">
        <f ca="1">IFERROR(__xludf.DUMMYFUNCTION("""COMPUTED_VALUE"""),25041000)</f>
        <v>25041000</v>
      </c>
    </row>
    <row r="397" spans="1:6">
      <c r="A397" s="1">
        <f ca="1">IFERROR(__xludf.DUMMYFUNCTION("""COMPUTED_VALUE"""),42606.625)</f>
        <v>42606.625</v>
      </c>
      <c r="B397" s="2">
        <f ca="1">IFERROR(__xludf.DUMMYFUNCTION("""COMPUTED_VALUE"""),5775)</f>
        <v>5775</v>
      </c>
      <c r="C397" s="2">
        <f ca="1">IFERROR(__xludf.DUMMYFUNCTION("""COMPUTED_VALUE"""),5850)</f>
        <v>5850</v>
      </c>
      <c r="D397" s="2">
        <f ca="1">IFERROR(__xludf.DUMMYFUNCTION("""COMPUTED_VALUE"""),5750)</f>
        <v>5750</v>
      </c>
      <c r="E397" s="2">
        <f ca="1">IFERROR(__xludf.DUMMYFUNCTION("""COMPUTED_VALUE"""),5825)</f>
        <v>5825</v>
      </c>
      <c r="F397" s="2">
        <f ca="1">IFERROR(__xludf.DUMMYFUNCTION("""COMPUTED_VALUE"""),8709200)</f>
        <v>8709200</v>
      </c>
    </row>
    <row r="398" spans="1:6">
      <c r="A398" s="1">
        <f ca="1">IFERROR(__xludf.DUMMYFUNCTION("""COMPUTED_VALUE"""),42607.625)</f>
        <v>42607.625</v>
      </c>
      <c r="B398" s="2">
        <f ca="1">IFERROR(__xludf.DUMMYFUNCTION("""COMPUTED_VALUE"""),5825)</f>
        <v>5825</v>
      </c>
      <c r="C398" s="2">
        <f ca="1">IFERROR(__xludf.DUMMYFUNCTION("""COMPUTED_VALUE"""),5850)</f>
        <v>5850</v>
      </c>
      <c r="D398" s="2">
        <f ca="1">IFERROR(__xludf.DUMMYFUNCTION("""COMPUTED_VALUE"""),5750)</f>
        <v>5750</v>
      </c>
      <c r="E398" s="2">
        <f ca="1">IFERROR(__xludf.DUMMYFUNCTION("""COMPUTED_VALUE"""),5850)</f>
        <v>5850</v>
      </c>
      <c r="F398" s="2">
        <f ca="1">IFERROR(__xludf.DUMMYFUNCTION("""COMPUTED_VALUE"""),18192100)</f>
        <v>18192100</v>
      </c>
    </row>
    <row r="399" spans="1:6">
      <c r="A399" s="1">
        <f ca="1">IFERROR(__xludf.DUMMYFUNCTION("""COMPUTED_VALUE"""),42608.625)</f>
        <v>42608.625</v>
      </c>
      <c r="B399" s="2">
        <f ca="1">IFERROR(__xludf.DUMMYFUNCTION("""COMPUTED_VALUE"""),5850)</f>
        <v>5850</v>
      </c>
      <c r="C399" s="2">
        <f ca="1">IFERROR(__xludf.DUMMYFUNCTION("""COMPUTED_VALUE"""),5850)</f>
        <v>5850</v>
      </c>
      <c r="D399" s="2">
        <f ca="1">IFERROR(__xludf.DUMMYFUNCTION("""COMPUTED_VALUE"""),5775)</f>
        <v>5775</v>
      </c>
      <c r="E399" s="2">
        <f ca="1">IFERROR(__xludf.DUMMYFUNCTION("""COMPUTED_VALUE"""),5825)</f>
        <v>5825</v>
      </c>
      <c r="F399" s="2">
        <f ca="1">IFERROR(__xludf.DUMMYFUNCTION("""COMPUTED_VALUE"""),9519400)</f>
        <v>9519400</v>
      </c>
    </row>
    <row r="400" spans="1:6">
      <c r="A400" s="1">
        <f ca="1">IFERROR(__xludf.DUMMYFUNCTION("""COMPUTED_VALUE"""),42611.625)</f>
        <v>42611.625</v>
      </c>
      <c r="B400" s="2">
        <f ca="1">IFERROR(__xludf.DUMMYFUNCTION("""COMPUTED_VALUE"""),5825)</f>
        <v>5825</v>
      </c>
      <c r="C400" s="2">
        <f ca="1">IFERROR(__xludf.DUMMYFUNCTION("""COMPUTED_VALUE"""),5825)</f>
        <v>5825</v>
      </c>
      <c r="D400" s="2">
        <f ca="1">IFERROR(__xludf.DUMMYFUNCTION("""COMPUTED_VALUE"""),5725)</f>
        <v>5725</v>
      </c>
      <c r="E400" s="2">
        <f ca="1">IFERROR(__xludf.DUMMYFUNCTION("""COMPUTED_VALUE"""),5800)</f>
        <v>5800</v>
      </c>
      <c r="F400" s="2">
        <f ca="1">IFERROR(__xludf.DUMMYFUNCTION("""COMPUTED_VALUE"""),17097500)</f>
        <v>17097500</v>
      </c>
    </row>
    <row r="401" spans="1:6">
      <c r="A401" s="1">
        <f ca="1">IFERROR(__xludf.DUMMYFUNCTION("""COMPUTED_VALUE"""),42612.625)</f>
        <v>42612.625</v>
      </c>
      <c r="B401" s="2">
        <f ca="1">IFERROR(__xludf.DUMMYFUNCTION("""COMPUTED_VALUE"""),5750)</f>
        <v>5750</v>
      </c>
      <c r="C401" s="2">
        <f ca="1">IFERROR(__xludf.DUMMYFUNCTION("""COMPUTED_VALUE"""),5825)</f>
        <v>5825</v>
      </c>
      <c r="D401" s="2">
        <f ca="1">IFERROR(__xludf.DUMMYFUNCTION("""COMPUTED_VALUE"""),5750)</f>
        <v>5750</v>
      </c>
      <c r="E401" s="2">
        <f ca="1">IFERROR(__xludf.DUMMYFUNCTION("""COMPUTED_VALUE"""),5825)</f>
        <v>5825</v>
      </c>
      <c r="F401" s="2">
        <f ca="1">IFERROR(__xludf.DUMMYFUNCTION("""COMPUTED_VALUE"""),22153600)</f>
        <v>22153600</v>
      </c>
    </row>
    <row r="402" spans="1:6">
      <c r="A402" s="1">
        <f ca="1">IFERROR(__xludf.DUMMYFUNCTION("""COMPUTED_VALUE"""),42613.625)</f>
        <v>42613.625</v>
      </c>
      <c r="B402" s="2">
        <f ca="1">IFERROR(__xludf.DUMMYFUNCTION("""COMPUTED_VALUE"""),5775)</f>
        <v>5775</v>
      </c>
      <c r="C402" s="2">
        <f ca="1">IFERROR(__xludf.DUMMYFUNCTION("""COMPUTED_VALUE"""),5875)</f>
        <v>5875</v>
      </c>
      <c r="D402" s="2">
        <f ca="1">IFERROR(__xludf.DUMMYFUNCTION("""COMPUTED_VALUE"""),5750)</f>
        <v>5750</v>
      </c>
      <c r="E402" s="2">
        <f ca="1">IFERROR(__xludf.DUMMYFUNCTION("""COMPUTED_VALUE"""),5875)</f>
        <v>5875</v>
      </c>
      <c r="F402" s="2">
        <f ca="1">IFERROR(__xludf.DUMMYFUNCTION("""COMPUTED_VALUE"""),16497600)</f>
        <v>16497600</v>
      </c>
    </row>
    <row r="403" spans="1:6">
      <c r="A403" s="1">
        <f ca="1">IFERROR(__xludf.DUMMYFUNCTION("""COMPUTED_VALUE"""),42614.625)</f>
        <v>42614.625</v>
      </c>
      <c r="B403" s="2">
        <f ca="1">IFERROR(__xludf.DUMMYFUNCTION("""COMPUTED_VALUE"""),5875)</f>
        <v>5875</v>
      </c>
      <c r="C403" s="2">
        <f ca="1">IFERROR(__xludf.DUMMYFUNCTION("""COMPUTED_VALUE"""),5875)</f>
        <v>5875</v>
      </c>
      <c r="D403" s="2">
        <f ca="1">IFERROR(__xludf.DUMMYFUNCTION("""COMPUTED_VALUE"""),5800)</f>
        <v>5800</v>
      </c>
      <c r="E403" s="2">
        <f ca="1">IFERROR(__xludf.DUMMYFUNCTION("""COMPUTED_VALUE"""),5850)</f>
        <v>5850</v>
      </c>
      <c r="F403" s="2">
        <f ca="1">IFERROR(__xludf.DUMMYFUNCTION("""COMPUTED_VALUE"""),10062200)</f>
        <v>10062200</v>
      </c>
    </row>
    <row r="404" spans="1:6">
      <c r="A404" s="1">
        <f ca="1">IFERROR(__xludf.DUMMYFUNCTION("""COMPUTED_VALUE"""),42615.625)</f>
        <v>42615.625</v>
      </c>
      <c r="B404" s="2">
        <f ca="1">IFERROR(__xludf.DUMMYFUNCTION("""COMPUTED_VALUE"""),5850)</f>
        <v>5850</v>
      </c>
      <c r="C404" s="2">
        <f ca="1">IFERROR(__xludf.DUMMYFUNCTION("""COMPUTED_VALUE"""),5875)</f>
        <v>5875</v>
      </c>
      <c r="D404" s="2">
        <f ca="1">IFERROR(__xludf.DUMMYFUNCTION("""COMPUTED_VALUE"""),5775)</f>
        <v>5775</v>
      </c>
      <c r="E404" s="2">
        <f ca="1">IFERROR(__xludf.DUMMYFUNCTION("""COMPUTED_VALUE"""),5825)</f>
        <v>5825</v>
      </c>
      <c r="F404" s="2">
        <f ca="1">IFERROR(__xludf.DUMMYFUNCTION("""COMPUTED_VALUE"""),19297600)</f>
        <v>19297600</v>
      </c>
    </row>
    <row r="405" spans="1:6">
      <c r="A405" s="1">
        <f ca="1">IFERROR(__xludf.DUMMYFUNCTION("""COMPUTED_VALUE"""),42618.625)</f>
        <v>42618.625</v>
      </c>
      <c r="B405" s="2">
        <f ca="1">IFERROR(__xludf.DUMMYFUNCTION("""COMPUTED_VALUE"""),5825)</f>
        <v>5825</v>
      </c>
      <c r="C405" s="2">
        <f ca="1">IFERROR(__xludf.DUMMYFUNCTION("""COMPUTED_VALUE"""),5875)</f>
        <v>5875</v>
      </c>
      <c r="D405" s="2">
        <f ca="1">IFERROR(__xludf.DUMMYFUNCTION("""COMPUTED_VALUE"""),5825)</f>
        <v>5825</v>
      </c>
      <c r="E405" s="2">
        <f ca="1">IFERROR(__xludf.DUMMYFUNCTION("""COMPUTED_VALUE"""),5825)</f>
        <v>5825</v>
      </c>
      <c r="F405" s="2">
        <f ca="1">IFERROR(__xludf.DUMMYFUNCTION("""COMPUTED_VALUE"""),12045000)</f>
        <v>12045000</v>
      </c>
    </row>
    <row r="406" spans="1:6">
      <c r="A406" s="1">
        <f ca="1">IFERROR(__xludf.DUMMYFUNCTION("""COMPUTED_VALUE"""),42619.625)</f>
        <v>42619.625</v>
      </c>
      <c r="B406" s="2">
        <f ca="1">IFERROR(__xludf.DUMMYFUNCTION("""COMPUTED_VALUE"""),5750)</f>
        <v>5750</v>
      </c>
      <c r="C406" s="2">
        <f ca="1">IFERROR(__xludf.DUMMYFUNCTION("""COMPUTED_VALUE"""),5850)</f>
        <v>5850</v>
      </c>
      <c r="D406" s="2">
        <f ca="1">IFERROR(__xludf.DUMMYFUNCTION("""COMPUTED_VALUE"""),5750)</f>
        <v>5750</v>
      </c>
      <c r="E406" s="2">
        <f ca="1">IFERROR(__xludf.DUMMYFUNCTION("""COMPUTED_VALUE"""),5850)</f>
        <v>5850</v>
      </c>
      <c r="F406" s="2">
        <f ca="1">IFERROR(__xludf.DUMMYFUNCTION("""COMPUTED_VALUE"""),16907500)</f>
        <v>16907500</v>
      </c>
    </row>
    <row r="407" spans="1:6">
      <c r="A407" s="1">
        <f ca="1">IFERROR(__xludf.DUMMYFUNCTION("""COMPUTED_VALUE"""),42620.625)</f>
        <v>42620.625</v>
      </c>
      <c r="B407" s="2">
        <f ca="1">IFERROR(__xludf.DUMMYFUNCTION("""COMPUTED_VALUE"""),5825)</f>
        <v>5825</v>
      </c>
      <c r="C407" s="2">
        <f ca="1">IFERROR(__xludf.DUMMYFUNCTION("""COMPUTED_VALUE"""),5875)</f>
        <v>5875</v>
      </c>
      <c r="D407" s="2">
        <f ca="1">IFERROR(__xludf.DUMMYFUNCTION("""COMPUTED_VALUE"""),5800)</f>
        <v>5800</v>
      </c>
      <c r="E407" s="2">
        <f ca="1">IFERROR(__xludf.DUMMYFUNCTION("""COMPUTED_VALUE"""),5825)</f>
        <v>5825</v>
      </c>
      <c r="F407" s="2">
        <f ca="1">IFERROR(__xludf.DUMMYFUNCTION("""COMPUTED_VALUE"""),17727800)</f>
        <v>17727800</v>
      </c>
    </row>
    <row r="408" spans="1:6">
      <c r="A408" s="1">
        <f ca="1">IFERROR(__xludf.DUMMYFUNCTION("""COMPUTED_VALUE"""),42621.625)</f>
        <v>42621.625</v>
      </c>
      <c r="B408" s="2">
        <f ca="1">IFERROR(__xludf.DUMMYFUNCTION("""COMPUTED_VALUE"""),5800)</f>
        <v>5800</v>
      </c>
      <c r="C408" s="2">
        <f ca="1">IFERROR(__xludf.DUMMYFUNCTION("""COMPUTED_VALUE"""),5850)</f>
        <v>5850</v>
      </c>
      <c r="D408" s="2">
        <f ca="1">IFERROR(__xludf.DUMMYFUNCTION("""COMPUTED_VALUE"""),5725)</f>
        <v>5725</v>
      </c>
      <c r="E408" s="2">
        <f ca="1">IFERROR(__xludf.DUMMYFUNCTION("""COMPUTED_VALUE"""),5800)</f>
        <v>5800</v>
      </c>
      <c r="F408" s="2">
        <f ca="1">IFERROR(__xludf.DUMMYFUNCTION("""COMPUTED_VALUE"""),12680500)</f>
        <v>12680500</v>
      </c>
    </row>
    <row r="409" spans="1:6">
      <c r="A409" s="1">
        <f ca="1">IFERROR(__xludf.DUMMYFUNCTION("""COMPUTED_VALUE"""),42622.625)</f>
        <v>42622.625</v>
      </c>
      <c r="B409" s="2">
        <f ca="1">IFERROR(__xludf.DUMMYFUNCTION("""COMPUTED_VALUE"""),5750)</f>
        <v>5750</v>
      </c>
      <c r="C409" s="2">
        <f ca="1">IFERROR(__xludf.DUMMYFUNCTION("""COMPUTED_VALUE"""),5750)</f>
        <v>5750</v>
      </c>
      <c r="D409" s="2">
        <f ca="1">IFERROR(__xludf.DUMMYFUNCTION("""COMPUTED_VALUE"""),5575)</f>
        <v>5575</v>
      </c>
      <c r="E409" s="2">
        <f ca="1">IFERROR(__xludf.DUMMYFUNCTION("""COMPUTED_VALUE"""),5675)</f>
        <v>5675</v>
      </c>
      <c r="F409" s="2">
        <f ca="1">IFERROR(__xludf.DUMMYFUNCTION("""COMPUTED_VALUE"""),37651100)</f>
        <v>37651100</v>
      </c>
    </row>
    <row r="410" spans="1:6">
      <c r="A410" s="1">
        <f ca="1">IFERROR(__xludf.DUMMYFUNCTION("""COMPUTED_VALUE"""),42626.625)</f>
        <v>42626.625</v>
      </c>
      <c r="B410" s="2">
        <f ca="1">IFERROR(__xludf.DUMMYFUNCTION("""COMPUTED_VALUE"""),5600)</f>
        <v>5600</v>
      </c>
      <c r="C410" s="2">
        <f ca="1">IFERROR(__xludf.DUMMYFUNCTION("""COMPUTED_VALUE"""),5750)</f>
        <v>5750</v>
      </c>
      <c r="D410" s="2">
        <f ca="1">IFERROR(__xludf.DUMMYFUNCTION("""COMPUTED_VALUE"""),5525)</f>
        <v>5525</v>
      </c>
      <c r="E410" s="2">
        <f ca="1">IFERROR(__xludf.DUMMYFUNCTION("""COMPUTED_VALUE"""),5625)</f>
        <v>5625</v>
      </c>
      <c r="F410" s="2">
        <f ca="1">IFERROR(__xludf.DUMMYFUNCTION("""COMPUTED_VALUE"""),29582200)</f>
        <v>29582200</v>
      </c>
    </row>
    <row r="411" spans="1:6">
      <c r="A411" s="1">
        <f ca="1">IFERROR(__xludf.DUMMYFUNCTION("""COMPUTED_VALUE"""),42627.625)</f>
        <v>42627.625</v>
      </c>
      <c r="B411" s="2">
        <f ca="1">IFERROR(__xludf.DUMMYFUNCTION("""COMPUTED_VALUE"""),5625)</f>
        <v>5625</v>
      </c>
      <c r="C411" s="2">
        <f ca="1">IFERROR(__xludf.DUMMYFUNCTION("""COMPUTED_VALUE"""),5625)</f>
        <v>5625</v>
      </c>
      <c r="D411" s="2">
        <f ca="1">IFERROR(__xludf.DUMMYFUNCTION("""COMPUTED_VALUE"""),5350)</f>
        <v>5350</v>
      </c>
      <c r="E411" s="2">
        <f ca="1">IFERROR(__xludf.DUMMYFUNCTION("""COMPUTED_VALUE"""),5500)</f>
        <v>5500</v>
      </c>
      <c r="F411" s="2">
        <f ca="1">IFERROR(__xludf.DUMMYFUNCTION("""COMPUTED_VALUE"""),44214400)</f>
        <v>44214400</v>
      </c>
    </row>
    <row r="412" spans="1:6">
      <c r="A412" s="1">
        <f ca="1">IFERROR(__xludf.DUMMYFUNCTION("""COMPUTED_VALUE"""),42628.625)</f>
        <v>42628.625</v>
      </c>
      <c r="B412" s="2">
        <f ca="1">IFERROR(__xludf.DUMMYFUNCTION("""COMPUTED_VALUE"""),5450)</f>
        <v>5450</v>
      </c>
      <c r="C412" s="2">
        <f ca="1">IFERROR(__xludf.DUMMYFUNCTION("""COMPUTED_VALUE"""),5550)</f>
        <v>5550</v>
      </c>
      <c r="D412" s="2">
        <f ca="1">IFERROR(__xludf.DUMMYFUNCTION("""COMPUTED_VALUE"""),5350)</f>
        <v>5350</v>
      </c>
      <c r="E412" s="2">
        <f ca="1">IFERROR(__xludf.DUMMYFUNCTION("""COMPUTED_VALUE"""),5525)</f>
        <v>5525</v>
      </c>
      <c r="F412" s="2">
        <f ca="1">IFERROR(__xludf.DUMMYFUNCTION("""COMPUTED_VALUE"""),71316000)</f>
        <v>71316000</v>
      </c>
    </row>
    <row r="413" spans="1:6">
      <c r="A413" s="1">
        <f ca="1">IFERROR(__xludf.DUMMYFUNCTION("""COMPUTED_VALUE"""),42629.625)</f>
        <v>42629.625</v>
      </c>
      <c r="B413" s="2">
        <f ca="1">IFERROR(__xludf.DUMMYFUNCTION("""COMPUTED_VALUE"""),5575)</f>
        <v>5575</v>
      </c>
      <c r="C413" s="2">
        <f ca="1">IFERROR(__xludf.DUMMYFUNCTION("""COMPUTED_VALUE"""),5625)</f>
        <v>5625</v>
      </c>
      <c r="D413" s="2">
        <f ca="1">IFERROR(__xludf.DUMMYFUNCTION("""COMPUTED_VALUE"""),5425)</f>
        <v>5425</v>
      </c>
      <c r="E413" s="2">
        <f ca="1">IFERROR(__xludf.DUMMYFUNCTION("""COMPUTED_VALUE"""),5475)</f>
        <v>5475</v>
      </c>
      <c r="F413" s="2">
        <f ca="1">IFERROR(__xludf.DUMMYFUNCTION("""COMPUTED_VALUE"""),57565000)</f>
        <v>57565000</v>
      </c>
    </row>
    <row r="414" spans="1:6">
      <c r="A414" s="1">
        <f ca="1">IFERROR(__xludf.DUMMYFUNCTION("""COMPUTED_VALUE"""),42632.625)</f>
        <v>42632.625</v>
      </c>
      <c r="B414" s="2">
        <f ca="1">IFERROR(__xludf.DUMMYFUNCTION("""COMPUTED_VALUE"""),5525)</f>
        <v>5525</v>
      </c>
      <c r="C414" s="2">
        <f ca="1">IFERROR(__xludf.DUMMYFUNCTION("""COMPUTED_VALUE"""),5525)</f>
        <v>5525</v>
      </c>
      <c r="D414" s="2">
        <f ca="1">IFERROR(__xludf.DUMMYFUNCTION("""COMPUTED_VALUE"""),5300)</f>
        <v>5300</v>
      </c>
      <c r="E414" s="2">
        <f ca="1">IFERROR(__xludf.DUMMYFUNCTION("""COMPUTED_VALUE"""),5300)</f>
        <v>5300</v>
      </c>
      <c r="F414" s="2">
        <f ca="1">IFERROR(__xludf.DUMMYFUNCTION("""COMPUTED_VALUE"""),43002400)</f>
        <v>43002400</v>
      </c>
    </row>
    <row r="415" spans="1:6">
      <c r="A415" s="1">
        <f ca="1">IFERROR(__xludf.DUMMYFUNCTION("""COMPUTED_VALUE"""),42633.625)</f>
        <v>42633.625</v>
      </c>
      <c r="B415" s="2">
        <f ca="1">IFERROR(__xludf.DUMMYFUNCTION("""COMPUTED_VALUE"""),5325)</f>
        <v>5325</v>
      </c>
      <c r="C415" s="2">
        <f ca="1">IFERROR(__xludf.DUMMYFUNCTION("""COMPUTED_VALUE"""),5450)</f>
        <v>5450</v>
      </c>
      <c r="D415" s="2">
        <f ca="1">IFERROR(__xludf.DUMMYFUNCTION("""COMPUTED_VALUE"""),5325)</f>
        <v>5325</v>
      </c>
      <c r="E415" s="2">
        <f ca="1">IFERROR(__xludf.DUMMYFUNCTION("""COMPUTED_VALUE"""),5450)</f>
        <v>5450</v>
      </c>
      <c r="F415" s="2">
        <f ca="1">IFERROR(__xludf.DUMMYFUNCTION("""COMPUTED_VALUE"""),33487100)</f>
        <v>33487100</v>
      </c>
    </row>
    <row r="416" spans="1:6">
      <c r="A416" s="1">
        <f ca="1">IFERROR(__xludf.DUMMYFUNCTION("""COMPUTED_VALUE"""),42634.625)</f>
        <v>42634.625</v>
      </c>
      <c r="B416" s="2">
        <f ca="1">IFERROR(__xludf.DUMMYFUNCTION("""COMPUTED_VALUE"""),5400)</f>
        <v>5400</v>
      </c>
      <c r="C416" s="2">
        <f ca="1">IFERROR(__xludf.DUMMYFUNCTION("""COMPUTED_VALUE"""),5500)</f>
        <v>5500</v>
      </c>
      <c r="D416" s="2">
        <f ca="1">IFERROR(__xludf.DUMMYFUNCTION("""COMPUTED_VALUE"""),5375)</f>
        <v>5375</v>
      </c>
      <c r="E416" s="2">
        <f ca="1">IFERROR(__xludf.DUMMYFUNCTION("""COMPUTED_VALUE"""),5475)</f>
        <v>5475</v>
      </c>
      <c r="F416" s="2">
        <f ca="1">IFERROR(__xludf.DUMMYFUNCTION("""COMPUTED_VALUE"""),21619200)</f>
        <v>21619200</v>
      </c>
    </row>
    <row r="417" spans="1:6">
      <c r="A417" s="1">
        <f ca="1">IFERROR(__xludf.DUMMYFUNCTION("""COMPUTED_VALUE"""),42635.625)</f>
        <v>42635.625</v>
      </c>
      <c r="B417" s="2">
        <f ca="1">IFERROR(__xludf.DUMMYFUNCTION("""COMPUTED_VALUE"""),5550)</f>
        <v>5550</v>
      </c>
      <c r="C417" s="2">
        <f ca="1">IFERROR(__xludf.DUMMYFUNCTION("""COMPUTED_VALUE"""),5600)</f>
        <v>5600</v>
      </c>
      <c r="D417" s="2">
        <f ca="1">IFERROR(__xludf.DUMMYFUNCTION("""COMPUTED_VALUE"""),5450)</f>
        <v>5450</v>
      </c>
      <c r="E417" s="2">
        <f ca="1">IFERROR(__xludf.DUMMYFUNCTION("""COMPUTED_VALUE"""),5575)</f>
        <v>5575</v>
      </c>
      <c r="F417" s="2">
        <f ca="1">IFERROR(__xludf.DUMMYFUNCTION("""COMPUTED_VALUE"""),28392800)</f>
        <v>28392800</v>
      </c>
    </row>
    <row r="418" spans="1:6">
      <c r="A418" s="1">
        <f ca="1">IFERROR(__xludf.DUMMYFUNCTION("""COMPUTED_VALUE"""),42636.625)</f>
        <v>42636.625</v>
      </c>
      <c r="B418" s="2">
        <f ca="1">IFERROR(__xludf.DUMMYFUNCTION("""COMPUTED_VALUE"""),5500)</f>
        <v>5500</v>
      </c>
      <c r="C418" s="2">
        <f ca="1">IFERROR(__xludf.DUMMYFUNCTION("""COMPUTED_VALUE"""),5575)</f>
        <v>5575</v>
      </c>
      <c r="D418" s="2">
        <f ca="1">IFERROR(__xludf.DUMMYFUNCTION("""COMPUTED_VALUE"""),5450)</f>
        <v>5450</v>
      </c>
      <c r="E418" s="2">
        <f ca="1">IFERROR(__xludf.DUMMYFUNCTION("""COMPUTED_VALUE"""),5525)</f>
        <v>5525</v>
      </c>
      <c r="F418" s="2">
        <f ca="1">IFERROR(__xludf.DUMMYFUNCTION("""COMPUTED_VALUE"""),28010500)</f>
        <v>28010500</v>
      </c>
    </row>
    <row r="419" spans="1:6">
      <c r="A419" s="1">
        <f ca="1">IFERROR(__xludf.DUMMYFUNCTION("""COMPUTED_VALUE"""),42639.625)</f>
        <v>42639.625</v>
      </c>
      <c r="B419" s="2">
        <f ca="1">IFERROR(__xludf.DUMMYFUNCTION("""COMPUTED_VALUE"""),5575)</f>
        <v>5575</v>
      </c>
      <c r="C419" s="2">
        <f ca="1">IFERROR(__xludf.DUMMYFUNCTION("""COMPUTED_VALUE"""),5575)</f>
        <v>5575</v>
      </c>
      <c r="D419" s="2">
        <f ca="1">IFERROR(__xludf.DUMMYFUNCTION("""COMPUTED_VALUE"""),5500)</f>
        <v>5500</v>
      </c>
      <c r="E419" s="2">
        <f ca="1">IFERROR(__xludf.DUMMYFUNCTION("""COMPUTED_VALUE"""),5525)</f>
        <v>5525</v>
      </c>
      <c r="F419" s="2">
        <f ca="1">IFERROR(__xludf.DUMMYFUNCTION("""COMPUTED_VALUE"""),11389700)</f>
        <v>11389700</v>
      </c>
    </row>
    <row r="420" spans="1:6">
      <c r="A420" s="1">
        <f ca="1">IFERROR(__xludf.DUMMYFUNCTION("""COMPUTED_VALUE"""),42640.625)</f>
        <v>42640.625</v>
      </c>
      <c r="B420" s="2">
        <f ca="1">IFERROR(__xludf.DUMMYFUNCTION("""COMPUTED_VALUE"""),5475)</f>
        <v>5475</v>
      </c>
      <c r="C420" s="2">
        <f ca="1">IFERROR(__xludf.DUMMYFUNCTION("""COMPUTED_VALUE"""),5625)</f>
        <v>5625</v>
      </c>
      <c r="D420" s="2">
        <f ca="1">IFERROR(__xludf.DUMMYFUNCTION("""COMPUTED_VALUE"""),5425)</f>
        <v>5425</v>
      </c>
      <c r="E420" s="2">
        <f ca="1">IFERROR(__xludf.DUMMYFUNCTION("""COMPUTED_VALUE"""),5600)</f>
        <v>5600</v>
      </c>
      <c r="F420" s="2">
        <f ca="1">IFERROR(__xludf.DUMMYFUNCTION("""COMPUTED_VALUE"""),37857700)</f>
        <v>37857700</v>
      </c>
    </row>
    <row r="421" spans="1:6">
      <c r="A421" s="1">
        <f ca="1">IFERROR(__xludf.DUMMYFUNCTION("""COMPUTED_VALUE"""),42641.625)</f>
        <v>42641.625</v>
      </c>
      <c r="B421" s="2">
        <f ca="1">IFERROR(__xludf.DUMMYFUNCTION("""COMPUTED_VALUE"""),5600)</f>
        <v>5600</v>
      </c>
      <c r="C421" s="2">
        <f ca="1">IFERROR(__xludf.DUMMYFUNCTION("""COMPUTED_VALUE"""),5650)</f>
        <v>5650</v>
      </c>
      <c r="D421" s="2">
        <f ca="1">IFERROR(__xludf.DUMMYFUNCTION("""COMPUTED_VALUE"""),5550)</f>
        <v>5550</v>
      </c>
      <c r="E421" s="2">
        <f ca="1">IFERROR(__xludf.DUMMYFUNCTION("""COMPUTED_VALUE"""),5625)</f>
        <v>5625</v>
      </c>
      <c r="F421" s="2">
        <f ca="1">IFERROR(__xludf.DUMMYFUNCTION("""COMPUTED_VALUE"""),23485600)</f>
        <v>23485600</v>
      </c>
    </row>
    <row r="422" spans="1:6">
      <c r="A422" s="1">
        <f ca="1">IFERROR(__xludf.DUMMYFUNCTION("""COMPUTED_VALUE"""),42642.625)</f>
        <v>42642.625</v>
      </c>
      <c r="B422" s="2">
        <f ca="1">IFERROR(__xludf.DUMMYFUNCTION("""COMPUTED_VALUE"""),5675)</f>
        <v>5675</v>
      </c>
      <c r="C422" s="2">
        <f ca="1">IFERROR(__xludf.DUMMYFUNCTION("""COMPUTED_VALUE"""),5675)</f>
        <v>5675</v>
      </c>
      <c r="D422" s="2">
        <f ca="1">IFERROR(__xludf.DUMMYFUNCTION("""COMPUTED_VALUE"""),5575)</f>
        <v>5575</v>
      </c>
      <c r="E422" s="2">
        <f ca="1">IFERROR(__xludf.DUMMYFUNCTION("""COMPUTED_VALUE"""),5600)</f>
        <v>5600</v>
      </c>
      <c r="F422" s="2">
        <f ca="1">IFERROR(__xludf.DUMMYFUNCTION("""COMPUTED_VALUE"""),11245100)</f>
        <v>11245100</v>
      </c>
    </row>
    <row r="423" spans="1:6">
      <c r="A423" s="1">
        <f ca="1">IFERROR(__xludf.DUMMYFUNCTION("""COMPUTED_VALUE"""),42643.625)</f>
        <v>42643.625</v>
      </c>
      <c r="B423" s="2">
        <f ca="1">IFERROR(__xludf.DUMMYFUNCTION("""COMPUTED_VALUE"""),5600)</f>
        <v>5600</v>
      </c>
      <c r="C423" s="2">
        <f ca="1">IFERROR(__xludf.DUMMYFUNCTION("""COMPUTED_VALUE"""),5625)</f>
        <v>5625</v>
      </c>
      <c r="D423" s="2">
        <f ca="1">IFERROR(__xludf.DUMMYFUNCTION("""COMPUTED_VALUE"""),5500)</f>
        <v>5500</v>
      </c>
      <c r="E423" s="2">
        <f ca="1">IFERROR(__xludf.DUMMYFUNCTION("""COMPUTED_VALUE"""),5550)</f>
        <v>5550</v>
      </c>
      <c r="F423" s="2">
        <f ca="1">IFERROR(__xludf.DUMMYFUNCTION("""COMPUTED_VALUE"""),23008500)</f>
        <v>23008500</v>
      </c>
    </row>
    <row r="424" spans="1:6">
      <c r="A424" s="1">
        <f ca="1">IFERROR(__xludf.DUMMYFUNCTION("""COMPUTED_VALUE"""),42646.625)</f>
        <v>42646.625</v>
      </c>
      <c r="B424" s="2">
        <f ca="1">IFERROR(__xludf.DUMMYFUNCTION("""COMPUTED_VALUE"""),5600)</f>
        <v>5600</v>
      </c>
      <c r="C424" s="2">
        <f ca="1">IFERROR(__xludf.DUMMYFUNCTION("""COMPUTED_VALUE"""),5625)</f>
        <v>5625</v>
      </c>
      <c r="D424" s="2">
        <f ca="1">IFERROR(__xludf.DUMMYFUNCTION("""COMPUTED_VALUE"""),5550)</f>
        <v>5550</v>
      </c>
      <c r="E424" s="2">
        <f ca="1">IFERROR(__xludf.DUMMYFUNCTION("""COMPUTED_VALUE"""),5625)</f>
        <v>5625</v>
      </c>
      <c r="F424" s="2">
        <f ca="1">IFERROR(__xludf.DUMMYFUNCTION("""COMPUTED_VALUE"""),11813300)</f>
        <v>11813300</v>
      </c>
    </row>
    <row r="425" spans="1:6">
      <c r="A425" s="1">
        <f ca="1">IFERROR(__xludf.DUMMYFUNCTION("""COMPUTED_VALUE"""),42647.625)</f>
        <v>42647.625</v>
      </c>
      <c r="B425" s="2">
        <f ca="1">IFERROR(__xludf.DUMMYFUNCTION("""COMPUTED_VALUE"""),5575)</f>
        <v>5575</v>
      </c>
      <c r="C425" s="2">
        <f ca="1">IFERROR(__xludf.DUMMYFUNCTION("""COMPUTED_VALUE"""),5625)</f>
        <v>5625</v>
      </c>
      <c r="D425" s="2">
        <f ca="1">IFERROR(__xludf.DUMMYFUNCTION("""COMPUTED_VALUE"""),5500)</f>
        <v>5500</v>
      </c>
      <c r="E425" s="2">
        <f ca="1">IFERROR(__xludf.DUMMYFUNCTION("""COMPUTED_VALUE"""),5575)</f>
        <v>5575</v>
      </c>
      <c r="F425" s="2">
        <f ca="1">IFERROR(__xludf.DUMMYFUNCTION("""COMPUTED_VALUE"""),18860600)</f>
        <v>18860600</v>
      </c>
    </row>
    <row r="426" spans="1:6">
      <c r="A426" s="1">
        <f ca="1">IFERROR(__xludf.DUMMYFUNCTION("""COMPUTED_VALUE"""),42648.625)</f>
        <v>42648.625</v>
      </c>
      <c r="B426" s="2">
        <f ca="1">IFERROR(__xludf.DUMMYFUNCTION("""COMPUTED_VALUE"""),5550)</f>
        <v>5550</v>
      </c>
      <c r="C426" s="2">
        <f ca="1">IFERROR(__xludf.DUMMYFUNCTION("""COMPUTED_VALUE"""),5575)</f>
        <v>5575</v>
      </c>
      <c r="D426" s="2">
        <f ca="1">IFERROR(__xludf.DUMMYFUNCTION("""COMPUTED_VALUE"""),5450)</f>
        <v>5450</v>
      </c>
      <c r="E426" s="2">
        <f ca="1">IFERROR(__xludf.DUMMYFUNCTION("""COMPUTED_VALUE"""),5525)</f>
        <v>5525</v>
      </c>
      <c r="F426" s="2">
        <f ca="1">IFERROR(__xludf.DUMMYFUNCTION("""COMPUTED_VALUE"""),23204700)</f>
        <v>23204700</v>
      </c>
    </row>
    <row r="427" spans="1:6">
      <c r="A427" s="1">
        <f ca="1">IFERROR(__xludf.DUMMYFUNCTION("""COMPUTED_VALUE"""),42649.625)</f>
        <v>42649.625</v>
      </c>
      <c r="B427" s="2">
        <f ca="1">IFERROR(__xludf.DUMMYFUNCTION("""COMPUTED_VALUE"""),5525)</f>
        <v>5525</v>
      </c>
      <c r="C427" s="2">
        <f ca="1">IFERROR(__xludf.DUMMYFUNCTION("""COMPUTED_VALUE"""),5550)</f>
        <v>5550</v>
      </c>
      <c r="D427" s="2">
        <f ca="1">IFERROR(__xludf.DUMMYFUNCTION("""COMPUTED_VALUE"""),5350)</f>
        <v>5350</v>
      </c>
      <c r="E427" s="2">
        <f ca="1">IFERROR(__xludf.DUMMYFUNCTION("""COMPUTED_VALUE"""),5400)</f>
        <v>5400</v>
      </c>
      <c r="F427" s="2">
        <f ca="1">IFERROR(__xludf.DUMMYFUNCTION("""COMPUTED_VALUE"""),28814100)</f>
        <v>28814100</v>
      </c>
    </row>
    <row r="428" spans="1:6">
      <c r="A428" s="1">
        <f ca="1">IFERROR(__xludf.DUMMYFUNCTION("""COMPUTED_VALUE"""),42650.625)</f>
        <v>42650.625</v>
      </c>
      <c r="B428" s="2">
        <f ca="1">IFERROR(__xludf.DUMMYFUNCTION("""COMPUTED_VALUE"""),5400)</f>
        <v>5400</v>
      </c>
      <c r="C428" s="2">
        <f ca="1">IFERROR(__xludf.DUMMYFUNCTION("""COMPUTED_VALUE"""),5400)</f>
        <v>5400</v>
      </c>
      <c r="D428" s="2">
        <f ca="1">IFERROR(__xludf.DUMMYFUNCTION("""COMPUTED_VALUE"""),5250)</f>
        <v>5250</v>
      </c>
      <c r="E428" s="2">
        <f ca="1">IFERROR(__xludf.DUMMYFUNCTION("""COMPUTED_VALUE"""),5300)</f>
        <v>5300</v>
      </c>
      <c r="F428" s="2">
        <f ca="1">IFERROR(__xludf.DUMMYFUNCTION("""COMPUTED_VALUE"""),26482100)</f>
        <v>26482100</v>
      </c>
    </row>
    <row r="429" spans="1:6">
      <c r="A429" s="1">
        <f ca="1">IFERROR(__xludf.DUMMYFUNCTION("""COMPUTED_VALUE"""),42653.625)</f>
        <v>42653.625</v>
      </c>
      <c r="B429" s="2">
        <f ca="1">IFERROR(__xludf.DUMMYFUNCTION("""COMPUTED_VALUE"""),5325)</f>
        <v>5325</v>
      </c>
      <c r="C429" s="2">
        <f ca="1">IFERROR(__xludf.DUMMYFUNCTION("""COMPUTED_VALUE"""),5350)</f>
        <v>5350</v>
      </c>
      <c r="D429" s="2">
        <f ca="1">IFERROR(__xludf.DUMMYFUNCTION("""COMPUTED_VALUE"""),5275)</f>
        <v>5275</v>
      </c>
      <c r="E429" s="2">
        <f ca="1">IFERROR(__xludf.DUMMYFUNCTION("""COMPUTED_VALUE"""),5300)</f>
        <v>5300</v>
      </c>
      <c r="F429" s="2">
        <f ca="1">IFERROR(__xludf.DUMMYFUNCTION("""COMPUTED_VALUE"""),10648500)</f>
        <v>10648500</v>
      </c>
    </row>
    <row r="430" spans="1:6">
      <c r="A430" s="1">
        <f ca="1">IFERROR(__xludf.DUMMYFUNCTION("""COMPUTED_VALUE"""),42654.625)</f>
        <v>42654.625</v>
      </c>
      <c r="B430" s="2">
        <f ca="1">IFERROR(__xludf.DUMMYFUNCTION("""COMPUTED_VALUE"""),5300)</f>
        <v>5300</v>
      </c>
      <c r="C430" s="2">
        <f ca="1">IFERROR(__xludf.DUMMYFUNCTION("""COMPUTED_VALUE"""),5350)</f>
        <v>5350</v>
      </c>
      <c r="D430" s="2">
        <f ca="1">IFERROR(__xludf.DUMMYFUNCTION("""COMPUTED_VALUE"""),5150)</f>
        <v>5150</v>
      </c>
      <c r="E430" s="2">
        <f ca="1">IFERROR(__xludf.DUMMYFUNCTION("""COMPUTED_VALUE"""),5200)</f>
        <v>5200</v>
      </c>
      <c r="F430" s="2">
        <f ca="1">IFERROR(__xludf.DUMMYFUNCTION("""COMPUTED_VALUE"""),25475300)</f>
        <v>25475300</v>
      </c>
    </row>
    <row r="431" spans="1:6">
      <c r="A431" s="1">
        <f ca="1">IFERROR(__xludf.DUMMYFUNCTION("""COMPUTED_VALUE"""),42655.625)</f>
        <v>42655.625</v>
      </c>
      <c r="B431" s="2">
        <f ca="1">IFERROR(__xludf.DUMMYFUNCTION("""COMPUTED_VALUE"""),5175)</f>
        <v>5175</v>
      </c>
      <c r="C431" s="2">
        <f ca="1">IFERROR(__xludf.DUMMYFUNCTION("""COMPUTED_VALUE"""),5200)</f>
        <v>5200</v>
      </c>
      <c r="D431" s="2">
        <f ca="1">IFERROR(__xludf.DUMMYFUNCTION("""COMPUTED_VALUE"""),5150)</f>
        <v>5150</v>
      </c>
      <c r="E431" s="2">
        <f ca="1">IFERROR(__xludf.DUMMYFUNCTION("""COMPUTED_VALUE"""),5175)</f>
        <v>5175</v>
      </c>
      <c r="F431" s="2">
        <f ca="1">IFERROR(__xludf.DUMMYFUNCTION("""COMPUTED_VALUE"""),20311900)</f>
        <v>20311900</v>
      </c>
    </row>
    <row r="432" spans="1:6">
      <c r="A432" s="1">
        <f ca="1">IFERROR(__xludf.DUMMYFUNCTION("""COMPUTED_VALUE"""),42656.625)</f>
        <v>42656.625</v>
      </c>
      <c r="B432" s="2">
        <f ca="1">IFERROR(__xludf.DUMMYFUNCTION("""COMPUTED_VALUE"""),5200)</f>
        <v>5200</v>
      </c>
      <c r="C432" s="2">
        <f ca="1">IFERROR(__xludf.DUMMYFUNCTION("""COMPUTED_VALUE"""),5425)</f>
        <v>5425</v>
      </c>
      <c r="D432" s="2">
        <f ca="1">IFERROR(__xludf.DUMMYFUNCTION("""COMPUTED_VALUE"""),5150)</f>
        <v>5150</v>
      </c>
      <c r="E432" s="2">
        <f ca="1">IFERROR(__xludf.DUMMYFUNCTION("""COMPUTED_VALUE"""),5375)</f>
        <v>5375</v>
      </c>
      <c r="F432" s="2">
        <f ca="1">IFERROR(__xludf.DUMMYFUNCTION("""COMPUTED_VALUE"""),75763600)</f>
        <v>75763600</v>
      </c>
    </row>
    <row r="433" spans="1:6">
      <c r="A433" s="1">
        <f ca="1">IFERROR(__xludf.DUMMYFUNCTION("""COMPUTED_VALUE"""),42657.625)</f>
        <v>42657.625</v>
      </c>
      <c r="B433" s="2">
        <f ca="1">IFERROR(__xludf.DUMMYFUNCTION("""COMPUTED_VALUE"""),5425)</f>
        <v>5425</v>
      </c>
      <c r="C433" s="2">
        <f ca="1">IFERROR(__xludf.DUMMYFUNCTION("""COMPUTED_VALUE"""),5500)</f>
        <v>5500</v>
      </c>
      <c r="D433" s="2">
        <f ca="1">IFERROR(__xludf.DUMMYFUNCTION("""COMPUTED_VALUE"""),5350)</f>
        <v>5350</v>
      </c>
      <c r="E433" s="2">
        <f ca="1">IFERROR(__xludf.DUMMYFUNCTION("""COMPUTED_VALUE"""),5475)</f>
        <v>5475</v>
      </c>
      <c r="F433" s="2">
        <f ca="1">IFERROR(__xludf.DUMMYFUNCTION("""COMPUTED_VALUE"""),35603000)</f>
        <v>35603000</v>
      </c>
    </row>
    <row r="434" spans="1:6">
      <c r="A434" s="1">
        <f ca="1">IFERROR(__xludf.DUMMYFUNCTION("""COMPUTED_VALUE"""),42660.625)</f>
        <v>42660.625</v>
      </c>
      <c r="B434" s="2">
        <f ca="1">IFERROR(__xludf.DUMMYFUNCTION("""COMPUTED_VALUE"""),5450)</f>
        <v>5450</v>
      </c>
      <c r="C434" s="2">
        <f ca="1">IFERROR(__xludf.DUMMYFUNCTION("""COMPUTED_VALUE"""),5550)</f>
        <v>5550</v>
      </c>
      <c r="D434" s="2">
        <f ca="1">IFERROR(__xludf.DUMMYFUNCTION("""COMPUTED_VALUE"""),5425)</f>
        <v>5425</v>
      </c>
      <c r="E434" s="2">
        <f ca="1">IFERROR(__xludf.DUMMYFUNCTION("""COMPUTED_VALUE"""),5500)</f>
        <v>5500</v>
      </c>
      <c r="F434" s="2">
        <f ca="1">IFERROR(__xludf.DUMMYFUNCTION("""COMPUTED_VALUE"""),24388700)</f>
        <v>24388700</v>
      </c>
    </row>
    <row r="435" spans="1:6">
      <c r="A435" s="1">
        <f ca="1">IFERROR(__xludf.DUMMYFUNCTION("""COMPUTED_VALUE"""),42661.625)</f>
        <v>42661.625</v>
      </c>
      <c r="B435" s="2">
        <f ca="1">IFERROR(__xludf.DUMMYFUNCTION("""COMPUTED_VALUE"""),5475)</f>
        <v>5475</v>
      </c>
      <c r="C435" s="2">
        <f ca="1">IFERROR(__xludf.DUMMYFUNCTION("""COMPUTED_VALUE"""),5525)</f>
        <v>5525</v>
      </c>
      <c r="D435" s="2">
        <f ca="1">IFERROR(__xludf.DUMMYFUNCTION("""COMPUTED_VALUE"""),5375)</f>
        <v>5375</v>
      </c>
      <c r="E435" s="2">
        <f ca="1">IFERROR(__xludf.DUMMYFUNCTION("""COMPUTED_VALUE"""),5400)</f>
        <v>5400</v>
      </c>
      <c r="F435" s="2">
        <f ca="1">IFERROR(__xludf.DUMMYFUNCTION("""COMPUTED_VALUE"""),32238200)</f>
        <v>32238200</v>
      </c>
    </row>
    <row r="436" spans="1:6">
      <c r="A436" s="1">
        <f ca="1">IFERROR(__xludf.DUMMYFUNCTION("""COMPUTED_VALUE"""),42662.625)</f>
        <v>42662.625</v>
      </c>
      <c r="B436" s="2">
        <f ca="1">IFERROR(__xludf.DUMMYFUNCTION("""COMPUTED_VALUE"""),5425)</f>
        <v>5425</v>
      </c>
      <c r="C436" s="2">
        <f ca="1">IFERROR(__xludf.DUMMYFUNCTION("""COMPUTED_VALUE"""),5450)</f>
        <v>5450</v>
      </c>
      <c r="D436" s="2">
        <f ca="1">IFERROR(__xludf.DUMMYFUNCTION("""COMPUTED_VALUE"""),5375)</f>
        <v>5375</v>
      </c>
      <c r="E436" s="2">
        <f ca="1">IFERROR(__xludf.DUMMYFUNCTION("""COMPUTED_VALUE"""),5400)</f>
        <v>5400</v>
      </c>
      <c r="F436" s="2">
        <f ca="1">IFERROR(__xludf.DUMMYFUNCTION("""COMPUTED_VALUE"""),19366200)</f>
        <v>19366200</v>
      </c>
    </row>
    <row r="437" spans="1:6">
      <c r="A437" s="1">
        <f ca="1">IFERROR(__xludf.DUMMYFUNCTION("""COMPUTED_VALUE"""),42663.625)</f>
        <v>42663.625</v>
      </c>
      <c r="B437" s="2">
        <f ca="1">IFERROR(__xludf.DUMMYFUNCTION("""COMPUTED_VALUE"""),5450)</f>
        <v>5450</v>
      </c>
      <c r="C437" s="2">
        <f ca="1">IFERROR(__xludf.DUMMYFUNCTION("""COMPUTED_VALUE"""),5500)</f>
        <v>5500</v>
      </c>
      <c r="D437" s="2">
        <f ca="1">IFERROR(__xludf.DUMMYFUNCTION("""COMPUTED_VALUE"""),5425)</f>
        <v>5425</v>
      </c>
      <c r="E437" s="2">
        <f ca="1">IFERROR(__xludf.DUMMYFUNCTION("""COMPUTED_VALUE"""),5450)</f>
        <v>5450</v>
      </c>
      <c r="F437" s="2">
        <f ca="1">IFERROR(__xludf.DUMMYFUNCTION("""COMPUTED_VALUE"""),14011900)</f>
        <v>14011900</v>
      </c>
    </row>
    <row r="438" spans="1:6">
      <c r="A438" s="1">
        <f ca="1">IFERROR(__xludf.DUMMYFUNCTION("""COMPUTED_VALUE"""),42664.625)</f>
        <v>42664.625</v>
      </c>
      <c r="B438" s="2">
        <f ca="1">IFERROR(__xludf.DUMMYFUNCTION("""COMPUTED_VALUE"""),5425)</f>
        <v>5425</v>
      </c>
      <c r="C438" s="2">
        <f ca="1">IFERROR(__xludf.DUMMYFUNCTION("""COMPUTED_VALUE"""),5475)</f>
        <v>5475</v>
      </c>
      <c r="D438" s="2">
        <f ca="1">IFERROR(__xludf.DUMMYFUNCTION("""COMPUTED_VALUE"""),5425)</f>
        <v>5425</v>
      </c>
      <c r="E438" s="2">
        <f ca="1">IFERROR(__xludf.DUMMYFUNCTION("""COMPUTED_VALUE"""),5425)</f>
        <v>5425</v>
      </c>
      <c r="F438" s="2">
        <f ca="1">IFERROR(__xludf.DUMMYFUNCTION("""COMPUTED_VALUE"""),8486200)</f>
        <v>8486200</v>
      </c>
    </row>
    <row r="439" spans="1:6">
      <c r="A439" s="1">
        <f ca="1">IFERROR(__xludf.DUMMYFUNCTION("""COMPUTED_VALUE"""),42667.625)</f>
        <v>42667.625</v>
      </c>
      <c r="B439" s="2">
        <f ca="1">IFERROR(__xludf.DUMMYFUNCTION("""COMPUTED_VALUE"""),5425)</f>
        <v>5425</v>
      </c>
      <c r="C439" s="2">
        <f ca="1">IFERROR(__xludf.DUMMYFUNCTION("""COMPUTED_VALUE"""),5500)</f>
        <v>5500</v>
      </c>
      <c r="D439" s="2">
        <f ca="1">IFERROR(__xludf.DUMMYFUNCTION("""COMPUTED_VALUE"""),5425)</f>
        <v>5425</v>
      </c>
      <c r="E439" s="2">
        <f ca="1">IFERROR(__xludf.DUMMYFUNCTION("""COMPUTED_VALUE"""),5450)</f>
        <v>5450</v>
      </c>
      <c r="F439" s="2">
        <f ca="1">IFERROR(__xludf.DUMMYFUNCTION("""COMPUTED_VALUE"""),6452000)</f>
        <v>6452000</v>
      </c>
    </row>
    <row r="440" spans="1:6">
      <c r="A440" s="1">
        <f ca="1">IFERROR(__xludf.DUMMYFUNCTION("""COMPUTED_VALUE"""),42668.625)</f>
        <v>42668.625</v>
      </c>
      <c r="B440" s="2">
        <f ca="1">IFERROR(__xludf.DUMMYFUNCTION("""COMPUTED_VALUE"""),5450)</f>
        <v>5450</v>
      </c>
      <c r="C440" s="2">
        <f ca="1">IFERROR(__xludf.DUMMYFUNCTION("""COMPUTED_VALUE"""),5500)</f>
        <v>5500</v>
      </c>
      <c r="D440" s="2">
        <f ca="1">IFERROR(__xludf.DUMMYFUNCTION("""COMPUTED_VALUE"""),5400)</f>
        <v>5400</v>
      </c>
      <c r="E440" s="2">
        <f ca="1">IFERROR(__xludf.DUMMYFUNCTION("""COMPUTED_VALUE"""),5475)</f>
        <v>5475</v>
      </c>
      <c r="F440" s="2">
        <f ca="1">IFERROR(__xludf.DUMMYFUNCTION("""COMPUTED_VALUE"""),13459600)</f>
        <v>13459600</v>
      </c>
    </row>
    <row r="441" spans="1:6">
      <c r="A441" s="1">
        <f ca="1">IFERROR(__xludf.DUMMYFUNCTION("""COMPUTED_VALUE"""),42669.625)</f>
        <v>42669.625</v>
      </c>
      <c r="B441" s="2">
        <f ca="1">IFERROR(__xludf.DUMMYFUNCTION("""COMPUTED_VALUE"""),5475)</f>
        <v>5475</v>
      </c>
      <c r="C441" s="2">
        <f ca="1">IFERROR(__xludf.DUMMYFUNCTION("""COMPUTED_VALUE"""),5500)</f>
        <v>5500</v>
      </c>
      <c r="D441" s="2">
        <f ca="1">IFERROR(__xludf.DUMMYFUNCTION("""COMPUTED_VALUE"""),5425)</f>
        <v>5425</v>
      </c>
      <c r="E441" s="2">
        <f ca="1">IFERROR(__xludf.DUMMYFUNCTION("""COMPUTED_VALUE"""),5450)</f>
        <v>5450</v>
      </c>
      <c r="F441" s="2">
        <f ca="1">IFERROR(__xludf.DUMMYFUNCTION("""COMPUTED_VALUE"""),19854400)</f>
        <v>19854400</v>
      </c>
    </row>
    <row r="442" spans="1:6">
      <c r="A442" s="1">
        <f ca="1">IFERROR(__xludf.DUMMYFUNCTION("""COMPUTED_VALUE"""),42670.625)</f>
        <v>42670.625</v>
      </c>
      <c r="B442" s="2">
        <f ca="1">IFERROR(__xludf.DUMMYFUNCTION("""COMPUTED_VALUE"""),5475)</f>
        <v>5475</v>
      </c>
      <c r="C442" s="2">
        <f ca="1">IFERROR(__xludf.DUMMYFUNCTION("""COMPUTED_VALUE"""),5525)</f>
        <v>5525</v>
      </c>
      <c r="D442" s="2">
        <f ca="1">IFERROR(__xludf.DUMMYFUNCTION("""COMPUTED_VALUE"""),5400)</f>
        <v>5400</v>
      </c>
      <c r="E442" s="2">
        <f ca="1">IFERROR(__xludf.DUMMYFUNCTION("""COMPUTED_VALUE"""),5525)</f>
        <v>5525</v>
      </c>
      <c r="F442" s="2">
        <f ca="1">IFERROR(__xludf.DUMMYFUNCTION("""COMPUTED_VALUE"""),18363400)</f>
        <v>18363400</v>
      </c>
    </row>
    <row r="443" spans="1:6">
      <c r="A443" s="1">
        <f ca="1">IFERROR(__xludf.DUMMYFUNCTION("""COMPUTED_VALUE"""),42671.625)</f>
        <v>42671.625</v>
      </c>
      <c r="B443" s="2">
        <f ca="1">IFERROR(__xludf.DUMMYFUNCTION("""COMPUTED_VALUE"""),5525)</f>
        <v>5525</v>
      </c>
      <c r="C443" s="2">
        <f ca="1">IFERROR(__xludf.DUMMYFUNCTION("""COMPUTED_VALUE"""),5550)</f>
        <v>5550</v>
      </c>
      <c r="D443" s="2">
        <f ca="1">IFERROR(__xludf.DUMMYFUNCTION("""COMPUTED_VALUE"""),5500)</f>
        <v>5500</v>
      </c>
      <c r="E443" s="2">
        <f ca="1">IFERROR(__xludf.DUMMYFUNCTION("""COMPUTED_VALUE"""),5525)</f>
        <v>5525</v>
      </c>
      <c r="F443" s="2">
        <f ca="1">IFERROR(__xludf.DUMMYFUNCTION("""COMPUTED_VALUE"""),12597600)</f>
        <v>12597600</v>
      </c>
    </row>
    <row r="444" spans="1:6">
      <c r="A444" s="1">
        <f ca="1">IFERROR(__xludf.DUMMYFUNCTION("""COMPUTED_VALUE"""),42674.625)</f>
        <v>42674.625</v>
      </c>
      <c r="B444" s="2">
        <f ca="1">IFERROR(__xludf.DUMMYFUNCTION("""COMPUTED_VALUE"""),5550)</f>
        <v>5550</v>
      </c>
      <c r="C444" s="2">
        <f ca="1">IFERROR(__xludf.DUMMYFUNCTION("""COMPUTED_VALUE"""),5600)</f>
        <v>5600</v>
      </c>
      <c r="D444" s="2">
        <f ca="1">IFERROR(__xludf.DUMMYFUNCTION("""COMPUTED_VALUE"""),5525)</f>
        <v>5525</v>
      </c>
      <c r="E444" s="2">
        <f ca="1">IFERROR(__xludf.DUMMYFUNCTION("""COMPUTED_VALUE"""),5575)</f>
        <v>5575</v>
      </c>
      <c r="F444" s="2">
        <f ca="1">IFERROR(__xludf.DUMMYFUNCTION("""COMPUTED_VALUE"""),13679800)</f>
        <v>13679800</v>
      </c>
    </row>
    <row r="445" spans="1:6">
      <c r="A445" s="1">
        <f ca="1">IFERROR(__xludf.DUMMYFUNCTION("""COMPUTED_VALUE"""),42675.625)</f>
        <v>42675.625</v>
      </c>
      <c r="B445" s="2">
        <f ca="1">IFERROR(__xludf.DUMMYFUNCTION("""COMPUTED_VALUE"""),5600)</f>
        <v>5600</v>
      </c>
      <c r="C445" s="2">
        <f ca="1">IFERROR(__xludf.DUMMYFUNCTION("""COMPUTED_VALUE"""),5600)</f>
        <v>5600</v>
      </c>
      <c r="D445" s="2">
        <f ca="1">IFERROR(__xludf.DUMMYFUNCTION("""COMPUTED_VALUE"""),5500)</f>
        <v>5500</v>
      </c>
      <c r="E445" s="2">
        <f ca="1">IFERROR(__xludf.DUMMYFUNCTION("""COMPUTED_VALUE"""),5525)</f>
        <v>5525</v>
      </c>
      <c r="F445" s="2">
        <f ca="1">IFERROR(__xludf.DUMMYFUNCTION("""COMPUTED_VALUE"""),8436300)</f>
        <v>8436300</v>
      </c>
    </row>
    <row r="446" spans="1:6">
      <c r="A446" s="1">
        <f ca="1">IFERROR(__xludf.DUMMYFUNCTION("""COMPUTED_VALUE"""),42676.625)</f>
        <v>42676.625</v>
      </c>
      <c r="B446" s="2">
        <f ca="1">IFERROR(__xludf.DUMMYFUNCTION("""COMPUTED_VALUE"""),5525)</f>
        <v>5525</v>
      </c>
      <c r="C446" s="2">
        <f ca="1">IFERROR(__xludf.DUMMYFUNCTION("""COMPUTED_VALUE"""),5525)</f>
        <v>5525</v>
      </c>
      <c r="D446" s="2">
        <f ca="1">IFERROR(__xludf.DUMMYFUNCTION("""COMPUTED_VALUE"""),5425)</f>
        <v>5425</v>
      </c>
      <c r="E446" s="2">
        <f ca="1">IFERROR(__xludf.DUMMYFUNCTION("""COMPUTED_VALUE"""),5525)</f>
        <v>5525</v>
      </c>
      <c r="F446" s="2">
        <f ca="1">IFERROR(__xludf.DUMMYFUNCTION("""COMPUTED_VALUE"""),10426000)</f>
        <v>10426000</v>
      </c>
    </row>
    <row r="447" spans="1:6">
      <c r="A447" s="1">
        <f ca="1">IFERROR(__xludf.DUMMYFUNCTION("""COMPUTED_VALUE"""),42677.625)</f>
        <v>42677.625</v>
      </c>
      <c r="B447" s="2">
        <f ca="1">IFERROR(__xludf.DUMMYFUNCTION("""COMPUTED_VALUE"""),5475)</f>
        <v>5475</v>
      </c>
      <c r="C447" s="2">
        <f ca="1">IFERROR(__xludf.DUMMYFUNCTION("""COMPUTED_VALUE"""),5525)</f>
        <v>5525</v>
      </c>
      <c r="D447" s="2">
        <f ca="1">IFERROR(__xludf.DUMMYFUNCTION("""COMPUTED_VALUE"""),5450)</f>
        <v>5450</v>
      </c>
      <c r="E447" s="2">
        <f ca="1">IFERROR(__xludf.DUMMYFUNCTION("""COMPUTED_VALUE"""),5475)</f>
        <v>5475</v>
      </c>
      <c r="F447" s="2">
        <f ca="1">IFERROR(__xludf.DUMMYFUNCTION("""COMPUTED_VALUE"""),14272800)</f>
        <v>14272800</v>
      </c>
    </row>
    <row r="448" spans="1:6">
      <c r="A448" s="1">
        <f ca="1">IFERROR(__xludf.DUMMYFUNCTION("""COMPUTED_VALUE"""),42678.625)</f>
        <v>42678.625</v>
      </c>
      <c r="B448" s="2">
        <f ca="1">IFERROR(__xludf.DUMMYFUNCTION("""COMPUTED_VALUE"""),5400)</f>
        <v>5400</v>
      </c>
      <c r="C448" s="2">
        <f ca="1">IFERROR(__xludf.DUMMYFUNCTION("""COMPUTED_VALUE"""),5625)</f>
        <v>5625</v>
      </c>
      <c r="D448" s="2">
        <f ca="1">IFERROR(__xludf.DUMMYFUNCTION("""COMPUTED_VALUE"""),5400)</f>
        <v>5400</v>
      </c>
      <c r="E448" s="2">
        <f ca="1">IFERROR(__xludf.DUMMYFUNCTION("""COMPUTED_VALUE"""),5600)</f>
        <v>5600</v>
      </c>
      <c r="F448" s="2">
        <f ca="1">IFERROR(__xludf.DUMMYFUNCTION("""COMPUTED_VALUE"""),20033000)</f>
        <v>20033000</v>
      </c>
    </row>
    <row r="449" spans="1:6">
      <c r="A449" s="1">
        <f ca="1">IFERROR(__xludf.DUMMYFUNCTION("""COMPUTED_VALUE"""),42681.625)</f>
        <v>42681.625</v>
      </c>
      <c r="B449" s="2">
        <f ca="1">IFERROR(__xludf.DUMMYFUNCTION("""COMPUTED_VALUE"""),5550)</f>
        <v>5550</v>
      </c>
      <c r="C449" s="2">
        <f ca="1">IFERROR(__xludf.DUMMYFUNCTION("""COMPUTED_VALUE"""),5650)</f>
        <v>5650</v>
      </c>
      <c r="D449" s="2">
        <f ca="1">IFERROR(__xludf.DUMMYFUNCTION("""COMPUTED_VALUE"""),5500)</f>
        <v>5500</v>
      </c>
      <c r="E449" s="2">
        <f ca="1">IFERROR(__xludf.DUMMYFUNCTION("""COMPUTED_VALUE"""),5575)</f>
        <v>5575</v>
      </c>
      <c r="F449" s="2">
        <f ca="1">IFERROR(__xludf.DUMMYFUNCTION("""COMPUTED_VALUE"""),21125700)</f>
        <v>21125700</v>
      </c>
    </row>
    <row r="450" spans="1:6">
      <c r="A450" s="1">
        <f ca="1">IFERROR(__xludf.DUMMYFUNCTION("""COMPUTED_VALUE"""),42682.625)</f>
        <v>42682.625</v>
      </c>
      <c r="B450" s="2">
        <f ca="1">IFERROR(__xludf.DUMMYFUNCTION("""COMPUTED_VALUE"""),5625)</f>
        <v>5625</v>
      </c>
      <c r="C450" s="2">
        <f ca="1">IFERROR(__xludf.DUMMYFUNCTION("""COMPUTED_VALUE"""),5725)</f>
        <v>5725</v>
      </c>
      <c r="D450" s="2">
        <f ca="1">IFERROR(__xludf.DUMMYFUNCTION("""COMPUTED_VALUE"""),5575)</f>
        <v>5575</v>
      </c>
      <c r="E450" s="2">
        <f ca="1">IFERROR(__xludf.DUMMYFUNCTION("""COMPUTED_VALUE"""),5725)</f>
        <v>5725</v>
      </c>
      <c r="F450" s="2">
        <f ca="1">IFERROR(__xludf.DUMMYFUNCTION("""COMPUTED_VALUE"""),25386000)</f>
        <v>25386000</v>
      </c>
    </row>
    <row r="451" spans="1:6">
      <c r="A451" s="1">
        <f ca="1">IFERROR(__xludf.DUMMYFUNCTION("""COMPUTED_VALUE"""),42683.625)</f>
        <v>42683.625</v>
      </c>
      <c r="B451" s="2">
        <f ca="1">IFERROR(__xludf.DUMMYFUNCTION("""COMPUTED_VALUE"""),5700)</f>
        <v>5700</v>
      </c>
      <c r="C451" s="2">
        <f ca="1">IFERROR(__xludf.DUMMYFUNCTION("""COMPUTED_VALUE"""),5700)</f>
        <v>5700</v>
      </c>
      <c r="D451" s="2">
        <f ca="1">IFERROR(__xludf.DUMMYFUNCTION("""COMPUTED_VALUE"""),5400)</f>
        <v>5400</v>
      </c>
      <c r="E451" s="2">
        <f ca="1">IFERROR(__xludf.DUMMYFUNCTION("""COMPUTED_VALUE"""),5575)</f>
        <v>5575</v>
      </c>
      <c r="F451" s="2">
        <f ca="1">IFERROR(__xludf.DUMMYFUNCTION("""COMPUTED_VALUE"""),40124400)</f>
        <v>40124400</v>
      </c>
    </row>
    <row r="452" spans="1:6">
      <c r="A452" s="1">
        <f ca="1">IFERROR(__xludf.DUMMYFUNCTION("""COMPUTED_VALUE"""),42684.625)</f>
        <v>42684.625</v>
      </c>
      <c r="B452" s="2">
        <f ca="1">IFERROR(__xludf.DUMMYFUNCTION("""COMPUTED_VALUE"""),5625)</f>
        <v>5625</v>
      </c>
      <c r="C452" s="2">
        <f ca="1">IFERROR(__xludf.DUMMYFUNCTION("""COMPUTED_VALUE"""),5650)</f>
        <v>5650</v>
      </c>
      <c r="D452" s="2">
        <f ca="1">IFERROR(__xludf.DUMMYFUNCTION("""COMPUTED_VALUE"""),5550)</f>
        <v>5550</v>
      </c>
      <c r="E452" s="2">
        <f ca="1">IFERROR(__xludf.DUMMYFUNCTION("""COMPUTED_VALUE"""),5575)</f>
        <v>5575</v>
      </c>
      <c r="F452" s="2">
        <f ca="1">IFERROR(__xludf.DUMMYFUNCTION("""COMPUTED_VALUE"""),19672200)</f>
        <v>19672200</v>
      </c>
    </row>
    <row r="453" spans="1:6">
      <c r="A453" s="1">
        <f ca="1">IFERROR(__xludf.DUMMYFUNCTION("""COMPUTED_VALUE"""),42685.625)</f>
        <v>42685.625</v>
      </c>
      <c r="B453" s="2">
        <f ca="1">IFERROR(__xludf.DUMMYFUNCTION("""COMPUTED_VALUE"""),5450)</f>
        <v>5450</v>
      </c>
      <c r="C453" s="2">
        <f ca="1">IFERROR(__xludf.DUMMYFUNCTION("""COMPUTED_VALUE"""),5450)</f>
        <v>5450</v>
      </c>
      <c r="D453" s="2">
        <f ca="1">IFERROR(__xludf.DUMMYFUNCTION("""COMPUTED_VALUE"""),5025)</f>
        <v>5025</v>
      </c>
      <c r="E453" s="2">
        <f ca="1">IFERROR(__xludf.DUMMYFUNCTION("""COMPUTED_VALUE"""),5150)</f>
        <v>5150</v>
      </c>
      <c r="F453" s="2">
        <f ca="1">IFERROR(__xludf.DUMMYFUNCTION("""COMPUTED_VALUE"""),73671600)</f>
        <v>73671600</v>
      </c>
    </row>
    <row r="454" spans="1:6">
      <c r="A454" s="1">
        <f ca="1">IFERROR(__xludf.DUMMYFUNCTION("""COMPUTED_VALUE"""),42688.625)</f>
        <v>42688.625</v>
      </c>
      <c r="B454" s="2">
        <f ca="1">IFERROR(__xludf.DUMMYFUNCTION("""COMPUTED_VALUE"""),5050)</f>
        <v>5050</v>
      </c>
      <c r="C454" s="2">
        <f ca="1">IFERROR(__xludf.DUMMYFUNCTION("""COMPUTED_VALUE"""),5250)</f>
        <v>5250</v>
      </c>
      <c r="D454" s="2">
        <f ca="1">IFERROR(__xludf.DUMMYFUNCTION("""COMPUTED_VALUE"""),4810)</f>
        <v>4810</v>
      </c>
      <c r="E454" s="2">
        <f ca="1">IFERROR(__xludf.DUMMYFUNCTION("""COMPUTED_VALUE"""),5125)</f>
        <v>5125</v>
      </c>
      <c r="F454" s="2">
        <f ca="1">IFERROR(__xludf.DUMMYFUNCTION("""COMPUTED_VALUE"""),38602900)</f>
        <v>38602900</v>
      </c>
    </row>
    <row r="455" spans="1:6">
      <c r="A455" s="1">
        <f ca="1">IFERROR(__xludf.DUMMYFUNCTION("""COMPUTED_VALUE"""),42689.625)</f>
        <v>42689.625</v>
      </c>
      <c r="B455" s="2">
        <f ca="1">IFERROR(__xludf.DUMMYFUNCTION("""COMPUTED_VALUE"""),5125)</f>
        <v>5125</v>
      </c>
      <c r="C455" s="2">
        <f ca="1">IFERROR(__xludf.DUMMYFUNCTION("""COMPUTED_VALUE"""),5250)</f>
        <v>5250</v>
      </c>
      <c r="D455" s="2">
        <f ca="1">IFERROR(__xludf.DUMMYFUNCTION("""COMPUTED_VALUE"""),5000)</f>
        <v>5000</v>
      </c>
      <c r="E455" s="2">
        <f ca="1">IFERROR(__xludf.DUMMYFUNCTION("""COMPUTED_VALUE"""),5000)</f>
        <v>5000</v>
      </c>
      <c r="F455" s="2">
        <f ca="1">IFERROR(__xludf.DUMMYFUNCTION("""COMPUTED_VALUE"""),47330700)</f>
        <v>47330700</v>
      </c>
    </row>
    <row r="456" spans="1:6">
      <c r="A456" s="1">
        <f ca="1">IFERROR(__xludf.DUMMYFUNCTION("""COMPUTED_VALUE"""),42690.625)</f>
        <v>42690.625</v>
      </c>
      <c r="B456" s="2">
        <f ca="1">IFERROR(__xludf.DUMMYFUNCTION("""COMPUTED_VALUE"""),5075)</f>
        <v>5075</v>
      </c>
      <c r="C456" s="2">
        <f ca="1">IFERROR(__xludf.DUMMYFUNCTION("""COMPUTED_VALUE"""),5325)</f>
        <v>5325</v>
      </c>
      <c r="D456" s="2">
        <f ca="1">IFERROR(__xludf.DUMMYFUNCTION("""COMPUTED_VALUE"""),5075)</f>
        <v>5075</v>
      </c>
      <c r="E456" s="2">
        <f ca="1">IFERROR(__xludf.DUMMYFUNCTION("""COMPUTED_VALUE"""),5225)</f>
        <v>5225</v>
      </c>
      <c r="F456" s="2">
        <f ca="1">IFERROR(__xludf.DUMMYFUNCTION("""COMPUTED_VALUE"""),42752600)</f>
        <v>42752600</v>
      </c>
    </row>
    <row r="457" spans="1:6">
      <c r="A457" s="1">
        <f ca="1">IFERROR(__xludf.DUMMYFUNCTION("""COMPUTED_VALUE"""),42691.625)</f>
        <v>42691.625</v>
      </c>
      <c r="B457" s="2">
        <f ca="1">IFERROR(__xludf.DUMMYFUNCTION("""COMPUTED_VALUE"""),5225)</f>
        <v>5225</v>
      </c>
      <c r="C457" s="2">
        <f ca="1">IFERROR(__xludf.DUMMYFUNCTION("""COMPUTED_VALUE"""),5325)</f>
        <v>5325</v>
      </c>
      <c r="D457" s="2">
        <f ca="1">IFERROR(__xludf.DUMMYFUNCTION("""COMPUTED_VALUE"""),5200)</f>
        <v>5200</v>
      </c>
      <c r="E457" s="2">
        <f ca="1">IFERROR(__xludf.DUMMYFUNCTION("""COMPUTED_VALUE"""),5225)</f>
        <v>5225</v>
      </c>
      <c r="F457" s="2">
        <f ca="1">IFERROR(__xludf.DUMMYFUNCTION("""COMPUTED_VALUE"""),23881500)</f>
        <v>23881500</v>
      </c>
    </row>
    <row r="458" spans="1:6">
      <c r="A458" s="1">
        <f ca="1">IFERROR(__xludf.DUMMYFUNCTION("""COMPUTED_VALUE"""),42692.625)</f>
        <v>42692.625</v>
      </c>
      <c r="B458" s="2">
        <f ca="1">IFERROR(__xludf.DUMMYFUNCTION("""COMPUTED_VALUE"""),5300)</f>
        <v>5300</v>
      </c>
      <c r="C458" s="2">
        <f ca="1">IFERROR(__xludf.DUMMYFUNCTION("""COMPUTED_VALUE"""),5300)</f>
        <v>5300</v>
      </c>
      <c r="D458" s="2">
        <f ca="1">IFERROR(__xludf.DUMMYFUNCTION("""COMPUTED_VALUE"""),5200)</f>
        <v>5200</v>
      </c>
      <c r="E458" s="2">
        <f ca="1">IFERROR(__xludf.DUMMYFUNCTION("""COMPUTED_VALUE"""),5225)</f>
        <v>5225</v>
      </c>
      <c r="F458" s="2">
        <f ca="1">IFERROR(__xludf.DUMMYFUNCTION("""COMPUTED_VALUE"""),13810200)</f>
        <v>13810200</v>
      </c>
    </row>
    <row r="459" spans="1:6">
      <c r="A459" s="1">
        <f ca="1">IFERROR(__xludf.DUMMYFUNCTION("""COMPUTED_VALUE"""),42695.625)</f>
        <v>42695.625</v>
      </c>
      <c r="B459" s="2">
        <f ca="1">IFERROR(__xludf.DUMMYFUNCTION("""COMPUTED_VALUE"""),5300)</f>
        <v>5300</v>
      </c>
      <c r="C459" s="2">
        <f ca="1">IFERROR(__xludf.DUMMYFUNCTION("""COMPUTED_VALUE"""),5300)</f>
        <v>5300</v>
      </c>
      <c r="D459" s="2">
        <f ca="1">IFERROR(__xludf.DUMMYFUNCTION("""COMPUTED_VALUE"""),5200)</f>
        <v>5200</v>
      </c>
      <c r="E459" s="2">
        <f ca="1">IFERROR(__xludf.DUMMYFUNCTION("""COMPUTED_VALUE"""),5200)</f>
        <v>5200</v>
      </c>
      <c r="F459" s="2">
        <f ca="1">IFERROR(__xludf.DUMMYFUNCTION("""COMPUTED_VALUE"""),23031200)</f>
        <v>23031200</v>
      </c>
    </row>
    <row r="460" spans="1:6">
      <c r="A460" s="1">
        <f ca="1">IFERROR(__xludf.DUMMYFUNCTION("""COMPUTED_VALUE"""),42696.625)</f>
        <v>42696.625</v>
      </c>
      <c r="B460" s="2">
        <f ca="1">IFERROR(__xludf.DUMMYFUNCTION("""COMPUTED_VALUE"""),5200)</f>
        <v>5200</v>
      </c>
      <c r="C460" s="2">
        <f ca="1">IFERROR(__xludf.DUMMYFUNCTION("""COMPUTED_VALUE"""),5250)</f>
        <v>5250</v>
      </c>
      <c r="D460" s="2">
        <f ca="1">IFERROR(__xludf.DUMMYFUNCTION("""COMPUTED_VALUE"""),5150)</f>
        <v>5150</v>
      </c>
      <c r="E460" s="2">
        <f ca="1">IFERROR(__xludf.DUMMYFUNCTION("""COMPUTED_VALUE"""),5250)</f>
        <v>5250</v>
      </c>
      <c r="F460" s="2">
        <f ca="1">IFERROR(__xludf.DUMMYFUNCTION("""COMPUTED_VALUE"""),14508800)</f>
        <v>14508800</v>
      </c>
    </row>
    <row r="461" spans="1:6">
      <c r="A461" s="1">
        <f ca="1">IFERROR(__xludf.DUMMYFUNCTION("""COMPUTED_VALUE"""),42697.625)</f>
        <v>42697.625</v>
      </c>
      <c r="B461" s="2">
        <f ca="1">IFERROR(__xludf.DUMMYFUNCTION("""COMPUTED_VALUE"""),5200)</f>
        <v>5200</v>
      </c>
      <c r="C461" s="2">
        <f ca="1">IFERROR(__xludf.DUMMYFUNCTION("""COMPUTED_VALUE"""),5225)</f>
        <v>5225</v>
      </c>
      <c r="D461" s="2">
        <f ca="1">IFERROR(__xludf.DUMMYFUNCTION("""COMPUTED_VALUE"""),5100)</f>
        <v>5100</v>
      </c>
      <c r="E461" s="2">
        <f ca="1">IFERROR(__xludf.DUMMYFUNCTION("""COMPUTED_VALUE"""),5125)</f>
        <v>5125</v>
      </c>
      <c r="F461" s="2">
        <f ca="1">IFERROR(__xludf.DUMMYFUNCTION("""COMPUTED_VALUE"""),33734500)</f>
        <v>33734500</v>
      </c>
    </row>
    <row r="462" spans="1:6">
      <c r="A462" s="1">
        <f ca="1">IFERROR(__xludf.DUMMYFUNCTION("""COMPUTED_VALUE"""),42698.625)</f>
        <v>42698.625</v>
      </c>
      <c r="B462" s="2">
        <f ca="1">IFERROR(__xludf.DUMMYFUNCTION("""COMPUTED_VALUE"""),5100)</f>
        <v>5100</v>
      </c>
      <c r="C462" s="2">
        <f ca="1">IFERROR(__xludf.DUMMYFUNCTION("""COMPUTED_VALUE"""),5175)</f>
        <v>5175</v>
      </c>
      <c r="D462" s="2">
        <f ca="1">IFERROR(__xludf.DUMMYFUNCTION("""COMPUTED_VALUE"""),5000)</f>
        <v>5000</v>
      </c>
      <c r="E462" s="2">
        <f ca="1">IFERROR(__xludf.DUMMYFUNCTION("""COMPUTED_VALUE"""),5000)</f>
        <v>5000</v>
      </c>
      <c r="F462" s="2">
        <f ca="1">IFERROR(__xludf.DUMMYFUNCTION("""COMPUTED_VALUE"""),28693800)</f>
        <v>28693800</v>
      </c>
    </row>
    <row r="463" spans="1:6">
      <c r="A463" s="1">
        <f ca="1">IFERROR(__xludf.DUMMYFUNCTION("""COMPUTED_VALUE"""),42699.625)</f>
        <v>42699.625</v>
      </c>
      <c r="B463" s="2">
        <f ca="1">IFERROR(__xludf.DUMMYFUNCTION("""COMPUTED_VALUE"""),5000)</f>
        <v>5000</v>
      </c>
      <c r="C463" s="2">
        <f ca="1">IFERROR(__xludf.DUMMYFUNCTION("""COMPUTED_VALUE"""),5150)</f>
        <v>5150</v>
      </c>
      <c r="D463" s="2">
        <f ca="1">IFERROR(__xludf.DUMMYFUNCTION("""COMPUTED_VALUE"""),5000)</f>
        <v>5000</v>
      </c>
      <c r="E463" s="2">
        <f ca="1">IFERROR(__xludf.DUMMYFUNCTION("""COMPUTED_VALUE"""),5025)</f>
        <v>5025</v>
      </c>
      <c r="F463" s="2">
        <f ca="1">IFERROR(__xludf.DUMMYFUNCTION("""COMPUTED_VALUE"""),10259900)</f>
        <v>10259900</v>
      </c>
    </row>
    <row r="464" spans="1:6">
      <c r="A464" s="1">
        <f ca="1">IFERROR(__xludf.DUMMYFUNCTION("""COMPUTED_VALUE"""),42702.625)</f>
        <v>42702.625</v>
      </c>
      <c r="B464" s="2">
        <f ca="1">IFERROR(__xludf.DUMMYFUNCTION("""COMPUTED_VALUE"""),5025)</f>
        <v>5025</v>
      </c>
      <c r="C464" s="2">
        <f ca="1">IFERROR(__xludf.DUMMYFUNCTION("""COMPUTED_VALUE"""),5100)</f>
        <v>5100</v>
      </c>
      <c r="D464" s="2">
        <f ca="1">IFERROR(__xludf.DUMMYFUNCTION("""COMPUTED_VALUE"""),5025)</f>
        <v>5025</v>
      </c>
      <c r="E464" s="2">
        <f ca="1">IFERROR(__xludf.DUMMYFUNCTION("""COMPUTED_VALUE"""),5075)</f>
        <v>5075</v>
      </c>
      <c r="F464" s="2">
        <f ca="1">IFERROR(__xludf.DUMMYFUNCTION("""COMPUTED_VALUE"""),7859700)</f>
        <v>7859700</v>
      </c>
    </row>
    <row r="465" spans="1:6">
      <c r="A465" s="1">
        <f ca="1">IFERROR(__xludf.DUMMYFUNCTION("""COMPUTED_VALUE"""),42703.625)</f>
        <v>42703.625</v>
      </c>
      <c r="B465" s="2">
        <f ca="1">IFERROR(__xludf.DUMMYFUNCTION("""COMPUTED_VALUE"""),5075)</f>
        <v>5075</v>
      </c>
      <c r="C465" s="2">
        <f ca="1">IFERROR(__xludf.DUMMYFUNCTION("""COMPUTED_VALUE"""),5200)</f>
        <v>5200</v>
      </c>
      <c r="D465" s="2">
        <f ca="1">IFERROR(__xludf.DUMMYFUNCTION("""COMPUTED_VALUE"""),5075)</f>
        <v>5075</v>
      </c>
      <c r="E465" s="2">
        <f ca="1">IFERROR(__xludf.DUMMYFUNCTION("""COMPUTED_VALUE"""),5100)</f>
        <v>5100</v>
      </c>
      <c r="F465" s="2">
        <f ca="1">IFERROR(__xludf.DUMMYFUNCTION("""COMPUTED_VALUE"""),10763000)</f>
        <v>10763000</v>
      </c>
    </row>
    <row r="466" spans="1:6">
      <c r="A466" s="1">
        <f ca="1">IFERROR(__xludf.DUMMYFUNCTION("""COMPUTED_VALUE"""),42704.625)</f>
        <v>42704.625</v>
      </c>
      <c r="B466" s="2">
        <f ca="1">IFERROR(__xludf.DUMMYFUNCTION("""COMPUTED_VALUE"""),5150)</f>
        <v>5150</v>
      </c>
      <c r="C466" s="2">
        <f ca="1">IFERROR(__xludf.DUMMYFUNCTION("""COMPUTED_VALUE"""),5275)</f>
        <v>5275</v>
      </c>
      <c r="D466" s="2">
        <f ca="1">IFERROR(__xludf.DUMMYFUNCTION("""COMPUTED_VALUE"""),5125)</f>
        <v>5125</v>
      </c>
      <c r="E466" s="2">
        <f ca="1">IFERROR(__xludf.DUMMYFUNCTION("""COMPUTED_VALUE"""),5175)</f>
        <v>5175</v>
      </c>
      <c r="F466" s="2">
        <f ca="1">IFERROR(__xludf.DUMMYFUNCTION("""COMPUTED_VALUE"""),26160100)</f>
        <v>26160100</v>
      </c>
    </row>
    <row r="467" spans="1:6">
      <c r="A467" s="1">
        <f ca="1">IFERROR(__xludf.DUMMYFUNCTION("""COMPUTED_VALUE"""),42705.625)</f>
        <v>42705.625</v>
      </c>
      <c r="B467" s="2">
        <f ca="1">IFERROR(__xludf.DUMMYFUNCTION("""COMPUTED_VALUE"""),5200)</f>
        <v>5200</v>
      </c>
      <c r="C467" s="2">
        <f ca="1">IFERROR(__xludf.DUMMYFUNCTION("""COMPUTED_VALUE"""),5300)</f>
        <v>5300</v>
      </c>
      <c r="D467" s="2">
        <f ca="1">IFERROR(__xludf.DUMMYFUNCTION("""COMPUTED_VALUE"""),5200)</f>
        <v>5200</v>
      </c>
      <c r="E467" s="2">
        <f ca="1">IFERROR(__xludf.DUMMYFUNCTION("""COMPUTED_VALUE"""),5275)</f>
        <v>5275</v>
      </c>
      <c r="F467" s="2">
        <f ca="1">IFERROR(__xludf.DUMMYFUNCTION("""COMPUTED_VALUE"""),20271700)</f>
        <v>20271700</v>
      </c>
    </row>
    <row r="468" spans="1:6">
      <c r="A468" s="1">
        <f ca="1">IFERROR(__xludf.DUMMYFUNCTION("""COMPUTED_VALUE"""),42706.625)</f>
        <v>42706.625</v>
      </c>
      <c r="B468" s="2">
        <f ca="1">IFERROR(__xludf.DUMMYFUNCTION("""COMPUTED_VALUE"""),5300)</f>
        <v>5300</v>
      </c>
      <c r="C468" s="2">
        <f ca="1">IFERROR(__xludf.DUMMYFUNCTION("""COMPUTED_VALUE"""),5350)</f>
        <v>5350</v>
      </c>
      <c r="D468" s="2">
        <f ca="1">IFERROR(__xludf.DUMMYFUNCTION("""COMPUTED_VALUE"""),5250)</f>
        <v>5250</v>
      </c>
      <c r="E468" s="2">
        <f ca="1">IFERROR(__xludf.DUMMYFUNCTION("""COMPUTED_VALUE"""),5300)</f>
        <v>5300</v>
      </c>
      <c r="F468" s="2">
        <f ca="1">IFERROR(__xludf.DUMMYFUNCTION("""COMPUTED_VALUE"""),10152600)</f>
        <v>10152600</v>
      </c>
    </row>
    <row r="469" spans="1:6">
      <c r="A469" s="1">
        <f ca="1">IFERROR(__xludf.DUMMYFUNCTION("""COMPUTED_VALUE"""),42709.625)</f>
        <v>42709.625</v>
      </c>
      <c r="B469" s="2">
        <f ca="1">IFERROR(__xludf.DUMMYFUNCTION("""COMPUTED_VALUE"""),5275)</f>
        <v>5275</v>
      </c>
      <c r="C469" s="2">
        <f ca="1">IFERROR(__xludf.DUMMYFUNCTION("""COMPUTED_VALUE"""),5375)</f>
        <v>5375</v>
      </c>
      <c r="D469" s="2">
        <f ca="1">IFERROR(__xludf.DUMMYFUNCTION("""COMPUTED_VALUE"""),5275)</f>
        <v>5275</v>
      </c>
      <c r="E469" s="2">
        <f ca="1">IFERROR(__xludf.DUMMYFUNCTION("""COMPUTED_VALUE"""),5325)</f>
        <v>5325</v>
      </c>
      <c r="F469" s="2">
        <f ca="1">IFERROR(__xludf.DUMMYFUNCTION("""COMPUTED_VALUE"""),13521100)</f>
        <v>13521100</v>
      </c>
    </row>
    <row r="470" spans="1:6">
      <c r="A470" s="1">
        <f ca="1">IFERROR(__xludf.DUMMYFUNCTION("""COMPUTED_VALUE"""),42710.625)</f>
        <v>42710.625</v>
      </c>
      <c r="B470" s="2">
        <f ca="1">IFERROR(__xludf.DUMMYFUNCTION("""COMPUTED_VALUE"""),5400)</f>
        <v>5400</v>
      </c>
      <c r="C470" s="2">
        <f ca="1">IFERROR(__xludf.DUMMYFUNCTION("""COMPUTED_VALUE"""),5400)</f>
        <v>5400</v>
      </c>
      <c r="D470" s="2">
        <f ca="1">IFERROR(__xludf.DUMMYFUNCTION("""COMPUTED_VALUE"""),5325)</f>
        <v>5325</v>
      </c>
      <c r="E470" s="2">
        <f ca="1">IFERROR(__xludf.DUMMYFUNCTION("""COMPUTED_VALUE"""),5375)</f>
        <v>5375</v>
      </c>
      <c r="F470" s="2">
        <f ca="1">IFERROR(__xludf.DUMMYFUNCTION("""COMPUTED_VALUE"""),15421400)</f>
        <v>15421400</v>
      </c>
    </row>
    <row r="471" spans="1:6">
      <c r="A471" s="1">
        <f ca="1">IFERROR(__xludf.DUMMYFUNCTION("""COMPUTED_VALUE"""),42711.625)</f>
        <v>42711.625</v>
      </c>
      <c r="B471" s="2">
        <f ca="1">IFERROR(__xludf.DUMMYFUNCTION("""COMPUTED_VALUE"""),5350)</f>
        <v>5350</v>
      </c>
      <c r="C471" s="2">
        <f ca="1">IFERROR(__xludf.DUMMYFUNCTION("""COMPUTED_VALUE"""),5425)</f>
        <v>5425</v>
      </c>
      <c r="D471" s="2">
        <f ca="1">IFERROR(__xludf.DUMMYFUNCTION("""COMPUTED_VALUE"""),5325)</f>
        <v>5325</v>
      </c>
      <c r="E471" s="2">
        <f ca="1">IFERROR(__xludf.DUMMYFUNCTION("""COMPUTED_VALUE"""),5350)</f>
        <v>5350</v>
      </c>
      <c r="F471" s="2">
        <f ca="1">IFERROR(__xludf.DUMMYFUNCTION("""COMPUTED_VALUE"""),9967800)</f>
        <v>9967800</v>
      </c>
    </row>
    <row r="472" spans="1:6">
      <c r="A472" s="1">
        <f ca="1">IFERROR(__xludf.DUMMYFUNCTION("""COMPUTED_VALUE"""),42712.625)</f>
        <v>42712.625</v>
      </c>
      <c r="B472" s="2">
        <f ca="1">IFERROR(__xludf.DUMMYFUNCTION("""COMPUTED_VALUE"""),5375)</f>
        <v>5375</v>
      </c>
      <c r="C472" s="2">
        <f ca="1">IFERROR(__xludf.DUMMYFUNCTION("""COMPUTED_VALUE"""),5425)</f>
        <v>5425</v>
      </c>
      <c r="D472" s="2">
        <f ca="1">IFERROR(__xludf.DUMMYFUNCTION("""COMPUTED_VALUE"""),5350)</f>
        <v>5350</v>
      </c>
      <c r="E472" s="2">
        <f ca="1">IFERROR(__xludf.DUMMYFUNCTION("""COMPUTED_VALUE"""),5425)</f>
        <v>5425</v>
      </c>
      <c r="F472" s="2">
        <f ca="1">IFERROR(__xludf.DUMMYFUNCTION("""COMPUTED_VALUE"""),12393200)</f>
        <v>12393200</v>
      </c>
    </row>
    <row r="473" spans="1:6">
      <c r="A473" s="1">
        <f ca="1">IFERROR(__xludf.DUMMYFUNCTION("""COMPUTED_VALUE"""),42713.625)</f>
        <v>42713.625</v>
      </c>
      <c r="B473" s="2">
        <f ca="1">IFERROR(__xludf.DUMMYFUNCTION("""COMPUTED_VALUE"""),5500)</f>
        <v>5500</v>
      </c>
      <c r="C473" s="2">
        <f ca="1">IFERROR(__xludf.DUMMYFUNCTION("""COMPUTED_VALUE"""),5525)</f>
        <v>5525</v>
      </c>
      <c r="D473" s="2">
        <f ca="1">IFERROR(__xludf.DUMMYFUNCTION("""COMPUTED_VALUE"""),5400)</f>
        <v>5400</v>
      </c>
      <c r="E473" s="2">
        <f ca="1">IFERROR(__xludf.DUMMYFUNCTION("""COMPUTED_VALUE"""),5475)</f>
        <v>5475</v>
      </c>
      <c r="F473" s="2">
        <f ca="1">IFERROR(__xludf.DUMMYFUNCTION("""COMPUTED_VALUE"""),5435500)</f>
        <v>5435500</v>
      </c>
    </row>
    <row r="474" spans="1:6">
      <c r="A474" s="1">
        <f ca="1">IFERROR(__xludf.DUMMYFUNCTION("""COMPUTED_VALUE"""),42717.625)</f>
        <v>42717.625</v>
      </c>
      <c r="B474" s="2">
        <f ca="1">IFERROR(__xludf.DUMMYFUNCTION("""COMPUTED_VALUE"""),5400)</f>
        <v>5400</v>
      </c>
      <c r="C474" s="2">
        <f ca="1">IFERROR(__xludf.DUMMYFUNCTION("""COMPUTED_VALUE"""),5525)</f>
        <v>5525</v>
      </c>
      <c r="D474" s="2">
        <f ca="1">IFERROR(__xludf.DUMMYFUNCTION("""COMPUTED_VALUE"""),5400)</f>
        <v>5400</v>
      </c>
      <c r="E474" s="2">
        <f ca="1">IFERROR(__xludf.DUMMYFUNCTION("""COMPUTED_VALUE"""),5475)</f>
        <v>5475</v>
      </c>
      <c r="F474" s="2">
        <f ca="1">IFERROR(__xludf.DUMMYFUNCTION("""COMPUTED_VALUE"""),21177400)</f>
        <v>21177400</v>
      </c>
    </row>
    <row r="475" spans="1:6">
      <c r="A475" s="1">
        <f ca="1">IFERROR(__xludf.DUMMYFUNCTION("""COMPUTED_VALUE"""),42718.625)</f>
        <v>42718.625</v>
      </c>
      <c r="B475" s="2">
        <f ca="1">IFERROR(__xludf.DUMMYFUNCTION("""COMPUTED_VALUE"""),5550)</f>
        <v>5550</v>
      </c>
      <c r="C475" s="2">
        <f ca="1">IFERROR(__xludf.DUMMYFUNCTION("""COMPUTED_VALUE"""),5550)</f>
        <v>5550</v>
      </c>
      <c r="D475" s="2">
        <f ca="1">IFERROR(__xludf.DUMMYFUNCTION("""COMPUTED_VALUE"""),5450)</f>
        <v>5450</v>
      </c>
      <c r="E475" s="2">
        <f ca="1">IFERROR(__xludf.DUMMYFUNCTION("""COMPUTED_VALUE"""),5475)</f>
        <v>5475</v>
      </c>
      <c r="F475" s="2">
        <f ca="1">IFERROR(__xludf.DUMMYFUNCTION("""COMPUTED_VALUE"""),10630900)</f>
        <v>10630900</v>
      </c>
    </row>
    <row r="476" spans="1:6">
      <c r="A476" s="1">
        <f ca="1">IFERROR(__xludf.DUMMYFUNCTION("""COMPUTED_VALUE"""),42719.625)</f>
        <v>42719.625</v>
      </c>
      <c r="B476" s="2">
        <f ca="1">IFERROR(__xludf.DUMMYFUNCTION("""COMPUTED_VALUE"""),5400)</f>
        <v>5400</v>
      </c>
      <c r="C476" s="2">
        <f ca="1">IFERROR(__xludf.DUMMYFUNCTION("""COMPUTED_VALUE"""),5475)</f>
        <v>5475</v>
      </c>
      <c r="D476" s="2">
        <f ca="1">IFERROR(__xludf.DUMMYFUNCTION("""COMPUTED_VALUE"""),5350)</f>
        <v>5350</v>
      </c>
      <c r="E476" s="2">
        <f ca="1">IFERROR(__xludf.DUMMYFUNCTION("""COMPUTED_VALUE"""),5400)</f>
        <v>5400</v>
      </c>
      <c r="F476" s="2">
        <f ca="1">IFERROR(__xludf.DUMMYFUNCTION("""COMPUTED_VALUE"""),12414000)</f>
        <v>12414000</v>
      </c>
    </row>
    <row r="477" spans="1:6">
      <c r="A477" s="1">
        <f ca="1">IFERROR(__xludf.DUMMYFUNCTION("""COMPUTED_VALUE"""),42720.625)</f>
        <v>42720.625</v>
      </c>
      <c r="B477" s="2">
        <f ca="1">IFERROR(__xludf.DUMMYFUNCTION("""COMPUTED_VALUE"""),5500)</f>
        <v>5500</v>
      </c>
      <c r="C477" s="2">
        <f ca="1">IFERROR(__xludf.DUMMYFUNCTION("""COMPUTED_VALUE"""),5500)</f>
        <v>5500</v>
      </c>
      <c r="D477" s="2">
        <f ca="1">IFERROR(__xludf.DUMMYFUNCTION("""COMPUTED_VALUE"""),5350)</f>
        <v>5350</v>
      </c>
      <c r="E477" s="2">
        <f ca="1">IFERROR(__xludf.DUMMYFUNCTION("""COMPUTED_VALUE"""),5350)</f>
        <v>5350</v>
      </c>
      <c r="F477" s="2">
        <f ca="1">IFERROR(__xludf.DUMMYFUNCTION("""COMPUTED_VALUE"""),20732700)</f>
        <v>20732700</v>
      </c>
    </row>
    <row r="478" spans="1:6">
      <c r="A478" s="1">
        <f ca="1">IFERROR(__xludf.DUMMYFUNCTION("""COMPUTED_VALUE"""),42723.625)</f>
        <v>42723.625</v>
      </c>
      <c r="B478" s="2">
        <f ca="1">IFERROR(__xludf.DUMMYFUNCTION("""COMPUTED_VALUE"""),5425)</f>
        <v>5425</v>
      </c>
      <c r="C478" s="2">
        <f ca="1">IFERROR(__xludf.DUMMYFUNCTION("""COMPUTED_VALUE"""),5500)</f>
        <v>5500</v>
      </c>
      <c r="D478" s="2">
        <f ca="1">IFERROR(__xludf.DUMMYFUNCTION("""COMPUTED_VALUE"""),5375)</f>
        <v>5375</v>
      </c>
      <c r="E478" s="2">
        <f ca="1">IFERROR(__xludf.DUMMYFUNCTION("""COMPUTED_VALUE"""),5425)</f>
        <v>5425</v>
      </c>
      <c r="F478" s="2">
        <f ca="1">IFERROR(__xludf.DUMMYFUNCTION("""COMPUTED_VALUE"""),16237100)</f>
        <v>16237100</v>
      </c>
    </row>
    <row r="479" spans="1:6">
      <c r="A479" s="1">
        <f ca="1">IFERROR(__xludf.DUMMYFUNCTION("""COMPUTED_VALUE"""),42724.625)</f>
        <v>42724.625</v>
      </c>
      <c r="B479" s="2">
        <f ca="1">IFERROR(__xludf.DUMMYFUNCTION("""COMPUTED_VALUE"""),5500)</f>
        <v>5500</v>
      </c>
      <c r="C479" s="2">
        <f ca="1">IFERROR(__xludf.DUMMYFUNCTION("""COMPUTED_VALUE"""),5500)</f>
        <v>5500</v>
      </c>
      <c r="D479" s="2">
        <f ca="1">IFERROR(__xludf.DUMMYFUNCTION("""COMPUTED_VALUE"""),5350)</f>
        <v>5350</v>
      </c>
      <c r="E479" s="2">
        <f ca="1">IFERROR(__xludf.DUMMYFUNCTION("""COMPUTED_VALUE"""),5400)</f>
        <v>5400</v>
      </c>
      <c r="F479" s="2">
        <f ca="1">IFERROR(__xludf.DUMMYFUNCTION("""COMPUTED_VALUE"""),8613200)</f>
        <v>8613200</v>
      </c>
    </row>
    <row r="480" spans="1:6">
      <c r="A480" s="1">
        <f ca="1">IFERROR(__xludf.DUMMYFUNCTION("""COMPUTED_VALUE"""),42725.625)</f>
        <v>42725.625</v>
      </c>
      <c r="B480" s="2">
        <f ca="1">IFERROR(__xludf.DUMMYFUNCTION("""COMPUTED_VALUE"""),5450)</f>
        <v>5450</v>
      </c>
      <c r="C480" s="2">
        <f ca="1">IFERROR(__xludf.DUMMYFUNCTION("""COMPUTED_VALUE"""),5475)</f>
        <v>5475</v>
      </c>
      <c r="D480" s="2">
        <f ca="1">IFERROR(__xludf.DUMMYFUNCTION("""COMPUTED_VALUE"""),5350)</f>
        <v>5350</v>
      </c>
      <c r="E480" s="2">
        <f ca="1">IFERROR(__xludf.DUMMYFUNCTION("""COMPUTED_VALUE"""),5350)</f>
        <v>5350</v>
      </c>
      <c r="F480" s="2">
        <f ca="1">IFERROR(__xludf.DUMMYFUNCTION("""COMPUTED_VALUE"""),16047500)</f>
        <v>16047500</v>
      </c>
    </row>
    <row r="481" spans="1:6">
      <c r="A481" s="1">
        <f ca="1">IFERROR(__xludf.DUMMYFUNCTION("""COMPUTED_VALUE"""),42726.625)</f>
        <v>42726.625</v>
      </c>
      <c r="B481" s="2">
        <f ca="1">IFERROR(__xludf.DUMMYFUNCTION("""COMPUTED_VALUE"""),5425)</f>
        <v>5425</v>
      </c>
      <c r="C481" s="2">
        <f ca="1">IFERROR(__xludf.DUMMYFUNCTION("""COMPUTED_VALUE"""),5450)</f>
        <v>5450</v>
      </c>
      <c r="D481" s="2">
        <f ca="1">IFERROR(__xludf.DUMMYFUNCTION("""COMPUTED_VALUE"""),5275)</f>
        <v>5275</v>
      </c>
      <c r="E481" s="2">
        <f ca="1">IFERROR(__xludf.DUMMYFUNCTION("""COMPUTED_VALUE"""),5300)</f>
        <v>5300</v>
      </c>
      <c r="F481" s="2">
        <f ca="1">IFERROR(__xludf.DUMMYFUNCTION("""COMPUTED_VALUE"""),8044200)</f>
        <v>8044200</v>
      </c>
    </row>
    <row r="482" spans="1:6">
      <c r="A482" s="1">
        <f ca="1">IFERROR(__xludf.DUMMYFUNCTION("""COMPUTED_VALUE"""),42727.625)</f>
        <v>42727.625</v>
      </c>
      <c r="B482" s="2">
        <f ca="1">IFERROR(__xludf.DUMMYFUNCTION("""COMPUTED_VALUE"""),5275)</f>
        <v>5275</v>
      </c>
      <c r="C482" s="2">
        <f ca="1">IFERROR(__xludf.DUMMYFUNCTION("""COMPUTED_VALUE"""),5400)</f>
        <v>5400</v>
      </c>
      <c r="D482" s="2">
        <f ca="1">IFERROR(__xludf.DUMMYFUNCTION("""COMPUTED_VALUE"""),5225)</f>
        <v>5225</v>
      </c>
      <c r="E482" s="2">
        <f ca="1">IFERROR(__xludf.DUMMYFUNCTION("""COMPUTED_VALUE"""),5250)</f>
        <v>5250</v>
      </c>
      <c r="F482" s="2">
        <f ca="1">IFERROR(__xludf.DUMMYFUNCTION("""COMPUTED_VALUE"""),9146700)</f>
        <v>9146700</v>
      </c>
    </row>
    <row r="483" spans="1:6">
      <c r="A483" s="1">
        <f ca="1">IFERROR(__xludf.DUMMYFUNCTION("""COMPUTED_VALUE"""),42731.625)</f>
        <v>42731.625</v>
      </c>
      <c r="B483" s="2">
        <f ca="1">IFERROR(__xludf.DUMMYFUNCTION("""COMPUTED_VALUE"""),5200)</f>
        <v>5200</v>
      </c>
      <c r="C483" s="2">
        <f ca="1">IFERROR(__xludf.DUMMYFUNCTION("""COMPUTED_VALUE"""),5300)</f>
        <v>5300</v>
      </c>
      <c r="D483" s="2">
        <f ca="1">IFERROR(__xludf.DUMMYFUNCTION("""COMPUTED_VALUE"""),5200)</f>
        <v>5200</v>
      </c>
      <c r="E483" s="2">
        <f ca="1">IFERROR(__xludf.DUMMYFUNCTION("""COMPUTED_VALUE"""),5250)</f>
        <v>5250</v>
      </c>
      <c r="F483" s="2">
        <f ca="1">IFERROR(__xludf.DUMMYFUNCTION("""COMPUTED_VALUE"""),3934200)</f>
        <v>3934200</v>
      </c>
    </row>
    <row r="484" spans="1:6">
      <c r="A484" s="1">
        <f ca="1">IFERROR(__xludf.DUMMYFUNCTION("""COMPUTED_VALUE"""),42732.625)</f>
        <v>42732.625</v>
      </c>
      <c r="B484" s="2">
        <f ca="1">IFERROR(__xludf.DUMMYFUNCTION("""COMPUTED_VALUE"""),5250)</f>
        <v>5250</v>
      </c>
      <c r="C484" s="2">
        <f ca="1">IFERROR(__xludf.DUMMYFUNCTION("""COMPUTED_VALUE"""),5450)</f>
        <v>5450</v>
      </c>
      <c r="D484" s="2">
        <f ca="1">IFERROR(__xludf.DUMMYFUNCTION("""COMPUTED_VALUE"""),5250)</f>
        <v>5250</v>
      </c>
      <c r="E484" s="2">
        <f ca="1">IFERROR(__xludf.DUMMYFUNCTION("""COMPUTED_VALUE"""),5375)</f>
        <v>5375</v>
      </c>
      <c r="F484" s="2">
        <f ca="1">IFERROR(__xludf.DUMMYFUNCTION("""COMPUTED_VALUE"""),13783500)</f>
        <v>13783500</v>
      </c>
    </row>
    <row r="485" spans="1:6">
      <c r="A485" s="1">
        <f ca="1">IFERROR(__xludf.DUMMYFUNCTION("""COMPUTED_VALUE"""),42733.625)</f>
        <v>42733.625</v>
      </c>
      <c r="B485" s="2">
        <f ca="1">IFERROR(__xludf.DUMMYFUNCTION("""COMPUTED_VALUE"""),5375)</f>
        <v>5375</v>
      </c>
      <c r="C485" s="2">
        <f ca="1">IFERROR(__xludf.DUMMYFUNCTION("""COMPUTED_VALUE"""),5525)</f>
        <v>5525</v>
      </c>
      <c r="D485" s="2">
        <f ca="1">IFERROR(__xludf.DUMMYFUNCTION("""COMPUTED_VALUE"""),5375)</f>
        <v>5375</v>
      </c>
      <c r="E485" s="2">
        <f ca="1">IFERROR(__xludf.DUMMYFUNCTION("""COMPUTED_VALUE"""),5475)</f>
        <v>5475</v>
      </c>
      <c r="F485" s="2">
        <f ca="1">IFERROR(__xludf.DUMMYFUNCTION("""COMPUTED_VALUE"""),19411800)</f>
        <v>19411800</v>
      </c>
    </row>
    <row r="486" spans="1:6">
      <c r="A486" s="1">
        <f ca="1">IFERROR(__xludf.DUMMYFUNCTION("""COMPUTED_VALUE"""),42734.625)</f>
        <v>42734.625</v>
      </c>
      <c r="B486" s="2">
        <f ca="1">IFERROR(__xludf.DUMMYFUNCTION("""COMPUTED_VALUE"""),5500)</f>
        <v>5500</v>
      </c>
      <c r="C486" s="2">
        <f ca="1">IFERROR(__xludf.DUMMYFUNCTION("""COMPUTED_VALUE"""),5650)</f>
        <v>5650</v>
      </c>
      <c r="D486" s="2">
        <f ca="1">IFERROR(__xludf.DUMMYFUNCTION("""COMPUTED_VALUE"""),5450)</f>
        <v>5450</v>
      </c>
      <c r="E486" s="2">
        <f ca="1">IFERROR(__xludf.DUMMYFUNCTION("""COMPUTED_VALUE"""),5525)</f>
        <v>5525</v>
      </c>
      <c r="F486" s="2">
        <f ca="1">IFERROR(__xludf.DUMMYFUNCTION("""COMPUTED_VALUE"""),28427800)</f>
        <v>28427800</v>
      </c>
    </row>
    <row r="487" spans="1:6">
      <c r="A487" s="1">
        <f ca="1">IFERROR(__xludf.DUMMYFUNCTION("""COMPUTED_VALUE"""),42738.625)</f>
        <v>42738.625</v>
      </c>
      <c r="B487" s="2">
        <f ca="1">IFERROR(__xludf.DUMMYFUNCTION("""COMPUTED_VALUE"""),5525)</f>
        <v>5525</v>
      </c>
      <c r="C487" s="2">
        <f ca="1">IFERROR(__xludf.DUMMYFUNCTION("""COMPUTED_VALUE"""),5525)</f>
        <v>5525</v>
      </c>
      <c r="D487" s="2">
        <f ca="1">IFERROR(__xludf.DUMMYFUNCTION("""COMPUTED_VALUE"""),5450)</f>
        <v>5450</v>
      </c>
      <c r="E487" s="2">
        <f ca="1">IFERROR(__xludf.DUMMYFUNCTION("""COMPUTED_VALUE"""),5475)</f>
        <v>5475</v>
      </c>
      <c r="F487" s="2">
        <f ca="1">IFERROR(__xludf.DUMMYFUNCTION("""COMPUTED_VALUE"""),6710500)</f>
        <v>6710500</v>
      </c>
    </row>
    <row r="488" spans="1:6">
      <c r="A488" s="1">
        <f ca="1">IFERROR(__xludf.DUMMYFUNCTION("""COMPUTED_VALUE"""),42739.625)</f>
        <v>42739.625</v>
      </c>
      <c r="B488" s="2">
        <f ca="1">IFERROR(__xludf.DUMMYFUNCTION("""COMPUTED_VALUE"""),5500)</f>
        <v>5500</v>
      </c>
      <c r="C488" s="2">
        <f ca="1">IFERROR(__xludf.DUMMYFUNCTION("""COMPUTED_VALUE"""),5600)</f>
        <v>5600</v>
      </c>
      <c r="D488" s="2">
        <f ca="1">IFERROR(__xludf.DUMMYFUNCTION("""COMPUTED_VALUE"""),5475)</f>
        <v>5475</v>
      </c>
      <c r="E488" s="2">
        <f ca="1">IFERROR(__xludf.DUMMYFUNCTION("""COMPUTED_VALUE"""),5600)</f>
        <v>5600</v>
      </c>
      <c r="F488" s="2">
        <f ca="1">IFERROR(__xludf.DUMMYFUNCTION("""COMPUTED_VALUE"""),21406600)</f>
        <v>21406600</v>
      </c>
    </row>
    <row r="489" spans="1:6">
      <c r="A489" s="1">
        <f ca="1">IFERROR(__xludf.DUMMYFUNCTION("""COMPUTED_VALUE"""),42740.625)</f>
        <v>42740.625</v>
      </c>
      <c r="B489" s="2">
        <f ca="1">IFERROR(__xludf.DUMMYFUNCTION("""COMPUTED_VALUE"""),5650)</f>
        <v>5650</v>
      </c>
      <c r="C489" s="2">
        <f ca="1">IFERROR(__xludf.DUMMYFUNCTION("""COMPUTED_VALUE"""),5650)</f>
        <v>5650</v>
      </c>
      <c r="D489" s="2">
        <f ca="1">IFERROR(__xludf.DUMMYFUNCTION("""COMPUTED_VALUE"""),5550)</f>
        <v>5550</v>
      </c>
      <c r="E489" s="2">
        <f ca="1">IFERROR(__xludf.DUMMYFUNCTION("""COMPUTED_VALUE"""),5625)</f>
        <v>5625</v>
      </c>
      <c r="F489" s="2">
        <f ca="1">IFERROR(__xludf.DUMMYFUNCTION("""COMPUTED_VALUE"""),10540900)</f>
        <v>10540900</v>
      </c>
    </row>
    <row r="490" spans="1:6">
      <c r="A490" s="1">
        <f ca="1">IFERROR(__xludf.DUMMYFUNCTION("""COMPUTED_VALUE"""),42741.625)</f>
        <v>42741.625</v>
      </c>
      <c r="B490" s="2">
        <f ca="1">IFERROR(__xludf.DUMMYFUNCTION("""COMPUTED_VALUE"""),5600)</f>
        <v>5600</v>
      </c>
      <c r="C490" s="2">
        <f ca="1">IFERROR(__xludf.DUMMYFUNCTION("""COMPUTED_VALUE"""),5675)</f>
        <v>5675</v>
      </c>
      <c r="D490" s="2">
        <f ca="1">IFERROR(__xludf.DUMMYFUNCTION("""COMPUTED_VALUE"""),5575)</f>
        <v>5575</v>
      </c>
      <c r="E490" s="2">
        <f ca="1">IFERROR(__xludf.DUMMYFUNCTION("""COMPUTED_VALUE"""),5600)</f>
        <v>5600</v>
      </c>
      <c r="F490" s="2">
        <f ca="1">IFERROR(__xludf.DUMMYFUNCTION("""COMPUTED_VALUE"""),11663500)</f>
        <v>11663500</v>
      </c>
    </row>
    <row r="491" spans="1:6">
      <c r="A491" s="1">
        <f ca="1">IFERROR(__xludf.DUMMYFUNCTION("""COMPUTED_VALUE"""),42744.625)</f>
        <v>42744.625</v>
      </c>
      <c r="B491" s="2">
        <f ca="1">IFERROR(__xludf.DUMMYFUNCTION("""COMPUTED_VALUE"""),5650)</f>
        <v>5650</v>
      </c>
      <c r="C491" s="2">
        <f ca="1">IFERROR(__xludf.DUMMYFUNCTION("""COMPUTED_VALUE"""),5675)</f>
        <v>5675</v>
      </c>
      <c r="D491" s="2">
        <f ca="1">IFERROR(__xludf.DUMMYFUNCTION("""COMPUTED_VALUE"""),5550)</f>
        <v>5550</v>
      </c>
      <c r="E491" s="2">
        <f ca="1">IFERROR(__xludf.DUMMYFUNCTION("""COMPUTED_VALUE"""),5550)</f>
        <v>5550</v>
      </c>
      <c r="F491" s="2">
        <f ca="1">IFERROR(__xludf.DUMMYFUNCTION("""COMPUTED_VALUE"""),5590700)</f>
        <v>5590700</v>
      </c>
    </row>
    <row r="492" spans="1:6">
      <c r="A492" s="1">
        <f ca="1">IFERROR(__xludf.DUMMYFUNCTION("""COMPUTED_VALUE"""),42745.625)</f>
        <v>42745.625</v>
      </c>
      <c r="B492" s="2">
        <f ca="1">IFERROR(__xludf.DUMMYFUNCTION("""COMPUTED_VALUE"""),5625)</f>
        <v>5625</v>
      </c>
      <c r="C492" s="2">
        <f ca="1">IFERROR(__xludf.DUMMYFUNCTION("""COMPUTED_VALUE"""),5625)</f>
        <v>5625</v>
      </c>
      <c r="D492" s="2">
        <f ca="1">IFERROR(__xludf.DUMMYFUNCTION("""COMPUTED_VALUE"""),5550)</f>
        <v>5550</v>
      </c>
      <c r="E492" s="2">
        <f ca="1">IFERROR(__xludf.DUMMYFUNCTION("""COMPUTED_VALUE"""),5600)</f>
        <v>5600</v>
      </c>
      <c r="F492" s="2">
        <f ca="1">IFERROR(__xludf.DUMMYFUNCTION("""COMPUTED_VALUE"""),9258400)</f>
        <v>9258400</v>
      </c>
    </row>
    <row r="493" spans="1:6">
      <c r="A493" s="1">
        <f ca="1">IFERROR(__xludf.DUMMYFUNCTION("""COMPUTED_VALUE"""),42746.625)</f>
        <v>42746.625</v>
      </c>
      <c r="B493" s="2">
        <f ca="1">IFERROR(__xludf.DUMMYFUNCTION("""COMPUTED_VALUE"""),5625)</f>
        <v>5625</v>
      </c>
      <c r="C493" s="2">
        <f ca="1">IFERROR(__xludf.DUMMYFUNCTION("""COMPUTED_VALUE"""),5625)</f>
        <v>5625</v>
      </c>
      <c r="D493" s="2">
        <f ca="1">IFERROR(__xludf.DUMMYFUNCTION("""COMPUTED_VALUE"""),5575)</f>
        <v>5575</v>
      </c>
      <c r="E493" s="2">
        <f ca="1">IFERROR(__xludf.DUMMYFUNCTION("""COMPUTED_VALUE"""),5600)</f>
        <v>5600</v>
      </c>
      <c r="F493" s="2">
        <f ca="1">IFERROR(__xludf.DUMMYFUNCTION("""COMPUTED_VALUE"""),12116600)</f>
        <v>12116600</v>
      </c>
    </row>
    <row r="494" spans="1:6">
      <c r="A494" s="1">
        <f ca="1">IFERROR(__xludf.DUMMYFUNCTION("""COMPUTED_VALUE"""),42747.625)</f>
        <v>42747.625</v>
      </c>
      <c r="B494" s="2">
        <f ca="1">IFERROR(__xludf.DUMMYFUNCTION("""COMPUTED_VALUE"""),5625)</f>
        <v>5625</v>
      </c>
      <c r="C494" s="2">
        <f ca="1">IFERROR(__xludf.DUMMYFUNCTION("""COMPUTED_VALUE"""),5625)</f>
        <v>5625</v>
      </c>
      <c r="D494" s="2">
        <f ca="1">IFERROR(__xludf.DUMMYFUNCTION("""COMPUTED_VALUE"""),5550)</f>
        <v>5550</v>
      </c>
      <c r="E494" s="2">
        <f ca="1">IFERROR(__xludf.DUMMYFUNCTION("""COMPUTED_VALUE"""),5550)</f>
        <v>5550</v>
      </c>
      <c r="F494" s="2">
        <f ca="1">IFERROR(__xludf.DUMMYFUNCTION("""COMPUTED_VALUE"""),5229800)</f>
        <v>5229800</v>
      </c>
    </row>
    <row r="495" spans="1:6">
      <c r="A495" s="1">
        <f ca="1">IFERROR(__xludf.DUMMYFUNCTION("""COMPUTED_VALUE"""),42748.625)</f>
        <v>42748.625</v>
      </c>
      <c r="B495" s="2">
        <f ca="1">IFERROR(__xludf.DUMMYFUNCTION("""COMPUTED_VALUE"""),5550)</f>
        <v>5550</v>
      </c>
      <c r="C495" s="2">
        <f ca="1">IFERROR(__xludf.DUMMYFUNCTION("""COMPUTED_VALUE"""),5600)</f>
        <v>5600</v>
      </c>
      <c r="D495" s="2">
        <f ca="1">IFERROR(__xludf.DUMMYFUNCTION("""COMPUTED_VALUE"""),5400)</f>
        <v>5400</v>
      </c>
      <c r="E495" s="2">
        <f ca="1">IFERROR(__xludf.DUMMYFUNCTION("""COMPUTED_VALUE"""),5475)</f>
        <v>5475</v>
      </c>
      <c r="F495" s="2">
        <f ca="1">IFERROR(__xludf.DUMMYFUNCTION("""COMPUTED_VALUE"""),10899900)</f>
        <v>10899900</v>
      </c>
    </row>
    <row r="496" spans="1:6">
      <c r="A496" s="1">
        <f ca="1">IFERROR(__xludf.DUMMYFUNCTION("""COMPUTED_VALUE"""),42751.625)</f>
        <v>42751.625</v>
      </c>
      <c r="B496" s="2">
        <f ca="1">IFERROR(__xludf.DUMMYFUNCTION("""COMPUTED_VALUE"""),5525)</f>
        <v>5525</v>
      </c>
      <c r="C496" s="2">
        <f ca="1">IFERROR(__xludf.DUMMYFUNCTION("""COMPUTED_VALUE"""),5625)</f>
        <v>5625</v>
      </c>
      <c r="D496" s="2">
        <f ca="1">IFERROR(__xludf.DUMMYFUNCTION("""COMPUTED_VALUE"""),5475)</f>
        <v>5475</v>
      </c>
      <c r="E496" s="2">
        <f ca="1">IFERROR(__xludf.DUMMYFUNCTION("""COMPUTED_VALUE"""),5475)</f>
        <v>5475</v>
      </c>
      <c r="F496" s="2">
        <f ca="1">IFERROR(__xludf.DUMMYFUNCTION("""COMPUTED_VALUE"""),17422600)</f>
        <v>17422600</v>
      </c>
    </row>
    <row r="497" spans="1:6">
      <c r="A497" s="1">
        <f ca="1">IFERROR(__xludf.DUMMYFUNCTION("""COMPUTED_VALUE"""),42752.625)</f>
        <v>42752.625</v>
      </c>
      <c r="B497" s="2">
        <f ca="1">IFERROR(__xludf.DUMMYFUNCTION("""COMPUTED_VALUE"""),5475)</f>
        <v>5475</v>
      </c>
      <c r="C497" s="2">
        <f ca="1">IFERROR(__xludf.DUMMYFUNCTION("""COMPUTED_VALUE"""),5550)</f>
        <v>5550</v>
      </c>
      <c r="D497" s="2">
        <f ca="1">IFERROR(__xludf.DUMMYFUNCTION("""COMPUTED_VALUE"""),5475)</f>
        <v>5475</v>
      </c>
      <c r="E497" s="2">
        <f ca="1">IFERROR(__xludf.DUMMYFUNCTION("""COMPUTED_VALUE"""),5525)</f>
        <v>5525</v>
      </c>
      <c r="F497" s="2">
        <f ca="1">IFERROR(__xludf.DUMMYFUNCTION("""COMPUTED_VALUE"""),18352200)</f>
        <v>18352200</v>
      </c>
    </row>
    <row r="498" spans="1:6">
      <c r="A498" s="1">
        <f ca="1">IFERROR(__xludf.DUMMYFUNCTION("""COMPUTED_VALUE"""),42753.625)</f>
        <v>42753.625</v>
      </c>
      <c r="B498" s="2">
        <f ca="1">IFERROR(__xludf.DUMMYFUNCTION("""COMPUTED_VALUE"""),5575)</f>
        <v>5575</v>
      </c>
      <c r="C498" s="2">
        <f ca="1">IFERROR(__xludf.DUMMYFUNCTION("""COMPUTED_VALUE"""),5575)</f>
        <v>5575</v>
      </c>
      <c r="D498" s="2">
        <f ca="1">IFERROR(__xludf.DUMMYFUNCTION("""COMPUTED_VALUE"""),5525)</f>
        <v>5525</v>
      </c>
      <c r="E498" s="2">
        <f ca="1">IFERROR(__xludf.DUMMYFUNCTION("""COMPUTED_VALUE"""),5575)</f>
        <v>5575</v>
      </c>
      <c r="F498" s="2">
        <f ca="1">IFERROR(__xludf.DUMMYFUNCTION("""COMPUTED_VALUE"""),20682700)</f>
        <v>20682700</v>
      </c>
    </row>
    <row r="499" spans="1:6">
      <c r="A499" s="1">
        <f ca="1">IFERROR(__xludf.DUMMYFUNCTION("""COMPUTED_VALUE"""),42754.625)</f>
        <v>42754.625</v>
      </c>
      <c r="B499" s="2">
        <f ca="1">IFERROR(__xludf.DUMMYFUNCTION("""COMPUTED_VALUE"""),5575)</f>
        <v>5575</v>
      </c>
      <c r="C499" s="2">
        <f ca="1">IFERROR(__xludf.DUMMYFUNCTION("""COMPUTED_VALUE"""),5600)</f>
        <v>5600</v>
      </c>
      <c r="D499" s="2">
        <f ca="1">IFERROR(__xludf.DUMMYFUNCTION("""COMPUTED_VALUE"""),5450)</f>
        <v>5450</v>
      </c>
      <c r="E499" s="2">
        <f ca="1">IFERROR(__xludf.DUMMYFUNCTION("""COMPUTED_VALUE"""),5450)</f>
        <v>5450</v>
      </c>
      <c r="F499" s="2">
        <f ca="1">IFERROR(__xludf.DUMMYFUNCTION("""COMPUTED_VALUE"""),12431800)</f>
        <v>12431800</v>
      </c>
    </row>
    <row r="500" spans="1:6">
      <c r="A500" s="1">
        <f ca="1">IFERROR(__xludf.DUMMYFUNCTION("""COMPUTED_VALUE"""),42755.625)</f>
        <v>42755.625</v>
      </c>
      <c r="B500" s="2">
        <f ca="1">IFERROR(__xludf.DUMMYFUNCTION("""COMPUTED_VALUE"""),5475)</f>
        <v>5475</v>
      </c>
      <c r="C500" s="2">
        <f ca="1">IFERROR(__xludf.DUMMYFUNCTION("""COMPUTED_VALUE"""),5525)</f>
        <v>5525</v>
      </c>
      <c r="D500" s="2">
        <f ca="1">IFERROR(__xludf.DUMMYFUNCTION("""COMPUTED_VALUE"""),5450)</f>
        <v>5450</v>
      </c>
      <c r="E500" s="2">
        <f ca="1">IFERROR(__xludf.DUMMYFUNCTION("""COMPUTED_VALUE"""),5450)</f>
        <v>5450</v>
      </c>
      <c r="F500" s="2">
        <f ca="1">IFERROR(__xludf.DUMMYFUNCTION("""COMPUTED_VALUE"""),11497300)</f>
        <v>11497300</v>
      </c>
    </row>
    <row r="501" spans="1:6">
      <c r="A501" s="1">
        <f ca="1">IFERROR(__xludf.DUMMYFUNCTION("""COMPUTED_VALUE"""),42758.625)</f>
        <v>42758.625</v>
      </c>
      <c r="B501" s="2">
        <f ca="1">IFERROR(__xludf.DUMMYFUNCTION("""COMPUTED_VALUE"""),5500)</f>
        <v>5500</v>
      </c>
      <c r="C501" s="2">
        <f ca="1">IFERROR(__xludf.DUMMYFUNCTION("""COMPUTED_VALUE"""),5575)</f>
        <v>5575</v>
      </c>
      <c r="D501" s="2">
        <f ca="1">IFERROR(__xludf.DUMMYFUNCTION("""COMPUTED_VALUE"""),5450)</f>
        <v>5450</v>
      </c>
      <c r="E501" s="2">
        <f ca="1">IFERROR(__xludf.DUMMYFUNCTION("""COMPUTED_VALUE"""),5525)</f>
        <v>5525</v>
      </c>
      <c r="F501" s="2">
        <f ca="1">IFERROR(__xludf.DUMMYFUNCTION("""COMPUTED_VALUE"""),17986900)</f>
        <v>17986900</v>
      </c>
    </row>
    <row r="502" spans="1:6">
      <c r="A502" s="1">
        <f ca="1">IFERROR(__xludf.DUMMYFUNCTION("""COMPUTED_VALUE"""),42759.625)</f>
        <v>42759.625</v>
      </c>
      <c r="B502" s="2">
        <f ca="1">IFERROR(__xludf.DUMMYFUNCTION("""COMPUTED_VALUE"""),5550)</f>
        <v>5550</v>
      </c>
      <c r="C502" s="2">
        <f ca="1">IFERROR(__xludf.DUMMYFUNCTION("""COMPUTED_VALUE"""),5575)</f>
        <v>5575</v>
      </c>
      <c r="D502" s="2">
        <f ca="1">IFERROR(__xludf.DUMMYFUNCTION("""COMPUTED_VALUE"""),5500)</f>
        <v>5500</v>
      </c>
      <c r="E502" s="2">
        <f ca="1">IFERROR(__xludf.DUMMYFUNCTION("""COMPUTED_VALUE"""),5550)</f>
        <v>5550</v>
      </c>
      <c r="F502" s="2">
        <f ca="1">IFERROR(__xludf.DUMMYFUNCTION("""COMPUTED_VALUE"""),10048300)</f>
        <v>10048300</v>
      </c>
    </row>
    <row r="503" spans="1:6">
      <c r="A503" s="1">
        <f ca="1">IFERROR(__xludf.DUMMYFUNCTION("""COMPUTED_VALUE"""),42760.625)</f>
        <v>42760.625</v>
      </c>
      <c r="B503" s="2">
        <f ca="1">IFERROR(__xludf.DUMMYFUNCTION("""COMPUTED_VALUE"""),5600)</f>
        <v>5600</v>
      </c>
      <c r="C503" s="2">
        <f ca="1">IFERROR(__xludf.DUMMYFUNCTION("""COMPUTED_VALUE"""),5600)</f>
        <v>5600</v>
      </c>
      <c r="D503" s="2">
        <f ca="1">IFERROR(__xludf.DUMMYFUNCTION("""COMPUTED_VALUE"""),5500)</f>
        <v>5500</v>
      </c>
      <c r="E503" s="2">
        <f ca="1">IFERROR(__xludf.DUMMYFUNCTION("""COMPUTED_VALUE"""),5500)</f>
        <v>5500</v>
      </c>
      <c r="F503" s="2">
        <f ca="1">IFERROR(__xludf.DUMMYFUNCTION("""COMPUTED_VALUE"""),25846700)</f>
        <v>25846700</v>
      </c>
    </row>
    <row r="504" spans="1:6">
      <c r="A504" s="1">
        <f ca="1">IFERROR(__xludf.DUMMYFUNCTION("""COMPUTED_VALUE"""),42761.625)</f>
        <v>42761.625</v>
      </c>
      <c r="B504" s="2">
        <f ca="1">IFERROR(__xludf.DUMMYFUNCTION("""COMPUTED_VALUE"""),5550)</f>
        <v>5550</v>
      </c>
      <c r="C504" s="2">
        <f ca="1">IFERROR(__xludf.DUMMYFUNCTION("""COMPUTED_VALUE"""),5625)</f>
        <v>5625</v>
      </c>
      <c r="D504" s="2">
        <f ca="1">IFERROR(__xludf.DUMMYFUNCTION("""COMPUTED_VALUE"""),5525)</f>
        <v>5525</v>
      </c>
      <c r="E504" s="2">
        <f ca="1">IFERROR(__xludf.DUMMYFUNCTION("""COMPUTED_VALUE"""),5600)</f>
        <v>5600</v>
      </c>
      <c r="F504" s="2">
        <f ca="1">IFERROR(__xludf.DUMMYFUNCTION("""COMPUTED_VALUE"""),32743100)</f>
        <v>32743100</v>
      </c>
    </row>
    <row r="505" spans="1:6">
      <c r="A505" s="1">
        <f ca="1">IFERROR(__xludf.DUMMYFUNCTION("""COMPUTED_VALUE"""),42762.625)</f>
        <v>42762.625</v>
      </c>
      <c r="B505" s="2">
        <f ca="1">IFERROR(__xludf.DUMMYFUNCTION("""COMPUTED_VALUE"""),5600)</f>
        <v>5600</v>
      </c>
      <c r="C505" s="2">
        <f ca="1">IFERROR(__xludf.DUMMYFUNCTION("""COMPUTED_VALUE"""),5800)</f>
        <v>5800</v>
      </c>
      <c r="D505" s="2">
        <f ca="1">IFERROR(__xludf.DUMMYFUNCTION("""COMPUTED_VALUE"""),5575)</f>
        <v>5575</v>
      </c>
      <c r="E505" s="2">
        <f ca="1">IFERROR(__xludf.DUMMYFUNCTION("""COMPUTED_VALUE"""),5750)</f>
        <v>5750</v>
      </c>
      <c r="F505" s="2">
        <f ca="1">IFERROR(__xludf.DUMMYFUNCTION("""COMPUTED_VALUE"""),60702700)</f>
        <v>60702700</v>
      </c>
    </row>
    <row r="506" spans="1:6">
      <c r="A506" s="1">
        <f ca="1">IFERROR(__xludf.DUMMYFUNCTION("""COMPUTED_VALUE"""),42765.625)</f>
        <v>42765.625</v>
      </c>
      <c r="B506" s="2">
        <f ca="1">IFERROR(__xludf.DUMMYFUNCTION("""COMPUTED_VALUE"""),5775)</f>
        <v>5775</v>
      </c>
      <c r="C506" s="2">
        <f ca="1">IFERROR(__xludf.DUMMYFUNCTION("""COMPUTED_VALUE"""),5800)</f>
        <v>5800</v>
      </c>
      <c r="D506" s="2">
        <f ca="1">IFERROR(__xludf.DUMMYFUNCTION("""COMPUTED_VALUE"""),5700)</f>
        <v>5700</v>
      </c>
      <c r="E506" s="2">
        <f ca="1">IFERROR(__xludf.DUMMYFUNCTION("""COMPUTED_VALUE"""),5725)</f>
        <v>5725</v>
      </c>
      <c r="F506" s="2">
        <f ca="1">IFERROR(__xludf.DUMMYFUNCTION("""COMPUTED_VALUE"""),28483800)</f>
        <v>28483800</v>
      </c>
    </row>
    <row r="507" spans="1:6">
      <c r="A507" s="1">
        <f ca="1">IFERROR(__xludf.DUMMYFUNCTION("""COMPUTED_VALUE"""),42766.625)</f>
        <v>42766.625</v>
      </c>
      <c r="B507" s="2">
        <f ca="1">IFERROR(__xludf.DUMMYFUNCTION("""COMPUTED_VALUE"""),5700)</f>
        <v>5700</v>
      </c>
      <c r="C507" s="2">
        <f ca="1">IFERROR(__xludf.DUMMYFUNCTION("""COMPUTED_VALUE"""),5725)</f>
        <v>5725</v>
      </c>
      <c r="D507" s="2">
        <f ca="1">IFERROR(__xludf.DUMMYFUNCTION("""COMPUTED_VALUE"""),5625)</f>
        <v>5625</v>
      </c>
      <c r="E507" s="2">
        <f ca="1">IFERROR(__xludf.DUMMYFUNCTION("""COMPUTED_VALUE"""),5700)</f>
        <v>5700</v>
      </c>
      <c r="F507" s="2">
        <f ca="1">IFERROR(__xludf.DUMMYFUNCTION("""COMPUTED_VALUE"""),19780300)</f>
        <v>19780300</v>
      </c>
    </row>
    <row r="508" spans="1:6">
      <c r="A508" s="1">
        <f ca="1">IFERROR(__xludf.DUMMYFUNCTION("""COMPUTED_VALUE"""),42767.625)</f>
        <v>42767.625</v>
      </c>
      <c r="B508" s="2">
        <f ca="1">IFERROR(__xludf.DUMMYFUNCTION("""COMPUTED_VALUE"""),5700)</f>
        <v>5700</v>
      </c>
      <c r="C508" s="2">
        <f ca="1">IFERROR(__xludf.DUMMYFUNCTION("""COMPUTED_VALUE"""),5950)</f>
        <v>5950</v>
      </c>
      <c r="D508" s="2">
        <f ca="1">IFERROR(__xludf.DUMMYFUNCTION("""COMPUTED_VALUE"""),5675)</f>
        <v>5675</v>
      </c>
      <c r="E508" s="2">
        <f ca="1">IFERROR(__xludf.DUMMYFUNCTION("""COMPUTED_VALUE"""),5950)</f>
        <v>5950</v>
      </c>
      <c r="F508" s="2">
        <f ca="1">IFERROR(__xludf.DUMMYFUNCTION("""COMPUTED_VALUE"""),69953000)</f>
        <v>69953000</v>
      </c>
    </row>
    <row r="509" spans="1:6">
      <c r="A509" s="1">
        <f ca="1">IFERROR(__xludf.DUMMYFUNCTION("""COMPUTED_VALUE"""),42768.625)</f>
        <v>42768.625</v>
      </c>
      <c r="B509" s="2">
        <f ca="1">IFERROR(__xludf.DUMMYFUNCTION("""COMPUTED_VALUE"""),5975)</f>
        <v>5975</v>
      </c>
      <c r="C509" s="2">
        <f ca="1">IFERROR(__xludf.DUMMYFUNCTION("""COMPUTED_VALUE"""),6075)</f>
        <v>6075</v>
      </c>
      <c r="D509" s="2">
        <f ca="1">IFERROR(__xludf.DUMMYFUNCTION("""COMPUTED_VALUE"""),5950)</f>
        <v>5950</v>
      </c>
      <c r="E509" s="2">
        <f ca="1">IFERROR(__xludf.DUMMYFUNCTION("""COMPUTED_VALUE"""),6025)</f>
        <v>6025</v>
      </c>
      <c r="F509" s="2">
        <f ca="1">IFERROR(__xludf.DUMMYFUNCTION("""COMPUTED_VALUE"""),43318100)</f>
        <v>43318100</v>
      </c>
    </row>
    <row r="510" spans="1:6">
      <c r="A510" s="1">
        <f ca="1">IFERROR(__xludf.DUMMYFUNCTION("""COMPUTED_VALUE"""),42769.625)</f>
        <v>42769.625</v>
      </c>
      <c r="B510" s="2">
        <f ca="1">IFERROR(__xludf.DUMMYFUNCTION("""COMPUTED_VALUE"""),6000)</f>
        <v>6000</v>
      </c>
      <c r="C510" s="2">
        <f ca="1">IFERROR(__xludf.DUMMYFUNCTION("""COMPUTED_VALUE"""),6025)</f>
        <v>6025</v>
      </c>
      <c r="D510" s="2">
        <f ca="1">IFERROR(__xludf.DUMMYFUNCTION("""COMPUTED_VALUE"""),5950)</f>
        <v>5950</v>
      </c>
      <c r="E510" s="2">
        <f ca="1">IFERROR(__xludf.DUMMYFUNCTION("""COMPUTED_VALUE"""),5975)</f>
        <v>5975</v>
      </c>
      <c r="F510" s="2">
        <f ca="1">IFERROR(__xludf.DUMMYFUNCTION("""COMPUTED_VALUE"""),18206800)</f>
        <v>18206800</v>
      </c>
    </row>
    <row r="511" spans="1:6">
      <c r="A511" s="1">
        <f ca="1">IFERROR(__xludf.DUMMYFUNCTION("""COMPUTED_VALUE"""),42772.625)</f>
        <v>42772.625</v>
      </c>
      <c r="B511" s="2">
        <f ca="1">IFERROR(__xludf.DUMMYFUNCTION("""COMPUTED_VALUE"""),6050)</f>
        <v>6050</v>
      </c>
      <c r="C511" s="2">
        <f ca="1">IFERROR(__xludf.DUMMYFUNCTION("""COMPUTED_VALUE"""),6150)</f>
        <v>6150</v>
      </c>
      <c r="D511" s="2">
        <f ca="1">IFERROR(__xludf.DUMMYFUNCTION("""COMPUTED_VALUE"""),6000)</f>
        <v>6000</v>
      </c>
      <c r="E511" s="2">
        <f ca="1">IFERROR(__xludf.DUMMYFUNCTION("""COMPUTED_VALUE"""),6025)</f>
        <v>6025</v>
      </c>
      <c r="F511" s="2">
        <f ca="1">IFERROR(__xludf.DUMMYFUNCTION("""COMPUTED_VALUE"""),24965300)</f>
        <v>24965300</v>
      </c>
    </row>
    <row r="512" spans="1:6">
      <c r="A512" s="1">
        <f ca="1">IFERROR(__xludf.DUMMYFUNCTION("""COMPUTED_VALUE"""),42773.625)</f>
        <v>42773.625</v>
      </c>
      <c r="B512" s="2">
        <f ca="1">IFERROR(__xludf.DUMMYFUNCTION("""COMPUTED_VALUE"""),6025)</f>
        <v>6025</v>
      </c>
      <c r="C512" s="2">
        <f ca="1">IFERROR(__xludf.DUMMYFUNCTION("""COMPUTED_VALUE"""),6100)</f>
        <v>6100</v>
      </c>
      <c r="D512" s="2">
        <f ca="1">IFERROR(__xludf.DUMMYFUNCTION("""COMPUTED_VALUE"""),6025)</f>
        <v>6025</v>
      </c>
      <c r="E512" s="2">
        <f ca="1">IFERROR(__xludf.DUMMYFUNCTION("""COMPUTED_VALUE"""),6100)</f>
        <v>6100</v>
      </c>
      <c r="F512" s="2">
        <f ca="1">IFERROR(__xludf.DUMMYFUNCTION("""COMPUTED_VALUE"""),25390100)</f>
        <v>25390100</v>
      </c>
    </row>
    <row r="513" spans="1:6">
      <c r="A513" s="1">
        <f ca="1">IFERROR(__xludf.DUMMYFUNCTION("""COMPUTED_VALUE"""),42774.625)</f>
        <v>42774.625</v>
      </c>
      <c r="B513" s="2">
        <f ca="1">IFERROR(__xludf.DUMMYFUNCTION("""COMPUTED_VALUE"""),6125)</f>
        <v>6125</v>
      </c>
      <c r="C513" s="2">
        <f ca="1">IFERROR(__xludf.DUMMYFUNCTION("""COMPUTED_VALUE"""),6175)</f>
        <v>6175</v>
      </c>
      <c r="D513" s="2">
        <f ca="1">IFERROR(__xludf.DUMMYFUNCTION("""COMPUTED_VALUE"""),6075)</f>
        <v>6075</v>
      </c>
      <c r="E513" s="2">
        <f ca="1">IFERROR(__xludf.DUMMYFUNCTION("""COMPUTED_VALUE"""),6125)</f>
        <v>6125</v>
      </c>
      <c r="F513" s="2">
        <f ca="1">IFERROR(__xludf.DUMMYFUNCTION("""COMPUTED_VALUE"""),52191800)</f>
        <v>52191800</v>
      </c>
    </row>
    <row r="514" spans="1:6">
      <c r="A514" s="1">
        <f ca="1">IFERROR(__xludf.DUMMYFUNCTION("""COMPUTED_VALUE"""),42775.625)</f>
        <v>42775.625</v>
      </c>
      <c r="B514" s="2">
        <f ca="1">IFERROR(__xludf.DUMMYFUNCTION("""COMPUTED_VALUE"""),6175)</f>
        <v>6175</v>
      </c>
      <c r="C514" s="2">
        <f ca="1">IFERROR(__xludf.DUMMYFUNCTION("""COMPUTED_VALUE"""),6250)</f>
        <v>6250</v>
      </c>
      <c r="D514" s="2">
        <f ca="1">IFERROR(__xludf.DUMMYFUNCTION("""COMPUTED_VALUE"""),6150)</f>
        <v>6150</v>
      </c>
      <c r="E514" s="2">
        <f ca="1">IFERROR(__xludf.DUMMYFUNCTION("""COMPUTED_VALUE"""),6200)</f>
        <v>6200</v>
      </c>
      <c r="F514" s="2">
        <f ca="1">IFERROR(__xludf.DUMMYFUNCTION("""COMPUTED_VALUE"""),65360400)</f>
        <v>65360400</v>
      </c>
    </row>
    <row r="515" spans="1:6">
      <c r="A515" s="1">
        <f ca="1">IFERROR(__xludf.DUMMYFUNCTION("""COMPUTED_VALUE"""),42776.625)</f>
        <v>42776.625</v>
      </c>
      <c r="B515" s="2">
        <f ca="1">IFERROR(__xludf.DUMMYFUNCTION("""COMPUTED_VALUE"""),6250)</f>
        <v>6250</v>
      </c>
      <c r="C515" s="2">
        <f ca="1">IFERROR(__xludf.DUMMYFUNCTION("""COMPUTED_VALUE"""),6275)</f>
        <v>6275</v>
      </c>
      <c r="D515" s="2">
        <f ca="1">IFERROR(__xludf.DUMMYFUNCTION("""COMPUTED_VALUE"""),6200)</f>
        <v>6200</v>
      </c>
      <c r="E515" s="2">
        <f ca="1">IFERROR(__xludf.DUMMYFUNCTION("""COMPUTED_VALUE"""),6250)</f>
        <v>6250</v>
      </c>
      <c r="F515" s="2">
        <f ca="1">IFERROR(__xludf.DUMMYFUNCTION("""COMPUTED_VALUE"""),44432300)</f>
        <v>44432300</v>
      </c>
    </row>
    <row r="516" spans="1:6">
      <c r="A516" s="1">
        <f ca="1">IFERROR(__xludf.DUMMYFUNCTION("""COMPUTED_VALUE"""),42779.625)</f>
        <v>42779.625</v>
      </c>
      <c r="B516" s="2">
        <f ca="1">IFERROR(__xludf.DUMMYFUNCTION("""COMPUTED_VALUE"""),6300)</f>
        <v>6300</v>
      </c>
      <c r="C516" s="2">
        <f ca="1">IFERROR(__xludf.DUMMYFUNCTION("""COMPUTED_VALUE"""),6300)</f>
        <v>6300</v>
      </c>
      <c r="D516" s="2">
        <f ca="1">IFERROR(__xludf.DUMMYFUNCTION("""COMPUTED_VALUE"""),6250)</f>
        <v>6250</v>
      </c>
      <c r="E516" s="2">
        <f ca="1">IFERROR(__xludf.DUMMYFUNCTION("""COMPUTED_VALUE"""),6300)</f>
        <v>6300</v>
      </c>
      <c r="F516" s="2">
        <f ca="1">IFERROR(__xludf.DUMMYFUNCTION("""COMPUTED_VALUE"""),28817100)</f>
        <v>28817100</v>
      </c>
    </row>
    <row r="517" spans="1:6">
      <c r="A517" s="1">
        <f ca="1">IFERROR(__xludf.DUMMYFUNCTION("""COMPUTED_VALUE"""),42780.625)</f>
        <v>42780.625</v>
      </c>
      <c r="B517" s="2">
        <f ca="1">IFERROR(__xludf.DUMMYFUNCTION("""COMPUTED_VALUE"""),6300)</f>
        <v>6300</v>
      </c>
      <c r="C517" s="2">
        <f ca="1">IFERROR(__xludf.DUMMYFUNCTION("""COMPUTED_VALUE"""),6325)</f>
        <v>6325</v>
      </c>
      <c r="D517" s="2">
        <f ca="1">IFERROR(__xludf.DUMMYFUNCTION("""COMPUTED_VALUE"""),6175)</f>
        <v>6175</v>
      </c>
      <c r="E517" s="2">
        <f ca="1">IFERROR(__xludf.DUMMYFUNCTION("""COMPUTED_VALUE"""),6300)</f>
        <v>6300</v>
      </c>
      <c r="F517" s="2">
        <f ca="1">IFERROR(__xludf.DUMMYFUNCTION("""COMPUTED_VALUE"""),23095800)</f>
        <v>23095800</v>
      </c>
    </row>
    <row r="518" spans="1:6">
      <c r="A518" s="1">
        <f ca="1">IFERROR(__xludf.DUMMYFUNCTION("""COMPUTED_VALUE"""),42782.625)</f>
        <v>42782.625</v>
      </c>
      <c r="B518" s="2">
        <f ca="1">IFERROR(__xludf.DUMMYFUNCTION("""COMPUTED_VALUE"""),6250)</f>
        <v>6250</v>
      </c>
      <c r="C518" s="2">
        <f ca="1">IFERROR(__xludf.DUMMYFUNCTION("""COMPUTED_VALUE"""),6275)</f>
        <v>6275</v>
      </c>
      <c r="D518" s="2">
        <f ca="1">IFERROR(__xludf.DUMMYFUNCTION("""COMPUTED_VALUE"""),6125)</f>
        <v>6125</v>
      </c>
      <c r="E518" s="2">
        <f ca="1">IFERROR(__xludf.DUMMYFUNCTION("""COMPUTED_VALUE"""),6200)</f>
        <v>6200</v>
      </c>
      <c r="F518" s="2">
        <f ca="1">IFERROR(__xludf.DUMMYFUNCTION("""COMPUTED_VALUE"""),44174500)</f>
        <v>44174500</v>
      </c>
    </row>
    <row r="519" spans="1:6">
      <c r="A519" s="1">
        <f ca="1">IFERROR(__xludf.DUMMYFUNCTION("""COMPUTED_VALUE"""),42783.625)</f>
        <v>42783.625</v>
      </c>
      <c r="B519" s="2">
        <f ca="1">IFERROR(__xludf.DUMMYFUNCTION("""COMPUTED_VALUE"""),6300)</f>
        <v>6300</v>
      </c>
      <c r="C519" s="2">
        <f ca="1">IFERROR(__xludf.DUMMYFUNCTION("""COMPUTED_VALUE"""),6300)</f>
        <v>6300</v>
      </c>
      <c r="D519" s="2">
        <f ca="1">IFERROR(__xludf.DUMMYFUNCTION("""COMPUTED_VALUE"""),6200)</f>
        <v>6200</v>
      </c>
      <c r="E519" s="2">
        <f ca="1">IFERROR(__xludf.DUMMYFUNCTION("""COMPUTED_VALUE"""),6300)</f>
        <v>6300</v>
      </c>
      <c r="F519" s="2">
        <f ca="1">IFERROR(__xludf.DUMMYFUNCTION("""COMPUTED_VALUE"""),17059500)</f>
        <v>17059500</v>
      </c>
    </row>
    <row r="520" spans="1:6">
      <c r="A520" s="1">
        <f ca="1">IFERROR(__xludf.DUMMYFUNCTION("""COMPUTED_VALUE"""),42786.625)</f>
        <v>42786.625</v>
      </c>
      <c r="B520" s="2">
        <f ca="1">IFERROR(__xludf.DUMMYFUNCTION("""COMPUTED_VALUE"""),6250)</f>
        <v>6250</v>
      </c>
      <c r="C520" s="2">
        <f ca="1">IFERROR(__xludf.DUMMYFUNCTION("""COMPUTED_VALUE"""),6300)</f>
        <v>6300</v>
      </c>
      <c r="D520" s="2">
        <f ca="1">IFERROR(__xludf.DUMMYFUNCTION("""COMPUTED_VALUE"""),6200)</f>
        <v>6200</v>
      </c>
      <c r="E520" s="2">
        <f ca="1">IFERROR(__xludf.DUMMYFUNCTION("""COMPUTED_VALUE"""),6275)</f>
        <v>6275</v>
      </c>
      <c r="F520" s="2">
        <f ca="1">IFERROR(__xludf.DUMMYFUNCTION("""COMPUTED_VALUE"""),16148400)</f>
        <v>16148400</v>
      </c>
    </row>
    <row r="521" spans="1:6">
      <c r="A521" s="1">
        <f ca="1">IFERROR(__xludf.DUMMYFUNCTION("""COMPUTED_VALUE"""),42787.625)</f>
        <v>42787.625</v>
      </c>
      <c r="B521" s="2">
        <f ca="1">IFERROR(__xludf.DUMMYFUNCTION("""COMPUTED_VALUE"""),6300)</f>
        <v>6300</v>
      </c>
      <c r="C521" s="2">
        <f ca="1">IFERROR(__xludf.DUMMYFUNCTION("""COMPUTED_VALUE"""),6300)</f>
        <v>6300</v>
      </c>
      <c r="D521" s="2">
        <f ca="1">IFERROR(__xludf.DUMMYFUNCTION("""COMPUTED_VALUE"""),6200)</f>
        <v>6200</v>
      </c>
      <c r="E521" s="2">
        <f ca="1">IFERROR(__xludf.DUMMYFUNCTION("""COMPUTED_VALUE"""),6275)</f>
        <v>6275</v>
      </c>
      <c r="F521" s="2">
        <f ca="1">IFERROR(__xludf.DUMMYFUNCTION("""COMPUTED_VALUE"""),19925800)</f>
        <v>19925800</v>
      </c>
    </row>
    <row r="522" spans="1:6">
      <c r="A522" s="1">
        <f ca="1">IFERROR(__xludf.DUMMYFUNCTION("""COMPUTED_VALUE"""),42788.625)</f>
        <v>42788.625</v>
      </c>
      <c r="B522" s="2">
        <f ca="1">IFERROR(__xludf.DUMMYFUNCTION("""COMPUTED_VALUE"""),6275)</f>
        <v>6275</v>
      </c>
      <c r="C522" s="2">
        <f ca="1">IFERROR(__xludf.DUMMYFUNCTION("""COMPUTED_VALUE"""),6300)</f>
        <v>6300</v>
      </c>
      <c r="D522" s="2">
        <f ca="1">IFERROR(__xludf.DUMMYFUNCTION("""COMPUTED_VALUE"""),6200)</f>
        <v>6200</v>
      </c>
      <c r="E522" s="2">
        <f ca="1">IFERROR(__xludf.DUMMYFUNCTION("""COMPUTED_VALUE"""),6275)</f>
        <v>6275</v>
      </c>
      <c r="F522" s="2">
        <f ca="1">IFERROR(__xludf.DUMMYFUNCTION("""COMPUTED_VALUE"""),20585400)</f>
        <v>20585400</v>
      </c>
    </row>
    <row r="523" spans="1:6">
      <c r="A523" s="1">
        <f ca="1">IFERROR(__xludf.DUMMYFUNCTION("""COMPUTED_VALUE"""),42789.625)</f>
        <v>42789.625</v>
      </c>
      <c r="B523" s="2">
        <f ca="1">IFERROR(__xludf.DUMMYFUNCTION("""COMPUTED_VALUE"""),6250)</f>
        <v>6250</v>
      </c>
      <c r="C523" s="2">
        <f ca="1">IFERROR(__xludf.DUMMYFUNCTION("""COMPUTED_VALUE"""),6325)</f>
        <v>6325</v>
      </c>
      <c r="D523" s="2">
        <f ca="1">IFERROR(__xludf.DUMMYFUNCTION("""COMPUTED_VALUE"""),6225)</f>
        <v>6225</v>
      </c>
      <c r="E523" s="2">
        <f ca="1">IFERROR(__xludf.DUMMYFUNCTION("""COMPUTED_VALUE"""),6325)</f>
        <v>6325</v>
      </c>
      <c r="F523" s="2">
        <f ca="1">IFERROR(__xludf.DUMMYFUNCTION("""COMPUTED_VALUE"""),13056500)</f>
        <v>13056500</v>
      </c>
    </row>
    <row r="524" spans="1:6">
      <c r="A524" s="1">
        <f ca="1">IFERROR(__xludf.DUMMYFUNCTION("""COMPUTED_VALUE"""),42790.625)</f>
        <v>42790.625</v>
      </c>
      <c r="B524" s="2">
        <f ca="1">IFERROR(__xludf.DUMMYFUNCTION("""COMPUTED_VALUE"""),6350)</f>
        <v>6350</v>
      </c>
      <c r="C524" s="2">
        <f ca="1">IFERROR(__xludf.DUMMYFUNCTION("""COMPUTED_VALUE"""),6375)</f>
        <v>6375</v>
      </c>
      <c r="D524" s="2">
        <f ca="1">IFERROR(__xludf.DUMMYFUNCTION("""COMPUTED_VALUE"""),6275)</f>
        <v>6275</v>
      </c>
      <c r="E524" s="2">
        <f ca="1">IFERROR(__xludf.DUMMYFUNCTION("""COMPUTED_VALUE"""),6350)</f>
        <v>6350</v>
      </c>
      <c r="F524" s="2">
        <f ca="1">IFERROR(__xludf.DUMMYFUNCTION("""COMPUTED_VALUE"""),18719900)</f>
        <v>18719900</v>
      </c>
    </row>
    <row r="525" spans="1:6">
      <c r="A525" s="1">
        <f ca="1">IFERROR(__xludf.DUMMYFUNCTION("""COMPUTED_VALUE"""),42793.625)</f>
        <v>42793.625</v>
      </c>
      <c r="B525" s="2">
        <f ca="1">IFERROR(__xludf.DUMMYFUNCTION("""COMPUTED_VALUE"""),6350)</f>
        <v>6350</v>
      </c>
      <c r="C525" s="2">
        <f ca="1">IFERROR(__xludf.DUMMYFUNCTION("""COMPUTED_VALUE"""),6350)</f>
        <v>6350</v>
      </c>
      <c r="D525" s="2">
        <f ca="1">IFERROR(__xludf.DUMMYFUNCTION("""COMPUTED_VALUE"""),6125)</f>
        <v>6125</v>
      </c>
      <c r="E525" s="2">
        <f ca="1">IFERROR(__xludf.DUMMYFUNCTION("""COMPUTED_VALUE"""),6175)</f>
        <v>6175</v>
      </c>
      <c r="F525" s="2">
        <f ca="1">IFERROR(__xludf.DUMMYFUNCTION("""COMPUTED_VALUE"""),31160000)</f>
        <v>31160000</v>
      </c>
    </row>
    <row r="526" spans="1:6">
      <c r="A526" s="1">
        <f ca="1">IFERROR(__xludf.DUMMYFUNCTION("""COMPUTED_VALUE"""),42794.625)</f>
        <v>42794.625</v>
      </c>
      <c r="B526" s="2">
        <f ca="1">IFERROR(__xludf.DUMMYFUNCTION("""COMPUTED_VALUE"""),6200)</f>
        <v>6200</v>
      </c>
      <c r="C526" s="2">
        <f ca="1">IFERROR(__xludf.DUMMYFUNCTION("""COMPUTED_VALUE"""),6275)</f>
        <v>6275</v>
      </c>
      <c r="D526" s="2">
        <f ca="1">IFERROR(__xludf.DUMMYFUNCTION("""COMPUTED_VALUE"""),6175)</f>
        <v>6175</v>
      </c>
      <c r="E526" s="2">
        <f ca="1">IFERROR(__xludf.DUMMYFUNCTION("""COMPUTED_VALUE"""),6250)</f>
        <v>6250</v>
      </c>
      <c r="F526" s="2">
        <f ca="1">IFERROR(__xludf.DUMMYFUNCTION("""COMPUTED_VALUE"""),18740500)</f>
        <v>18740500</v>
      </c>
    </row>
    <row r="527" spans="1:6">
      <c r="A527" s="1">
        <f ca="1">IFERROR(__xludf.DUMMYFUNCTION("""COMPUTED_VALUE"""),42795.625)</f>
        <v>42795.625</v>
      </c>
      <c r="B527" s="2">
        <f ca="1">IFERROR(__xludf.DUMMYFUNCTION("""COMPUTED_VALUE"""),6150)</f>
        <v>6150</v>
      </c>
      <c r="C527" s="2">
        <f ca="1">IFERROR(__xludf.DUMMYFUNCTION("""COMPUTED_VALUE"""),6250)</f>
        <v>6250</v>
      </c>
      <c r="D527" s="2">
        <f ca="1">IFERROR(__xludf.DUMMYFUNCTION("""COMPUTED_VALUE"""),6150)</f>
        <v>6150</v>
      </c>
      <c r="E527" s="2">
        <f ca="1">IFERROR(__xludf.DUMMYFUNCTION("""COMPUTED_VALUE"""),6225)</f>
        <v>6225</v>
      </c>
      <c r="F527" s="2">
        <f ca="1">IFERROR(__xludf.DUMMYFUNCTION("""COMPUTED_VALUE"""),21821200)</f>
        <v>21821200</v>
      </c>
    </row>
    <row r="528" spans="1:6">
      <c r="A528" s="1">
        <f ca="1">IFERROR(__xludf.DUMMYFUNCTION("""COMPUTED_VALUE"""),42796.625)</f>
        <v>42796.625</v>
      </c>
      <c r="B528" s="2">
        <f ca="1">IFERROR(__xludf.DUMMYFUNCTION("""COMPUTED_VALUE"""),6275)</f>
        <v>6275</v>
      </c>
      <c r="C528" s="2">
        <f ca="1">IFERROR(__xludf.DUMMYFUNCTION("""COMPUTED_VALUE"""),6350)</f>
        <v>6350</v>
      </c>
      <c r="D528" s="2">
        <f ca="1">IFERROR(__xludf.DUMMYFUNCTION("""COMPUTED_VALUE"""),6225)</f>
        <v>6225</v>
      </c>
      <c r="E528" s="2">
        <f ca="1">IFERROR(__xludf.DUMMYFUNCTION("""COMPUTED_VALUE"""),6225)</f>
        <v>6225</v>
      </c>
      <c r="F528" s="2">
        <f ca="1">IFERROR(__xludf.DUMMYFUNCTION("""COMPUTED_VALUE"""),20188500)</f>
        <v>20188500</v>
      </c>
    </row>
    <row r="529" spans="1:6">
      <c r="A529" s="1">
        <f ca="1">IFERROR(__xludf.DUMMYFUNCTION("""COMPUTED_VALUE"""),42797.625)</f>
        <v>42797.625</v>
      </c>
      <c r="B529" s="2">
        <f ca="1">IFERROR(__xludf.DUMMYFUNCTION("""COMPUTED_VALUE"""),6300)</f>
        <v>6300</v>
      </c>
      <c r="C529" s="2">
        <f ca="1">IFERROR(__xludf.DUMMYFUNCTION("""COMPUTED_VALUE"""),6350)</f>
        <v>6350</v>
      </c>
      <c r="D529" s="2">
        <f ca="1">IFERROR(__xludf.DUMMYFUNCTION("""COMPUTED_VALUE"""),6250)</f>
        <v>6250</v>
      </c>
      <c r="E529" s="2">
        <f ca="1">IFERROR(__xludf.DUMMYFUNCTION("""COMPUTED_VALUE"""),6350)</f>
        <v>6350</v>
      </c>
      <c r="F529" s="2">
        <f ca="1">IFERROR(__xludf.DUMMYFUNCTION("""COMPUTED_VALUE"""),25249300)</f>
        <v>25249300</v>
      </c>
    </row>
    <row r="530" spans="1:6">
      <c r="A530" s="1">
        <f ca="1">IFERROR(__xludf.DUMMYFUNCTION("""COMPUTED_VALUE"""),42800.625)</f>
        <v>42800.625</v>
      </c>
      <c r="B530" s="2">
        <f ca="1">IFERROR(__xludf.DUMMYFUNCTION("""COMPUTED_VALUE"""),6350)</f>
        <v>6350</v>
      </c>
      <c r="C530" s="2">
        <f ca="1">IFERROR(__xludf.DUMMYFUNCTION("""COMPUTED_VALUE"""),6350)</f>
        <v>6350</v>
      </c>
      <c r="D530" s="2">
        <f ca="1">IFERROR(__xludf.DUMMYFUNCTION("""COMPUTED_VALUE"""),6275)</f>
        <v>6275</v>
      </c>
      <c r="E530" s="2">
        <f ca="1">IFERROR(__xludf.DUMMYFUNCTION("""COMPUTED_VALUE"""),6300)</f>
        <v>6300</v>
      </c>
      <c r="F530" s="2">
        <f ca="1">IFERROR(__xludf.DUMMYFUNCTION("""COMPUTED_VALUE"""),14296900)</f>
        <v>14296900</v>
      </c>
    </row>
    <row r="531" spans="1:6">
      <c r="A531" s="1">
        <f ca="1">IFERROR(__xludf.DUMMYFUNCTION("""COMPUTED_VALUE"""),42801.625)</f>
        <v>42801.625</v>
      </c>
      <c r="B531" s="2">
        <f ca="1">IFERROR(__xludf.DUMMYFUNCTION("""COMPUTED_VALUE"""),6350)</f>
        <v>6350</v>
      </c>
      <c r="C531" s="2">
        <f ca="1">IFERROR(__xludf.DUMMYFUNCTION("""COMPUTED_VALUE"""),6350)</f>
        <v>6350</v>
      </c>
      <c r="D531" s="2">
        <f ca="1">IFERROR(__xludf.DUMMYFUNCTION("""COMPUTED_VALUE"""),6250)</f>
        <v>6250</v>
      </c>
      <c r="E531" s="2">
        <f ca="1">IFERROR(__xludf.DUMMYFUNCTION("""COMPUTED_VALUE"""),6300)</f>
        <v>6300</v>
      </c>
      <c r="F531" s="2">
        <f ca="1">IFERROR(__xludf.DUMMYFUNCTION("""COMPUTED_VALUE"""),18345200)</f>
        <v>18345200</v>
      </c>
    </row>
    <row r="532" spans="1:6">
      <c r="A532" s="1">
        <f ca="1">IFERROR(__xludf.DUMMYFUNCTION("""COMPUTED_VALUE"""),42802.625)</f>
        <v>42802.625</v>
      </c>
      <c r="B532" s="2">
        <f ca="1">IFERROR(__xludf.DUMMYFUNCTION("""COMPUTED_VALUE"""),6300)</f>
        <v>6300</v>
      </c>
      <c r="C532" s="2">
        <f ca="1">IFERROR(__xludf.DUMMYFUNCTION("""COMPUTED_VALUE"""),6300)</f>
        <v>6300</v>
      </c>
      <c r="D532" s="2">
        <f ca="1">IFERROR(__xludf.DUMMYFUNCTION("""COMPUTED_VALUE"""),6250)</f>
        <v>6250</v>
      </c>
      <c r="E532" s="2">
        <f ca="1">IFERROR(__xludf.DUMMYFUNCTION("""COMPUTED_VALUE"""),6275)</f>
        <v>6275</v>
      </c>
      <c r="F532" s="2">
        <f ca="1">IFERROR(__xludf.DUMMYFUNCTION("""COMPUTED_VALUE"""),13125000)</f>
        <v>13125000</v>
      </c>
    </row>
    <row r="533" spans="1:6">
      <c r="A533" s="1">
        <f ca="1">IFERROR(__xludf.DUMMYFUNCTION("""COMPUTED_VALUE"""),42803.625)</f>
        <v>42803.625</v>
      </c>
      <c r="B533" s="2">
        <f ca="1">IFERROR(__xludf.DUMMYFUNCTION("""COMPUTED_VALUE"""),6350)</f>
        <v>6350</v>
      </c>
      <c r="C533" s="2">
        <f ca="1">IFERROR(__xludf.DUMMYFUNCTION("""COMPUTED_VALUE"""),6400)</f>
        <v>6400</v>
      </c>
      <c r="D533" s="2">
        <f ca="1">IFERROR(__xludf.DUMMYFUNCTION("""COMPUTED_VALUE"""),6275)</f>
        <v>6275</v>
      </c>
      <c r="E533" s="2">
        <f ca="1">IFERROR(__xludf.DUMMYFUNCTION("""COMPUTED_VALUE"""),6400)</f>
        <v>6400</v>
      </c>
      <c r="F533" s="2">
        <f ca="1">IFERROR(__xludf.DUMMYFUNCTION("""COMPUTED_VALUE"""),11001500)</f>
        <v>11001500</v>
      </c>
    </row>
    <row r="534" spans="1:6">
      <c r="A534" s="1">
        <f ca="1">IFERROR(__xludf.DUMMYFUNCTION("""COMPUTED_VALUE"""),42804.625)</f>
        <v>42804.625</v>
      </c>
      <c r="B534" s="2">
        <f ca="1">IFERROR(__xludf.DUMMYFUNCTION("""COMPUTED_VALUE"""),6400)</f>
        <v>6400</v>
      </c>
      <c r="C534" s="2">
        <f ca="1">IFERROR(__xludf.DUMMYFUNCTION("""COMPUTED_VALUE"""),6425)</f>
        <v>6425</v>
      </c>
      <c r="D534" s="2">
        <f ca="1">IFERROR(__xludf.DUMMYFUNCTION("""COMPUTED_VALUE"""),6300)</f>
        <v>6300</v>
      </c>
      <c r="E534" s="2">
        <f ca="1">IFERROR(__xludf.DUMMYFUNCTION("""COMPUTED_VALUE"""),6300)</f>
        <v>6300</v>
      </c>
      <c r="F534" s="2">
        <f ca="1">IFERROR(__xludf.DUMMYFUNCTION("""COMPUTED_VALUE"""),12561300)</f>
        <v>12561300</v>
      </c>
    </row>
    <row r="535" spans="1:6">
      <c r="A535" s="1">
        <f ca="1">IFERROR(__xludf.DUMMYFUNCTION("""COMPUTED_VALUE"""),42807.625)</f>
        <v>42807.625</v>
      </c>
      <c r="B535" s="2">
        <f ca="1">IFERROR(__xludf.DUMMYFUNCTION("""COMPUTED_VALUE"""),6450)</f>
        <v>6450</v>
      </c>
      <c r="C535" s="2">
        <f ca="1">IFERROR(__xludf.DUMMYFUNCTION("""COMPUTED_VALUE"""),6450)</f>
        <v>6450</v>
      </c>
      <c r="D535" s="2">
        <f ca="1">IFERROR(__xludf.DUMMYFUNCTION("""COMPUTED_VALUE"""),6300)</f>
        <v>6300</v>
      </c>
      <c r="E535" s="2">
        <f ca="1">IFERROR(__xludf.DUMMYFUNCTION("""COMPUTED_VALUE"""),6350)</f>
        <v>6350</v>
      </c>
      <c r="F535" s="2">
        <f ca="1">IFERROR(__xludf.DUMMYFUNCTION("""COMPUTED_VALUE"""),20437500)</f>
        <v>20437500</v>
      </c>
    </row>
    <row r="536" spans="1:6">
      <c r="A536" s="1">
        <f ca="1">IFERROR(__xludf.DUMMYFUNCTION("""COMPUTED_VALUE"""),42808.625)</f>
        <v>42808.625</v>
      </c>
      <c r="B536" s="2">
        <f ca="1">IFERROR(__xludf.DUMMYFUNCTION("""COMPUTED_VALUE"""),6400)</f>
        <v>6400</v>
      </c>
      <c r="C536" s="2">
        <f ca="1">IFERROR(__xludf.DUMMYFUNCTION("""COMPUTED_VALUE"""),6425)</f>
        <v>6425</v>
      </c>
      <c r="D536" s="2">
        <f ca="1">IFERROR(__xludf.DUMMYFUNCTION("""COMPUTED_VALUE"""),6325)</f>
        <v>6325</v>
      </c>
      <c r="E536" s="2">
        <f ca="1">IFERROR(__xludf.DUMMYFUNCTION("""COMPUTED_VALUE"""),6375)</f>
        <v>6375</v>
      </c>
      <c r="F536" s="2">
        <f ca="1">IFERROR(__xludf.DUMMYFUNCTION("""COMPUTED_VALUE"""),8184600)</f>
        <v>8184600</v>
      </c>
    </row>
    <row r="537" spans="1:6">
      <c r="A537" s="1">
        <f ca="1">IFERROR(__xludf.DUMMYFUNCTION("""COMPUTED_VALUE"""),42809.625)</f>
        <v>42809.625</v>
      </c>
      <c r="B537" s="2">
        <f ca="1">IFERROR(__xludf.DUMMYFUNCTION("""COMPUTED_VALUE"""),6300)</f>
        <v>6300</v>
      </c>
      <c r="C537" s="2">
        <f ca="1">IFERROR(__xludf.DUMMYFUNCTION("""COMPUTED_VALUE"""),6425)</f>
        <v>6425</v>
      </c>
      <c r="D537" s="2">
        <f ca="1">IFERROR(__xludf.DUMMYFUNCTION("""COMPUTED_VALUE"""),6300)</f>
        <v>6300</v>
      </c>
      <c r="E537" s="2">
        <f ca="1">IFERROR(__xludf.DUMMYFUNCTION("""COMPUTED_VALUE"""),6400)</f>
        <v>6400</v>
      </c>
      <c r="F537" s="2">
        <f ca="1">IFERROR(__xludf.DUMMYFUNCTION("""COMPUTED_VALUE"""),20860600)</f>
        <v>20860600</v>
      </c>
    </row>
    <row r="538" spans="1:6">
      <c r="A538" s="1">
        <f ca="1">IFERROR(__xludf.DUMMYFUNCTION("""COMPUTED_VALUE"""),42810.625)</f>
        <v>42810.625</v>
      </c>
      <c r="B538" s="2">
        <f ca="1">IFERROR(__xludf.DUMMYFUNCTION("""COMPUTED_VALUE"""),6450)</f>
        <v>6450</v>
      </c>
      <c r="C538" s="2">
        <f ca="1">IFERROR(__xludf.DUMMYFUNCTION("""COMPUTED_VALUE"""),6600)</f>
        <v>6600</v>
      </c>
      <c r="D538" s="2">
        <f ca="1">IFERROR(__xludf.DUMMYFUNCTION("""COMPUTED_VALUE"""),6400)</f>
        <v>6400</v>
      </c>
      <c r="E538" s="2">
        <f ca="1">IFERROR(__xludf.DUMMYFUNCTION("""COMPUTED_VALUE"""),6600)</f>
        <v>6600</v>
      </c>
      <c r="F538" s="2">
        <f ca="1">IFERROR(__xludf.DUMMYFUNCTION("""COMPUTED_VALUE"""),43970400)</f>
        <v>43970400</v>
      </c>
    </row>
    <row r="539" spans="1:6">
      <c r="A539" s="1">
        <f ca="1">IFERROR(__xludf.DUMMYFUNCTION("""COMPUTED_VALUE"""),42811.625)</f>
        <v>42811.625</v>
      </c>
      <c r="B539" s="2">
        <f ca="1">IFERROR(__xludf.DUMMYFUNCTION("""COMPUTED_VALUE"""),6650)</f>
        <v>6650</v>
      </c>
      <c r="C539" s="2">
        <f ca="1">IFERROR(__xludf.DUMMYFUNCTION("""COMPUTED_VALUE"""),6700)</f>
        <v>6700</v>
      </c>
      <c r="D539" s="2">
        <f ca="1">IFERROR(__xludf.DUMMYFUNCTION("""COMPUTED_VALUE"""),6575)</f>
        <v>6575</v>
      </c>
      <c r="E539" s="2">
        <f ca="1">IFERROR(__xludf.DUMMYFUNCTION("""COMPUTED_VALUE"""),6700)</f>
        <v>6700</v>
      </c>
      <c r="F539" s="2">
        <f ca="1">IFERROR(__xludf.DUMMYFUNCTION("""COMPUTED_VALUE"""),38822100)</f>
        <v>38822100</v>
      </c>
    </row>
    <row r="540" spans="1:6">
      <c r="A540" s="1">
        <f ca="1">IFERROR(__xludf.DUMMYFUNCTION("""COMPUTED_VALUE"""),42814.625)</f>
        <v>42814.625</v>
      </c>
      <c r="B540" s="2">
        <f ca="1">IFERROR(__xludf.DUMMYFUNCTION("""COMPUTED_VALUE"""),6600)</f>
        <v>6600</v>
      </c>
      <c r="C540" s="2">
        <f ca="1">IFERROR(__xludf.DUMMYFUNCTION("""COMPUTED_VALUE"""),6775)</f>
        <v>6775</v>
      </c>
      <c r="D540" s="2">
        <f ca="1">IFERROR(__xludf.DUMMYFUNCTION("""COMPUTED_VALUE"""),6550)</f>
        <v>6550</v>
      </c>
      <c r="E540" s="2">
        <f ca="1">IFERROR(__xludf.DUMMYFUNCTION("""COMPUTED_VALUE"""),6600)</f>
        <v>6600</v>
      </c>
      <c r="F540" s="2">
        <f ca="1">IFERROR(__xludf.DUMMYFUNCTION("""COMPUTED_VALUE"""),21970100)</f>
        <v>21970100</v>
      </c>
    </row>
    <row r="541" spans="1:6">
      <c r="A541" s="1">
        <f ca="1">IFERROR(__xludf.DUMMYFUNCTION("""COMPUTED_VALUE"""),42815.625)</f>
        <v>42815.625</v>
      </c>
      <c r="B541" s="2">
        <f ca="1">IFERROR(__xludf.DUMMYFUNCTION("""COMPUTED_VALUE"""),6600)</f>
        <v>6600</v>
      </c>
      <c r="C541" s="2">
        <f ca="1">IFERROR(__xludf.DUMMYFUNCTION("""COMPUTED_VALUE"""),6625)</f>
        <v>6625</v>
      </c>
      <c r="D541" s="2">
        <f ca="1">IFERROR(__xludf.DUMMYFUNCTION("""COMPUTED_VALUE"""),6450)</f>
        <v>6450</v>
      </c>
      <c r="E541" s="2">
        <f ca="1">IFERROR(__xludf.DUMMYFUNCTION("""COMPUTED_VALUE"""),6575)</f>
        <v>6575</v>
      </c>
      <c r="F541" s="2">
        <f ca="1">IFERROR(__xludf.DUMMYFUNCTION("""COMPUTED_VALUE"""),29084400)</f>
        <v>29084400</v>
      </c>
    </row>
    <row r="542" spans="1:6">
      <c r="A542" s="1">
        <f ca="1">IFERROR(__xludf.DUMMYFUNCTION("""COMPUTED_VALUE"""),42816.625)</f>
        <v>42816.625</v>
      </c>
      <c r="B542" s="2">
        <f ca="1">IFERROR(__xludf.DUMMYFUNCTION("""COMPUTED_VALUE"""),6550)</f>
        <v>6550</v>
      </c>
      <c r="C542" s="2">
        <f ca="1">IFERROR(__xludf.DUMMYFUNCTION("""COMPUTED_VALUE"""),6600)</f>
        <v>6600</v>
      </c>
      <c r="D542" s="2">
        <f ca="1">IFERROR(__xludf.DUMMYFUNCTION("""COMPUTED_VALUE"""),6425)</f>
        <v>6425</v>
      </c>
      <c r="E542" s="2">
        <f ca="1">IFERROR(__xludf.DUMMYFUNCTION("""COMPUTED_VALUE"""),6600)</f>
        <v>6600</v>
      </c>
      <c r="F542" s="2">
        <f ca="1">IFERROR(__xludf.DUMMYFUNCTION("""COMPUTED_VALUE"""),47213100)</f>
        <v>47213100</v>
      </c>
    </row>
    <row r="543" spans="1:6">
      <c r="A543" s="1">
        <f ca="1">IFERROR(__xludf.DUMMYFUNCTION("""COMPUTED_VALUE"""),42817.625)</f>
        <v>42817.625</v>
      </c>
      <c r="B543" s="2">
        <f ca="1">IFERROR(__xludf.DUMMYFUNCTION("""COMPUTED_VALUE"""),6675)</f>
        <v>6675</v>
      </c>
      <c r="C543" s="2">
        <f ca="1">IFERROR(__xludf.DUMMYFUNCTION("""COMPUTED_VALUE"""),6950)</f>
        <v>6950</v>
      </c>
      <c r="D543" s="2">
        <f ca="1">IFERROR(__xludf.DUMMYFUNCTION("""COMPUTED_VALUE"""),6650)</f>
        <v>6650</v>
      </c>
      <c r="E543" s="2">
        <f ca="1">IFERROR(__xludf.DUMMYFUNCTION("""COMPUTED_VALUE"""),6900)</f>
        <v>6900</v>
      </c>
      <c r="F543" s="2">
        <f ca="1">IFERROR(__xludf.DUMMYFUNCTION("""COMPUTED_VALUE"""),54959200)</f>
        <v>54959200</v>
      </c>
    </row>
    <row r="544" spans="1:6">
      <c r="A544" s="1">
        <f ca="1">IFERROR(__xludf.DUMMYFUNCTION("""COMPUTED_VALUE"""),42818.625)</f>
        <v>42818.625</v>
      </c>
      <c r="B544" s="2">
        <f ca="1">IFERROR(__xludf.DUMMYFUNCTION("""COMPUTED_VALUE"""),6750)</f>
        <v>6750</v>
      </c>
      <c r="C544" s="2">
        <f ca="1">IFERROR(__xludf.DUMMYFUNCTION("""COMPUTED_VALUE"""),6825)</f>
        <v>6825</v>
      </c>
      <c r="D544" s="2">
        <f ca="1">IFERROR(__xludf.DUMMYFUNCTION("""COMPUTED_VALUE"""),6700)</f>
        <v>6700</v>
      </c>
      <c r="E544" s="2">
        <f ca="1">IFERROR(__xludf.DUMMYFUNCTION("""COMPUTED_VALUE"""),6800)</f>
        <v>6800</v>
      </c>
      <c r="F544" s="2">
        <f ca="1">IFERROR(__xludf.DUMMYFUNCTION("""COMPUTED_VALUE"""),20218800)</f>
        <v>20218800</v>
      </c>
    </row>
    <row r="545" spans="1:6">
      <c r="A545" s="1">
        <f ca="1">IFERROR(__xludf.DUMMYFUNCTION("""COMPUTED_VALUE"""),42821.625)</f>
        <v>42821.625</v>
      </c>
      <c r="B545" s="2">
        <f ca="1">IFERROR(__xludf.DUMMYFUNCTION("""COMPUTED_VALUE"""),6775)</f>
        <v>6775</v>
      </c>
      <c r="C545" s="2">
        <f ca="1">IFERROR(__xludf.DUMMYFUNCTION("""COMPUTED_VALUE"""),6775)</f>
        <v>6775</v>
      </c>
      <c r="D545" s="2">
        <f ca="1">IFERROR(__xludf.DUMMYFUNCTION("""COMPUTED_VALUE"""),6475)</f>
        <v>6475</v>
      </c>
      <c r="E545" s="2">
        <f ca="1">IFERROR(__xludf.DUMMYFUNCTION("""COMPUTED_VALUE"""),6525)</f>
        <v>6525</v>
      </c>
      <c r="F545" s="2">
        <f ca="1">IFERROR(__xludf.DUMMYFUNCTION("""COMPUTED_VALUE"""),34912500)</f>
        <v>34912500</v>
      </c>
    </row>
    <row r="546" spans="1:6">
      <c r="A546" s="1">
        <f ca="1">IFERROR(__xludf.DUMMYFUNCTION("""COMPUTED_VALUE"""),42823.625)</f>
        <v>42823.625</v>
      </c>
      <c r="B546" s="2">
        <f ca="1">IFERROR(__xludf.DUMMYFUNCTION("""COMPUTED_VALUE"""),6525)</f>
        <v>6525</v>
      </c>
      <c r="C546" s="2">
        <f ca="1">IFERROR(__xludf.DUMMYFUNCTION("""COMPUTED_VALUE"""),6750)</f>
        <v>6750</v>
      </c>
      <c r="D546" s="2">
        <f ca="1">IFERROR(__xludf.DUMMYFUNCTION("""COMPUTED_VALUE"""),6525)</f>
        <v>6525</v>
      </c>
      <c r="E546" s="2">
        <f ca="1">IFERROR(__xludf.DUMMYFUNCTION("""COMPUTED_VALUE"""),6600)</f>
        <v>6600</v>
      </c>
      <c r="F546" s="2">
        <f ca="1">IFERROR(__xludf.DUMMYFUNCTION("""COMPUTED_VALUE"""),35464300)</f>
        <v>35464300</v>
      </c>
    </row>
    <row r="547" spans="1:6">
      <c r="A547" s="1">
        <f ca="1">IFERROR(__xludf.DUMMYFUNCTION("""COMPUTED_VALUE"""),42824.625)</f>
        <v>42824.625</v>
      </c>
      <c r="B547" s="2">
        <f ca="1">IFERROR(__xludf.DUMMYFUNCTION("""COMPUTED_VALUE"""),6625)</f>
        <v>6625</v>
      </c>
      <c r="C547" s="2">
        <f ca="1">IFERROR(__xludf.DUMMYFUNCTION("""COMPUTED_VALUE"""),6625)</f>
        <v>6625</v>
      </c>
      <c r="D547" s="2">
        <f ca="1">IFERROR(__xludf.DUMMYFUNCTION("""COMPUTED_VALUE"""),6350)</f>
        <v>6350</v>
      </c>
      <c r="E547" s="2">
        <f ca="1">IFERROR(__xludf.DUMMYFUNCTION("""COMPUTED_VALUE"""),6375)</f>
        <v>6375</v>
      </c>
      <c r="F547" s="2">
        <f ca="1">IFERROR(__xludf.DUMMYFUNCTION("""COMPUTED_VALUE"""),47605300)</f>
        <v>47605300</v>
      </c>
    </row>
    <row r="548" spans="1:6">
      <c r="A548" s="1">
        <f ca="1">IFERROR(__xludf.DUMMYFUNCTION("""COMPUTED_VALUE"""),42825.625)</f>
        <v>42825.625</v>
      </c>
      <c r="B548" s="2">
        <f ca="1">IFERROR(__xludf.DUMMYFUNCTION("""COMPUTED_VALUE"""),6400)</f>
        <v>6400</v>
      </c>
      <c r="C548" s="2">
        <f ca="1">IFERROR(__xludf.DUMMYFUNCTION("""COMPUTED_VALUE"""),6475)</f>
        <v>6475</v>
      </c>
      <c r="D548" s="2">
        <f ca="1">IFERROR(__xludf.DUMMYFUNCTION("""COMPUTED_VALUE"""),6375)</f>
        <v>6375</v>
      </c>
      <c r="E548" s="2">
        <f ca="1">IFERROR(__xludf.DUMMYFUNCTION("""COMPUTED_VALUE"""),6475)</f>
        <v>6475</v>
      </c>
      <c r="F548" s="2">
        <f ca="1">IFERROR(__xludf.DUMMYFUNCTION("""COMPUTED_VALUE"""),49095300)</f>
        <v>49095300</v>
      </c>
    </row>
    <row r="549" spans="1:6">
      <c r="A549" s="1">
        <f ca="1">IFERROR(__xludf.DUMMYFUNCTION("""COMPUTED_VALUE"""),42828.625)</f>
        <v>42828.625</v>
      </c>
      <c r="B549" s="2">
        <f ca="1">IFERROR(__xludf.DUMMYFUNCTION("""COMPUTED_VALUE"""),6400)</f>
        <v>6400</v>
      </c>
      <c r="C549" s="2">
        <f ca="1">IFERROR(__xludf.DUMMYFUNCTION("""COMPUTED_VALUE"""),6500)</f>
        <v>6500</v>
      </c>
      <c r="D549" s="2">
        <f ca="1">IFERROR(__xludf.DUMMYFUNCTION("""COMPUTED_VALUE"""),6400)</f>
        <v>6400</v>
      </c>
      <c r="E549" s="2">
        <f ca="1">IFERROR(__xludf.DUMMYFUNCTION("""COMPUTED_VALUE"""),6450)</f>
        <v>6450</v>
      </c>
      <c r="F549" s="2">
        <f ca="1">IFERROR(__xludf.DUMMYFUNCTION("""COMPUTED_VALUE"""),18756700)</f>
        <v>18756700</v>
      </c>
    </row>
    <row r="550" spans="1:6">
      <c r="A550" s="1">
        <f ca="1">IFERROR(__xludf.DUMMYFUNCTION("""COMPUTED_VALUE"""),42829.625)</f>
        <v>42829.625</v>
      </c>
      <c r="B550" s="2">
        <f ca="1">IFERROR(__xludf.DUMMYFUNCTION("""COMPUTED_VALUE"""),6500)</f>
        <v>6500</v>
      </c>
      <c r="C550" s="2">
        <f ca="1">IFERROR(__xludf.DUMMYFUNCTION("""COMPUTED_VALUE"""),6600)</f>
        <v>6600</v>
      </c>
      <c r="D550" s="2">
        <f ca="1">IFERROR(__xludf.DUMMYFUNCTION("""COMPUTED_VALUE"""),6450)</f>
        <v>6450</v>
      </c>
      <c r="E550" s="2">
        <f ca="1">IFERROR(__xludf.DUMMYFUNCTION("""COMPUTED_VALUE"""),6550)</f>
        <v>6550</v>
      </c>
      <c r="F550" s="2">
        <f ca="1">IFERROR(__xludf.DUMMYFUNCTION("""COMPUTED_VALUE"""),14386900)</f>
        <v>14386900</v>
      </c>
    </row>
    <row r="551" spans="1:6">
      <c r="A551" s="1">
        <f ca="1">IFERROR(__xludf.DUMMYFUNCTION("""COMPUTED_VALUE"""),42830.625)</f>
        <v>42830.625</v>
      </c>
      <c r="B551" s="2">
        <f ca="1">IFERROR(__xludf.DUMMYFUNCTION("""COMPUTED_VALUE"""),6575)</f>
        <v>6575</v>
      </c>
      <c r="C551" s="2">
        <f ca="1">IFERROR(__xludf.DUMMYFUNCTION("""COMPUTED_VALUE"""),6600)</f>
        <v>6600</v>
      </c>
      <c r="D551" s="2">
        <f ca="1">IFERROR(__xludf.DUMMYFUNCTION("""COMPUTED_VALUE"""),6525)</f>
        <v>6525</v>
      </c>
      <c r="E551" s="2">
        <f ca="1">IFERROR(__xludf.DUMMYFUNCTION("""COMPUTED_VALUE"""),6575)</f>
        <v>6575</v>
      </c>
      <c r="F551" s="2">
        <f ca="1">IFERROR(__xludf.DUMMYFUNCTION("""COMPUTED_VALUE"""),17152700)</f>
        <v>17152700</v>
      </c>
    </row>
    <row r="552" spans="1:6">
      <c r="A552" s="1">
        <f ca="1">IFERROR(__xludf.DUMMYFUNCTION("""COMPUTED_VALUE"""),42831.625)</f>
        <v>42831.625</v>
      </c>
      <c r="B552" s="2">
        <f ca="1">IFERROR(__xludf.DUMMYFUNCTION("""COMPUTED_VALUE"""),6575)</f>
        <v>6575</v>
      </c>
      <c r="C552" s="2">
        <f ca="1">IFERROR(__xludf.DUMMYFUNCTION("""COMPUTED_VALUE"""),6700)</f>
        <v>6700</v>
      </c>
      <c r="D552" s="2">
        <f ca="1">IFERROR(__xludf.DUMMYFUNCTION("""COMPUTED_VALUE"""),6525)</f>
        <v>6525</v>
      </c>
      <c r="E552" s="2">
        <f ca="1">IFERROR(__xludf.DUMMYFUNCTION("""COMPUTED_VALUE"""),6700)</f>
        <v>6700</v>
      </c>
      <c r="F552" s="2">
        <f ca="1">IFERROR(__xludf.DUMMYFUNCTION("""COMPUTED_VALUE"""),21145100)</f>
        <v>21145100</v>
      </c>
    </row>
    <row r="553" spans="1:6">
      <c r="A553" s="1">
        <f ca="1">IFERROR(__xludf.DUMMYFUNCTION("""COMPUTED_VALUE"""),42832.625)</f>
        <v>42832.625</v>
      </c>
      <c r="B553" s="2">
        <f ca="1">IFERROR(__xludf.DUMMYFUNCTION("""COMPUTED_VALUE"""),6600)</f>
        <v>6600</v>
      </c>
      <c r="C553" s="2">
        <f ca="1">IFERROR(__xludf.DUMMYFUNCTION("""COMPUTED_VALUE"""),6625)</f>
        <v>6625</v>
      </c>
      <c r="D553" s="2">
        <f ca="1">IFERROR(__xludf.DUMMYFUNCTION("""COMPUTED_VALUE"""),6450)</f>
        <v>6450</v>
      </c>
      <c r="E553" s="2">
        <f ca="1">IFERROR(__xludf.DUMMYFUNCTION("""COMPUTED_VALUE"""),6475)</f>
        <v>6475</v>
      </c>
      <c r="F553" s="2">
        <f ca="1">IFERROR(__xludf.DUMMYFUNCTION("""COMPUTED_VALUE"""),34832000)</f>
        <v>34832000</v>
      </c>
    </row>
    <row r="554" spans="1:6">
      <c r="A554" s="1">
        <f ca="1">IFERROR(__xludf.DUMMYFUNCTION("""COMPUTED_VALUE"""),42835.625)</f>
        <v>42835.625</v>
      </c>
      <c r="B554" s="2">
        <f ca="1">IFERROR(__xludf.DUMMYFUNCTION("""COMPUTED_VALUE"""),6475)</f>
        <v>6475</v>
      </c>
      <c r="C554" s="2">
        <f ca="1">IFERROR(__xludf.DUMMYFUNCTION("""COMPUTED_VALUE"""),6575)</f>
        <v>6575</v>
      </c>
      <c r="D554" s="2">
        <f ca="1">IFERROR(__xludf.DUMMYFUNCTION("""COMPUTED_VALUE"""),6425)</f>
        <v>6425</v>
      </c>
      <c r="E554" s="2">
        <f ca="1">IFERROR(__xludf.DUMMYFUNCTION("""COMPUTED_VALUE"""),6450)</f>
        <v>6450</v>
      </c>
      <c r="F554" s="2">
        <f ca="1">IFERROR(__xludf.DUMMYFUNCTION("""COMPUTED_VALUE"""),27834000)</f>
        <v>27834000</v>
      </c>
    </row>
    <row r="555" spans="1:6">
      <c r="A555" s="1">
        <f ca="1">IFERROR(__xludf.DUMMYFUNCTION("""COMPUTED_VALUE"""),42836.625)</f>
        <v>42836.625</v>
      </c>
      <c r="B555" s="2">
        <f ca="1">IFERROR(__xludf.DUMMYFUNCTION("""COMPUTED_VALUE"""),6450)</f>
        <v>6450</v>
      </c>
      <c r="C555" s="2">
        <f ca="1">IFERROR(__xludf.DUMMYFUNCTION("""COMPUTED_VALUE"""),6450)</f>
        <v>6450</v>
      </c>
      <c r="D555" s="2">
        <f ca="1">IFERROR(__xludf.DUMMYFUNCTION("""COMPUTED_VALUE"""),6325)</f>
        <v>6325</v>
      </c>
      <c r="E555" s="2">
        <f ca="1">IFERROR(__xludf.DUMMYFUNCTION("""COMPUTED_VALUE"""),6375)</f>
        <v>6375</v>
      </c>
      <c r="F555" s="2">
        <f ca="1">IFERROR(__xludf.DUMMYFUNCTION("""COMPUTED_VALUE"""),21857100)</f>
        <v>21857100</v>
      </c>
    </row>
    <row r="556" spans="1:6">
      <c r="A556" s="1">
        <f ca="1">IFERROR(__xludf.DUMMYFUNCTION("""COMPUTED_VALUE"""),42837.625)</f>
        <v>42837.625</v>
      </c>
      <c r="B556" s="2">
        <f ca="1">IFERROR(__xludf.DUMMYFUNCTION("""COMPUTED_VALUE"""),6400)</f>
        <v>6400</v>
      </c>
      <c r="C556" s="2">
        <f ca="1">IFERROR(__xludf.DUMMYFUNCTION("""COMPUTED_VALUE"""),6425)</f>
        <v>6425</v>
      </c>
      <c r="D556" s="2">
        <f ca="1">IFERROR(__xludf.DUMMYFUNCTION("""COMPUTED_VALUE"""),6300)</f>
        <v>6300</v>
      </c>
      <c r="E556" s="2">
        <f ca="1">IFERROR(__xludf.DUMMYFUNCTION("""COMPUTED_VALUE"""),6375)</f>
        <v>6375</v>
      </c>
      <c r="F556" s="2">
        <f ca="1">IFERROR(__xludf.DUMMYFUNCTION("""COMPUTED_VALUE"""),24854600)</f>
        <v>24854600</v>
      </c>
    </row>
    <row r="557" spans="1:6">
      <c r="A557" s="1">
        <f ca="1">IFERROR(__xludf.DUMMYFUNCTION("""COMPUTED_VALUE"""),42838.625)</f>
        <v>42838.625</v>
      </c>
      <c r="B557" s="2">
        <f ca="1">IFERROR(__xludf.DUMMYFUNCTION("""COMPUTED_VALUE"""),6400)</f>
        <v>6400</v>
      </c>
      <c r="C557" s="2">
        <f ca="1">IFERROR(__xludf.DUMMYFUNCTION("""COMPUTED_VALUE"""),6425)</f>
        <v>6425</v>
      </c>
      <c r="D557" s="2">
        <f ca="1">IFERROR(__xludf.DUMMYFUNCTION("""COMPUTED_VALUE"""),6250)</f>
        <v>6250</v>
      </c>
      <c r="E557" s="2">
        <f ca="1">IFERROR(__xludf.DUMMYFUNCTION("""COMPUTED_VALUE"""),6275)</f>
        <v>6275</v>
      </c>
      <c r="F557" s="2">
        <f ca="1">IFERROR(__xludf.DUMMYFUNCTION("""COMPUTED_VALUE"""),53994800)</f>
        <v>53994800</v>
      </c>
    </row>
    <row r="558" spans="1:6">
      <c r="A558" s="1">
        <f ca="1">IFERROR(__xludf.DUMMYFUNCTION("""COMPUTED_VALUE"""),42842.625)</f>
        <v>42842.625</v>
      </c>
      <c r="B558" s="2">
        <f ca="1">IFERROR(__xludf.DUMMYFUNCTION("""COMPUTED_VALUE"""),6275)</f>
        <v>6275</v>
      </c>
      <c r="C558" s="2">
        <f ca="1">IFERROR(__xludf.DUMMYFUNCTION("""COMPUTED_VALUE"""),6300)</f>
        <v>6300</v>
      </c>
      <c r="D558" s="2">
        <f ca="1">IFERROR(__xludf.DUMMYFUNCTION("""COMPUTED_VALUE"""),6175)</f>
        <v>6175</v>
      </c>
      <c r="E558" s="2">
        <f ca="1">IFERROR(__xludf.DUMMYFUNCTION("""COMPUTED_VALUE"""),6250)</f>
        <v>6250</v>
      </c>
      <c r="F558" s="2">
        <f ca="1">IFERROR(__xludf.DUMMYFUNCTION("""COMPUTED_VALUE"""),17905100)</f>
        <v>17905100</v>
      </c>
    </row>
    <row r="559" spans="1:6">
      <c r="A559" s="1">
        <f ca="1">IFERROR(__xludf.DUMMYFUNCTION("""COMPUTED_VALUE"""),42843.625)</f>
        <v>42843.625</v>
      </c>
      <c r="B559" s="2">
        <f ca="1">IFERROR(__xludf.DUMMYFUNCTION("""COMPUTED_VALUE"""),6300)</f>
        <v>6300</v>
      </c>
      <c r="C559" s="2">
        <f ca="1">IFERROR(__xludf.DUMMYFUNCTION("""COMPUTED_VALUE"""),6375)</f>
        <v>6375</v>
      </c>
      <c r="D559" s="2">
        <f ca="1">IFERROR(__xludf.DUMMYFUNCTION("""COMPUTED_VALUE"""),6275)</f>
        <v>6275</v>
      </c>
      <c r="E559" s="2">
        <f ca="1">IFERROR(__xludf.DUMMYFUNCTION("""COMPUTED_VALUE"""),6350)</f>
        <v>6350</v>
      </c>
      <c r="F559" s="2">
        <f ca="1">IFERROR(__xludf.DUMMYFUNCTION("""COMPUTED_VALUE"""),22210600)</f>
        <v>22210600</v>
      </c>
    </row>
    <row r="560" spans="1:6">
      <c r="A560" s="1">
        <f ca="1">IFERROR(__xludf.DUMMYFUNCTION("""COMPUTED_VALUE"""),42845.625)</f>
        <v>42845.625</v>
      </c>
      <c r="B560" s="2">
        <f ca="1">IFERROR(__xludf.DUMMYFUNCTION("""COMPUTED_VALUE"""),6250)</f>
        <v>6250</v>
      </c>
      <c r="C560" s="2">
        <f ca="1">IFERROR(__xludf.DUMMYFUNCTION("""COMPUTED_VALUE"""),6250)</f>
        <v>6250</v>
      </c>
      <c r="D560" s="2">
        <f ca="1">IFERROR(__xludf.DUMMYFUNCTION("""COMPUTED_VALUE"""),6125)</f>
        <v>6125</v>
      </c>
      <c r="E560" s="2">
        <f ca="1">IFERROR(__xludf.DUMMYFUNCTION("""COMPUTED_VALUE"""),6250)</f>
        <v>6250</v>
      </c>
      <c r="F560" s="2">
        <f ca="1">IFERROR(__xludf.DUMMYFUNCTION("""COMPUTED_VALUE"""),49500500)</f>
        <v>49500500</v>
      </c>
    </row>
    <row r="561" spans="1:6">
      <c r="A561" s="1">
        <f ca="1">IFERROR(__xludf.DUMMYFUNCTION("""COMPUTED_VALUE"""),42846.625)</f>
        <v>42846.625</v>
      </c>
      <c r="B561" s="2">
        <f ca="1">IFERROR(__xludf.DUMMYFUNCTION("""COMPUTED_VALUE"""),6250)</f>
        <v>6250</v>
      </c>
      <c r="C561" s="2">
        <f ca="1">IFERROR(__xludf.DUMMYFUNCTION("""COMPUTED_VALUE"""),6275)</f>
        <v>6275</v>
      </c>
      <c r="D561" s="2">
        <f ca="1">IFERROR(__xludf.DUMMYFUNCTION("""COMPUTED_VALUE"""),6075)</f>
        <v>6075</v>
      </c>
      <c r="E561" s="2">
        <f ca="1">IFERROR(__xludf.DUMMYFUNCTION("""COMPUTED_VALUE"""),6150)</f>
        <v>6150</v>
      </c>
      <c r="F561" s="2">
        <f ca="1">IFERROR(__xludf.DUMMYFUNCTION("""COMPUTED_VALUE"""),54127600)</f>
        <v>54127600</v>
      </c>
    </row>
    <row r="562" spans="1:6">
      <c r="A562" s="1">
        <f ca="1">IFERROR(__xludf.DUMMYFUNCTION("""COMPUTED_VALUE"""),42850.625)</f>
        <v>42850.625</v>
      </c>
      <c r="B562" s="2">
        <f ca="1">IFERROR(__xludf.DUMMYFUNCTION("""COMPUTED_VALUE"""),6150)</f>
        <v>6150</v>
      </c>
      <c r="C562" s="2">
        <f ca="1">IFERROR(__xludf.DUMMYFUNCTION("""COMPUTED_VALUE"""),6250)</f>
        <v>6250</v>
      </c>
      <c r="D562" s="2">
        <f ca="1">IFERROR(__xludf.DUMMYFUNCTION("""COMPUTED_VALUE"""),6125)</f>
        <v>6125</v>
      </c>
      <c r="E562" s="2">
        <f ca="1">IFERROR(__xludf.DUMMYFUNCTION("""COMPUTED_VALUE"""),6200)</f>
        <v>6200</v>
      </c>
      <c r="F562" s="2">
        <f ca="1">IFERROR(__xludf.DUMMYFUNCTION("""COMPUTED_VALUE"""),57465800)</f>
        <v>57465800</v>
      </c>
    </row>
    <row r="563" spans="1:6">
      <c r="A563" s="1">
        <f ca="1">IFERROR(__xludf.DUMMYFUNCTION("""COMPUTED_VALUE"""),42851.625)</f>
        <v>42851.625</v>
      </c>
      <c r="B563" s="2">
        <f ca="1">IFERROR(__xludf.DUMMYFUNCTION("""COMPUTED_VALUE"""),6250)</f>
        <v>6250</v>
      </c>
      <c r="C563" s="2">
        <f ca="1">IFERROR(__xludf.DUMMYFUNCTION("""COMPUTED_VALUE"""),6450)</f>
        <v>6450</v>
      </c>
      <c r="D563" s="2">
        <f ca="1">IFERROR(__xludf.DUMMYFUNCTION("""COMPUTED_VALUE"""),6250)</f>
        <v>6250</v>
      </c>
      <c r="E563" s="2">
        <f ca="1">IFERROR(__xludf.DUMMYFUNCTION("""COMPUTED_VALUE"""),6400)</f>
        <v>6400</v>
      </c>
      <c r="F563" s="2">
        <f ca="1">IFERROR(__xludf.DUMMYFUNCTION("""COMPUTED_VALUE"""),44321900)</f>
        <v>44321900</v>
      </c>
    </row>
    <row r="564" spans="1:6">
      <c r="A564" s="1">
        <f ca="1">IFERROR(__xludf.DUMMYFUNCTION("""COMPUTED_VALUE"""),42852.625)</f>
        <v>42852.625</v>
      </c>
      <c r="B564" s="2">
        <f ca="1">IFERROR(__xludf.DUMMYFUNCTION("""COMPUTED_VALUE"""),6375)</f>
        <v>6375</v>
      </c>
      <c r="C564" s="2">
        <f ca="1">IFERROR(__xludf.DUMMYFUNCTION("""COMPUTED_VALUE"""),6425)</f>
        <v>6425</v>
      </c>
      <c r="D564" s="2">
        <f ca="1">IFERROR(__xludf.DUMMYFUNCTION("""COMPUTED_VALUE"""),6350)</f>
        <v>6350</v>
      </c>
      <c r="E564" s="2">
        <f ca="1">IFERROR(__xludf.DUMMYFUNCTION("""COMPUTED_VALUE"""),6375)</f>
        <v>6375</v>
      </c>
      <c r="F564" s="2">
        <f ca="1">IFERROR(__xludf.DUMMYFUNCTION("""COMPUTED_VALUE"""),15243800)</f>
        <v>15243800</v>
      </c>
    </row>
    <row r="565" spans="1:6">
      <c r="A565" s="1">
        <f ca="1">IFERROR(__xludf.DUMMYFUNCTION("""COMPUTED_VALUE"""),42853.625)</f>
        <v>42853.625</v>
      </c>
      <c r="B565" s="2">
        <f ca="1">IFERROR(__xludf.DUMMYFUNCTION("""COMPUTED_VALUE"""),6325)</f>
        <v>6325</v>
      </c>
      <c r="C565" s="2">
        <f ca="1">IFERROR(__xludf.DUMMYFUNCTION("""COMPUTED_VALUE"""),6400)</f>
        <v>6400</v>
      </c>
      <c r="D565" s="2">
        <f ca="1">IFERROR(__xludf.DUMMYFUNCTION("""COMPUTED_VALUE"""),6325)</f>
        <v>6325</v>
      </c>
      <c r="E565" s="2">
        <f ca="1">IFERROR(__xludf.DUMMYFUNCTION("""COMPUTED_VALUE"""),6375)</f>
        <v>6375</v>
      </c>
      <c r="F565" s="2">
        <f ca="1">IFERROR(__xludf.DUMMYFUNCTION("""COMPUTED_VALUE"""),14942800)</f>
        <v>14942800</v>
      </c>
    </row>
    <row r="566" spans="1:6">
      <c r="A566" s="1">
        <f ca="1">IFERROR(__xludf.DUMMYFUNCTION("""COMPUTED_VALUE"""),42857.625)</f>
        <v>42857.625</v>
      </c>
      <c r="B566" s="2">
        <f ca="1">IFERROR(__xludf.DUMMYFUNCTION("""COMPUTED_VALUE"""),6425)</f>
        <v>6425</v>
      </c>
      <c r="C566" s="2">
        <f ca="1">IFERROR(__xludf.DUMMYFUNCTION("""COMPUTED_VALUE"""),6450)</f>
        <v>6450</v>
      </c>
      <c r="D566" s="2">
        <f ca="1">IFERROR(__xludf.DUMMYFUNCTION("""COMPUTED_VALUE"""),6375)</f>
        <v>6375</v>
      </c>
      <c r="E566" s="2">
        <f ca="1">IFERROR(__xludf.DUMMYFUNCTION("""COMPUTED_VALUE"""),6425)</f>
        <v>6425</v>
      </c>
      <c r="F566" s="2">
        <f ca="1">IFERROR(__xludf.DUMMYFUNCTION("""COMPUTED_VALUE"""),12652000)</f>
        <v>12652000</v>
      </c>
    </row>
    <row r="567" spans="1:6">
      <c r="A567" s="1">
        <f ca="1">IFERROR(__xludf.DUMMYFUNCTION("""COMPUTED_VALUE"""),42858.625)</f>
        <v>42858.625</v>
      </c>
      <c r="B567" s="2">
        <f ca="1">IFERROR(__xludf.DUMMYFUNCTION("""COMPUTED_VALUE"""),6450)</f>
        <v>6450</v>
      </c>
      <c r="C567" s="2">
        <f ca="1">IFERROR(__xludf.DUMMYFUNCTION("""COMPUTED_VALUE"""),6450)</f>
        <v>6450</v>
      </c>
      <c r="D567" s="2">
        <f ca="1">IFERROR(__xludf.DUMMYFUNCTION("""COMPUTED_VALUE"""),6375)</f>
        <v>6375</v>
      </c>
      <c r="E567" s="2">
        <f ca="1">IFERROR(__xludf.DUMMYFUNCTION("""COMPUTED_VALUE"""),6400)</f>
        <v>6400</v>
      </c>
      <c r="F567" s="2">
        <f ca="1">IFERROR(__xludf.DUMMYFUNCTION("""COMPUTED_VALUE"""),11409500)</f>
        <v>11409500</v>
      </c>
    </row>
    <row r="568" spans="1:6">
      <c r="A568" s="1">
        <f ca="1">IFERROR(__xludf.DUMMYFUNCTION("""COMPUTED_VALUE"""),42859.625)</f>
        <v>42859.625</v>
      </c>
      <c r="B568" s="2">
        <f ca="1">IFERROR(__xludf.DUMMYFUNCTION("""COMPUTED_VALUE"""),6400)</f>
        <v>6400</v>
      </c>
      <c r="C568" s="2">
        <f ca="1">IFERROR(__xludf.DUMMYFUNCTION("""COMPUTED_VALUE"""),6625)</f>
        <v>6625</v>
      </c>
      <c r="D568" s="2">
        <f ca="1">IFERROR(__xludf.DUMMYFUNCTION("""COMPUTED_VALUE"""),6400)</f>
        <v>6400</v>
      </c>
      <c r="E568" s="2">
        <f ca="1">IFERROR(__xludf.DUMMYFUNCTION("""COMPUTED_VALUE"""),6625)</f>
        <v>6625</v>
      </c>
      <c r="F568" s="2">
        <f ca="1">IFERROR(__xludf.DUMMYFUNCTION("""COMPUTED_VALUE"""),26603500)</f>
        <v>26603500</v>
      </c>
    </row>
    <row r="569" spans="1:6">
      <c r="A569" s="1">
        <f ca="1">IFERROR(__xludf.DUMMYFUNCTION("""COMPUTED_VALUE"""),42860.625)</f>
        <v>42860.625</v>
      </c>
      <c r="B569" s="2">
        <f ca="1">IFERROR(__xludf.DUMMYFUNCTION("""COMPUTED_VALUE"""),6575)</f>
        <v>6575</v>
      </c>
      <c r="C569" s="2">
        <f ca="1">IFERROR(__xludf.DUMMYFUNCTION("""COMPUTED_VALUE"""),6625)</f>
        <v>6625</v>
      </c>
      <c r="D569" s="2">
        <f ca="1">IFERROR(__xludf.DUMMYFUNCTION("""COMPUTED_VALUE"""),6550)</f>
        <v>6550</v>
      </c>
      <c r="E569" s="2">
        <f ca="1">IFERROR(__xludf.DUMMYFUNCTION("""COMPUTED_VALUE"""),6575)</f>
        <v>6575</v>
      </c>
      <c r="F569" s="2">
        <f ca="1">IFERROR(__xludf.DUMMYFUNCTION("""COMPUTED_VALUE"""),16973800)</f>
        <v>16973800</v>
      </c>
    </row>
    <row r="570" spans="1:6">
      <c r="A570" s="1">
        <f ca="1">IFERROR(__xludf.DUMMYFUNCTION("""COMPUTED_VALUE"""),42863.625)</f>
        <v>42863.625</v>
      </c>
      <c r="B570" s="2">
        <f ca="1">IFERROR(__xludf.DUMMYFUNCTION("""COMPUTED_VALUE"""),6625)</f>
        <v>6625</v>
      </c>
      <c r="C570" s="2">
        <f ca="1">IFERROR(__xludf.DUMMYFUNCTION("""COMPUTED_VALUE"""),6800)</f>
        <v>6800</v>
      </c>
      <c r="D570" s="2">
        <f ca="1">IFERROR(__xludf.DUMMYFUNCTION("""COMPUTED_VALUE"""),6600)</f>
        <v>6600</v>
      </c>
      <c r="E570" s="2">
        <f ca="1">IFERROR(__xludf.DUMMYFUNCTION("""COMPUTED_VALUE"""),6725)</f>
        <v>6725</v>
      </c>
      <c r="F570" s="2">
        <f ca="1">IFERROR(__xludf.DUMMYFUNCTION("""COMPUTED_VALUE"""),26331800)</f>
        <v>26331800</v>
      </c>
    </row>
    <row r="571" spans="1:6">
      <c r="A571" s="1">
        <f ca="1">IFERROR(__xludf.DUMMYFUNCTION("""COMPUTED_VALUE"""),42864.625)</f>
        <v>42864.625</v>
      </c>
      <c r="B571" s="2">
        <f ca="1">IFERROR(__xludf.DUMMYFUNCTION("""COMPUTED_VALUE"""),6800)</f>
        <v>6800</v>
      </c>
      <c r="C571" s="2">
        <f ca="1">IFERROR(__xludf.DUMMYFUNCTION("""COMPUTED_VALUE"""),6800)</f>
        <v>6800</v>
      </c>
      <c r="D571" s="2">
        <f ca="1">IFERROR(__xludf.DUMMYFUNCTION("""COMPUTED_VALUE"""),6625)</f>
        <v>6625</v>
      </c>
      <c r="E571" s="2">
        <f ca="1">IFERROR(__xludf.DUMMYFUNCTION("""COMPUTED_VALUE"""),6650)</f>
        <v>6650</v>
      </c>
      <c r="F571" s="2">
        <f ca="1">IFERROR(__xludf.DUMMYFUNCTION("""COMPUTED_VALUE"""),33486900)</f>
        <v>33486900</v>
      </c>
    </row>
    <row r="572" spans="1:6">
      <c r="A572" s="1">
        <f ca="1">IFERROR(__xludf.DUMMYFUNCTION("""COMPUTED_VALUE"""),42865.625)</f>
        <v>42865.625</v>
      </c>
      <c r="B572" s="2">
        <f ca="1">IFERROR(__xludf.DUMMYFUNCTION("""COMPUTED_VALUE"""),6675)</f>
        <v>6675</v>
      </c>
      <c r="C572" s="2">
        <f ca="1">IFERROR(__xludf.DUMMYFUNCTION("""COMPUTED_VALUE"""),6750)</f>
        <v>6750</v>
      </c>
      <c r="D572" s="2">
        <f ca="1">IFERROR(__xludf.DUMMYFUNCTION("""COMPUTED_VALUE"""),6550)</f>
        <v>6550</v>
      </c>
      <c r="E572" s="2">
        <f ca="1">IFERROR(__xludf.DUMMYFUNCTION("""COMPUTED_VALUE"""),6575)</f>
        <v>6575</v>
      </c>
      <c r="F572" s="2">
        <f ca="1">IFERROR(__xludf.DUMMYFUNCTION("""COMPUTED_VALUE"""),31028500)</f>
        <v>31028500</v>
      </c>
    </row>
    <row r="573" spans="1:6">
      <c r="A573" s="1">
        <f ca="1">IFERROR(__xludf.DUMMYFUNCTION("""COMPUTED_VALUE"""),42867.625)</f>
        <v>42867.625</v>
      </c>
      <c r="B573" s="2">
        <f ca="1">IFERROR(__xludf.DUMMYFUNCTION("""COMPUTED_VALUE"""),6725)</f>
        <v>6725</v>
      </c>
      <c r="C573" s="2">
        <f ca="1">IFERROR(__xludf.DUMMYFUNCTION("""COMPUTED_VALUE"""),6725)</f>
        <v>6725</v>
      </c>
      <c r="D573" s="2">
        <f ca="1">IFERROR(__xludf.DUMMYFUNCTION("""COMPUTED_VALUE"""),6575)</f>
        <v>6575</v>
      </c>
      <c r="E573" s="2">
        <f ca="1">IFERROR(__xludf.DUMMYFUNCTION("""COMPUTED_VALUE"""),6675)</f>
        <v>6675</v>
      </c>
      <c r="F573" s="2">
        <f ca="1">IFERROR(__xludf.DUMMYFUNCTION("""COMPUTED_VALUE"""),12784200)</f>
        <v>12784200</v>
      </c>
    </row>
    <row r="574" spans="1:6">
      <c r="A574" s="1">
        <f ca="1">IFERROR(__xludf.DUMMYFUNCTION("""COMPUTED_VALUE"""),42870.625)</f>
        <v>42870.625</v>
      </c>
      <c r="B574" s="2">
        <f ca="1">IFERROR(__xludf.DUMMYFUNCTION("""COMPUTED_VALUE"""),6700)</f>
        <v>6700</v>
      </c>
      <c r="C574" s="2">
        <f ca="1">IFERROR(__xludf.DUMMYFUNCTION("""COMPUTED_VALUE"""),6700)</f>
        <v>6700</v>
      </c>
      <c r="D574" s="2">
        <f ca="1">IFERROR(__xludf.DUMMYFUNCTION("""COMPUTED_VALUE"""),6500)</f>
        <v>6500</v>
      </c>
      <c r="E574" s="2">
        <f ca="1">IFERROR(__xludf.DUMMYFUNCTION("""COMPUTED_VALUE"""),6525)</f>
        <v>6525</v>
      </c>
      <c r="F574" s="2">
        <f ca="1">IFERROR(__xludf.DUMMYFUNCTION("""COMPUTED_VALUE"""),8245900)</f>
        <v>8245900</v>
      </c>
    </row>
    <row r="575" spans="1:6">
      <c r="A575" s="1">
        <f ca="1">IFERROR(__xludf.DUMMYFUNCTION("""COMPUTED_VALUE"""),42871.625)</f>
        <v>42871.625</v>
      </c>
      <c r="B575" s="2">
        <f ca="1">IFERROR(__xludf.DUMMYFUNCTION("""COMPUTED_VALUE"""),6600)</f>
        <v>6600</v>
      </c>
      <c r="C575" s="2">
        <f ca="1">IFERROR(__xludf.DUMMYFUNCTION("""COMPUTED_VALUE"""),6600)</f>
        <v>6600</v>
      </c>
      <c r="D575" s="2">
        <f ca="1">IFERROR(__xludf.DUMMYFUNCTION("""COMPUTED_VALUE"""),6450)</f>
        <v>6450</v>
      </c>
      <c r="E575" s="2">
        <f ca="1">IFERROR(__xludf.DUMMYFUNCTION("""COMPUTED_VALUE"""),6550)</f>
        <v>6550</v>
      </c>
      <c r="F575" s="2">
        <f ca="1">IFERROR(__xludf.DUMMYFUNCTION("""COMPUTED_VALUE"""),19103000)</f>
        <v>19103000</v>
      </c>
    </row>
    <row r="576" spans="1:6">
      <c r="A576" s="1">
        <f ca="1">IFERROR(__xludf.DUMMYFUNCTION("""COMPUTED_VALUE"""),42872.625)</f>
        <v>42872.625</v>
      </c>
      <c r="B576" s="2">
        <f ca="1">IFERROR(__xludf.DUMMYFUNCTION("""COMPUTED_VALUE"""),6550)</f>
        <v>6550</v>
      </c>
      <c r="C576" s="2">
        <f ca="1">IFERROR(__xludf.DUMMYFUNCTION("""COMPUTED_VALUE"""),6600)</f>
        <v>6600</v>
      </c>
      <c r="D576" s="2">
        <f ca="1">IFERROR(__xludf.DUMMYFUNCTION("""COMPUTED_VALUE"""),6400)</f>
        <v>6400</v>
      </c>
      <c r="E576" s="2">
        <f ca="1">IFERROR(__xludf.DUMMYFUNCTION("""COMPUTED_VALUE"""),6500)</f>
        <v>6500</v>
      </c>
      <c r="F576" s="2">
        <f ca="1">IFERROR(__xludf.DUMMYFUNCTION("""COMPUTED_VALUE"""),24651700)</f>
        <v>24651700</v>
      </c>
    </row>
    <row r="577" spans="1:6">
      <c r="A577" s="1">
        <f ca="1">IFERROR(__xludf.DUMMYFUNCTION("""COMPUTED_VALUE"""),42873.625)</f>
        <v>42873.625</v>
      </c>
      <c r="B577" s="2">
        <f ca="1">IFERROR(__xludf.DUMMYFUNCTION("""COMPUTED_VALUE"""),6400)</f>
        <v>6400</v>
      </c>
      <c r="C577" s="2">
        <f ca="1">IFERROR(__xludf.DUMMYFUNCTION("""COMPUTED_VALUE"""),6600)</f>
        <v>6600</v>
      </c>
      <c r="D577" s="2">
        <f ca="1">IFERROR(__xludf.DUMMYFUNCTION("""COMPUTED_VALUE"""),6375)</f>
        <v>6375</v>
      </c>
      <c r="E577" s="2">
        <f ca="1">IFERROR(__xludf.DUMMYFUNCTION("""COMPUTED_VALUE"""),6525)</f>
        <v>6525</v>
      </c>
      <c r="F577" s="2">
        <f ca="1">IFERROR(__xludf.DUMMYFUNCTION("""COMPUTED_VALUE"""),35109300)</f>
        <v>35109300</v>
      </c>
    </row>
    <row r="578" spans="1:6">
      <c r="A578" s="1">
        <f ca="1">IFERROR(__xludf.DUMMYFUNCTION("""COMPUTED_VALUE"""),42874.625)</f>
        <v>42874.625</v>
      </c>
      <c r="B578" s="2">
        <f ca="1">IFERROR(__xludf.DUMMYFUNCTION("""COMPUTED_VALUE"""),6500)</f>
        <v>6500</v>
      </c>
      <c r="C578" s="2">
        <f ca="1">IFERROR(__xludf.DUMMYFUNCTION("""COMPUTED_VALUE"""),7200)</f>
        <v>7200</v>
      </c>
      <c r="D578" s="2">
        <f ca="1">IFERROR(__xludf.DUMMYFUNCTION("""COMPUTED_VALUE"""),6500)</f>
        <v>6500</v>
      </c>
      <c r="E578" s="2">
        <f ca="1">IFERROR(__xludf.DUMMYFUNCTION("""COMPUTED_VALUE"""),6700)</f>
        <v>6700</v>
      </c>
      <c r="F578" s="2">
        <f ca="1">IFERROR(__xludf.DUMMYFUNCTION("""COMPUTED_VALUE"""),39230300)</f>
        <v>39230300</v>
      </c>
    </row>
    <row r="579" spans="1:6">
      <c r="A579" s="1">
        <f ca="1">IFERROR(__xludf.DUMMYFUNCTION("""COMPUTED_VALUE"""),42877.625)</f>
        <v>42877.625</v>
      </c>
      <c r="B579" s="2">
        <f ca="1">IFERROR(__xludf.DUMMYFUNCTION("""COMPUTED_VALUE"""),6875)</f>
        <v>6875</v>
      </c>
      <c r="C579" s="2">
        <f ca="1">IFERROR(__xludf.DUMMYFUNCTION("""COMPUTED_VALUE"""),6950)</f>
        <v>6950</v>
      </c>
      <c r="D579" s="2">
        <f ca="1">IFERROR(__xludf.DUMMYFUNCTION("""COMPUTED_VALUE"""),6725)</f>
        <v>6725</v>
      </c>
      <c r="E579" s="2">
        <f ca="1">IFERROR(__xludf.DUMMYFUNCTION("""COMPUTED_VALUE"""),6825)</f>
        <v>6825</v>
      </c>
      <c r="F579" s="2">
        <f ca="1">IFERROR(__xludf.DUMMYFUNCTION("""COMPUTED_VALUE"""),43490000)</f>
        <v>43490000</v>
      </c>
    </row>
    <row r="580" spans="1:6">
      <c r="A580" s="1">
        <f ca="1">IFERROR(__xludf.DUMMYFUNCTION("""COMPUTED_VALUE"""),42878.625)</f>
        <v>42878.625</v>
      </c>
      <c r="B580" s="2">
        <f ca="1">IFERROR(__xludf.DUMMYFUNCTION("""COMPUTED_VALUE"""),6700)</f>
        <v>6700</v>
      </c>
      <c r="C580" s="2">
        <f ca="1">IFERROR(__xludf.DUMMYFUNCTION("""COMPUTED_VALUE"""),6800)</f>
        <v>6800</v>
      </c>
      <c r="D580" s="2">
        <f ca="1">IFERROR(__xludf.DUMMYFUNCTION("""COMPUTED_VALUE"""),6550)</f>
        <v>6550</v>
      </c>
      <c r="E580" s="2">
        <f ca="1">IFERROR(__xludf.DUMMYFUNCTION("""COMPUTED_VALUE"""),6575)</f>
        <v>6575</v>
      </c>
      <c r="F580" s="2">
        <f ca="1">IFERROR(__xludf.DUMMYFUNCTION("""COMPUTED_VALUE"""),36861800)</f>
        <v>36861800</v>
      </c>
    </row>
    <row r="581" spans="1:6">
      <c r="A581" s="1">
        <f ca="1">IFERROR(__xludf.DUMMYFUNCTION("""COMPUTED_VALUE"""),42879.625)</f>
        <v>42879.625</v>
      </c>
      <c r="B581" s="2">
        <f ca="1">IFERROR(__xludf.DUMMYFUNCTION("""COMPUTED_VALUE"""),6475)</f>
        <v>6475</v>
      </c>
      <c r="C581" s="2">
        <f ca="1">IFERROR(__xludf.DUMMYFUNCTION("""COMPUTED_VALUE"""),6650)</f>
        <v>6650</v>
      </c>
      <c r="D581" s="2">
        <f ca="1">IFERROR(__xludf.DUMMYFUNCTION("""COMPUTED_VALUE"""),6450)</f>
        <v>6450</v>
      </c>
      <c r="E581" s="2">
        <f ca="1">IFERROR(__xludf.DUMMYFUNCTION("""COMPUTED_VALUE"""),6525)</f>
        <v>6525</v>
      </c>
      <c r="F581" s="2">
        <f ca="1">IFERROR(__xludf.DUMMYFUNCTION("""COMPUTED_VALUE"""),19864700)</f>
        <v>19864700</v>
      </c>
    </row>
    <row r="582" spans="1:6">
      <c r="A582" s="1">
        <f ca="1">IFERROR(__xludf.DUMMYFUNCTION("""COMPUTED_VALUE"""),42881.625)</f>
        <v>42881.625</v>
      </c>
      <c r="B582" s="2">
        <f ca="1">IFERROR(__xludf.DUMMYFUNCTION("""COMPUTED_VALUE"""),6600)</f>
        <v>6600</v>
      </c>
      <c r="C582" s="2">
        <f ca="1">IFERROR(__xludf.DUMMYFUNCTION("""COMPUTED_VALUE"""),6600)</f>
        <v>6600</v>
      </c>
      <c r="D582" s="2">
        <f ca="1">IFERROR(__xludf.DUMMYFUNCTION("""COMPUTED_VALUE"""),6450)</f>
        <v>6450</v>
      </c>
      <c r="E582" s="2">
        <f ca="1">IFERROR(__xludf.DUMMYFUNCTION("""COMPUTED_VALUE"""),6475)</f>
        <v>6475</v>
      </c>
      <c r="F582" s="2">
        <f ca="1">IFERROR(__xludf.DUMMYFUNCTION("""COMPUTED_VALUE"""),30318300)</f>
        <v>30318300</v>
      </c>
    </row>
    <row r="583" spans="1:6">
      <c r="A583" s="1">
        <f ca="1">IFERROR(__xludf.DUMMYFUNCTION("""COMPUTED_VALUE"""),42884.625)</f>
        <v>42884.625</v>
      </c>
      <c r="B583" s="2">
        <f ca="1">IFERROR(__xludf.DUMMYFUNCTION("""COMPUTED_VALUE"""),6475)</f>
        <v>6475</v>
      </c>
      <c r="C583" s="2">
        <f ca="1">IFERROR(__xludf.DUMMYFUNCTION("""COMPUTED_VALUE"""),6525)</f>
        <v>6525</v>
      </c>
      <c r="D583" s="2">
        <f ca="1">IFERROR(__xludf.DUMMYFUNCTION("""COMPUTED_VALUE"""),6475)</f>
        <v>6475</v>
      </c>
      <c r="E583" s="2">
        <f ca="1">IFERROR(__xludf.DUMMYFUNCTION("""COMPUTED_VALUE"""),6525)</f>
        <v>6525</v>
      </c>
      <c r="F583" s="2">
        <f ca="1">IFERROR(__xludf.DUMMYFUNCTION("""COMPUTED_VALUE"""),11261900)</f>
        <v>11261900</v>
      </c>
    </row>
    <row r="584" spans="1:6">
      <c r="A584" s="1">
        <f ca="1">IFERROR(__xludf.DUMMYFUNCTION("""COMPUTED_VALUE"""),42885.625)</f>
        <v>42885.625</v>
      </c>
      <c r="B584" s="2">
        <f ca="1">IFERROR(__xludf.DUMMYFUNCTION("""COMPUTED_VALUE"""),6575)</f>
        <v>6575</v>
      </c>
      <c r="C584" s="2">
        <f ca="1">IFERROR(__xludf.DUMMYFUNCTION("""COMPUTED_VALUE"""),6575)</f>
        <v>6575</v>
      </c>
      <c r="D584" s="2">
        <f ca="1">IFERROR(__xludf.DUMMYFUNCTION("""COMPUTED_VALUE"""),6475)</f>
        <v>6475</v>
      </c>
      <c r="E584" s="2">
        <f ca="1">IFERROR(__xludf.DUMMYFUNCTION("""COMPUTED_VALUE"""),6525)</f>
        <v>6525</v>
      </c>
      <c r="F584" s="2">
        <f ca="1">IFERROR(__xludf.DUMMYFUNCTION("""COMPUTED_VALUE"""),11091700)</f>
        <v>11091700</v>
      </c>
    </row>
    <row r="585" spans="1:6">
      <c r="A585" s="1">
        <f ca="1">IFERROR(__xludf.DUMMYFUNCTION("""COMPUTED_VALUE"""),42886.625)</f>
        <v>42886.625</v>
      </c>
      <c r="B585" s="2">
        <f ca="1">IFERROR(__xludf.DUMMYFUNCTION("""COMPUTED_VALUE"""),6475)</f>
        <v>6475</v>
      </c>
      <c r="C585" s="2">
        <f ca="1">IFERROR(__xludf.DUMMYFUNCTION("""COMPUTED_VALUE"""),6550)</f>
        <v>6550</v>
      </c>
      <c r="D585" s="2">
        <f ca="1">IFERROR(__xludf.DUMMYFUNCTION("""COMPUTED_VALUE"""),6475)</f>
        <v>6475</v>
      </c>
      <c r="E585" s="2">
        <f ca="1">IFERROR(__xludf.DUMMYFUNCTION("""COMPUTED_VALUE"""),6550)</f>
        <v>6550</v>
      </c>
      <c r="F585" s="2">
        <f ca="1">IFERROR(__xludf.DUMMYFUNCTION("""COMPUTED_VALUE"""),32033000)</f>
        <v>32033000</v>
      </c>
    </row>
    <row r="586" spans="1:6">
      <c r="A586" s="1">
        <f ca="1">IFERROR(__xludf.DUMMYFUNCTION("""COMPUTED_VALUE"""),42888.625)</f>
        <v>42888.625</v>
      </c>
      <c r="B586" s="2">
        <f ca="1">IFERROR(__xludf.DUMMYFUNCTION("""COMPUTED_VALUE"""),6575)</f>
        <v>6575</v>
      </c>
      <c r="C586" s="2">
        <f ca="1">IFERROR(__xludf.DUMMYFUNCTION("""COMPUTED_VALUE"""),6600)</f>
        <v>6600</v>
      </c>
      <c r="D586" s="2">
        <f ca="1">IFERROR(__xludf.DUMMYFUNCTION("""COMPUTED_VALUE"""),6400)</f>
        <v>6400</v>
      </c>
      <c r="E586" s="2">
        <f ca="1">IFERROR(__xludf.DUMMYFUNCTION("""COMPUTED_VALUE"""),6450)</f>
        <v>6450</v>
      </c>
      <c r="F586" s="2">
        <f ca="1">IFERROR(__xludf.DUMMYFUNCTION("""COMPUTED_VALUE"""),33075700)</f>
        <v>33075700</v>
      </c>
    </row>
    <row r="587" spans="1:6">
      <c r="A587" s="1">
        <f ca="1">IFERROR(__xludf.DUMMYFUNCTION("""COMPUTED_VALUE"""),42891.625)</f>
        <v>42891.625</v>
      </c>
      <c r="B587" s="2">
        <f ca="1">IFERROR(__xludf.DUMMYFUNCTION("""COMPUTED_VALUE"""),6400)</f>
        <v>6400</v>
      </c>
      <c r="C587" s="2">
        <f ca="1">IFERROR(__xludf.DUMMYFUNCTION("""COMPUTED_VALUE"""),6525)</f>
        <v>6525</v>
      </c>
      <c r="D587" s="2">
        <f ca="1">IFERROR(__xludf.DUMMYFUNCTION("""COMPUTED_VALUE"""),6400)</f>
        <v>6400</v>
      </c>
      <c r="E587" s="2">
        <f ca="1">IFERROR(__xludf.DUMMYFUNCTION("""COMPUTED_VALUE"""),6475)</f>
        <v>6475</v>
      </c>
      <c r="F587" s="2">
        <f ca="1">IFERROR(__xludf.DUMMYFUNCTION("""COMPUTED_VALUE"""),13083600)</f>
        <v>13083600</v>
      </c>
    </row>
    <row r="588" spans="1:6">
      <c r="A588" s="1">
        <f ca="1">IFERROR(__xludf.DUMMYFUNCTION("""COMPUTED_VALUE"""),42892.625)</f>
        <v>42892.625</v>
      </c>
      <c r="B588" s="2">
        <f ca="1">IFERROR(__xludf.DUMMYFUNCTION("""COMPUTED_VALUE"""),6450)</f>
        <v>6450</v>
      </c>
      <c r="C588" s="2">
        <f ca="1">IFERROR(__xludf.DUMMYFUNCTION("""COMPUTED_VALUE"""),6525)</f>
        <v>6525</v>
      </c>
      <c r="D588" s="2">
        <f ca="1">IFERROR(__xludf.DUMMYFUNCTION("""COMPUTED_VALUE"""),6450)</f>
        <v>6450</v>
      </c>
      <c r="E588" s="2">
        <f ca="1">IFERROR(__xludf.DUMMYFUNCTION("""COMPUTED_VALUE"""),6500)</f>
        <v>6500</v>
      </c>
      <c r="F588" s="2">
        <f ca="1">IFERROR(__xludf.DUMMYFUNCTION("""COMPUTED_VALUE"""),7876100)</f>
        <v>7876100</v>
      </c>
    </row>
    <row r="589" spans="1:6">
      <c r="A589" s="1">
        <f ca="1">IFERROR(__xludf.DUMMYFUNCTION("""COMPUTED_VALUE"""),42893.625)</f>
        <v>42893.625</v>
      </c>
      <c r="B589" s="2">
        <f ca="1">IFERROR(__xludf.DUMMYFUNCTION("""COMPUTED_VALUE"""),6425)</f>
        <v>6425</v>
      </c>
      <c r="C589" s="2">
        <f ca="1">IFERROR(__xludf.DUMMYFUNCTION("""COMPUTED_VALUE"""),6500)</f>
        <v>6500</v>
      </c>
      <c r="D589" s="2">
        <f ca="1">IFERROR(__xludf.DUMMYFUNCTION("""COMPUTED_VALUE"""),6425)</f>
        <v>6425</v>
      </c>
      <c r="E589" s="2">
        <f ca="1">IFERROR(__xludf.DUMMYFUNCTION("""COMPUTED_VALUE"""),6475)</f>
        <v>6475</v>
      </c>
      <c r="F589" s="2">
        <f ca="1">IFERROR(__xludf.DUMMYFUNCTION("""COMPUTED_VALUE"""),8100600)</f>
        <v>8100600</v>
      </c>
    </row>
    <row r="590" spans="1:6">
      <c r="A590" s="1">
        <f ca="1">IFERROR(__xludf.DUMMYFUNCTION("""COMPUTED_VALUE"""),42894.625)</f>
        <v>42894.625</v>
      </c>
      <c r="B590" s="2">
        <f ca="1">IFERROR(__xludf.DUMMYFUNCTION("""COMPUTED_VALUE"""),6425)</f>
        <v>6425</v>
      </c>
      <c r="C590" s="2">
        <f ca="1">IFERROR(__xludf.DUMMYFUNCTION("""COMPUTED_VALUE"""),6475)</f>
        <v>6475</v>
      </c>
      <c r="D590" s="2">
        <f ca="1">IFERROR(__xludf.DUMMYFUNCTION("""COMPUTED_VALUE"""),6400)</f>
        <v>6400</v>
      </c>
      <c r="E590" s="2">
        <f ca="1">IFERROR(__xludf.DUMMYFUNCTION("""COMPUTED_VALUE"""),6450)</f>
        <v>6450</v>
      </c>
      <c r="F590" s="2">
        <f ca="1">IFERROR(__xludf.DUMMYFUNCTION("""COMPUTED_VALUE"""),20746000)</f>
        <v>20746000</v>
      </c>
    </row>
    <row r="591" spans="1:6">
      <c r="A591" s="1">
        <f ca="1">IFERROR(__xludf.DUMMYFUNCTION("""COMPUTED_VALUE"""),42895.625)</f>
        <v>42895.625</v>
      </c>
      <c r="B591" s="2">
        <f ca="1">IFERROR(__xludf.DUMMYFUNCTION("""COMPUTED_VALUE"""),6400)</f>
        <v>6400</v>
      </c>
      <c r="C591" s="2">
        <f ca="1">IFERROR(__xludf.DUMMYFUNCTION("""COMPUTED_VALUE"""),6450)</f>
        <v>6450</v>
      </c>
      <c r="D591" s="2">
        <f ca="1">IFERROR(__xludf.DUMMYFUNCTION("""COMPUTED_VALUE"""),6350)</f>
        <v>6350</v>
      </c>
      <c r="E591" s="2">
        <f ca="1">IFERROR(__xludf.DUMMYFUNCTION("""COMPUTED_VALUE"""),6400)</f>
        <v>6400</v>
      </c>
      <c r="F591" s="2">
        <f ca="1">IFERROR(__xludf.DUMMYFUNCTION("""COMPUTED_VALUE"""),32131200)</f>
        <v>32131200</v>
      </c>
    </row>
    <row r="592" spans="1:6">
      <c r="A592" s="1">
        <f ca="1">IFERROR(__xludf.DUMMYFUNCTION("""COMPUTED_VALUE"""),42898.625)</f>
        <v>42898.625</v>
      </c>
      <c r="B592" s="2">
        <f ca="1">IFERROR(__xludf.DUMMYFUNCTION("""COMPUTED_VALUE"""),6375)</f>
        <v>6375</v>
      </c>
      <c r="C592" s="2">
        <f ca="1">IFERROR(__xludf.DUMMYFUNCTION("""COMPUTED_VALUE"""),6450)</f>
        <v>6450</v>
      </c>
      <c r="D592" s="2">
        <f ca="1">IFERROR(__xludf.DUMMYFUNCTION("""COMPUTED_VALUE"""),6375)</f>
        <v>6375</v>
      </c>
      <c r="E592" s="2">
        <f ca="1">IFERROR(__xludf.DUMMYFUNCTION("""COMPUTED_VALUE"""),6450)</f>
        <v>6450</v>
      </c>
      <c r="F592" s="2">
        <f ca="1">IFERROR(__xludf.DUMMYFUNCTION("""COMPUTED_VALUE"""),8862300)</f>
        <v>8862300</v>
      </c>
    </row>
    <row r="593" spans="1:6">
      <c r="A593" s="1">
        <f ca="1">IFERROR(__xludf.DUMMYFUNCTION("""COMPUTED_VALUE"""),42899.625)</f>
        <v>42899.625</v>
      </c>
      <c r="B593" s="2">
        <f ca="1">IFERROR(__xludf.DUMMYFUNCTION("""COMPUTED_VALUE"""),6400)</f>
        <v>6400</v>
      </c>
      <c r="C593" s="2">
        <f ca="1">IFERROR(__xludf.DUMMYFUNCTION("""COMPUTED_VALUE"""),6500)</f>
        <v>6500</v>
      </c>
      <c r="D593" s="2">
        <f ca="1">IFERROR(__xludf.DUMMYFUNCTION("""COMPUTED_VALUE"""),6400)</f>
        <v>6400</v>
      </c>
      <c r="E593" s="2">
        <f ca="1">IFERROR(__xludf.DUMMYFUNCTION("""COMPUTED_VALUE"""),6450)</f>
        <v>6450</v>
      </c>
      <c r="F593" s="2">
        <f ca="1">IFERROR(__xludf.DUMMYFUNCTION("""COMPUTED_VALUE"""),18319500)</f>
        <v>18319500</v>
      </c>
    </row>
    <row r="594" spans="1:6">
      <c r="A594" s="1">
        <f ca="1">IFERROR(__xludf.DUMMYFUNCTION("""COMPUTED_VALUE"""),42900.625)</f>
        <v>42900.625</v>
      </c>
      <c r="B594" s="2">
        <f ca="1">IFERROR(__xludf.DUMMYFUNCTION("""COMPUTED_VALUE"""),6450)</f>
        <v>6450</v>
      </c>
      <c r="C594" s="2">
        <f ca="1">IFERROR(__xludf.DUMMYFUNCTION("""COMPUTED_VALUE"""),6500)</f>
        <v>6500</v>
      </c>
      <c r="D594" s="2">
        <f ca="1">IFERROR(__xludf.DUMMYFUNCTION("""COMPUTED_VALUE"""),6425)</f>
        <v>6425</v>
      </c>
      <c r="E594" s="2">
        <f ca="1">IFERROR(__xludf.DUMMYFUNCTION("""COMPUTED_VALUE"""),6500)</f>
        <v>6500</v>
      </c>
      <c r="F594" s="2">
        <f ca="1">IFERROR(__xludf.DUMMYFUNCTION("""COMPUTED_VALUE"""),14914200)</f>
        <v>14914200</v>
      </c>
    </row>
    <row r="595" spans="1:6">
      <c r="A595" s="1">
        <f ca="1">IFERROR(__xludf.DUMMYFUNCTION("""COMPUTED_VALUE"""),42901.625)</f>
        <v>42901.625</v>
      </c>
      <c r="B595" s="2">
        <f ca="1">IFERROR(__xludf.DUMMYFUNCTION("""COMPUTED_VALUE"""),6475)</f>
        <v>6475</v>
      </c>
      <c r="C595" s="2">
        <f ca="1">IFERROR(__xludf.DUMMYFUNCTION("""COMPUTED_VALUE"""),6600)</f>
        <v>6600</v>
      </c>
      <c r="D595" s="2">
        <f ca="1">IFERROR(__xludf.DUMMYFUNCTION("""COMPUTED_VALUE"""),6475)</f>
        <v>6475</v>
      </c>
      <c r="E595" s="2">
        <f ca="1">IFERROR(__xludf.DUMMYFUNCTION("""COMPUTED_VALUE"""),6575)</f>
        <v>6575</v>
      </c>
      <c r="F595" s="2">
        <f ca="1">IFERROR(__xludf.DUMMYFUNCTION("""COMPUTED_VALUE"""),13755300)</f>
        <v>13755300</v>
      </c>
    </row>
    <row r="596" spans="1:6">
      <c r="A596" s="1">
        <f ca="1">IFERROR(__xludf.DUMMYFUNCTION("""COMPUTED_VALUE"""),42902.625)</f>
        <v>42902.625</v>
      </c>
      <c r="B596" s="2">
        <f ca="1">IFERROR(__xludf.DUMMYFUNCTION("""COMPUTED_VALUE"""),6525)</f>
        <v>6525</v>
      </c>
      <c r="C596" s="2">
        <f ca="1">IFERROR(__xludf.DUMMYFUNCTION("""COMPUTED_VALUE"""),6650)</f>
        <v>6650</v>
      </c>
      <c r="D596" s="2">
        <f ca="1">IFERROR(__xludf.DUMMYFUNCTION("""COMPUTED_VALUE"""),6500)</f>
        <v>6500</v>
      </c>
      <c r="E596" s="2">
        <f ca="1">IFERROR(__xludf.DUMMYFUNCTION("""COMPUTED_VALUE"""),6500)</f>
        <v>6500</v>
      </c>
      <c r="F596" s="2">
        <f ca="1">IFERROR(__xludf.DUMMYFUNCTION("""COMPUTED_VALUE"""),27370000)</f>
        <v>27370000</v>
      </c>
    </row>
    <row r="597" spans="1:6">
      <c r="A597" s="1">
        <f ca="1">IFERROR(__xludf.DUMMYFUNCTION("""COMPUTED_VALUE"""),42905.625)</f>
        <v>42905.625</v>
      </c>
      <c r="B597" s="2">
        <f ca="1">IFERROR(__xludf.DUMMYFUNCTION("""COMPUTED_VALUE"""),6500)</f>
        <v>6500</v>
      </c>
      <c r="C597" s="2">
        <f ca="1">IFERROR(__xludf.DUMMYFUNCTION("""COMPUTED_VALUE"""),6575)</f>
        <v>6575</v>
      </c>
      <c r="D597" s="2">
        <f ca="1">IFERROR(__xludf.DUMMYFUNCTION("""COMPUTED_VALUE"""),6500)</f>
        <v>6500</v>
      </c>
      <c r="E597" s="2">
        <f ca="1">IFERROR(__xludf.DUMMYFUNCTION("""COMPUTED_VALUE"""),6550)</f>
        <v>6550</v>
      </c>
      <c r="F597" s="2">
        <f ca="1">IFERROR(__xludf.DUMMYFUNCTION("""COMPUTED_VALUE"""),11906500)</f>
        <v>11906500</v>
      </c>
    </row>
    <row r="598" spans="1:6">
      <c r="A598" s="1">
        <f ca="1">IFERROR(__xludf.DUMMYFUNCTION("""COMPUTED_VALUE"""),42906.625)</f>
        <v>42906.625</v>
      </c>
      <c r="B598" s="2">
        <f ca="1">IFERROR(__xludf.DUMMYFUNCTION("""COMPUTED_VALUE"""),6575)</f>
        <v>6575</v>
      </c>
      <c r="C598" s="2">
        <f ca="1">IFERROR(__xludf.DUMMYFUNCTION("""COMPUTED_VALUE"""),6775)</f>
        <v>6775</v>
      </c>
      <c r="D598" s="2">
        <f ca="1">IFERROR(__xludf.DUMMYFUNCTION("""COMPUTED_VALUE"""),6550)</f>
        <v>6550</v>
      </c>
      <c r="E598" s="2">
        <f ca="1">IFERROR(__xludf.DUMMYFUNCTION("""COMPUTED_VALUE"""),6700)</f>
        <v>6700</v>
      </c>
      <c r="F598" s="2">
        <f ca="1">IFERROR(__xludf.DUMMYFUNCTION("""COMPUTED_VALUE"""),21930700)</f>
        <v>21930700</v>
      </c>
    </row>
    <row r="599" spans="1:6">
      <c r="A599" s="1">
        <f ca="1">IFERROR(__xludf.DUMMYFUNCTION("""COMPUTED_VALUE"""),42907.625)</f>
        <v>42907.625</v>
      </c>
      <c r="B599" s="2">
        <f ca="1">IFERROR(__xludf.DUMMYFUNCTION("""COMPUTED_VALUE"""),6650)</f>
        <v>6650</v>
      </c>
      <c r="C599" s="2">
        <f ca="1">IFERROR(__xludf.DUMMYFUNCTION("""COMPUTED_VALUE"""),6650)</f>
        <v>6650</v>
      </c>
      <c r="D599" s="2">
        <f ca="1">IFERROR(__xludf.DUMMYFUNCTION("""COMPUTED_VALUE"""),6575)</f>
        <v>6575</v>
      </c>
      <c r="E599" s="2">
        <f ca="1">IFERROR(__xludf.DUMMYFUNCTION("""COMPUTED_VALUE"""),6625)</f>
        <v>6625</v>
      </c>
      <c r="F599" s="2">
        <f ca="1">IFERROR(__xludf.DUMMYFUNCTION("""COMPUTED_VALUE"""),25197700)</f>
        <v>25197700</v>
      </c>
    </row>
    <row r="600" spans="1:6">
      <c r="A600" s="1">
        <f ca="1">IFERROR(__xludf.DUMMYFUNCTION("""COMPUTED_VALUE"""),42908.625)</f>
        <v>42908.625</v>
      </c>
      <c r="B600" s="2">
        <f ca="1">IFERROR(__xludf.DUMMYFUNCTION("""COMPUTED_VALUE"""),6675)</f>
        <v>6675</v>
      </c>
      <c r="C600" s="2">
        <f ca="1">IFERROR(__xludf.DUMMYFUNCTION("""COMPUTED_VALUE"""),6675)</f>
        <v>6675</v>
      </c>
      <c r="D600" s="2">
        <f ca="1">IFERROR(__xludf.DUMMYFUNCTION("""COMPUTED_VALUE"""),6525)</f>
        <v>6525</v>
      </c>
      <c r="E600" s="2">
        <f ca="1">IFERROR(__xludf.DUMMYFUNCTION("""COMPUTED_VALUE"""),6600)</f>
        <v>6600</v>
      </c>
      <c r="F600" s="2">
        <f ca="1">IFERROR(__xludf.DUMMYFUNCTION("""COMPUTED_VALUE"""),33985100)</f>
        <v>33985100</v>
      </c>
    </row>
    <row r="601" spans="1:6">
      <c r="A601" s="1">
        <f ca="1">IFERROR(__xludf.DUMMYFUNCTION("""COMPUTED_VALUE"""),42919.625)</f>
        <v>42919.625</v>
      </c>
      <c r="B601" s="2">
        <f ca="1">IFERROR(__xludf.DUMMYFUNCTION("""COMPUTED_VALUE"""),6600)</f>
        <v>6600</v>
      </c>
      <c r="C601" s="2">
        <f ca="1">IFERROR(__xludf.DUMMYFUNCTION("""COMPUTED_VALUE"""),6700)</f>
        <v>6700</v>
      </c>
      <c r="D601" s="2">
        <f ca="1">IFERROR(__xludf.DUMMYFUNCTION("""COMPUTED_VALUE"""),6550)</f>
        <v>6550</v>
      </c>
      <c r="E601" s="2">
        <f ca="1">IFERROR(__xludf.DUMMYFUNCTION("""COMPUTED_VALUE"""),6600)</f>
        <v>6600</v>
      </c>
      <c r="F601" s="2">
        <f ca="1">IFERROR(__xludf.DUMMYFUNCTION("""COMPUTED_VALUE"""),39344000)</f>
        <v>39344000</v>
      </c>
    </row>
    <row r="602" spans="1:6">
      <c r="A602" s="1">
        <f ca="1">IFERROR(__xludf.DUMMYFUNCTION("""COMPUTED_VALUE"""),42920.625)</f>
        <v>42920.625</v>
      </c>
      <c r="B602" s="2">
        <f ca="1">IFERROR(__xludf.DUMMYFUNCTION("""COMPUTED_VALUE"""),6625)</f>
        <v>6625</v>
      </c>
      <c r="C602" s="2">
        <f ca="1">IFERROR(__xludf.DUMMYFUNCTION("""COMPUTED_VALUE"""),6675)</f>
        <v>6675</v>
      </c>
      <c r="D602" s="2">
        <f ca="1">IFERROR(__xludf.DUMMYFUNCTION("""COMPUTED_VALUE"""),6550)</f>
        <v>6550</v>
      </c>
      <c r="E602" s="2">
        <f ca="1">IFERROR(__xludf.DUMMYFUNCTION("""COMPUTED_VALUE"""),6575)</f>
        <v>6575</v>
      </c>
      <c r="F602" s="2">
        <f ca="1">IFERROR(__xludf.DUMMYFUNCTION("""COMPUTED_VALUE"""),20405000)</f>
        <v>20405000</v>
      </c>
    </row>
    <row r="603" spans="1:6">
      <c r="A603" s="1">
        <f ca="1">IFERROR(__xludf.DUMMYFUNCTION("""COMPUTED_VALUE"""),42921.625)</f>
        <v>42921.625</v>
      </c>
      <c r="B603" s="2">
        <f ca="1">IFERROR(__xludf.DUMMYFUNCTION("""COMPUTED_VALUE"""),6600)</f>
        <v>6600</v>
      </c>
      <c r="C603" s="2">
        <f ca="1">IFERROR(__xludf.DUMMYFUNCTION("""COMPUTED_VALUE"""),6650)</f>
        <v>6650</v>
      </c>
      <c r="D603" s="2">
        <f ca="1">IFERROR(__xludf.DUMMYFUNCTION("""COMPUTED_VALUE"""),6575)</f>
        <v>6575</v>
      </c>
      <c r="E603" s="2">
        <f ca="1">IFERROR(__xludf.DUMMYFUNCTION("""COMPUTED_VALUE"""),6650)</f>
        <v>6650</v>
      </c>
      <c r="F603" s="2">
        <f ca="1">IFERROR(__xludf.DUMMYFUNCTION("""COMPUTED_VALUE"""),16410000)</f>
        <v>16410000</v>
      </c>
    </row>
    <row r="604" spans="1:6">
      <c r="A604" s="1">
        <f ca="1">IFERROR(__xludf.DUMMYFUNCTION("""COMPUTED_VALUE"""),42922.625)</f>
        <v>42922.625</v>
      </c>
      <c r="B604" s="2">
        <f ca="1">IFERROR(__xludf.DUMMYFUNCTION("""COMPUTED_VALUE"""),6625)</f>
        <v>6625</v>
      </c>
      <c r="C604" s="2">
        <f ca="1">IFERROR(__xludf.DUMMYFUNCTION("""COMPUTED_VALUE"""),6775)</f>
        <v>6775</v>
      </c>
      <c r="D604" s="2">
        <f ca="1">IFERROR(__xludf.DUMMYFUNCTION("""COMPUTED_VALUE"""),6625)</f>
        <v>6625</v>
      </c>
      <c r="E604" s="2">
        <f ca="1">IFERROR(__xludf.DUMMYFUNCTION("""COMPUTED_VALUE"""),6775)</f>
        <v>6775</v>
      </c>
      <c r="F604" s="2">
        <f ca="1">IFERROR(__xludf.DUMMYFUNCTION("""COMPUTED_VALUE"""),18384700)</f>
        <v>18384700</v>
      </c>
    </row>
    <row r="605" spans="1:6">
      <c r="A605" s="1">
        <f ca="1">IFERROR(__xludf.DUMMYFUNCTION("""COMPUTED_VALUE"""),42923.625)</f>
        <v>42923.625</v>
      </c>
      <c r="B605" s="2">
        <f ca="1">IFERROR(__xludf.DUMMYFUNCTION("""COMPUTED_VALUE"""),6700)</f>
        <v>6700</v>
      </c>
      <c r="C605" s="2">
        <f ca="1">IFERROR(__xludf.DUMMYFUNCTION("""COMPUTED_VALUE"""),6825)</f>
        <v>6825</v>
      </c>
      <c r="D605" s="2">
        <f ca="1">IFERROR(__xludf.DUMMYFUNCTION("""COMPUTED_VALUE"""),6700)</f>
        <v>6700</v>
      </c>
      <c r="E605" s="2">
        <f ca="1">IFERROR(__xludf.DUMMYFUNCTION("""COMPUTED_VALUE"""),6725)</f>
        <v>6725</v>
      </c>
      <c r="F605" s="2">
        <f ca="1">IFERROR(__xludf.DUMMYFUNCTION("""COMPUTED_VALUE"""),23023100)</f>
        <v>23023100</v>
      </c>
    </row>
    <row r="606" spans="1:6">
      <c r="A606" s="1">
        <f ca="1">IFERROR(__xludf.DUMMYFUNCTION("""COMPUTED_VALUE"""),42926.625)</f>
        <v>42926.625</v>
      </c>
      <c r="B606" s="2">
        <f ca="1">IFERROR(__xludf.DUMMYFUNCTION("""COMPUTED_VALUE"""),6700)</f>
        <v>6700</v>
      </c>
      <c r="C606" s="2">
        <f ca="1">IFERROR(__xludf.DUMMYFUNCTION("""COMPUTED_VALUE"""),6875)</f>
        <v>6875</v>
      </c>
      <c r="D606" s="2">
        <f ca="1">IFERROR(__xludf.DUMMYFUNCTION("""COMPUTED_VALUE"""),6625)</f>
        <v>6625</v>
      </c>
      <c r="E606" s="2">
        <f ca="1">IFERROR(__xludf.DUMMYFUNCTION("""COMPUTED_VALUE"""),6850)</f>
        <v>6850</v>
      </c>
      <c r="F606" s="2">
        <f ca="1">IFERROR(__xludf.DUMMYFUNCTION("""COMPUTED_VALUE"""),16544800)</f>
        <v>16544800</v>
      </c>
    </row>
    <row r="607" spans="1:6">
      <c r="A607" s="1">
        <f ca="1">IFERROR(__xludf.DUMMYFUNCTION("""COMPUTED_VALUE"""),42927.625)</f>
        <v>42927.625</v>
      </c>
      <c r="B607" s="2">
        <f ca="1">IFERROR(__xludf.DUMMYFUNCTION("""COMPUTED_VALUE"""),6850)</f>
        <v>6850</v>
      </c>
      <c r="C607" s="2">
        <f ca="1">IFERROR(__xludf.DUMMYFUNCTION("""COMPUTED_VALUE"""),6975)</f>
        <v>6975</v>
      </c>
      <c r="D607" s="2">
        <f ca="1">IFERROR(__xludf.DUMMYFUNCTION("""COMPUTED_VALUE"""),6825)</f>
        <v>6825</v>
      </c>
      <c r="E607" s="2">
        <f ca="1">IFERROR(__xludf.DUMMYFUNCTION("""COMPUTED_VALUE"""),6900)</f>
        <v>6900</v>
      </c>
      <c r="F607" s="2">
        <f ca="1">IFERROR(__xludf.DUMMYFUNCTION("""COMPUTED_VALUE"""),28251400)</f>
        <v>28251400</v>
      </c>
    </row>
    <row r="608" spans="1:6">
      <c r="A608" s="1">
        <f ca="1">IFERROR(__xludf.DUMMYFUNCTION("""COMPUTED_VALUE"""),42928.625)</f>
        <v>42928.625</v>
      </c>
      <c r="B608" s="2">
        <f ca="1">IFERROR(__xludf.DUMMYFUNCTION("""COMPUTED_VALUE"""),6900)</f>
        <v>6900</v>
      </c>
      <c r="C608" s="2">
        <f ca="1">IFERROR(__xludf.DUMMYFUNCTION("""COMPUTED_VALUE"""),7050)</f>
        <v>7050</v>
      </c>
      <c r="D608" s="2">
        <f ca="1">IFERROR(__xludf.DUMMYFUNCTION("""COMPUTED_VALUE"""),6875)</f>
        <v>6875</v>
      </c>
      <c r="E608" s="2">
        <f ca="1">IFERROR(__xludf.DUMMYFUNCTION("""COMPUTED_VALUE"""),7000)</f>
        <v>7000</v>
      </c>
      <c r="F608" s="2">
        <f ca="1">IFERROR(__xludf.DUMMYFUNCTION("""COMPUTED_VALUE"""),23324300)</f>
        <v>23324300</v>
      </c>
    </row>
    <row r="609" spans="1:6">
      <c r="A609" s="1">
        <f ca="1">IFERROR(__xludf.DUMMYFUNCTION("""COMPUTED_VALUE"""),42929.625)</f>
        <v>42929.625</v>
      </c>
      <c r="B609" s="2">
        <f ca="1">IFERROR(__xludf.DUMMYFUNCTION("""COMPUTED_VALUE"""),7050)</f>
        <v>7050</v>
      </c>
      <c r="C609" s="2">
        <f ca="1">IFERROR(__xludf.DUMMYFUNCTION("""COMPUTED_VALUE"""),7100)</f>
        <v>7100</v>
      </c>
      <c r="D609" s="2">
        <f ca="1">IFERROR(__xludf.DUMMYFUNCTION("""COMPUTED_VALUE"""),6925)</f>
        <v>6925</v>
      </c>
      <c r="E609" s="2">
        <f ca="1">IFERROR(__xludf.DUMMYFUNCTION("""COMPUTED_VALUE"""),7025)</f>
        <v>7025</v>
      </c>
      <c r="F609" s="2">
        <f ca="1">IFERROR(__xludf.DUMMYFUNCTION("""COMPUTED_VALUE"""),20578600)</f>
        <v>20578600</v>
      </c>
    </row>
    <row r="610" spans="1:6">
      <c r="A610" s="1">
        <f ca="1">IFERROR(__xludf.DUMMYFUNCTION("""COMPUTED_VALUE"""),42930.625)</f>
        <v>42930.625</v>
      </c>
      <c r="B610" s="2">
        <f ca="1">IFERROR(__xludf.DUMMYFUNCTION("""COMPUTED_VALUE"""),7025)</f>
        <v>7025</v>
      </c>
      <c r="C610" s="2">
        <f ca="1">IFERROR(__xludf.DUMMYFUNCTION("""COMPUTED_VALUE"""),7100)</f>
        <v>7100</v>
      </c>
      <c r="D610" s="2">
        <f ca="1">IFERROR(__xludf.DUMMYFUNCTION("""COMPUTED_VALUE"""),7000)</f>
        <v>7000</v>
      </c>
      <c r="E610" s="2">
        <f ca="1">IFERROR(__xludf.DUMMYFUNCTION("""COMPUTED_VALUE"""),7100)</f>
        <v>7100</v>
      </c>
      <c r="F610" s="2">
        <f ca="1">IFERROR(__xludf.DUMMYFUNCTION("""COMPUTED_VALUE"""),14755500)</f>
        <v>14755500</v>
      </c>
    </row>
    <row r="611" spans="1:6">
      <c r="A611" s="1">
        <f ca="1">IFERROR(__xludf.DUMMYFUNCTION("""COMPUTED_VALUE"""),42933.625)</f>
        <v>42933.625</v>
      </c>
      <c r="B611" s="2">
        <f ca="1">IFERROR(__xludf.DUMMYFUNCTION("""COMPUTED_VALUE"""),7075)</f>
        <v>7075</v>
      </c>
      <c r="C611" s="2">
        <f ca="1">IFERROR(__xludf.DUMMYFUNCTION("""COMPUTED_VALUE"""),7100)</f>
        <v>7100</v>
      </c>
      <c r="D611" s="2">
        <f ca="1">IFERROR(__xludf.DUMMYFUNCTION("""COMPUTED_VALUE"""),6975)</f>
        <v>6975</v>
      </c>
      <c r="E611" s="2">
        <f ca="1">IFERROR(__xludf.DUMMYFUNCTION("""COMPUTED_VALUE"""),7025)</f>
        <v>7025</v>
      </c>
      <c r="F611" s="2">
        <f ca="1">IFERROR(__xludf.DUMMYFUNCTION("""COMPUTED_VALUE"""),13933200)</f>
        <v>13933200</v>
      </c>
    </row>
    <row r="612" spans="1:6">
      <c r="A612" s="1">
        <f ca="1">IFERROR(__xludf.DUMMYFUNCTION("""COMPUTED_VALUE"""),42934.625)</f>
        <v>42934.625</v>
      </c>
      <c r="B612" s="2">
        <f ca="1">IFERROR(__xludf.DUMMYFUNCTION("""COMPUTED_VALUE"""),6975)</f>
        <v>6975</v>
      </c>
      <c r="C612" s="2">
        <f ca="1">IFERROR(__xludf.DUMMYFUNCTION("""COMPUTED_VALUE"""),7050)</f>
        <v>7050</v>
      </c>
      <c r="D612" s="2">
        <f ca="1">IFERROR(__xludf.DUMMYFUNCTION("""COMPUTED_VALUE"""),6925)</f>
        <v>6925</v>
      </c>
      <c r="E612" s="2">
        <f ca="1">IFERROR(__xludf.DUMMYFUNCTION("""COMPUTED_VALUE"""),7000)</f>
        <v>7000</v>
      </c>
      <c r="F612" s="2">
        <f ca="1">IFERROR(__xludf.DUMMYFUNCTION("""COMPUTED_VALUE"""),21390000)</f>
        <v>21390000</v>
      </c>
    </row>
    <row r="613" spans="1:6">
      <c r="A613" s="1">
        <f ca="1">IFERROR(__xludf.DUMMYFUNCTION("""COMPUTED_VALUE"""),42935.625)</f>
        <v>42935.625</v>
      </c>
      <c r="B613" s="2">
        <f ca="1">IFERROR(__xludf.DUMMYFUNCTION("""COMPUTED_VALUE"""),6950)</f>
        <v>6950</v>
      </c>
      <c r="C613" s="2">
        <f ca="1">IFERROR(__xludf.DUMMYFUNCTION("""COMPUTED_VALUE"""),7050)</f>
        <v>7050</v>
      </c>
      <c r="D613" s="2">
        <f ca="1">IFERROR(__xludf.DUMMYFUNCTION("""COMPUTED_VALUE"""),6950)</f>
        <v>6950</v>
      </c>
      <c r="E613" s="2">
        <f ca="1">IFERROR(__xludf.DUMMYFUNCTION("""COMPUTED_VALUE"""),7000)</f>
        <v>7000</v>
      </c>
      <c r="F613" s="2">
        <f ca="1">IFERROR(__xludf.DUMMYFUNCTION("""COMPUTED_VALUE"""),4902200)</f>
        <v>4902200</v>
      </c>
    </row>
    <row r="614" spans="1:6">
      <c r="A614" s="1">
        <f ca="1">IFERROR(__xludf.DUMMYFUNCTION("""COMPUTED_VALUE"""),42936.625)</f>
        <v>42936.625</v>
      </c>
      <c r="B614" s="2">
        <f ca="1">IFERROR(__xludf.DUMMYFUNCTION("""COMPUTED_VALUE"""),7000)</f>
        <v>7000</v>
      </c>
      <c r="C614" s="2">
        <f ca="1">IFERROR(__xludf.DUMMYFUNCTION("""COMPUTED_VALUE"""),7000)</f>
        <v>7000</v>
      </c>
      <c r="D614" s="2">
        <f ca="1">IFERROR(__xludf.DUMMYFUNCTION("""COMPUTED_VALUE"""),6925)</f>
        <v>6925</v>
      </c>
      <c r="E614" s="2">
        <f ca="1">IFERROR(__xludf.DUMMYFUNCTION("""COMPUTED_VALUE"""),6950)</f>
        <v>6950</v>
      </c>
      <c r="F614" s="2">
        <f ca="1">IFERROR(__xludf.DUMMYFUNCTION("""COMPUTED_VALUE"""),17477300)</f>
        <v>17477300</v>
      </c>
    </row>
    <row r="615" spans="1:6">
      <c r="A615" s="1">
        <f ca="1">IFERROR(__xludf.DUMMYFUNCTION("""COMPUTED_VALUE"""),42937.625)</f>
        <v>42937.625</v>
      </c>
      <c r="B615" s="2">
        <f ca="1">IFERROR(__xludf.DUMMYFUNCTION("""COMPUTED_VALUE"""),6900)</f>
        <v>6900</v>
      </c>
      <c r="C615" s="2">
        <f ca="1">IFERROR(__xludf.DUMMYFUNCTION("""COMPUTED_VALUE"""),6975)</f>
        <v>6975</v>
      </c>
      <c r="D615" s="2">
        <f ca="1">IFERROR(__xludf.DUMMYFUNCTION("""COMPUTED_VALUE"""),6875)</f>
        <v>6875</v>
      </c>
      <c r="E615" s="2">
        <f ca="1">IFERROR(__xludf.DUMMYFUNCTION("""COMPUTED_VALUE"""),6950)</f>
        <v>6950</v>
      </c>
      <c r="F615" s="2">
        <f ca="1">IFERROR(__xludf.DUMMYFUNCTION("""COMPUTED_VALUE"""),7455000)</f>
        <v>7455000</v>
      </c>
    </row>
    <row r="616" spans="1:6">
      <c r="A616" s="1">
        <f ca="1">IFERROR(__xludf.DUMMYFUNCTION("""COMPUTED_VALUE"""),42940.625)</f>
        <v>42940.625</v>
      </c>
      <c r="B616" s="2">
        <f ca="1">IFERROR(__xludf.DUMMYFUNCTION("""COMPUTED_VALUE"""),7000)</f>
        <v>7000</v>
      </c>
      <c r="C616" s="2">
        <f ca="1">IFERROR(__xludf.DUMMYFUNCTION("""COMPUTED_VALUE"""),7075)</f>
        <v>7075</v>
      </c>
      <c r="D616" s="2">
        <f ca="1">IFERROR(__xludf.DUMMYFUNCTION("""COMPUTED_VALUE"""),6950)</f>
        <v>6950</v>
      </c>
      <c r="E616" s="2">
        <f ca="1">IFERROR(__xludf.DUMMYFUNCTION("""COMPUTED_VALUE"""),7050)</f>
        <v>7050</v>
      </c>
      <c r="F616" s="2">
        <f ca="1">IFERROR(__xludf.DUMMYFUNCTION("""COMPUTED_VALUE"""),16001600)</f>
        <v>16001600</v>
      </c>
    </row>
    <row r="617" spans="1:6">
      <c r="A617" s="1">
        <f ca="1">IFERROR(__xludf.DUMMYFUNCTION("""COMPUTED_VALUE"""),42941.625)</f>
        <v>42941.625</v>
      </c>
      <c r="B617" s="2">
        <f ca="1">IFERROR(__xludf.DUMMYFUNCTION("""COMPUTED_VALUE"""),7075)</f>
        <v>7075</v>
      </c>
      <c r="C617" s="2">
        <f ca="1">IFERROR(__xludf.DUMMYFUNCTION("""COMPUTED_VALUE"""),7100)</f>
        <v>7100</v>
      </c>
      <c r="D617" s="2">
        <f ca="1">IFERROR(__xludf.DUMMYFUNCTION("""COMPUTED_VALUE"""),7025)</f>
        <v>7025</v>
      </c>
      <c r="E617" s="2">
        <f ca="1">IFERROR(__xludf.DUMMYFUNCTION("""COMPUTED_VALUE"""),7100)</f>
        <v>7100</v>
      </c>
      <c r="F617" s="2">
        <f ca="1">IFERROR(__xludf.DUMMYFUNCTION("""COMPUTED_VALUE"""),9381200)</f>
        <v>9381200</v>
      </c>
    </row>
    <row r="618" spans="1:6">
      <c r="A618" s="1">
        <f ca="1">IFERROR(__xludf.DUMMYFUNCTION("""COMPUTED_VALUE"""),42942.625)</f>
        <v>42942.625</v>
      </c>
      <c r="B618" s="2">
        <f ca="1">IFERROR(__xludf.DUMMYFUNCTION("""COMPUTED_VALUE"""),7025)</f>
        <v>7025</v>
      </c>
      <c r="C618" s="2">
        <f ca="1">IFERROR(__xludf.DUMMYFUNCTION("""COMPUTED_VALUE"""),7150)</f>
        <v>7150</v>
      </c>
      <c r="D618" s="2">
        <f ca="1">IFERROR(__xludf.DUMMYFUNCTION("""COMPUTED_VALUE"""),7025)</f>
        <v>7025</v>
      </c>
      <c r="E618" s="2">
        <f ca="1">IFERROR(__xludf.DUMMYFUNCTION("""COMPUTED_VALUE"""),7150)</f>
        <v>7150</v>
      </c>
      <c r="F618" s="2">
        <f ca="1">IFERROR(__xludf.DUMMYFUNCTION("""COMPUTED_VALUE"""),8728300)</f>
        <v>8728300</v>
      </c>
    </row>
    <row r="619" spans="1:6">
      <c r="A619" s="1">
        <f ca="1">IFERROR(__xludf.DUMMYFUNCTION("""COMPUTED_VALUE"""),42943.625)</f>
        <v>42943.625</v>
      </c>
      <c r="B619" s="2">
        <f ca="1">IFERROR(__xludf.DUMMYFUNCTION("""COMPUTED_VALUE"""),7175)</f>
        <v>7175</v>
      </c>
      <c r="C619" s="2">
        <f ca="1">IFERROR(__xludf.DUMMYFUNCTION("""COMPUTED_VALUE"""),7300)</f>
        <v>7300</v>
      </c>
      <c r="D619" s="2">
        <f ca="1">IFERROR(__xludf.DUMMYFUNCTION("""COMPUTED_VALUE"""),7100)</f>
        <v>7100</v>
      </c>
      <c r="E619" s="2">
        <f ca="1">IFERROR(__xludf.DUMMYFUNCTION("""COMPUTED_VALUE"""),7300)</f>
        <v>7300</v>
      </c>
      <c r="F619" s="2">
        <f ca="1">IFERROR(__xludf.DUMMYFUNCTION("""COMPUTED_VALUE"""),21975200)</f>
        <v>21975200</v>
      </c>
    </row>
    <row r="620" spans="1:6">
      <c r="A620" s="1">
        <f ca="1">IFERROR(__xludf.DUMMYFUNCTION("""COMPUTED_VALUE"""),42944.625)</f>
        <v>42944.625</v>
      </c>
      <c r="B620" s="2">
        <f ca="1">IFERROR(__xludf.DUMMYFUNCTION("""COMPUTED_VALUE"""),7275)</f>
        <v>7275</v>
      </c>
      <c r="C620" s="2">
        <f ca="1">IFERROR(__xludf.DUMMYFUNCTION("""COMPUTED_VALUE"""),7350)</f>
        <v>7350</v>
      </c>
      <c r="D620" s="2">
        <f ca="1">IFERROR(__xludf.DUMMYFUNCTION("""COMPUTED_VALUE"""),7250)</f>
        <v>7250</v>
      </c>
      <c r="E620" s="2">
        <f ca="1">IFERROR(__xludf.DUMMYFUNCTION("""COMPUTED_VALUE"""),7350)</f>
        <v>7350</v>
      </c>
      <c r="F620" s="2">
        <f ca="1">IFERROR(__xludf.DUMMYFUNCTION("""COMPUTED_VALUE"""),15550000)</f>
        <v>15550000</v>
      </c>
    </row>
    <row r="621" spans="1:6">
      <c r="A621" s="1">
        <f ca="1">IFERROR(__xludf.DUMMYFUNCTION("""COMPUTED_VALUE"""),42947.625)</f>
        <v>42947.625</v>
      </c>
      <c r="B621" s="2">
        <f ca="1">IFERROR(__xludf.DUMMYFUNCTION("""COMPUTED_VALUE"""),7350)</f>
        <v>7350</v>
      </c>
      <c r="C621" s="2">
        <f ca="1">IFERROR(__xludf.DUMMYFUNCTION("""COMPUTED_VALUE"""),7450)</f>
        <v>7450</v>
      </c>
      <c r="D621" s="2">
        <f ca="1">IFERROR(__xludf.DUMMYFUNCTION("""COMPUTED_VALUE"""),7275)</f>
        <v>7275</v>
      </c>
      <c r="E621" s="2">
        <f ca="1">IFERROR(__xludf.DUMMYFUNCTION("""COMPUTED_VALUE"""),7450)</f>
        <v>7450</v>
      </c>
      <c r="F621" s="2">
        <f ca="1">IFERROR(__xludf.DUMMYFUNCTION("""COMPUTED_VALUE"""),19748500)</f>
        <v>19748500</v>
      </c>
    </row>
    <row r="622" spans="1:6">
      <c r="A622" s="1">
        <f ca="1">IFERROR(__xludf.DUMMYFUNCTION("""COMPUTED_VALUE"""),42948.625)</f>
        <v>42948.625</v>
      </c>
      <c r="B622" s="2">
        <f ca="1">IFERROR(__xludf.DUMMYFUNCTION("""COMPUTED_VALUE"""),7425)</f>
        <v>7425</v>
      </c>
      <c r="C622" s="2">
        <f ca="1">IFERROR(__xludf.DUMMYFUNCTION("""COMPUTED_VALUE"""),7425)</f>
        <v>7425</v>
      </c>
      <c r="D622" s="2">
        <f ca="1">IFERROR(__xludf.DUMMYFUNCTION("""COMPUTED_VALUE"""),7250)</f>
        <v>7250</v>
      </c>
      <c r="E622" s="2">
        <f ca="1">IFERROR(__xludf.DUMMYFUNCTION("""COMPUTED_VALUE"""),7250)</f>
        <v>7250</v>
      </c>
      <c r="F622" s="2">
        <f ca="1">IFERROR(__xludf.DUMMYFUNCTION("""COMPUTED_VALUE"""),17418900)</f>
        <v>17418900</v>
      </c>
    </row>
    <row r="623" spans="1:6">
      <c r="A623" s="1">
        <f ca="1">IFERROR(__xludf.DUMMYFUNCTION("""COMPUTED_VALUE"""),42949.625)</f>
        <v>42949.625</v>
      </c>
      <c r="B623" s="2">
        <f ca="1">IFERROR(__xludf.DUMMYFUNCTION("""COMPUTED_VALUE"""),7250)</f>
        <v>7250</v>
      </c>
      <c r="C623" s="2">
        <f ca="1">IFERROR(__xludf.DUMMYFUNCTION("""COMPUTED_VALUE"""),7300)</f>
        <v>7300</v>
      </c>
      <c r="D623" s="2">
        <f ca="1">IFERROR(__xludf.DUMMYFUNCTION("""COMPUTED_VALUE"""),7150)</f>
        <v>7150</v>
      </c>
      <c r="E623" s="2">
        <f ca="1">IFERROR(__xludf.DUMMYFUNCTION("""COMPUTED_VALUE"""),7275)</f>
        <v>7275</v>
      </c>
      <c r="F623" s="2">
        <f ca="1">IFERROR(__xludf.DUMMYFUNCTION("""COMPUTED_VALUE"""),10770200)</f>
        <v>10770200</v>
      </c>
    </row>
    <row r="624" spans="1:6">
      <c r="A624" s="1">
        <f ca="1">IFERROR(__xludf.DUMMYFUNCTION("""COMPUTED_VALUE"""),42950.625)</f>
        <v>42950.625</v>
      </c>
      <c r="B624" s="2">
        <f ca="1">IFERROR(__xludf.DUMMYFUNCTION("""COMPUTED_VALUE"""),7250)</f>
        <v>7250</v>
      </c>
      <c r="C624" s="2">
        <f ca="1">IFERROR(__xludf.DUMMYFUNCTION("""COMPUTED_VALUE"""),7300)</f>
        <v>7300</v>
      </c>
      <c r="D624" s="2">
        <f ca="1">IFERROR(__xludf.DUMMYFUNCTION("""COMPUTED_VALUE"""),7175)</f>
        <v>7175</v>
      </c>
      <c r="E624" s="2">
        <f ca="1">IFERROR(__xludf.DUMMYFUNCTION("""COMPUTED_VALUE"""),7175)</f>
        <v>7175</v>
      </c>
      <c r="F624" s="2">
        <f ca="1">IFERROR(__xludf.DUMMYFUNCTION("""COMPUTED_VALUE"""),6497900)</f>
        <v>6497900</v>
      </c>
    </row>
    <row r="625" spans="1:6">
      <c r="A625" s="1">
        <f ca="1">IFERROR(__xludf.DUMMYFUNCTION("""COMPUTED_VALUE"""),42951.625)</f>
        <v>42951.625</v>
      </c>
      <c r="B625" s="2">
        <f ca="1">IFERROR(__xludf.DUMMYFUNCTION("""COMPUTED_VALUE"""),7250)</f>
        <v>7250</v>
      </c>
      <c r="C625" s="2">
        <f ca="1">IFERROR(__xludf.DUMMYFUNCTION("""COMPUTED_VALUE"""),7300)</f>
        <v>7300</v>
      </c>
      <c r="D625" s="2">
        <f ca="1">IFERROR(__xludf.DUMMYFUNCTION("""COMPUTED_VALUE"""),7225)</f>
        <v>7225</v>
      </c>
      <c r="E625" s="2">
        <f ca="1">IFERROR(__xludf.DUMMYFUNCTION("""COMPUTED_VALUE"""),7275)</f>
        <v>7275</v>
      </c>
      <c r="F625" s="2">
        <f ca="1">IFERROR(__xludf.DUMMYFUNCTION("""COMPUTED_VALUE"""),11087100)</f>
        <v>11087100</v>
      </c>
    </row>
    <row r="626" spans="1:6">
      <c r="A626" s="1">
        <f ca="1">IFERROR(__xludf.DUMMYFUNCTION("""COMPUTED_VALUE"""),42954.625)</f>
        <v>42954.625</v>
      </c>
      <c r="B626" s="2">
        <f ca="1">IFERROR(__xludf.DUMMYFUNCTION("""COMPUTED_VALUE"""),7150)</f>
        <v>7150</v>
      </c>
      <c r="C626" s="2">
        <f ca="1">IFERROR(__xludf.DUMMYFUNCTION("""COMPUTED_VALUE"""),7300)</f>
        <v>7300</v>
      </c>
      <c r="D626" s="2">
        <f ca="1">IFERROR(__xludf.DUMMYFUNCTION("""COMPUTED_VALUE"""),7150)</f>
        <v>7150</v>
      </c>
      <c r="E626" s="2">
        <f ca="1">IFERROR(__xludf.DUMMYFUNCTION("""COMPUTED_VALUE"""),7175)</f>
        <v>7175</v>
      </c>
      <c r="F626" s="2">
        <f ca="1">IFERROR(__xludf.DUMMYFUNCTION("""COMPUTED_VALUE"""),9831800)</f>
        <v>9831800</v>
      </c>
    </row>
    <row r="627" spans="1:6">
      <c r="A627" s="1">
        <f ca="1">IFERROR(__xludf.DUMMYFUNCTION("""COMPUTED_VALUE"""),42955.625)</f>
        <v>42955.625</v>
      </c>
      <c r="B627" s="2">
        <f ca="1">IFERROR(__xludf.DUMMYFUNCTION("""COMPUTED_VALUE"""),7175)</f>
        <v>7175</v>
      </c>
      <c r="C627" s="2">
        <f ca="1">IFERROR(__xludf.DUMMYFUNCTION("""COMPUTED_VALUE"""),7275)</f>
        <v>7275</v>
      </c>
      <c r="D627" s="2">
        <f ca="1">IFERROR(__xludf.DUMMYFUNCTION("""COMPUTED_VALUE"""),7125)</f>
        <v>7125</v>
      </c>
      <c r="E627" s="2">
        <f ca="1">IFERROR(__xludf.DUMMYFUNCTION("""COMPUTED_VALUE"""),7225)</f>
        <v>7225</v>
      </c>
      <c r="F627" s="2">
        <f ca="1">IFERROR(__xludf.DUMMYFUNCTION("""COMPUTED_VALUE"""),13556300)</f>
        <v>13556300</v>
      </c>
    </row>
    <row r="628" spans="1:6">
      <c r="A628" s="1">
        <f ca="1">IFERROR(__xludf.DUMMYFUNCTION("""COMPUTED_VALUE"""),42956.625)</f>
        <v>42956.625</v>
      </c>
      <c r="B628" s="2">
        <f ca="1">IFERROR(__xludf.DUMMYFUNCTION("""COMPUTED_VALUE"""),7300)</f>
        <v>7300</v>
      </c>
      <c r="C628" s="2">
        <f ca="1">IFERROR(__xludf.DUMMYFUNCTION("""COMPUTED_VALUE"""),7300)</f>
        <v>7300</v>
      </c>
      <c r="D628" s="2">
        <f ca="1">IFERROR(__xludf.DUMMYFUNCTION("""COMPUTED_VALUE"""),7200)</f>
        <v>7200</v>
      </c>
      <c r="E628" s="2">
        <f ca="1">IFERROR(__xludf.DUMMYFUNCTION("""COMPUTED_VALUE"""),7275)</f>
        <v>7275</v>
      </c>
      <c r="F628" s="2">
        <f ca="1">IFERROR(__xludf.DUMMYFUNCTION("""COMPUTED_VALUE"""),15237300)</f>
        <v>15237300</v>
      </c>
    </row>
    <row r="629" spans="1:6">
      <c r="A629" s="1">
        <f ca="1">IFERROR(__xludf.DUMMYFUNCTION("""COMPUTED_VALUE"""),42957.625)</f>
        <v>42957.625</v>
      </c>
      <c r="B629" s="2">
        <f ca="1">IFERROR(__xludf.DUMMYFUNCTION("""COMPUTED_VALUE"""),7300)</f>
        <v>7300</v>
      </c>
      <c r="C629" s="2">
        <f ca="1">IFERROR(__xludf.DUMMYFUNCTION("""COMPUTED_VALUE"""),7350)</f>
        <v>7350</v>
      </c>
      <c r="D629" s="2">
        <f ca="1">IFERROR(__xludf.DUMMYFUNCTION("""COMPUTED_VALUE"""),7250)</f>
        <v>7250</v>
      </c>
      <c r="E629" s="2">
        <f ca="1">IFERROR(__xludf.DUMMYFUNCTION("""COMPUTED_VALUE"""),7275)</f>
        <v>7275</v>
      </c>
      <c r="F629" s="2">
        <f ca="1">IFERROR(__xludf.DUMMYFUNCTION("""COMPUTED_VALUE"""),25660400)</f>
        <v>25660400</v>
      </c>
    </row>
    <row r="630" spans="1:6">
      <c r="A630" s="1">
        <f ca="1">IFERROR(__xludf.DUMMYFUNCTION("""COMPUTED_VALUE"""),42958.625)</f>
        <v>42958.625</v>
      </c>
      <c r="B630" s="2">
        <f ca="1">IFERROR(__xludf.DUMMYFUNCTION("""COMPUTED_VALUE"""),7325)</f>
        <v>7325</v>
      </c>
      <c r="C630" s="2">
        <f ca="1">IFERROR(__xludf.DUMMYFUNCTION("""COMPUTED_VALUE"""),7325)</f>
        <v>7325</v>
      </c>
      <c r="D630" s="2">
        <f ca="1">IFERROR(__xludf.DUMMYFUNCTION("""COMPUTED_VALUE"""),7225)</f>
        <v>7225</v>
      </c>
      <c r="E630" s="2">
        <f ca="1">IFERROR(__xludf.DUMMYFUNCTION("""COMPUTED_VALUE"""),7275)</f>
        <v>7275</v>
      </c>
      <c r="F630" s="2">
        <f ca="1">IFERROR(__xludf.DUMMYFUNCTION("""COMPUTED_VALUE"""),16177300)</f>
        <v>16177300</v>
      </c>
    </row>
    <row r="631" spans="1:6">
      <c r="A631" s="1">
        <f ca="1">IFERROR(__xludf.DUMMYFUNCTION("""COMPUTED_VALUE"""),42961.625)</f>
        <v>42961.625</v>
      </c>
      <c r="B631" s="2">
        <f ca="1">IFERROR(__xludf.DUMMYFUNCTION("""COMPUTED_VALUE"""),7325)</f>
        <v>7325</v>
      </c>
      <c r="C631" s="2">
        <f ca="1">IFERROR(__xludf.DUMMYFUNCTION("""COMPUTED_VALUE"""),7350)</f>
        <v>7350</v>
      </c>
      <c r="D631" s="2">
        <f ca="1">IFERROR(__xludf.DUMMYFUNCTION("""COMPUTED_VALUE"""),7275)</f>
        <v>7275</v>
      </c>
      <c r="E631" s="2">
        <f ca="1">IFERROR(__xludf.DUMMYFUNCTION("""COMPUTED_VALUE"""),7300)</f>
        <v>7300</v>
      </c>
      <c r="F631" s="2">
        <f ca="1">IFERROR(__xludf.DUMMYFUNCTION("""COMPUTED_VALUE"""),18550200)</f>
        <v>18550200</v>
      </c>
    </row>
    <row r="632" spans="1:6">
      <c r="A632" s="1">
        <f ca="1">IFERROR(__xludf.DUMMYFUNCTION("""COMPUTED_VALUE"""),42962.625)</f>
        <v>42962.625</v>
      </c>
      <c r="B632" s="2">
        <f ca="1">IFERROR(__xludf.DUMMYFUNCTION("""COMPUTED_VALUE"""),7350)</f>
        <v>7350</v>
      </c>
      <c r="C632" s="2">
        <f ca="1">IFERROR(__xludf.DUMMYFUNCTION("""COMPUTED_VALUE"""),7450)</f>
        <v>7450</v>
      </c>
      <c r="D632" s="2">
        <f ca="1">IFERROR(__xludf.DUMMYFUNCTION("""COMPUTED_VALUE"""),7325)</f>
        <v>7325</v>
      </c>
      <c r="E632" s="2">
        <f ca="1">IFERROR(__xludf.DUMMYFUNCTION("""COMPUTED_VALUE"""),7400)</f>
        <v>7400</v>
      </c>
      <c r="F632" s="2">
        <f ca="1">IFERROR(__xludf.DUMMYFUNCTION("""COMPUTED_VALUE"""),20904100)</f>
        <v>20904100</v>
      </c>
    </row>
    <row r="633" spans="1:6">
      <c r="A633" s="1">
        <f ca="1">IFERROR(__xludf.DUMMYFUNCTION("""COMPUTED_VALUE"""),42963.625)</f>
        <v>42963.625</v>
      </c>
      <c r="B633" s="2">
        <f ca="1">IFERROR(__xludf.DUMMYFUNCTION("""COMPUTED_VALUE"""),7450)</f>
        <v>7450</v>
      </c>
      <c r="C633" s="2">
        <f ca="1">IFERROR(__xludf.DUMMYFUNCTION("""COMPUTED_VALUE"""),7450)</f>
        <v>7450</v>
      </c>
      <c r="D633" s="2">
        <f ca="1">IFERROR(__xludf.DUMMYFUNCTION("""COMPUTED_VALUE"""),7325)</f>
        <v>7325</v>
      </c>
      <c r="E633" s="2">
        <f ca="1">IFERROR(__xludf.DUMMYFUNCTION("""COMPUTED_VALUE"""),7400)</f>
        <v>7400</v>
      </c>
      <c r="F633" s="2">
        <f ca="1">IFERROR(__xludf.DUMMYFUNCTION("""COMPUTED_VALUE"""),17417000)</f>
        <v>17417000</v>
      </c>
    </row>
    <row r="634" spans="1:6">
      <c r="A634" s="1">
        <f ca="1">IFERROR(__xludf.DUMMYFUNCTION("""COMPUTED_VALUE"""),42965.625)</f>
        <v>42965.625</v>
      </c>
      <c r="B634" s="2">
        <f ca="1">IFERROR(__xludf.DUMMYFUNCTION("""COMPUTED_VALUE"""),7350)</f>
        <v>7350</v>
      </c>
      <c r="C634" s="2">
        <f ca="1">IFERROR(__xludf.DUMMYFUNCTION("""COMPUTED_VALUE"""),7450)</f>
        <v>7450</v>
      </c>
      <c r="D634" s="2">
        <f ca="1">IFERROR(__xludf.DUMMYFUNCTION("""COMPUTED_VALUE"""),7325)</f>
        <v>7325</v>
      </c>
      <c r="E634" s="2">
        <f ca="1">IFERROR(__xludf.DUMMYFUNCTION("""COMPUTED_VALUE"""),7400)</f>
        <v>7400</v>
      </c>
      <c r="F634" s="2">
        <f ca="1">IFERROR(__xludf.DUMMYFUNCTION("""COMPUTED_VALUE"""),25229800)</f>
        <v>25229800</v>
      </c>
    </row>
    <row r="635" spans="1:6">
      <c r="A635" s="1">
        <f ca="1">IFERROR(__xludf.DUMMYFUNCTION("""COMPUTED_VALUE"""),42968.625)</f>
        <v>42968.625</v>
      </c>
      <c r="B635" s="2">
        <f ca="1">IFERROR(__xludf.DUMMYFUNCTION("""COMPUTED_VALUE"""),7425)</f>
        <v>7425</v>
      </c>
      <c r="C635" s="2">
        <f ca="1">IFERROR(__xludf.DUMMYFUNCTION("""COMPUTED_VALUE"""),7450)</f>
        <v>7450</v>
      </c>
      <c r="D635" s="2">
        <f ca="1">IFERROR(__xludf.DUMMYFUNCTION("""COMPUTED_VALUE"""),7350)</f>
        <v>7350</v>
      </c>
      <c r="E635" s="2">
        <f ca="1">IFERROR(__xludf.DUMMYFUNCTION("""COMPUTED_VALUE"""),7400)</f>
        <v>7400</v>
      </c>
      <c r="F635" s="2">
        <f ca="1">IFERROR(__xludf.DUMMYFUNCTION("""COMPUTED_VALUE"""),17839500)</f>
        <v>17839500</v>
      </c>
    </row>
    <row r="636" spans="1:6">
      <c r="A636" s="1">
        <f ca="1">IFERROR(__xludf.DUMMYFUNCTION("""COMPUTED_VALUE"""),42969.625)</f>
        <v>42969.625</v>
      </c>
      <c r="B636" s="2">
        <f ca="1">IFERROR(__xludf.DUMMYFUNCTION("""COMPUTED_VALUE"""),7325)</f>
        <v>7325</v>
      </c>
      <c r="C636" s="2">
        <f ca="1">IFERROR(__xludf.DUMMYFUNCTION("""COMPUTED_VALUE"""),7400)</f>
        <v>7400</v>
      </c>
      <c r="D636" s="2">
        <f ca="1">IFERROR(__xludf.DUMMYFUNCTION("""COMPUTED_VALUE"""),7325)</f>
        <v>7325</v>
      </c>
      <c r="E636" s="2">
        <f ca="1">IFERROR(__xludf.DUMMYFUNCTION("""COMPUTED_VALUE"""),7400)</f>
        <v>7400</v>
      </c>
      <c r="F636" s="2">
        <f ca="1">IFERROR(__xludf.DUMMYFUNCTION("""COMPUTED_VALUE"""),15940400)</f>
        <v>15940400</v>
      </c>
    </row>
    <row r="637" spans="1:6">
      <c r="A637" s="1">
        <f ca="1">IFERROR(__xludf.DUMMYFUNCTION("""COMPUTED_VALUE"""),42970.625)</f>
        <v>42970.625</v>
      </c>
      <c r="B637" s="2">
        <f ca="1">IFERROR(__xludf.DUMMYFUNCTION("""COMPUTED_VALUE"""),7425)</f>
        <v>7425</v>
      </c>
      <c r="C637" s="2">
        <f ca="1">IFERROR(__xludf.DUMMYFUNCTION("""COMPUTED_VALUE"""),7450)</f>
        <v>7450</v>
      </c>
      <c r="D637" s="2">
        <f ca="1">IFERROR(__xludf.DUMMYFUNCTION("""COMPUTED_VALUE"""),7325)</f>
        <v>7325</v>
      </c>
      <c r="E637" s="2">
        <f ca="1">IFERROR(__xludf.DUMMYFUNCTION("""COMPUTED_VALUE"""),7400)</f>
        <v>7400</v>
      </c>
      <c r="F637" s="2">
        <f ca="1">IFERROR(__xludf.DUMMYFUNCTION("""COMPUTED_VALUE"""),10486200)</f>
        <v>10486200</v>
      </c>
    </row>
    <row r="638" spans="1:6">
      <c r="A638" s="1">
        <f ca="1">IFERROR(__xludf.DUMMYFUNCTION("""COMPUTED_VALUE"""),42971.625)</f>
        <v>42971.625</v>
      </c>
      <c r="B638" s="2">
        <f ca="1">IFERROR(__xludf.DUMMYFUNCTION("""COMPUTED_VALUE"""),7450)</f>
        <v>7450</v>
      </c>
      <c r="C638" s="2">
        <f ca="1">IFERROR(__xludf.DUMMYFUNCTION("""COMPUTED_VALUE"""),7450)</f>
        <v>7450</v>
      </c>
      <c r="D638" s="2">
        <f ca="1">IFERROR(__xludf.DUMMYFUNCTION("""COMPUTED_VALUE"""),7375)</f>
        <v>7375</v>
      </c>
      <c r="E638" s="2">
        <f ca="1">IFERROR(__xludf.DUMMYFUNCTION("""COMPUTED_VALUE"""),7425)</f>
        <v>7425</v>
      </c>
      <c r="F638" s="2">
        <f ca="1">IFERROR(__xludf.DUMMYFUNCTION("""COMPUTED_VALUE"""),14525700)</f>
        <v>14525700</v>
      </c>
    </row>
    <row r="639" spans="1:6">
      <c r="A639" s="1">
        <f ca="1">IFERROR(__xludf.DUMMYFUNCTION("""COMPUTED_VALUE"""),42972.625)</f>
        <v>42972.625</v>
      </c>
      <c r="B639" s="2">
        <f ca="1">IFERROR(__xludf.DUMMYFUNCTION("""COMPUTED_VALUE"""),7450)</f>
        <v>7450</v>
      </c>
      <c r="C639" s="2">
        <f ca="1">IFERROR(__xludf.DUMMYFUNCTION("""COMPUTED_VALUE"""),7450)</f>
        <v>7450</v>
      </c>
      <c r="D639" s="2">
        <f ca="1">IFERROR(__xludf.DUMMYFUNCTION("""COMPUTED_VALUE"""),7350)</f>
        <v>7350</v>
      </c>
      <c r="E639" s="2">
        <f ca="1">IFERROR(__xludf.DUMMYFUNCTION("""COMPUTED_VALUE"""),7425)</f>
        <v>7425</v>
      </c>
      <c r="F639" s="2">
        <f ca="1">IFERROR(__xludf.DUMMYFUNCTION("""COMPUTED_VALUE"""),7928400)</f>
        <v>7928400</v>
      </c>
    </row>
    <row r="640" spans="1:6">
      <c r="A640" s="1">
        <f ca="1">IFERROR(__xludf.DUMMYFUNCTION("""COMPUTED_VALUE"""),42975.625)</f>
        <v>42975.625</v>
      </c>
      <c r="B640" s="2">
        <f ca="1">IFERROR(__xludf.DUMMYFUNCTION("""COMPUTED_VALUE"""),7375)</f>
        <v>7375</v>
      </c>
      <c r="C640" s="2">
        <f ca="1">IFERROR(__xludf.DUMMYFUNCTION("""COMPUTED_VALUE"""),7425)</f>
        <v>7425</v>
      </c>
      <c r="D640" s="2">
        <f ca="1">IFERROR(__xludf.DUMMYFUNCTION("""COMPUTED_VALUE"""),7350)</f>
        <v>7350</v>
      </c>
      <c r="E640" s="2">
        <f ca="1">IFERROR(__xludf.DUMMYFUNCTION("""COMPUTED_VALUE"""),7375)</f>
        <v>7375</v>
      </c>
      <c r="F640" s="2">
        <f ca="1">IFERROR(__xludf.DUMMYFUNCTION("""COMPUTED_VALUE"""),7030100)</f>
        <v>7030100</v>
      </c>
    </row>
    <row r="641" spans="1:6">
      <c r="A641" s="1">
        <f ca="1">IFERROR(__xludf.DUMMYFUNCTION("""COMPUTED_VALUE"""),42976.625)</f>
        <v>42976.625</v>
      </c>
      <c r="B641" s="2">
        <f ca="1">IFERROR(__xludf.DUMMYFUNCTION("""COMPUTED_VALUE"""),7400)</f>
        <v>7400</v>
      </c>
      <c r="C641" s="2">
        <f ca="1">IFERROR(__xludf.DUMMYFUNCTION("""COMPUTED_VALUE"""),7400)</f>
        <v>7400</v>
      </c>
      <c r="D641" s="2">
        <f ca="1">IFERROR(__xludf.DUMMYFUNCTION("""COMPUTED_VALUE"""),7300)</f>
        <v>7300</v>
      </c>
      <c r="E641" s="2">
        <f ca="1">IFERROR(__xludf.DUMMYFUNCTION("""COMPUTED_VALUE"""),7350)</f>
        <v>7350</v>
      </c>
      <c r="F641" s="2">
        <f ca="1">IFERROR(__xludf.DUMMYFUNCTION("""COMPUTED_VALUE"""),14493000)</f>
        <v>14493000</v>
      </c>
    </row>
    <row r="642" spans="1:6">
      <c r="A642" s="1">
        <f ca="1">IFERROR(__xludf.DUMMYFUNCTION("""COMPUTED_VALUE"""),42977.625)</f>
        <v>42977.625</v>
      </c>
      <c r="B642" s="2">
        <f ca="1">IFERROR(__xludf.DUMMYFUNCTION("""COMPUTED_VALUE"""),7300)</f>
        <v>7300</v>
      </c>
      <c r="C642" s="2">
        <f ca="1">IFERROR(__xludf.DUMMYFUNCTION("""COMPUTED_VALUE"""),7375)</f>
        <v>7375</v>
      </c>
      <c r="D642" s="2">
        <f ca="1">IFERROR(__xludf.DUMMYFUNCTION("""COMPUTED_VALUE"""),7250)</f>
        <v>7250</v>
      </c>
      <c r="E642" s="2">
        <f ca="1">IFERROR(__xludf.DUMMYFUNCTION("""COMPUTED_VALUE"""),7350)</f>
        <v>7350</v>
      </c>
      <c r="F642" s="2">
        <f ca="1">IFERROR(__xludf.DUMMYFUNCTION("""COMPUTED_VALUE"""),17129100)</f>
        <v>17129100</v>
      </c>
    </row>
    <row r="643" spans="1:6">
      <c r="A643" s="1">
        <f ca="1">IFERROR(__xludf.DUMMYFUNCTION("""COMPUTED_VALUE"""),42978.625)</f>
        <v>42978.625</v>
      </c>
      <c r="B643" s="2">
        <f ca="1">IFERROR(__xludf.DUMMYFUNCTION("""COMPUTED_VALUE"""),7300)</f>
        <v>7300</v>
      </c>
      <c r="C643" s="2">
        <f ca="1">IFERROR(__xludf.DUMMYFUNCTION("""COMPUTED_VALUE"""),7375)</f>
        <v>7375</v>
      </c>
      <c r="D643" s="2">
        <f ca="1">IFERROR(__xludf.DUMMYFUNCTION("""COMPUTED_VALUE"""),7300)</f>
        <v>7300</v>
      </c>
      <c r="E643" s="2">
        <f ca="1">IFERROR(__xludf.DUMMYFUNCTION("""COMPUTED_VALUE"""),7350)</f>
        <v>7350</v>
      </c>
      <c r="F643" s="2">
        <f ca="1">IFERROR(__xludf.DUMMYFUNCTION("""COMPUTED_VALUE"""),9691300)</f>
        <v>9691300</v>
      </c>
    </row>
    <row r="644" spans="1:6">
      <c r="A644" s="1">
        <f ca="1">IFERROR(__xludf.DUMMYFUNCTION("""COMPUTED_VALUE"""),42982.625)</f>
        <v>42982.625</v>
      </c>
      <c r="B644" s="2">
        <f ca="1">IFERROR(__xludf.DUMMYFUNCTION("""COMPUTED_VALUE"""),7300)</f>
        <v>7300</v>
      </c>
      <c r="C644" s="2">
        <f ca="1">IFERROR(__xludf.DUMMYFUNCTION("""COMPUTED_VALUE"""),7325)</f>
        <v>7325</v>
      </c>
      <c r="D644" s="2">
        <f ca="1">IFERROR(__xludf.DUMMYFUNCTION("""COMPUTED_VALUE"""),7125)</f>
        <v>7125</v>
      </c>
      <c r="E644" s="2">
        <f ca="1">IFERROR(__xludf.DUMMYFUNCTION("""COMPUTED_VALUE"""),7200)</f>
        <v>7200</v>
      </c>
      <c r="F644" s="2">
        <f ca="1">IFERROR(__xludf.DUMMYFUNCTION("""COMPUTED_VALUE"""),10732400)</f>
        <v>10732400</v>
      </c>
    </row>
    <row r="645" spans="1:6">
      <c r="A645" s="1">
        <f ca="1">IFERROR(__xludf.DUMMYFUNCTION("""COMPUTED_VALUE"""),42983.625)</f>
        <v>42983.625</v>
      </c>
      <c r="B645" s="2">
        <f ca="1">IFERROR(__xludf.DUMMYFUNCTION("""COMPUTED_VALUE"""),7200)</f>
        <v>7200</v>
      </c>
      <c r="C645" s="2">
        <f ca="1">IFERROR(__xludf.DUMMYFUNCTION("""COMPUTED_VALUE"""),7225)</f>
        <v>7225</v>
      </c>
      <c r="D645" s="2">
        <f ca="1">IFERROR(__xludf.DUMMYFUNCTION("""COMPUTED_VALUE"""),7075)</f>
        <v>7075</v>
      </c>
      <c r="E645" s="2">
        <f ca="1">IFERROR(__xludf.DUMMYFUNCTION("""COMPUTED_VALUE"""),7225)</f>
        <v>7225</v>
      </c>
      <c r="F645" s="2">
        <f ca="1">IFERROR(__xludf.DUMMYFUNCTION("""COMPUTED_VALUE"""),10532100)</f>
        <v>10532100</v>
      </c>
    </row>
    <row r="646" spans="1:6">
      <c r="A646" s="1">
        <f ca="1">IFERROR(__xludf.DUMMYFUNCTION("""COMPUTED_VALUE"""),42984.625)</f>
        <v>42984.625</v>
      </c>
      <c r="B646" s="2">
        <f ca="1">IFERROR(__xludf.DUMMYFUNCTION("""COMPUTED_VALUE"""),7150)</f>
        <v>7150</v>
      </c>
      <c r="C646" s="2">
        <f ca="1">IFERROR(__xludf.DUMMYFUNCTION("""COMPUTED_VALUE"""),7250)</f>
        <v>7250</v>
      </c>
      <c r="D646" s="2">
        <f ca="1">IFERROR(__xludf.DUMMYFUNCTION("""COMPUTED_VALUE"""),7075)</f>
        <v>7075</v>
      </c>
      <c r="E646" s="2">
        <f ca="1">IFERROR(__xludf.DUMMYFUNCTION("""COMPUTED_VALUE"""),7200)</f>
        <v>7200</v>
      </c>
      <c r="F646" s="2">
        <f ca="1">IFERROR(__xludf.DUMMYFUNCTION("""COMPUTED_VALUE"""),17864100)</f>
        <v>17864100</v>
      </c>
    </row>
    <row r="647" spans="1:6">
      <c r="A647" s="1">
        <f ca="1">IFERROR(__xludf.DUMMYFUNCTION("""COMPUTED_VALUE"""),42985.625)</f>
        <v>42985.625</v>
      </c>
      <c r="B647" s="2">
        <f ca="1">IFERROR(__xludf.DUMMYFUNCTION("""COMPUTED_VALUE"""),7150)</f>
        <v>7150</v>
      </c>
      <c r="C647" s="2">
        <f ca="1">IFERROR(__xludf.DUMMYFUNCTION("""COMPUTED_VALUE"""),7300)</f>
        <v>7300</v>
      </c>
      <c r="D647" s="2">
        <f ca="1">IFERROR(__xludf.DUMMYFUNCTION("""COMPUTED_VALUE"""),7125)</f>
        <v>7125</v>
      </c>
      <c r="E647" s="2">
        <f ca="1">IFERROR(__xludf.DUMMYFUNCTION("""COMPUTED_VALUE"""),7300)</f>
        <v>7300</v>
      </c>
      <c r="F647" s="2">
        <f ca="1">IFERROR(__xludf.DUMMYFUNCTION("""COMPUTED_VALUE"""),14408300)</f>
        <v>14408300</v>
      </c>
    </row>
    <row r="648" spans="1:6">
      <c r="A648" s="1">
        <f ca="1">IFERROR(__xludf.DUMMYFUNCTION("""COMPUTED_VALUE"""),42986.625)</f>
        <v>42986.625</v>
      </c>
      <c r="B648" s="2">
        <f ca="1">IFERROR(__xludf.DUMMYFUNCTION("""COMPUTED_VALUE"""),7150)</f>
        <v>7150</v>
      </c>
      <c r="C648" s="2">
        <f ca="1">IFERROR(__xludf.DUMMYFUNCTION("""COMPUTED_VALUE"""),7275)</f>
        <v>7275</v>
      </c>
      <c r="D648" s="2">
        <f ca="1">IFERROR(__xludf.DUMMYFUNCTION("""COMPUTED_VALUE"""),7150)</f>
        <v>7150</v>
      </c>
      <c r="E648" s="2">
        <f ca="1">IFERROR(__xludf.DUMMYFUNCTION("""COMPUTED_VALUE"""),7225)</f>
        <v>7225</v>
      </c>
      <c r="F648" s="2">
        <f ca="1">IFERROR(__xludf.DUMMYFUNCTION("""COMPUTED_VALUE"""),17045400)</f>
        <v>17045400</v>
      </c>
    </row>
    <row r="649" spans="1:6">
      <c r="A649" s="1">
        <f ca="1">IFERROR(__xludf.DUMMYFUNCTION("""COMPUTED_VALUE"""),42989.625)</f>
        <v>42989.625</v>
      </c>
      <c r="B649" s="2">
        <f ca="1">IFERROR(__xludf.DUMMYFUNCTION("""COMPUTED_VALUE"""),7200)</f>
        <v>7200</v>
      </c>
      <c r="C649" s="2">
        <f ca="1">IFERROR(__xludf.DUMMYFUNCTION("""COMPUTED_VALUE"""),7250)</f>
        <v>7250</v>
      </c>
      <c r="D649" s="2">
        <f ca="1">IFERROR(__xludf.DUMMYFUNCTION("""COMPUTED_VALUE"""),7200)</f>
        <v>7200</v>
      </c>
      <c r="E649" s="2">
        <f ca="1">IFERROR(__xludf.DUMMYFUNCTION("""COMPUTED_VALUE"""),7225)</f>
        <v>7225</v>
      </c>
      <c r="F649" s="2">
        <f ca="1">IFERROR(__xludf.DUMMYFUNCTION("""COMPUTED_VALUE"""),5363900)</f>
        <v>5363900</v>
      </c>
    </row>
    <row r="650" spans="1:6">
      <c r="A650" s="1">
        <f ca="1">IFERROR(__xludf.DUMMYFUNCTION("""COMPUTED_VALUE"""),42990.625)</f>
        <v>42990.625</v>
      </c>
      <c r="B650" s="2">
        <f ca="1">IFERROR(__xludf.DUMMYFUNCTION("""COMPUTED_VALUE"""),7275)</f>
        <v>7275</v>
      </c>
      <c r="C650" s="2">
        <f ca="1">IFERROR(__xludf.DUMMYFUNCTION("""COMPUTED_VALUE"""),7275)</f>
        <v>7275</v>
      </c>
      <c r="D650" s="2">
        <f ca="1">IFERROR(__xludf.DUMMYFUNCTION("""COMPUTED_VALUE"""),7200)</f>
        <v>7200</v>
      </c>
      <c r="E650" s="2">
        <f ca="1">IFERROR(__xludf.DUMMYFUNCTION("""COMPUTED_VALUE"""),7250)</f>
        <v>7250</v>
      </c>
      <c r="F650" s="2">
        <f ca="1">IFERROR(__xludf.DUMMYFUNCTION("""COMPUTED_VALUE"""),27560800)</f>
        <v>27560800</v>
      </c>
    </row>
    <row r="651" spans="1:6">
      <c r="A651" s="1">
        <f ca="1">IFERROR(__xludf.DUMMYFUNCTION("""COMPUTED_VALUE"""),42991.625)</f>
        <v>42991.625</v>
      </c>
      <c r="B651" s="2">
        <f ca="1">IFERROR(__xludf.DUMMYFUNCTION("""COMPUTED_VALUE"""),7200)</f>
        <v>7200</v>
      </c>
      <c r="C651" s="2">
        <f ca="1">IFERROR(__xludf.DUMMYFUNCTION("""COMPUTED_VALUE"""),7275)</f>
        <v>7275</v>
      </c>
      <c r="D651" s="2">
        <f ca="1">IFERROR(__xludf.DUMMYFUNCTION("""COMPUTED_VALUE"""),7200)</f>
        <v>7200</v>
      </c>
      <c r="E651" s="2">
        <f ca="1">IFERROR(__xludf.DUMMYFUNCTION("""COMPUTED_VALUE"""),7250)</f>
        <v>7250</v>
      </c>
      <c r="F651" s="2">
        <f ca="1">IFERROR(__xludf.DUMMYFUNCTION("""COMPUTED_VALUE"""),7880000)</f>
        <v>7880000</v>
      </c>
    </row>
    <row r="652" spans="1:6">
      <c r="A652" s="1">
        <f ca="1">IFERROR(__xludf.DUMMYFUNCTION("""COMPUTED_VALUE"""),42992.625)</f>
        <v>42992.625</v>
      </c>
      <c r="B652" s="2">
        <f ca="1">IFERROR(__xludf.DUMMYFUNCTION("""COMPUTED_VALUE"""),7250)</f>
        <v>7250</v>
      </c>
      <c r="C652" s="2">
        <f ca="1">IFERROR(__xludf.DUMMYFUNCTION("""COMPUTED_VALUE"""),7250)</f>
        <v>7250</v>
      </c>
      <c r="D652" s="2">
        <f ca="1">IFERROR(__xludf.DUMMYFUNCTION("""COMPUTED_VALUE"""),7175)</f>
        <v>7175</v>
      </c>
      <c r="E652" s="2">
        <f ca="1">IFERROR(__xludf.DUMMYFUNCTION("""COMPUTED_VALUE"""),7250)</f>
        <v>7250</v>
      </c>
      <c r="F652" s="2">
        <f ca="1">IFERROR(__xludf.DUMMYFUNCTION("""COMPUTED_VALUE"""),11041600)</f>
        <v>11041600</v>
      </c>
    </row>
    <row r="653" spans="1:6">
      <c r="A653" s="1">
        <f ca="1">IFERROR(__xludf.DUMMYFUNCTION("""COMPUTED_VALUE"""),42993.625)</f>
        <v>42993.625</v>
      </c>
      <c r="B653" s="2">
        <f ca="1">IFERROR(__xludf.DUMMYFUNCTION("""COMPUTED_VALUE"""),7175)</f>
        <v>7175</v>
      </c>
      <c r="C653" s="2">
        <f ca="1">IFERROR(__xludf.DUMMYFUNCTION("""COMPUTED_VALUE"""),7300)</f>
        <v>7300</v>
      </c>
      <c r="D653" s="2">
        <f ca="1">IFERROR(__xludf.DUMMYFUNCTION("""COMPUTED_VALUE"""),7175)</f>
        <v>7175</v>
      </c>
      <c r="E653" s="2">
        <f ca="1">IFERROR(__xludf.DUMMYFUNCTION("""COMPUTED_VALUE"""),7275)</f>
        <v>7275</v>
      </c>
      <c r="F653" s="2">
        <f ca="1">IFERROR(__xludf.DUMMYFUNCTION("""COMPUTED_VALUE"""),29020500)</f>
        <v>29020500</v>
      </c>
    </row>
    <row r="654" spans="1:6">
      <c r="A654" s="1">
        <f ca="1">IFERROR(__xludf.DUMMYFUNCTION("""COMPUTED_VALUE"""),42996.625)</f>
        <v>42996.625</v>
      </c>
      <c r="B654" s="2">
        <f ca="1">IFERROR(__xludf.DUMMYFUNCTION("""COMPUTED_VALUE"""),7300)</f>
        <v>7300</v>
      </c>
      <c r="C654" s="2">
        <f ca="1">IFERROR(__xludf.DUMMYFUNCTION("""COMPUTED_VALUE"""),7300)</f>
        <v>7300</v>
      </c>
      <c r="D654" s="2">
        <f ca="1">IFERROR(__xludf.DUMMYFUNCTION("""COMPUTED_VALUE"""),7225)</f>
        <v>7225</v>
      </c>
      <c r="E654" s="2">
        <f ca="1">IFERROR(__xludf.DUMMYFUNCTION("""COMPUTED_VALUE"""),7250)</f>
        <v>7250</v>
      </c>
      <c r="F654" s="2">
        <f ca="1">IFERROR(__xludf.DUMMYFUNCTION("""COMPUTED_VALUE"""),18206600)</f>
        <v>18206600</v>
      </c>
    </row>
    <row r="655" spans="1:6">
      <c r="A655" s="1">
        <f ca="1">IFERROR(__xludf.DUMMYFUNCTION("""COMPUTED_VALUE"""),42997.625)</f>
        <v>42997.625</v>
      </c>
      <c r="B655" s="2">
        <f ca="1">IFERROR(__xludf.DUMMYFUNCTION("""COMPUTED_VALUE"""),7275)</f>
        <v>7275</v>
      </c>
      <c r="C655" s="2">
        <f ca="1">IFERROR(__xludf.DUMMYFUNCTION("""COMPUTED_VALUE"""),7350)</f>
        <v>7350</v>
      </c>
      <c r="D655" s="2">
        <f ca="1">IFERROR(__xludf.DUMMYFUNCTION("""COMPUTED_VALUE"""),7250)</f>
        <v>7250</v>
      </c>
      <c r="E655" s="2">
        <f ca="1">IFERROR(__xludf.DUMMYFUNCTION("""COMPUTED_VALUE"""),7350)</f>
        <v>7350</v>
      </c>
      <c r="F655" s="2">
        <f ca="1">IFERROR(__xludf.DUMMYFUNCTION("""COMPUTED_VALUE"""),11025700)</f>
        <v>11025700</v>
      </c>
    </row>
    <row r="656" spans="1:6">
      <c r="A656" s="1">
        <f ca="1">IFERROR(__xludf.DUMMYFUNCTION("""COMPUTED_VALUE"""),42998.625)</f>
        <v>42998.625</v>
      </c>
      <c r="B656" s="2">
        <f ca="1">IFERROR(__xludf.DUMMYFUNCTION("""COMPUTED_VALUE"""),7350)</f>
        <v>7350</v>
      </c>
      <c r="C656" s="2">
        <f ca="1">IFERROR(__xludf.DUMMYFUNCTION("""COMPUTED_VALUE"""),7375)</f>
        <v>7375</v>
      </c>
      <c r="D656" s="2">
        <f ca="1">IFERROR(__xludf.DUMMYFUNCTION("""COMPUTED_VALUE"""),7300)</f>
        <v>7300</v>
      </c>
      <c r="E656" s="2">
        <f ca="1">IFERROR(__xludf.DUMMYFUNCTION("""COMPUTED_VALUE"""),7375)</f>
        <v>7375</v>
      </c>
      <c r="F656" s="2">
        <f ca="1">IFERROR(__xludf.DUMMYFUNCTION("""COMPUTED_VALUE"""),12465900)</f>
        <v>12465900</v>
      </c>
    </row>
    <row r="657" spans="1:6">
      <c r="A657" s="1">
        <f ca="1">IFERROR(__xludf.DUMMYFUNCTION("""COMPUTED_VALUE"""),43000.625)</f>
        <v>43000.625</v>
      </c>
      <c r="B657" s="2">
        <f ca="1">IFERROR(__xludf.DUMMYFUNCTION("""COMPUTED_VALUE"""),7375)</f>
        <v>7375</v>
      </c>
      <c r="C657" s="2">
        <f ca="1">IFERROR(__xludf.DUMMYFUNCTION("""COMPUTED_VALUE"""),7500)</f>
        <v>7500</v>
      </c>
      <c r="D657" s="2">
        <f ca="1">IFERROR(__xludf.DUMMYFUNCTION("""COMPUTED_VALUE"""),7325)</f>
        <v>7325</v>
      </c>
      <c r="E657" s="2">
        <f ca="1">IFERROR(__xludf.DUMMYFUNCTION("""COMPUTED_VALUE"""),7475)</f>
        <v>7475</v>
      </c>
      <c r="F657" s="2">
        <f ca="1">IFERROR(__xludf.DUMMYFUNCTION("""COMPUTED_VALUE"""),27785400)</f>
        <v>27785400</v>
      </c>
    </row>
    <row r="658" spans="1:6">
      <c r="A658" s="1">
        <f ca="1">IFERROR(__xludf.DUMMYFUNCTION("""COMPUTED_VALUE"""),43003.625)</f>
        <v>43003.625</v>
      </c>
      <c r="B658" s="2">
        <f ca="1">IFERROR(__xludf.DUMMYFUNCTION("""COMPUTED_VALUE"""),7500)</f>
        <v>7500</v>
      </c>
      <c r="C658" s="2">
        <f ca="1">IFERROR(__xludf.DUMMYFUNCTION("""COMPUTED_VALUE"""),7575)</f>
        <v>7575</v>
      </c>
      <c r="D658" s="2">
        <f ca="1">IFERROR(__xludf.DUMMYFUNCTION("""COMPUTED_VALUE"""),7475)</f>
        <v>7475</v>
      </c>
      <c r="E658" s="2">
        <f ca="1">IFERROR(__xludf.DUMMYFUNCTION("""COMPUTED_VALUE"""),7500)</f>
        <v>7500</v>
      </c>
      <c r="F658" s="2">
        <f ca="1">IFERROR(__xludf.DUMMYFUNCTION("""COMPUTED_VALUE"""),9952500)</f>
        <v>9952500</v>
      </c>
    </row>
    <row r="659" spans="1:6">
      <c r="A659" s="1">
        <f ca="1">IFERROR(__xludf.DUMMYFUNCTION("""COMPUTED_VALUE"""),43004.625)</f>
        <v>43004.625</v>
      </c>
      <c r="B659" s="2">
        <f ca="1">IFERROR(__xludf.DUMMYFUNCTION("""COMPUTED_VALUE"""),7575)</f>
        <v>7575</v>
      </c>
      <c r="C659" s="2">
        <f ca="1">IFERROR(__xludf.DUMMYFUNCTION("""COMPUTED_VALUE"""),7575)</f>
        <v>7575</v>
      </c>
      <c r="D659" s="2">
        <f ca="1">IFERROR(__xludf.DUMMYFUNCTION("""COMPUTED_VALUE"""),7400)</f>
        <v>7400</v>
      </c>
      <c r="E659" s="2">
        <f ca="1">IFERROR(__xludf.DUMMYFUNCTION("""COMPUTED_VALUE"""),7400)</f>
        <v>7400</v>
      </c>
      <c r="F659" s="2">
        <f ca="1">IFERROR(__xludf.DUMMYFUNCTION("""COMPUTED_VALUE"""),13410200)</f>
        <v>13410200</v>
      </c>
    </row>
    <row r="660" spans="1:6">
      <c r="A660" s="1">
        <f ca="1">IFERROR(__xludf.DUMMYFUNCTION("""COMPUTED_VALUE"""),43005.625)</f>
        <v>43005.625</v>
      </c>
      <c r="B660" s="2">
        <f ca="1">IFERROR(__xludf.DUMMYFUNCTION("""COMPUTED_VALUE"""),7425)</f>
        <v>7425</v>
      </c>
      <c r="C660" s="2">
        <f ca="1">IFERROR(__xludf.DUMMYFUNCTION("""COMPUTED_VALUE"""),7425)</f>
        <v>7425</v>
      </c>
      <c r="D660" s="2">
        <f ca="1">IFERROR(__xludf.DUMMYFUNCTION("""COMPUTED_VALUE"""),7250)</f>
        <v>7250</v>
      </c>
      <c r="E660" s="2">
        <f ca="1">IFERROR(__xludf.DUMMYFUNCTION("""COMPUTED_VALUE"""),7275)</f>
        <v>7275</v>
      </c>
      <c r="F660" s="2">
        <f ca="1">IFERROR(__xludf.DUMMYFUNCTION("""COMPUTED_VALUE"""),22997800)</f>
        <v>22997800</v>
      </c>
    </row>
    <row r="661" spans="1:6">
      <c r="A661" s="1">
        <f ca="1">IFERROR(__xludf.DUMMYFUNCTION("""COMPUTED_VALUE"""),43006.625)</f>
        <v>43006.625</v>
      </c>
      <c r="B661" s="2">
        <f ca="1">IFERROR(__xludf.DUMMYFUNCTION("""COMPUTED_VALUE"""),7250)</f>
        <v>7250</v>
      </c>
      <c r="C661" s="2">
        <f ca="1">IFERROR(__xludf.DUMMYFUNCTION("""COMPUTED_VALUE"""),7350)</f>
        <v>7350</v>
      </c>
      <c r="D661" s="2">
        <f ca="1">IFERROR(__xludf.DUMMYFUNCTION("""COMPUTED_VALUE"""),7225)</f>
        <v>7225</v>
      </c>
      <c r="E661" s="2">
        <f ca="1">IFERROR(__xludf.DUMMYFUNCTION("""COMPUTED_VALUE"""),7300)</f>
        <v>7300</v>
      </c>
      <c r="F661" s="2">
        <f ca="1">IFERROR(__xludf.DUMMYFUNCTION("""COMPUTED_VALUE"""),15058600)</f>
        <v>15058600</v>
      </c>
    </row>
    <row r="662" spans="1:6">
      <c r="A662" s="1">
        <f ca="1">IFERROR(__xludf.DUMMYFUNCTION("""COMPUTED_VALUE"""),43007.625)</f>
        <v>43007.625</v>
      </c>
      <c r="B662" s="2">
        <f ca="1">IFERROR(__xludf.DUMMYFUNCTION("""COMPUTED_VALUE"""),7350)</f>
        <v>7350</v>
      </c>
      <c r="C662" s="2">
        <f ca="1">IFERROR(__xludf.DUMMYFUNCTION("""COMPUTED_VALUE"""),7450)</f>
        <v>7450</v>
      </c>
      <c r="D662" s="2">
        <f ca="1">IFERROR(__xludf.DUMMYFUNCTION("""COMPUTED_VALUE"""),7325)</f>
        <v>7325</v>
      </c>
      <c r="E662" s="2">
        <f ca="1">IFERROR(__xludf.DUMMYFUNCTION("""COMPUTED_VALUE"""),7400)</f>
        <v>7400</v>
      </c>
      <c r="F662" s="2">
        <f ca="1">IFERROR(__xludf.DUMMYFUNCTION("""COMPUTED_VALUE"""),18413500)</f>
        <v>18413500</v>
      </c>
    </row>
    <row r="663" spans="1:6">
      <c r="A663" s="1">
        <f ca="1">IFERROR(__xludf.DUMMYFUNCTION("""COMPUTED_VALUE"""),43010.625)</f>
        <v>43010.625</v>
      </c>
      <c r="B663" s="2">
        <f ca="1">IFERROR(__xludf.DUMMYFUNCTION("""COMPUTED_VALUE"""),7500)</f>
        <v>7500</v>
      </c>
      <c r="C663" s="2">
        <f ca="1">IFERROR(__xludf.DUMMYFUNCTION("""COMPUTED_VALUE"""),7575)</f>
        <v>7575</v>
      </c>
      <c r="D663" s="2">
        <f ca="1">IFERROR(__xludf.DUMMYFUNCTION("""COMPUTED_VALUE"""),7400)</f>
        <v>7400</v>
      </c>
      <c r="E663" s="2">
        <f ca="1">IFERROR(__xludf.DUMMYFUNCTION("""COMPUTED_VALUE"""),7475)</f>
        <v>7475</v>
      </c>
      <c r="F663" s="2">
        <f ca="1">IFERROR(__xludf.DUMMYFUNCTION("""COMPUTED_VALUE"""),8377100)</f>
        <v>8377100</v>
      </c>
    </row>
    <row r="664" spans="1:6">
      <c r="A664" s="1">
        <f ca="1">IFERROR(__xludf.DUMMYFUNCTION("""COMPUTED_VALUE"""),43011.625)</f>
        <v>43011.625</v>
      </c>
      <c r="B664" s="2">
        <f ca="1">IFERROR(__xludf.DUMMYFUNCTION("""COMPUTED_VALUE"""),7525)</f>
        <v>7525</v>
      </c>
      <c r="C664" s="2">
        <f ca="1">IFERROR(__xludf.DUMMYFUNCTION("""COMPUTED_VALUE"""),7750)</f>
        <v>7750</v>
      </c>
      <c r="D664" s="2">
        <f ca="1">IFERROR(__xludf.DUMMYFUNCTION("""COMPUTED_VALUE"""),7500)</f>
        <v>7500</v>
      </c>
      <c r="E664" s="2">
        <f ca="1">IFERROR(__xludf.DUMMYFUNCTION("""COMPUTED_VALUE"""),7650)</f>
        <v>7650</v>
      </c>
      <c r="F664" s="2">
        <f ca="1">IFERROR(__xludf.DUMMYFUNCTION("""COMPUTED_VALUE"""),22012800)</f>
        <v>22012800</v>
      </c>
    </row>
    <row r="665" spans="1:6">
      <c r="A665" s="1">
        <f ca="1">IFERROR(__xludf.DUMMYFUNCTION("""COMPUTED_VALUE"""),43012.625)</f>
        <v>43012.625</v>
      </c>
      <c r="B665" s="2">
        <f ca="1">IFERROR(__xludf.DUMMYFUNCTION("""COMPUTED_VALUE"""),7700)</f>
        <v>7700</v>
      </c>
      <c r="C665" s="2">
        <f ca="1">IFERROR(__xludf.DUMMYFUNCTION("""COMPUTED_VALUE"""),7700)</f>
        <v>7700</v>
      </c>
      <c r="D665" s="2">
        <f ca="1">IFERROR(__xludf.DUMMYFUNCTION("""COMPUTED_VALUE"""),7575)</f>
        <v>7575</v>
      </c>
      <c r="E665" s="2">
        <f ca="1">IFERROR(__xludf.DUMMYFUNCTION("""COMPUTED_VALUE"""),7625)</f>
        <v>7625</v>
      </c>
      <c r="F665" s="2">
        <f ca="1">IFERROR(__xludf.DUMMYFUNCTION("""COMPUTED_VALUE"""),12089300)</f>
        <v>12089300</v>
      </c>
    </row>
    <row r="666" spans="1:6">
      <c r="A666" s="1">
        <f ca="1">IFERROR(__xludf.DUMMYFUNCTION("""COMPUTED_VALUE"""),43013.625)</f>
        <v>43013.625</v>
      </c>
      <c r="B666" s="2">
        <f ca="1">IFERROR(__xludf.DUMMYFUNCTION("""COMPUTED_VALUE"""),7700)</f>
        <v>7700</v>
      </c>
      <c r="C666" s="2">
        <f ca="1">IFERROR(__xludf.DUMMYFUNCTION("""COMPUTED_VALUE"""),7700)</f>
        <v>7700</v>
      </c>
      <c r="D666" s="2">
        <f ca="1">IFERROR(__xludf.DUMMYFUNCTION("""COMPUTED_VALUE"""),7475)</f>
        <v>7475</v>
      </c>
      <c r="E666" s="2">
        <f ca="1">IFERROR(__xludf.DUMMYFUNCTION("""COMPUTED_VALUE"""),7500)</f>
        <v>7500</v>
      </c>
      <c r="F666" s="2">
        <f ca="1">IFERROR(__xludf.DUMMYFUNCTION("""COMPUTED_VALUE"""),18239900)</f>
        <v>18239900</v>
      </c>
    </row>
    <row r="667" spans="1:6">
      <c r="A667" s="1">
        <f ca="1">IFERROR(__xludf.DUMMYFUNCTION("""COMPUTED_VALUE"""),43014.625)</f>
        <v>43014.625</v>
      </c>
      <c r="B667" s="2">
        <f ca="1">IFERROR(__xludf.DUMMYFUNCTION("""COMPUTED_VALUE"""),7550)</f>
        <v>7550</v>
      </c>
      <c r="C667" s="2">
        <f ca="1">IFERROR(__xludf.DUMMYFUNCTION("""COMPUTED_VALUE"""),7550)</f>
        <v>7550</v>
      </c>
      <c r="D667" s="2">
        <f ca="1">IFERROR(__xludf.DUMMYFUNCTION("""COMPUTED_VALUE"""),7425)</f>
        <v>7425</v>
      </c>
      <c r="E667" s="2">
        <f ca="1">IFERROR(__xludf.DUMMYFUNCTION("""COMPUTED_VALUE"""),7425)</f>
        <v>7425</v>
      </c>
      <c r="F667" s="2">
        <f ca="1">IFERROR(__xludf.DUMMYFUNCTION("""COMPUTED_VALUE"""),11458300)</f>
        <v>11458300</v>
      </c>
    </row>
    <row r="668" spans="1:6">
      <c r="A668" s="1">
        <f ca="1">IFERROR(__xludf.DUMMYFUNCTION("""COMPUTED_VALUE"""),43017.625)</f>
        <v>43017.625</v>
      </c>
      <c r="B668" s="2">
        <f ca="1">IFERROR(__xludf.DUMMYFUNCTION("""COMPUTED_VALUE"""),7525)</f>
        <v>7525</v>
      </c>
      <c r="C668" s="2">
        <f ca="1">IFERROR(__xludf.DUMMYFUNCTION("""COMPUTED_VALUE"""),7525)</f>
        <v>7525</v>
      </c>
      <c r="D668" s="2">
        <f ca="1">IFERROR(__xludf.DUMMYFUNCTION("""COMPUTED_VALUE"""),7350)</f>
        <v>7350</v>
      </c>
      <c r="E668" s="2">
        <f ca="1">IFERROR(__xludf.DUMMYFUNCTION("""COMPUTED_VALUE"""),7375)</f>
        <v>7375</v>
      </c>
      <c r="F668" s="2">
        <f ca="1">IFERROR(__xludf.DUMMYFUNCTION("""COMPUTED_VALUE"""),8293300)</f>
        <v>8293300</v>
      </c>
    </row>
    <row r="669" spans="1:6">
      <c r="A669" s="1">
        <f ca="1">IFERROR(__xludf.DUMMYFUNCTION("""COMPUTED_VALUE"""),43018.625)</f>
        <v>43018.625</v>
      </c>
      <c r="B669" s="2">
        <f ca="1">IFERROR(__xludf.DUMMYFUNCTION("""COMPUTED_VALUE"""),7375)</f>
        <v>7375</v>
      </c>
      <c r="C669" s="2">
        <f ca="1">IFERROR(__xludf.DUMMYFUNCTION("""COMPUTED_VALUE"""),7450)</f>
        <v>7450</v>
      </c>
      <c r="D669" s="2">
        <f ca="1">IFERROR(__xludf.DUMMYFUNCTION("""COMPUTED_VALUE"""),7300)</f>
        <v>7300</v>
      </c>
      <c r="E669" s="2">
        <f ca="1">IFERROR(__xludf.DUMMYFUNCTION("""COMPUTED_VALUE"""),7300)</f>
        <v>7300</v>
      </c>
      <c r="F669" s="2">
        <f ca="1">IFERROR(__xludf.DUMMYFUNCTION("""COMPUTED_VALUE"""),16670000)</f>
        <v>16670000</v>
      </c>
    </row>
    <row r="670" spans="1:6">
      <c r="A670" s="1">
        <f ca="1">IFERROR(__xludf.DUMMYFUNCTION("""COMPUTED_VALUE"""),43019.625)</f>
        <v>43019.625</v>
      </c>
      <c r="B670" s="2">
        <f ca="1">IFERROR(__xludf.DUMMYFUNCTION("""COMPUTED_VALUE"""),7300)</f>
        <v>7300</v>
      </c>
      <c r="C670" s="2">
        <f ca="1">IFERROR(__xludf.DUMMYFUNCTION("""COMPUTED_VALUE"""),7375)</f>
        <v>7375</v>
      </c>
      <c r="D670" s="2">
        <f ca="1">IFERROR(__xludf.DUMMYFUNCTION("""COMPUTED_VALUE"""),7275)</f>
        <v>7275</v>
      </c>
      <c r="E670" s="2">
        <f ca="1">IFERROR(__xludf.DUMMYFUNCTION("""COMPUTED_VALUE"""),7300)</f>
        <v>7300</v>
      </c>
      <c r="F670" s="2">
        <f ca="1">IFERROR(__xludf.DUMMYFUNCTION("""COMPUTED_VALUE"""),19421700)</f>
        <v>19421700</v>
      </c>
    </row>
    <row r="671" spans="1:6">
      <c r="A671" s="1">
        <f ca="1">IFERROR(__xludf.DUMMYFUNCTION("""COMPUTED_VALUE"""),43020.625)</f>
        <v>43020.625</v>
      </c>
      <c r="B671" s="2">
        <f ca="1">IFERROR(__xludf.DUMMYFUNCTION("""COMPUTED_VALUE"""),7350)</f>
        <v>7350</v>
      </c>
      <c r="C671" s="2">
        <f ca="1">IFERROR(__xludf.DUMMYFUNCTION("""COMPUTED_VALUE"""),7550)</f>
        <v>7550</v>
      </c>
      <c r="D671" s="2">
        <f ca="1">IFERROR(__xludf.DUMMYFUNCTION("""COMPUTED_VALUE"""),7300)</f>
        <v>7300</v>
      </c>
      <c r="E671" s="2">
        <f ca="1">IFERROR(__xludf.DUMMYFUNCTION("""COMPUTED_VALUE"""),7500)</f>
        <v>7500</v>
      </c>
      <c r="F671" s="2">
        <f ca="1">IFERROR(__xludf.DUMMYFUNCTION("""COMPUTED_VALUE"""),42201000)</f>
        <v>42201000</v>
      </c>
    </row>
    <row r="672" spans="1:6">
      <c r="A672" s="1">
        <f ca="1">IFERROR(__xludf.DUMMYFUNCTION("""COMPUTED_VALUE"""),43021.625)</f>
        <v>43021.625</v>
      </c>
      <c r="B672" s="2">
        <f ca="1">IFERROR(__xludf.DUMMYFUNCTION("""COMPUTED_VALUE"""),7575)</f>
        <v>7575</v>
      </c>
      <c r="C672" s="2">
        <f ca="1">IFERROR(__xludf.DUMMYFUNCTION("""COMPUTED_VALUE"""),7650)</f>
        <v>7650</v>
      </c>
      <c r="D672" s="2">
        <f ca="1">IFERROR(__xludf.DUMMYFUNCTION("""COMPUTED_VALUE"""),7550)</f>
        <v>7550</v>
      </c>
      <c r="E672" s="2">
        <f ca="1">IFERROR(__xludf.DUMMYFUNCTION("""COMPUTED_VALUE"""),7625)</f>
        <v>7625</v>
      </c>
      <c r="F672" s="2">
        <f ca="1">IFERROR(__xludf.DUMMYFUNCTION("""COMPUTED_VALUE"""),16424800)</f>
        <v>16424800</v>
      </c>
    </row>
    <row r="673" spans="1:6">
      <c r="A673" s="1">
        <f ca="1">IFERROR(__xludf.DUMMYFUNCTION("""COMPUTED_VALUE"""),43024.625)</f>
        <v>43024.625</v>
      </c>
      <c r="B673" s="2">
        <f ca="1">IFERROR(__xludf.DUMMYFUNCTION("""COMPUTED_VALUE"""),7625)</f>
        <v>7625</v>
      </c>
      <c r="C673" s="2">
        <f ca="1">IFERROR(__xludf.DUMMYFUNCTION("""COMPUTED_VALUE"""),7625)</f>
        <v>7625</v>
      </c>
      <c r="D673" s="2">
        <f ca="1">IFERROR(__xludf.DUMMYFUNCTION("""COMPUTED_VALUE"""),7500)</f>
        <v>7500</v>
      </c>
      <c r="E673" s="2">
        <f ca="1">IFERROR(__xludf.DUMMYFUNCTION("""COMPUTED_VALUE"""),7525)</f>
        <v>7525</v>
      </c>
      <c r="F673" s="2">
        <f ca="1">IFERROR(__xludf.DUMMYFUNCTION("""COMPUTED_VALUE"""),15206000)</f>
        <v>15206000</v>
      </c>
    </row>
    <row r="674" spans="1:6">
      <c r="A674" s="1">
        <f ca="1">IFERROR(__xludf.DUMMYFUNCTION("""COMPUTED_VALUE"""),43025.625)</f>
        <v>43025.625</v>
      </c>
      <c r="B674" s="2">
        <f ca="1">IFERROR(__xludf.DUMMYFUNCTION("""COMPUTED_VALUE"""),7575)</f>
        <v>7575</v>
      </c>
      <c r="C674" s="2">
        <f ca="1">IFERROR(__xludf.DUMMYFUNCTION("""COMPUTED_VALUE"""),7600)</f>
        <v>7600</v>
      </c>
      <c r="D674" s="2">
        <f ca="1">IFERROR(__xludf.DUMMYFUNCTION("""COMPUTED_VALUE"""),7500)</f>
        <v>7500</v>
      </c>
      <c r="E674" s="2">
        <f ca="1">IFERROR(__xludf.DUMMYFUNCTION("""COMPUTED_VALUE"""),7550)</f>
        <v>7550</v>
      </c>
      <c r="F674" s="2">
        <f ca="1">IFERROR(__xludf.DUMMYFUNCTION("""COMPUTED_VALUE"""),12337800)</f>
        <v>12337800</v>
      </c>
    </row>
    <row r="675" spans="1:6">
      <c r="A675" s="1">
        <f ca="1">IFERROR(__xludf.DUMMYFUNCTION("""COMPUTED_VALUE"""),43026.625)</f>
        <v>43026.625</v>
      </c>
      <c r="B675" s="2">
        <f ca="1">IFERROR(__xludf.DUMMYFUNCTION("""COMPUTED_VALUE"""),7625)</f>
        <v>7625</v>
      </c>
      <c r="C675" s="2">
        <f ca="1">IFERROR(__xludf.DUMMYFUNCTION("""COMPUTED_VALUE"""),7700)</f>
        <v>7700</v>
      </c>
      <c r="D675" s="2">
        <f ca="1">IFERROR(__xludf.DUMMYFUNCTION("""COMPUTED_VALUE"""),7575)</f>
        <v>7575</v>
      </c>
      <c r="E675" s="2">
        <f ca="1">IFERROR(__xludf.DUMMYFUNCTION("""COMPUTED_VALUE"""),7650)</f>
        <v>7650</v>
      </c>
      <c r="F675" s="2">
        <f ca="1">IFERROR(__xludf.DUMMYFUNCTION("""COMPUTED_VALUE"""),18725600)</f>
        <v>18725600</v>
      </c>
    </row>
    <row r="676" spans="1:6">
      <c r="A676" s="1">
        <f ca="1">IFERROR(__xludf.DUMMYFUNCTION("""COMPUTED_VALUE"""),43027.625)</f>
        <v>43027.625</v>
      </c>
      <c r="B676" s="2">
        <f ca="1">IFERROR(__xludf.DUMMYFUNCTION("""COMPUTED_VALUE"""),7700)</f>
        <v>7700</v>
      </c>
      <c r="C676" s="2">
        <f ca="1">IFERROR(__xludf.DUMMYFUNCTION("""COMPUTED_VALUE"""),7700)</f>
        <v>7700</v>
      </c>
      <c r="D676" s="2">
        <f ca="1">IFERROR(__xludf.DUMMYFUNCTION("""COMPUTED_VALUE"""),7600)</f>
        <v>7600</v>
      </c>
      <c r="E676" s="2">
        <f ca="1">IFERROR(__xludf.DUMMYFUNCTION("""COMPUTED_VALUE"""),7675)</f>
        <v>7675</v>
      </c>
      <c r="F676" s="2">
        <f ca="1">IFERROR(__xludf.DUMMYFUNCTION("""COMPUTED_VALUE"""),13234200)</f>
        <v>13234200</v>
      </c>
    </row>
    <row r="677" spans="1:6">
      <c r="A677" s="1">
        <f ca="1">IFERROR(__xludf.DUMMYFUNCTION("""COMPUTED_VALUE"""),43028.625)</f>
        <v>43028.625</v>
      </c>
      <c r="B677" s="2">
        <f ca="1">IFERROR(__xludf.DUMMYFUNCTION("""COMPUTED_VALUE"""),7650)</f>
        <v>7650</v>
      </c>
      <c r="C677" s="2">
        <f ca="1">IFERROR(__xludf.DUMMYFUNCTION("""COMPUTED_VALUE"""),7675)</f>
        <v>7675</v>
      </c>
      <c r="D677" s="2">
        <f ca="1">IFERROR(__xludf.DUMMYFUNCTION("""COMPUTED_VALUE"""),7575)</f>
        <v>7575</v>
      </c>
      <c r="E677" s="2">
        <f ca="1">IFERROR(__xludf.DUMMYFUNCTION("""COMPUTED_VALUE"""),7650)</f>
        <v>7650</v>
      </c>
      <c r="F677" s="2">
        <f ca="1">IFERROR(__xludf.DUMMYFUNCTION("""COMPUTED_VALUE"""),17590900)</f>
        <v>17590900</v>
      </c>
    </row>
    <row r="678" spans="1:6">
      <c r="A678" s="1">
        <f ca="1">IFERROR(__xludf.DUMMYFUNCTION("""COMPUTED_VALUE"""),43031.625)</f>
        <v>43031.625</v>
      </c>
      <c r="B678" s="2">
        <f ca="1">IFERROR(__xludf.DUMMYFUNCTION("""COMPUTED_VALUE"""),7650)</f>
        <v>7650</v>
      </c>
      <c r="C678" s="2">
        <f ca="1">IFERROR(__xludf.DUMMYFUNCTION("""COMPUTED_VALUE"""),7700)</f>
        <v>7700</v>
      </c>
      <c r="D678" s="2">
        <f ca="1">IFERROR(__xludf.DUMMYFUNCTION("""COMPUTED_VALUE"""),7550)</f>
        <v>7550</v>
      </c>
      <c r="E678" s="2">
        <f ca="1">IFERROR(__xludf.DUMMYFUNCTION("""COMPUTED_VALUE"""),7550)</f>
        <v>7550</v>
      </c>
      <c r="F678" s="2">
        <f ca="1">IFERROR(__xludf.DUMMYFUNCTION("""COMPUTED_VALUE"""),9832400)</f>
        <v>9832400</v>
      </c>
    </row>
    <row r="679" spans="1:6">
      <c r="A679" s="1">
        <f ca="1">IFERROR(__xludf.DUMMYFUNCTION("""COMPUTED_VALUE"""),43032.625)</f>
        <v>43032.625</v>
      </c>
      <c r="B679" s="2">
        <f ca="1">IFERROR(__xludf.DUMMYFUNCTION("""COMPUTED_VALUE"""),7625)</f>
        <v>7625</v>
      </c>
      <c r="C679" s="2">
        <f ca="1">IFERROR(__xludf.DUMMYFUNCTION("""COMPUTED_VALUE"""),7625)</f>
        <v>7625</v>
      </c>
      <c r="D679" s="2">
        <f ca="1">IFERROR(__xludf.DUMMYFUNCTION("""COMPUTED_VALUE"""),7525)</f>
        <v>7525</v>
      </c>
      <c r="E679" s="2">
        <f ca="1">IFERROR(__xludf.DUMMYFUNCTION("""COMPUTED_VALUE"""),7550)</f>
        <v>7550</v>
      </c>
      <c r="F679" s="2">
        <f ca="1">IFERROR(__xludf.DUMMYFUNCTION("""COMPUTED_VALUE"""),14072200)</f>
        <v>14072200</v>
      </c>
    </row>
    <row r="680" spans="1:6">
      <c r="A680" s="1">
        <f ca="1">IFERROR(__xludf.DUMMYFUNCTION("""COMPUTED_VALUE"""),43033.625)</f>
        <v>43033.625</v>
      </c>
      <c r="B680" s="2">
        <f ca="1">IFERROR(__xludf.DUMMYFUNCTION("""COMPUTED_VALUE"""),7600)</f>
        <v>7600</v>
      </c>
      <c r="C680" s="2">
        <f ca="1">IFERROR(__xludf.DUMMYFUNCTION("""COMPUTED_VALUE"""),7650)</f>
        <v>7650</v>
      </c>
      <c r="D680" s="2">
        <f ca="1">IFERROR(__xludf.DUMMYFUNCTION("""COMPUTED_VALUE"""),7525)</f>
        <v>7525</v>
      </c>
      <c r="E680" s="2">
        <f ca="1">IFERROR(__xludf.DUMMYFUNCTION("""COMPUTED_VALUE"""),7600)</f>
        <v>7600</v>
      </c>
      <c r="F680" s="2">
        <f ca="1">IFERROR(__xludf.DUMMYFUNCTION("""COMPUTED_VALUE"""),15742100)</f>
        <v>15742100</v>
      </c>
    </row>
    <row r="681" spans="1:6">
      <c r="A681" s="1">
        <f ca="1">IFERROR(__xludf.DUMMYFUNCTION("""COMPUTED_VALUE"""),43034.625)</f>
        <v>43034.625</v>
      </c>
      <c r="B681" s="2">
        <f ca="1">IFERROR(__xludf.DUMMYFUNCTION("""COMPUTED_VALUE"""),7650)</f>
        <v>7650</v>
      </c>
      <c r="C681" s="2">
        <f ca="1">IFERROR(__xludf.DUMMYFUNCTION("""COMPUTED_VALUE"""),7725)</f>
        <v>7725</v>
      </c>
      <c r="D681" s="2">
        <f ca="1">IFERROR(__xludf.DUMMYFUNCTION("""COMPUTED_VALUE"""),7600)</f>
        <v>7600</v>
      </c>
      <c r="E681" s="2">
        <f ca="1">IFERROR(__xludf.DUMMYFUNCTION("""COMPUTED_VALUE"""),7600)</f>
        <v>7600</v>
      </c>
      <c r="F681" s="2">
        <f ca="1">IFERROR(__xludf.DUMMYFUNCTION("""COMPUTED_VALUE"""),21556100)</f>
        <v>21556100</v>
      </c>
    </row>
    <row r="682" spans="1:6">
      <c r="A682" s="1">
        <f ca="1">IFERROR(__xludf.DUMMYFUNCTION("""COMPUTED_VALUE"""),43035.625)</f>
        <v>43035.625</v>
      </c>
      <c r="B682" s="2">
        <f ca="1">IFERROR(__xludf.DUMMYFUNCTION("""COMPUTED_VALUE"""),7700)</f>
        <v>7700</v>
      </c>
      <c r="C682" s="2">
        <f ca="1">IFERROR(__xludf.DUMMYFUNCTION("""COMPUTED_VALUE"""),7750)</f>
        <v>7750</v>
      </c>
      <c r="D682" s="2">
        <f ca="1">IFERROR(__xludf.DUMMYFUNCTION("""COMPUTED_VALUE"""),7675)</f>
        <v>7675</v>
      </c>
      <c r="E682" s="2">
        <f ca="1">IFERROR(__xludf.DUMMYFUNCTION("""COMPUTED_VALUE"""),7700)</f>
        <v>7700</v>
      </c>
      <c r="F682" s="2">
        <f ca="1">IFERROR(__xludf.DUMMYFUNCTION("""COMPUTED_VALUE"""),25563200)</f>
        <v>25563200</v>
      </c>
    </row>
    <row r="683" spans="1:6">
      <c r="A683" s="1">
        <f ca="1">IFERROR(__xludf.DUMMYFUNCTION("""COMPUTED_VALUE"""),43038.625)</f>
        <v>43038.625</v>
      </c>
      <c r="B683" s="2">
        <f ca="1">IFERROR(__xludf.DUMMYFUNCTION("""COMPUTED_VALUE"""),7750)</f>
        <v>7750</v>
      </c>
      <c r="C683" s="2">
        <f ca="1">IFERROR(__xludf.DUMMYFUNCTION("""COMPUTED_VALUE"""),7750)</f>
        <v>7750</v>
      </c>
      <c r="D683" s="2">
        <f ca="1">IFERROR(__xludf.DUMMYFUNCTION("""COMPUTED_VALUE"""),7600)</f>
        <v>7600</v>
      </c>
      <c r="E683" s="2">
        <f ca="1">IFERROR(__xludf.DUMMYFUNCTION("""COMPUTED_VALUE"""),7600)</f>
        <v>7600</v>
      </c>
      <c r="F683" s="2">
        <f ca="1">IFERROR(__xludf.DUMMYFUNCTION("""COMPUTED_VALUE"""),7654000)</f>
        <v>7654000</v>
      </c>
    </row>
    <row r="684" spans="1:6">
      <c r="A684" s="1">
        <f ca="1">IFERROR(__xludf.DUMMYFUNCTION("""COMPUTED_VALUE"""),43039.625)</f>
        <v>43039.625</v>
      </c>
      <c r="B684" s="2">
        <f ca="1">IFERROR(__xludf.DUMMYFUNCTION("""COMPUTED_VALUE"""),7700)</f>
        <v>7700</v>
      </c>
      <c r="C684" s="2">
        <f ca="1">IFERROR(__xludf.DUMMYFUNCTION("""COMPUTED_VALUE"""),7700)</f>
        <v>7700</v>
      </c>
      <c r="D684" s="2">
        <f ca="1">IFERROR(__xludf.DUMMYFUNCTION("""COMPUTED_VALUE"""),7575)</f>
        <v>7575</v>
      </c>
      <c r="E684" s="2">
        <f ca="1">IFERROR(__xludf.DUMMYFUNCTION("""COMPUTED_VALUE"""),7600)</f>
        <v>7600</v>
      </c>
      <c r="F684" s="2">
        <f ca="1">IFERROR(__xludf.DUMMYFUNCTION("""COMPUTED_VALUE"""),14293100)</f>
        <v>14293100</v>
      </c>
    </row>
    <row r="685" spans="1:6">
      <c r="A685" s="1">
        <f ca="1">IFERROR(__xludf.DUMMYFUNCTION("""COMPUTED_VALUE"""),43040.625)</f>
        <v>43040.625</v>
      </c>
      <c r="B685" s="2">
        <f ca="1">IFERROR(__xludf.DUMMYFUNCTION("""COMPUTED_VALUE"""),7650)</f>
        <v>7650</v>
      </c>
      <c r="C685" s="2">
        <f ca="1">IFERROR(__xludf.DUMMYFUNCTION("""COMPUTED_VALUE"""),7925)</f>
        <v>7925</v>
      </c>
      <c r="D685" s="2">
        <f ca="1">IFERROR(__xludf.DUMMYFUNCTION("""COMPUTED_VALUE"""),7650)</f>
        <v>7650</v>
      </c>
      <c r="E685" s="2">
        <f ca="1">IFERROR(__xludf.DUMMYFUNCTION("""COMPUTED_VALUE"""),7925)</f>
        <v>7925</v>
      </c>
      <c r="F685" s="2">
        <f ca="1">IFERROR(__xludf.DUMMYFUNCTION("""COMPUTED_VALUE"""),33351300)</f>
        <v>33351300</v>
      </c>
    </row>
    <row r="686" spans="1:6">
      <c r="A686" s="1">
        <f ca="1">IFERROR(__xludf.DUMMYFUNCTION("""COMPUTED_VALUE"""),43041.625)</f>
        <v>43041.625</v>
      </c>
      <c r="B686" s="2">
        <f ca="1">IFERROR(__xludf.DUMMYFUNCTION("""COMPUTED_VALUE"""),7925)</f>
        <v>7925</v>
      </c>
      <c r="C686" s="2">
        <f ca="1">IFERROR(__xludf.DUMMYFUNCTION("""COMPUTED_VALUE"""),8000)</f>
        <v>8000</v>
      </c>
      <c r="D686" s="2">
        <f ca="1">IFERROR(__xludf.DUMMYFUNCTION("""COMPUTED_VALUE"""),7825)</f>
        <v>7825</v>
      </c>
      <c r="E686" s="2">
        <f ca="1">IFERROR(__xludf.DUMMYFUNCTION("""COMPUTED_VALUE"""),7825)</f>
        <v>7825</v>
      </c>
      <c r="F686" s="2">
        <f ca="1">IFERROR(__xludf.DUMMYFUNCTION("""COMPUTED_VALUE"""),11481000)</f>
        <v>11481000</v>
      </c>
    </row>
    <row r="687" spans="1:6">
      <c r="A687" s="1">
        <f ca="1">IFERROR(__xludf.DUMMYFUNCTION("""COMPUTED_VALUE"""),43042.625)</f>
        <v>43042.625</v>
      </c>
      <c r="B687" s="2">
        <f ca="1">IFERROR(__xludf.DUMMYFUNCTION("""COMPUTED_VALUE"""),7850)</f>
        <v>7850</v>
      </c>
      <c r="C687" s="2">
        <f ca="1">IFERROR(__xludf.DUMMYFUNCTION("""COMPUTED_VALUE"""),7850)</f>
        <v>7850</v>
      </c>
      <c r="D687" s="2">
        <f ca="1">IFERROR(__xludf.DUMMYFUNCTION("""COMPUTED_VALUE"""),7750)</f>
        <v>7750</v>
      </c>
      <c r="E687" s="2">
        <f ca="1">IFERROR(__xludf.DUMMYFUNCTION("""COMPUTED_VALUE"""),7750)</f>
        <v>7750</v>
      </c>
      <c r="F687" s="2">
        <f ca="1">IFERROR(__xludf.DUMMYFUNCTION("""COMPUTED_VALUE"""),11532100)</f>
        <v>11532100</v>
      </c>
    </row>
    <row r="688" spans="1:6">
      <c r="A688" s="1">
        <f ca="1">IFERROR(__xludf.DUMMYFUNCTION("""COMPUTED_VALUE"""),43045.625)</f>
        <v>43045.625</v>
      </c>
      <c r="B688" s="2">
        <f ca="1">IFERROR(__xludf.DUMMYFUNCTION("""COMPUTED_VALUE"""),7800)</f>
        <v>7800</v>
      </c>
      <c r="C688" s="2">
        <f ca="1">IFERROR(__xludf.DUMMYFUNCTION("""COMPUTED_VALUE"""),7850)</f>
        <v>7850</v>
      </c>
      <c r="D688" s="2">
        <f ca="1">IFERROR(__xludf.DUMMYFUNCTION("""COMPUTED_VALUE"""),7700)</f>
        <v>7700</v>
      </c>
      <c r="E688" s="2">
        <f ca="1">IFERROR(__xludf.DUMMYFUNCTION("""COMPUTED_VALUE"""),7700)</f>
        <v>7700</v>
      </c>
      <c r="F688" s="2">
        <f ca="1">IFERROR(__xludf.DUMMYFUNCTION("""COMPUTED_VALUE"""),16148500)</f>
        <v>16148500</v>
      </c>
    </row>
    <row r="689" spans="1:6">
      <c r="A689" s="1">
        <f ca="1">IFERROR(__xludf.DUMMYFUNCTION("""COMPUTED_VALUE"""),43046.625)</f>
        <v>43046.625</v>
      </c>
      <c r="B689" s="2">
        <f ca="1">IFERROR(__xludf.DUMMYFUNCTION("""COMPUTED_VALUE"""),7775)</f>
        <v>7775</v>
      </c>
      <c r="C689" s="2">
        <f ca="1">IFERROR(__xludf.DUMMYFUNCTION("""COMPUTED_VALUE"""),7950)</f>
        <v>7950</v>
      </c>
      <c r="D689" s="2">
        <f ca="1">IFERROR(__xludf.DUMMYFUNCTION("""COMPUTED_VALUE"""),7775)</f>
        <v>7775</v>
      </c>
      <c r="E689" s="2">
        <f ca="1">IFERROR(__xludf.DUMMYFUNCTION("""COMPUTED_VALUE"""),7950)</f>
        <v>7950</v>
      </c>
      <c r="F689" s="2">
        <f ca="1">IFERROR(__xludf.DUMMYFUNCTION("""COMPUTED_VALUE"""),15331500)</f>
        <v>15331500</v>
      </c>
    </row>
    <row r="690" spans="1:6">
      <c r="A690" s="1">
        <f ca="1">IFERROR(__xludf.DUMMYFUNCTION("""COMPUTED_VALUE"""),43047.625)</f>
        <v>43047.625</v>
      </c>
      <c r="B690" s="2">
        <f ca="1">IFERROR(__xludf.DUMMYFUNCTION("""COMPUTED_VALUE"""),7975)</f>
        <v>7975</v>
      </c>
      <c r="C690" s="2">
        <f ca="1">IFERROR(__xludf.DUMMYFUNCTION("""COMPUTED_VALUE"""),8000)</f>
        <v>8000</v>
      </c>
      <c r="D690" s="2">
        <f ca="1">IFERROR(__xludf.DUMMYFUNCTION("""COMPUTED_VALUE"""),7850)</f>
        <v>7850</v>
      </c>
      <c r="E690" s="2">
        <f ca="1">IFERROR(__xludf.DUMMYFUNCTION("""COMPUTED_VALUE"""),7875)</f>
        <v>7875</v>
      </c>
      <c r="F690" s="2">
        <f ca="1">IFERROR(__xludf.DUMMYFUNCTION("""COMPUTED_VALUE"""),12230800)</f>
        <v>12230800</v>
      </c>
    </row>
    <row r="691" spans="1:6">
      <c r="A691" s="1">
        <f ca="1">IFERROR(__xludf.DUMMYFUNCTION("""COMPUTED_VALUE"""),43048.625)</f>
        <v>43048.625</v>
      </c>
      <c r="B691" s="2">
        <f ca="1">IFERROR(__xludf.DUMMYFUNCTION("""COMPUTED_VALUE"""),7875)</f>
        <v>7875</v>
      </c>
      <c r="C691" s="2">
        <f ca="1">IFERROR(__xludf.DUMMYFUNCTION("""COMPUTED_VALUE"""),7975)</f>
        <v>7975</v>
      </c>
      <c r="D691" s="2">
        <f ca="1">IFERROR(__xludf.DUMMYFUNCTION("""COMPUTED_VALUE"""),7850)</f>
        <v>7850</v>
      </c>
      <c r="E691" s="2">
        <f ca="1">IFERROR(__xludf.DUMMYFUNCTION("""COMPUTED_VALUE"""),7975)</f>
        <v>7975</v>
      </c>
      <c r="F691" s="2">
        <f ca="1">IFERROR(__xludf.DUMMYFUNCTION("""COMPUTED_VALUE"""),12000200)</f>
        <v>12000200</v>
      </c>
    </row>
    <row r="692" spans="1:6">
      <c r="A692" s="1">
        <f ca="1">IFERROR(__xludf.DUMMYFUNCTION("""COMPUTED_VALUE"""),43049.625)</f>
        <v>43049.625</v>
      </c>
      <c r="B692" s="2">
        <f ca="1">IFERROR(__xludf.DUMMYFUNCTION("""COMPUTED_VALUE"""),8000)</f>
        <v>8000</v>
      </c>
      <c r="C692" s="2">
        <f ca="1">IFERROR(__xludf.DUMMYFUNCTION("""COMPUTED_VALUE"""),8025)</f>
        <v>8025</v>
      </c>
      <c r="D692" s="2">
        <f ca="1">IFERROR(__xludf.DUMMYFUNCTION("""COMPUTED_VALUE"""),7925)</f>
        <v>7925</v>
      </c>
      <c r="E692" s="2">
        <f ca="1">IFERROR(__xludf.DUMMYFUNCTION("""COMPUTED_VALUE"""),7975)</f>
        <v>7975</v>
      </c>
      <c r="F692" s="2">
        <f ca="1">IFERROR(__xludf.DUMMYFUNCTION("""COMPUTED_VALUE"""),9280500)</f>
        <v>9280500</v>
      </c>
    </row>
    <row r="693" spans="1:6">
      <c r="A693" s="1">
        <f ca="1">IFERROR(__xludf.DUMMYFUNCTION("""COMPUTED_VALUE"""),43052.625)</f>
        <v>43052.625</v>
      </c>
      <c r="B693" s="2">
        <f ca="1">IFERROR(__xludf.DUMMYFUNCTION("""COMPUTED_VALUE"""),7975)</f>
        <v>7975</v>
      </c>
      <c r="C693" s="2">
        <f ca="1">IFERROR(__xludf.DUMMYFUNCTION("""COMPUTED_VALUE"""),7975)</f>
        <v>7975</v>
      </c>
      <c r="D693" s="2">
        <f ca="1">IFERROR(__xludf.DUMMYFUNCTION("""COMPUTED_VALUE"""),7825)</f>
        <v>7825</v>
      </c>
      <c r="E693" s="2">
        <f ca="1">IFERROR(__xludf.DUMMYFUNCTION("""COMPUTED_VALUE"""),7850)</f>
        <v>7850</v>
      </c>
      <c r="F693" s="2">
        <f ca="1">IFERROR(__xludf.DUMMYFUNCTION("""COMPUTED_VALUE"""),20174700)</f>
        <v>20174700</v>
      </c>
    </row>
    <row r="694" spans="1:6">
      <c r="A694" s="1">
        <f ca="1">IFERROR(__xludf.DUMMYFUNCTION("""COMPUTED_VALUE"""),43053.625)</f>
        <v>43053.625</v>
      </c>
      <c r="B694" s="2">
        <f ca="1">IFERROR(__xludf.DUMMYFUNCTION("""COMPUTED_VALUE"""),7850)</f>
        <v>7850</v>
      </c>
      <c r="C694" s="2">
        <f ca="1">IFERROR(__xludf.DUMMYFUNCTION("""COMPUTED_VALUE"""),7900)</f>
        <v>7900</v>
      </c>
      <c r="D694" s="2">
        <f ca="1">IFERROR(__xludf.DUMMYFUNCTION("""COMPUTED_VALUE"""),7850)</f>
        <v>7850</v>
      </c>
      <c r="E694" s="2">
        <f ca="1">IFERROR(__xludf.DUMMYFUNCTION("""COMPUTED_VALUE"""),7875)</f>
        <v>7875</v>
      </c>
      <c r="F694" s="2">
        <f ca="1">IFERROR(__xludf.DUMMYFUNCTION("""COMPUTED_VALUE"""),14916700)</f>
        <v>14916700</v>
      </c>
    </row>
    <row r="695" spans="1:6">
      <c r="A695" s="1">
        <f ca="1">IFERROR(__xludf.DUMMYFUNCTION("""COMPUTED_VALUE"""),43054.625)</f>
        <v>43054.625</v>
      </c>
      <c r="B695" s="2">
        <f ca="1">IFERROR(__xludf.DUMMYFUNCTION("""COMPUTED_VALUE"""),7850)</f>
        <v>7850</v>
      </c>
      <c r="C695" s="2">
        <f ca="1">IFERROR(__xludf.DUMMYFUNCTION("""COMPUTED_VALUE"""),7850)</f>
        <v>7850</v>
      </c>
      <c r="D695" s="2">
        <f ca="1">IFERROR(__xludf.DUMMYFUNCTION("""COMPUTED_VALUE"""),7650)</f>
        <v>7650</v>
      </c>
      <c r="E695" s="2">
        <f ca="1">IFERROR(__xludf.DUMMYFUNCTION("""COMPUTED_VALUE"""),7675)</f>
        <v>7675</v>
      </c>
      <c r="F695" s="2">
        <f ca="1">IFERROR(__xludf.DUMMYFUNCTION("""COMPUTED_VALUE"""),21035200)</f>
        <v>21035200</v>
      </c>
    </row>
    <row r="696" spans="1:6">
      <c r="A696" s="1">
        <f ca="1">IFERROR(__xludf.DUMMYFUNCTION("""COMPUTED_VALUE"""),43055.625)</f>
        <v>43055.625</v>
      </c>
      <c r="B696" s="2">
        <f ca="1">IFERROR(__xludf.DUMMYFUNCTION("""COMPUTED_VALUE"""),7750)</f>
        <v>7750</v>
      </c>
      <c r="C696" s="2">
        <f ca="1">IFERROR(__xludf.DUMMYFUNCTION("""COMPUTED_VALUE"""),7975)</f>
        <v>7975</v>
      </c>
      <c r="D696" s="2">
        <f ca="1">IFERROR(__xludf.DUMMYFUNCTION("""COMPUTED_VALUE"""),7675)</f>
        <v>7675</v>
      </c>
      <c r="E696" s="2">
        <f ca="1">IFERROR(__xludf.DUMMYFUNCTION("""COMPUTED_VALUE"""),7875)</f>
        <v>7875</v>
      </c>
      <c r="F696" s="2">
        <f ca="1">IFERROR(__xludf.DUMMYFUNCTION("""COMPUTED_VALUE"""),16887000)</f>
        <v>16887000</v>
      </c>
    </row>
    <row r="697" spans="1:6">
      <c r="A697" s="1">
        <f ca="1">IFERROR(__xludf.DUMMYFUNCTION("""COMPUTED_VALUE"""),43056.625)</f>
        <v>43056.625</v>
      </c>
      <c r="B697" s="2">
        <f ca="1">IFERROR(__xludf.DUMMYFUNCTION("""COMPUTED_VALUE"""),7875)</f>
        <v>7875</v>
      </c>
      <c r="C697" s="2">
        <f ca="1">IFERROR(__xludf.DUMMYFUNCTION("""COMPUTED_VALUE"""),8250)</f>
        <v>8250</v>
      </c>
      <c r="D697" s="2">
        <f ca="1">IFERROR(__xludf.DUMMYFUNCTION("""COMPUTED_VALUE"""),7875)</f>
        <v>7875</v>
      </c>
      <c r="E697" s="2">
        <f ca="1">IFERROR(__xludf.DUMMYFUNCTION("""COMPUTED_VALUE"""),8175)</f>
        <v>8175</v>
      </c>
      <c r="F697" s="2">
        <f ca="1">IFERROR(__xludf.DUMMYFUNCTION("""COMPUTED_VALUE"""),16497100)</f>
        <v>16497100</v>
      </c>
    </row>
    <row r="698" spans="1:6">
      <c r="A698" s="1">
        <f ca="1">IFERROR(__xludf.DUMMYFUNCTION("""COMPUTED_VALUE"""),43059.625)</f>
        <v>43059.625</v>
      </c>
      <c r="B698" s="2">
        <f ca="1">IFERROR(__xludf.DUMMYFUNCTION("""COMPUTED_VALUE"""),8175)</f>
        <v>8175</v>
      </c>
      <c r="C698" s="2">
        <f ca="1">IFERROR(__xludf.DUMMYFUNCTION("""COMPUTED_VALUE"""),8250)</f>
        <v>8250</v>
      </c>
      <c r="D698" s="2">
        <f ca="1">IFERROR(__xludf.DUMMYFUNCTION("""COMPUTED_VALUE"""),7975)</f>
        <v>7975</v>
      </c>
      <c r="E698" s="2">
        <f ca="1">IFERROR(__xludf.DUMMYFUNCTION("""COMPUTED_VALUE"""),7975)</f>
        <v>7975</v>
      </c>
      <c r="F698" s="2">
        <f ca="1">IFERROR(__xludf.DUMMYFUNCTION("""COMPUTED_VALUE"""),11109100)</f>
        <v>11109100</v>
      </c>
    </row>
    <row r="699" spans="1:6">
      <c r="A699" s="1">
        <f ca="1">IFERROR(__xludf.DUMMYFUNCTION("""COMPUTED_VALUE"""),43060.625)</f>
        <v>43060.625</v>
      </c>
      <c r="B699" s="2">
        <f ca="1">IFERROR(__xludf.DUMMYFUNCTION("""COMPUTED_VALUE"""),8050)</f>
        <v>8050</v>
      </c>
      <c r="C699" s="2">
        <f ca="1">IFERROR(__xludf.DUMMYFUNCTION("""COMPUTED_VALUE"""),8050)</f>
        <v>8050</v>
      </c>
      <c r="D699" s="2">
        <f ca="1">IFERROR(__xludf.DUMMYFUNCTION("""COMPUTED_VALUE"""),7900)</f>
        <v>7900</v>
      </c>
      <c r="E699" s="2">
        <f ca="1">IFERROR(__xludf.DUMMYFUNCTION("""COMPUTED_VALUE"""),7925)</f>
        <v>7925</v>
      </c>
      <c r="F699" s="2">
        <f ca="1">IFERROR(__xludf.DUMMYFUNCTION("""COMPUTED_VALUE"""),10197900)</f>
        <v>10197900</v>
      </c>
    </row>
    <row r="700" spans="1:6">
      <c r="A700" s="1">
        <f ca="1">IFERROR(__xludf.DUMMYFUNCTION("""COMPUTED_VALUE"""),43061.625)</f>
        <v>43061.625</v>
      </c>
      <c r="B700" s="2">
        <f ca="1">IFERROR(__xludf.DUMMYFUNCTION("""COMPUTED_VALUE"""),7975)</f>
        <v>7975</v>
      </c>
      <c r="C700" s="2">
        <f ca="1">IFERROR(__xludf.DUMMYFUNCTION("""COMPUTED_VALUE"""),8250)</f>
        <v>8250</v>
      </c>
      <c r="D700" s="2">
        <f ca="1">IFERROR(__xludf.DUMMYFUNCTION("""COMPUTED_VALUE"""),7975)</f>
        <v>7975</v>
      </c>
      <c r="E700" s="2">
        <f ca="1">IFERROR(__xludf.DUMMYFUNCTION("""COMPUTED_VALUE"""),8250)</f>
        <v>8250</v>
      </c>
      <c r="F700" s="2">
        <f ca="1">IFERROR(__xludf.DUMMYFUNCTION("""COMPUTED_VALUE"""),28478200)</f>
        <v>28478200</v>
      </c>
    </row>
    <row r="701" spans="1:6">
      <c r="A701" s="1">
        <f ca="1">IFERROR(__xludf.DUMMYFUNCTION("""COMPUTED_VALUE"""),43062.625)</f>
        <v>43062.625</v>
      </c>
      <c r="B701" s="2">
        <f ca="1">IFERROR(__xludf.DUMMYFUNCTION("""COMPUTED_VALUE"""),8200)</f>
        <v>8200</v>
      </c>
      <c r="C701" s="2">
        <f ca="1">IFERROR(__xludf.DUMMYFUNCTION("""COMPUTED_VALUE"""),8275)</f>
        <v>8275</v>
      </c>
      <c r="D701" s="2">
        <f ca="1">IFERROR(__xludf.DUMMYFUNCTION("""COMPUTED_VALUE"""),8200)</f>
        <v>8200</v>
      </c>
      <c r="E701" s="2">
        <f ca="1">IFERROR(__xludf.DUMMYFUNCTION("""COMPUTED_VALUE"""),8225)</f>
        <v>8225</v>
      </c>
      <c r="F701" s="2">
        <f ca="1">IFERROR(__xludf.DUMMYFUNCTION("""COMPUTED_VALUE"""),7683800)</f>
        <v>7683800</v>
      </c>
    </row>
    <row r="702" spans="1:6">
      <c r="A702" s="1">
        <f ca="1">IFERROR(__xludf.DUMMYFUNCTION("""COMPUTED_VALUE"""),43063.625)</f>
        <v>43063.625</v>
      </c>
      <c r="B702" s="2">
        <f ca="1">IFERROR(__xludf.DUMMYFUNCTION("""COMPUTED_VALUE"""),8325)</f>
        <v>8325</v>
      </c>
      <c r="C702" s="2">
        <f ca="1">IFERROR(__xludf.DUMMYFUNCTION("""COMPUTED_VALUE"""),8325)</f>
        <v>8325</v>
      </c>
      <c r="D702" s="2">
        <f ca="1">IFERROR(__xludf.DUMMYFUNCTION("""COMPUTED_VALUE"""),8175)</f>
        <v>8175</v>
      </c>
      <c r="E702" s="2">
        <f ca="1">IFERROR(__xludf.DUMMYFUNCTION("""COMPUTED_VALUE"""),8225)</f>
        <v>8225</v>
      </c>
      <c r="F702" s="2">
        <f ca="1">IFERROR(__xludf.DUMMYFUNCTION("""COMPUTED_VALUE"""),8447300)</f>
        <v>8447300</v>
      </c>
    </row>
    <row r="703" spans="1:6">
      <c r="A703" s="1">
        <f ca="1">IFERROR(__xludf.DUMMYFUNCTION("""COMPUTED_VALUE"""),43066.625)</f>
        <v>43066.625</v>
      </c>
      <c r="B703" s="2">
        <f ca="1">IFERROR(__xludf.DUMMYFUNCTION("""COMPUTED_VALUE"""),8275)</f>
        <v>8275</v>
      </c>
      <c r="C703" s="2">
        <f ca="1">IFERROR(__xludf.DUMMYFUNCTION("""COMPUTED_VALUE"""),8275)</f>
        <v>8275</v>
      </c>
      <c r="D703" s="2">
        <f ca="1">IFERROR(__xludf.DUMMYFUNCTION("""COMPUTED_VALUE"""),8100)</f>
        <v>8100</v>
      </c>
      <c r="E703" s="2">
        <f ca="1">IFERROR(__xludf.DUMMYFUNCTION("""COMPUTED_VALUE"""),8150)</f>
        <v>8150</v>
      </c>
      <c r="F703" s="2">
        <f ca="1">IFERROR(__xludf.DUMMYFUNCTION("""COMPUTED_VALUE"""),9632900)</f>
        <v>9632900</v>
      </c>
    </row>
    <row r="704" spans="1:6">
      <c r="A704" s="1">
        <f ca="1">IFERROR(__xludf.DUMMYFUNCTION("""COMPUTED_VALUE"""),43067.625)</f>
        <v>43067.625</v>
      </c>
      <c r="B704" s="2">
        <f ca="1">IFERROR(__xludf.DUMMYFUNCTION("""COMPUTED_VALUE"""),8100)</f>
        <v>8100</v>
      </c>
      <c r="C704" s="2">
        <f ca="1">IFERROR(__xludf.DUMMYFUNCTION("""COMPUTED_VALUE"""),8400)</f>
        <v>8400</v>
      </c>
      <c r="D704" s="2">
        <f ca="1">IFERROR(__xludf.DUMMYFUNCTION("""COMPUTED_VALUE"""),8050)</f>
        <v>8050</v>
      </c>
      <c r="E704" s="2">
        <f ca="1">IFERROR(__xludf.DUMMYFUNCTION("""COMPUTED_VALUE"""),8400)</f>
        <v>8400</v>
      </c>
      <c r="F704" s="2">
        <f ca="1">IFERROR(__xludf.DUMMYFUNCTION("""COMPUTED_VALUE"""),19801100)</f>
        <v>19801100</v>
      </c>
    </row>
    <row r="705" spans="1:6">
      <c r="A705" s="1">
        <f ca="1">IFERROR(__xludf.DUMMYFUNCTION("""COMPUTED_VALUE"""),43068.625)</f>
        <v>43068.625</v>
      </c>
      <c r="B705" s="2">
        <f ca="1">IFERROR(__xludf.DUMMYFUNCTION("""COMPUTED_VALUE"""),8375)</f>
        <v>8375</v>
      </c>
      <c r="C705" s="2">
        <f ca="1">IFERROR(__xludf.DUMMYFUNCTION("""COMPUTED_VALUE"""),8400)</f>
        <v>8400</v>
      </c>
      <c r="D705" s="2">
        <f ca="1">IFERROR(__xludf.DUMMYFUNCTION("""COMPUTED_VALUE"""),8250)</f>
        <v>8250</v>
      </c>
      <c r="E705" s="2">
        <f ca="1">IFERROR(__xludf.DUMMYFUNCTION("""COMPUTED_VALUE"""),8400)</f>
        <v>8400</v>
      </c>
      <c r="F705" s="2">
        <f ca="1">IFERROR(__xludf.DUMMYFUNCTION("""COMPUTED_VALUE"""),13699000)</f>
        <v>13699000</v>
      </c>
    </row>
    <row r="706" spans="1:6">
      <c r="A706" s="1">
        <f ca="1">IFERROR(__xludf.DUMMYFUNCTION("""COMPUTED_VALUE"""),43073.625)</f>
        <v>43073.625</v>
      </c>
      <c r="B706" s="2">
        <f ca="1">IFERROR(__xludf.DUMMYFUNCTION("""COMPUTED_VALUE"""),8275)</f>
        <v>8275</v>
      </c>
      <c r="C706" s="2">
        <f ca="1">IFERROR(__xludf.DUMMYFUNCTION("""COMPUTED_VALUE"""),8300)</f>
        <v>8300</v>
      </c>
      <c r="D706" s="2">
        <f ca="1">IFERROR(__xludf.DUMMYFUNCTION("""COMPUTED_VALUE"""),8200)</f>
        <v>8200</v>
      </c>
      <c r="E706" s="2">
        <f ca="1">IFERROR(__xludf.DUMMYFUNCTION("""COMPUTED_VALUE"""),8225)</f>
        <v>8225</v>
      </c>
      <c r="F706" s="2">
        <f ca="1">IFERROR(__xludf.DUMMYFUNCTION("""COMPUTED_VALUE"""),19862000)</f>
        <v>19862000</v>
      </c>
    </row>
    <row r="707" spans="1:6">
      <c r="A707" s="1">
        <f ca="1">IFERROR(__xludf.DUMMYFUNCTION("""COMPUTED_VALUE"""),43074.625)</f>
        <v>43074.625</v>
      </c>
      <c r="B707" s="2">
        <f ca="1">IFERROR(__xludf.DUMMYFUNCTION("""COMPUTED_VALUE"""),8300)</f>
        <v>8300</v>
      </c>
      <c r="C707" s="2">
        <f ca="1">IFERROR(__xludf.DUMMYFUNCTION("""COMPUTED_VALUE"""),8450)</f>
        <v>8450</v>
      </c>
      <c r="D707" s="2">
        <f ca="1">IFERROR(__xludf.DUMMYFUNCTION("""COMPUTED_VALUE"""),8275)</f>
        <v>8275</v>
      </c>
      <c r="E707" s="2">
        <f ca="1">IFERROR(__xludf.DUMMYFUNCTION("""COMPUTED_VALUE"""),8450)</f>
        <v>8450</v>
      </c>
      <c r="F707" s="2">
        <f ca="1">IFERROR(__xludf.DUMMYFUNCTION("""COMPUTED_VALUE"""),14593000)</f>
        <v>14593000</v>
      </c>
    </row>
    <row r="708" spans="1:6">
      <c r="A708" s="1">
        <f ca="1">IFERROR(__xludf.DUMMYFUNCTION("""COMPUTED_VALUE"""),43075.625)</f>
        <v>43075.625</v>
      </c>
      <c r="B708" s="2">
        <f ca="1">IFERROR(__xludf.DUMMYFUNCTION("""COMPUTED_VALUE"""),8475)</f>
        <v>8475</v>
      </c>
      <c r="C708" s="2">
        <f ca="1">IFERROR(__xludf.DUMMYFUNCTION("""COMPUTED_VALUE"""),8625)</f>
        <v>8625</v>
      </c>
      <c r="D708" s="2">
        <f ca="1">IFERROR(__xludf.DUMMYFUNCTION("""COMPUTED_VALUE"""),8400)</f>
        <v>8400</v>
      </c>
      <c r="E708" s="2">
        <f ca="1">IFERROR(__xludf.DUMMYFUNCTION("""COMPUTED_VALUE"""),8525)</f>
        <v>8525</v>
      </c>
      <c r="F708" s="2">
        <f ca="1">IFERROR(__xludf.DUMMYFUNCTION("""COMPUTED_VALUE"""),15900800)</f>
        <v>15900800</v>
      </c>
    </row>
    <row r="709" spans="1:6">
      <c r="A709" s="1">
        <f ca="1">IFERROR(__xludf.DUMMYFUNCTION("""COMPUTED_VALUE"""),43076.625)</f>
        <v>43076.625</v>
      </c>
      <c r="B709" s="2">
        <f ca="1">IFERROR(__xludf.DUMMYFUNCTION("""COMPUTED_VALUE"""),8450)</f>
        <v>8450</v>
      </c>
      <c r="C709" s="2">
        <f ca="1">IFERROR(__xludf.DUMMYFUNCTION("""COMPUTED_VALUE"""),8600)</f>
        <v>8600</v>
      </c>
      <c r="D709" s="2">
        <f ca="1">IFERROR(__xludf.DUMMYFUNCTION("""COMPUTED_VALUE"""),8425)</f>
        <v>8425</v>
      </c>
      <c r="E709" s="2">
        <f ca="1">IFERROR(__xludf.DUMMYFUNCTION("""COMPUTED_VALUE"""),8525)</f>
        <v>8525</v>
      </c>
      <c r="F709" s="2">
        <f ca="1">IFERROR(__xludf.DUMMYFUNCTION("""COMPUTED_VALUE"""),9889000)</f>
        <v>9889000</v>
      </c>
    </row>
    <row r="710" spans="1:6">
      <c r="A710" s="1">
        <f ca="1">IFERROR(__xludf.DUMMYFUNCTION("""COMPUTED_VALUE"""),43077.625)</f>
        <v>43077.625</v>
      </c>
      <c r="B710" s="2">
        <f ca="1">IFERROR(__xludf.DUMMYFUNCTION("""COMPUTED_VALUE"""),8575)</f>
        <v>8575</v>
      </c>
      <c r="C710" s="2">
        <f ca="1">IFERROR(__xludf.DUMMYFUNCTION("""COMPUTED_VALUE"""),8850)</f>
        <v>8850</v>
      </c>
      <c r="D710" s="2">
        <f ca="1">IFERROR(__xludf.DUMMYFUNCTION("""COMPUTED_VALUE"""),8550)</f>
        <v>8550</v>
      </c>
      <c r="E710" s="2">
        <f ca="1">IFERROR(__xludf.DUMMYFUNCTION("""COMPUTED_VALUE"""),8850)</f>
        <v>8850</v>
      </c>
      <c r="F710" s="2">
        <f ca="1">IFERROR(__xludf.DUMMYFUNCTION("""COMPUTED_VALUE"""),28985000)</f>
        <v>28985000</v>
      </c>
    </row>
    <row r="711" spans="1:6">
      <c r="A711" s="1">
        <f ca="1">IFERROR(__xludf.DUMMYFUNCTION("""COMPUTED_VALUE"""),43080.625)</f>
        <v>43080.625</v>
      </c>
      <c r="B711" s="2">
        <f ca="1">IFERROR(__xludf.DUMMYFUNCTION("""COMPUTED_VALUE"""),8850)</f>
        <v>8850</v>
      </c>
      <c r="C711" s="2">
        <f ca="1">IFERROR(__xludf.DUMMYFUNCTION("""COMPUTED_VALUE"""),8900)</f>
        <v>8900</v>
      </c>
      <c r="D711" s="2">
        <f ca="1">IFERROR(__xludf.DUMMYFUNCTION("""COMPUTED_VALUE"""),8825)</f>
        <v>8825</v>
      </c>
      <c r="E711" s="2">
        <f ca="1">IFERROR(__xludf.DUMMYFUNCTION("""COMPUTED_VALUE"""),8900)</f>
        <v>8900</v>
      </c>
      <c r="F711" s="2">
        <f ca="1">IFERROR(__xludf.DUMMYFUNCTION("""COMPUTED_VALUE"""),18569500)</f>
        <v>18569500</v>
      </c>
    </row>
    <row r="712" spans="1:6">
      <c r="A712" s="1">
        <f ca="1">IFERROR(__xludf.DUMMYFUNCTION("""COMPUTED_VALUE"""),43081.625)</f>
        <v>43081.625</v>
      </c>
      <c r="B712" s="2">
        <f ca="1">IFERROR(__xludf.DUMMYFUNCTION("""COMPUTED_VALUE"""),8800)</f>
        <v>8800</v>
      </c>
      <c r="C712" s="2">
        <f ca="1">IFERROR(__xludf.DUMMYFUNCTION("""COMPUTED_VALUE"""),8975)</f>
        <v>8975</v>
      </c>
      <c r="D712" s="2">
        <f ca="1">IFERROR(__xludf.DUMMYFUNCTION("""COMPUTED_VALUE"""),8800)</f>
        <v>8800</v>
      </c>
      <c r="E712" s="2">
        <f ca="1">IFERROR(__xludf.DUMMYFUNCTION("""COMPUTED_VALUE"""),8800)</f>
        <v>8800</v>
      </c>
      <c r="F712" s="2">
        <f ca="1">IFERROR(__xludf.DUMMYFUNCTION("""COMPUTED_VALUE"""),11985700)</f>
        <v>11985700</v>
      </c>
    </row>
    <row r="713" spans="1:6">
      <c r="A713" s="1">
        <f ca="1">IFERROR(__xludf.DUMMYFUNCTION("""COMPUTED_VALUE"""),43082.625)</f>
        <v>43082.625</v>
      </c>
      <c r="B713" s="2">
        <f ca="1">IFERROR(__xludf.DUMMYFUNCTION("""COMPUTED_VALUE"""),8750)</f>
        <v>8750</v>
      </c>
      <c r="C713" s="2">
        <f ca="1">IFERROR(__xludf.DUMMYFUNCTION("""COMPUTED_VALUE"""),9175)</f>
        <v>9175</v>
      </c>
      <c r="D713" s="2">
        <f ca="1">IFERROR(__xludf.DUMMYFUNCTION("""COMPUTED_VALUE"""),8750)</f>
        <v>8750</v>
      </c>
      <c r="E713" s="2">
        <f ca="1">IFERROR(__xludf.DUMMYFUNCTION("""COMPUTED_VALUE"""),9100)</f>
        <v>9100</v>
      </c>
      <c r="F713" s="2">
        <f ca="1">IFERROR(__xludf.DUMMYFUNCTION("""COMPUTED_VALUE"""),17972800)</f>
        <v>17972800</v>
      </c>
    </row>
    <row r="714" spans="1:6">
      <c r="A714" s="1">
        <f ca="1">IFERROR(__xludf.DUMMYFUNCTION("""COMPUTED_VALUE"""),43083.625)</f>
        <v>43083.625</v>
      </c>
      <c r="B714" s="2">
        <f ca="1">IFERROR(__xludf.DUMMYFUNCTION("""COMPUTED_VALUE"""),9100)</f>
        <v>9100</v>
      </c>
      <c r="C714" s="2">
        <f ca="1">IFERROR(__xludf.DUMMYFUNCTION("""COMPUTED_VALUE"""),9250)</f>
        <v>9250</v>
      </c>
      <c r="D714" s="2">
        <f ca="1">IFERROR(__xludf.DUMMYFUNCTION("""COMPUTED_VALUE"""),9100)</f>
        <v>9100</v>
      </c>
      <c r="E714" s="2">
        <f ca="1">IFERROR(__xludf.DUMMYFUNCTION("""COMPUTED_VALUE"""),9225)</f>
        <v>9225</v>
      </c>
      <c r="F714" s="2">
        <f ca="1">IFERROR(__xludf.DUMMYFUNCTION("""COMPUTED_VALUE"""),17243800)</f>
        <v>17243800</v>
      </c>
    </row>
    <row r="715" spans="1:6">
      <c r="A715" s="1">
        <f ca="1">IFERROR(__xludf.DUMMYFUNCTION("""COMPUTED_VALUE"""),43084.625)</f>
        <v>43084.625</v>
      </c>
      <c r="B715" s="2">
        <f ca="1">IFERROR(__xludf.DUMMYFUNCTION("""COMPUTED_VALUE"""),9150)</f>
        <v>9150</v>
      </c>
      <c r="C715" s="2">
        <f ca="1">IFERROR(__xludf.DUMMYFUNCTION("""COMPUTED_VALUE"""),9375)</f>
        <v>9375</v>
      </c>
      <c r="D715" s="2">
        <f ca="1">IFERROR(__xludf.DUMMYFUNCTION("""COMPUTED_VALUE"""),9125)</f>
        <v>9125</v>
      </c>
      <c r="E715" s="2">
        <f ca="1">IFERROR(__xludf.DUMMYFUNCTION("""COMPUTED_VALUE"""),9375)</f>
        <v>9375</v>
      </c>
      <c r="F715" s="2">
        <f ca="1">IFERROR(__xludf.DUMMYFUNCTION("""COMPUTED_VALUE"""),22811900)</f>
        <v>22811900</v>
      </c>
    </row>
    <row r="716" spans="1:6">
      <c r="A716" s="1">
        <f ca="1">IFERROR(__xludf.DUMMYFUNCTION("""COMPUTED_VALUE"""),43087.625)</f>
        <v>43087.625</v>
      </c>
      <c r="B716" s="2">
        <f ca="1">IFERROR(__xludf.DUMMYFUNCTION("""COMPUTED_VALUE"""),9300)</f>
        <v>9300</v>
      </c>
      <c r="C716" s="2">
        <f ca="1">IFERROR(__xludf.DUMMYFUNCTION("""COMPUTED_VALUE"""),9350)</f>
        <v>9350</v>
      </c>
      <c r="D716" s="2">
        <f ca="1">IFERROR(__xludf.DUMMYFUNCTION("""COMPUTED_VALUE"""),9100)</f>
        <v>9100</v>
      </c>
      <c r="E716" s="2">
        <f ca="1">IFERROR(__xludf.DUMMYFUNCTION("""COMPUTED_VALUE"""),9300)</f>
        <v>9300</v>
      </c>
      <c r="F716" s="2">
        <f ca="1">IFERROR(__xludf.DUMMYFUNCTION("""COMPUTED_VALUE"""),17105600)</f>
        <v>17105600</v>
      </c>
    </row>
    <row r="717" spans="1:6">
      <c r="A717" s="1">
        <f ca="1">IFERROR(__xludf.DUMMYFUNCTION("""COMPUTED_VALUE"""),43088.625)</f>
        <v>43088.625</v>
      </c>
      <c r="B717" s="2">
        <f ca="1">IFERROR(__xludf.DUMMYFUNCTION("""COMPUTED_VALUE"""),9300)</f>
        <v>9300</v>
      </c>
      <c r="C717" s="2">
        <f ca="1">IFERROR(__xludf.DUMMYFUNCTION("""COMPUTED_VALUE"""),9650)</f>
        <v>9650</v>
      </c>
      <c r="D717" s="2">
        <f ca="1">IFERROR(__xludf.DUMMYFUNCTION("""COMPUTED_VALUE"""),9275)</f>
        <v>9275</v>
      </c>
      <c r="E717" s="2">
        <f ca="1">IFERROR(__xludf.DUMMYFUNCTION("""COMPUTED_VALUE"""),9525)</f>
        <v>9525</v>
      </c>
      <c r="F717" s="2">
        <f ca="1">IFERROR(__xludf.DUMMYFUNCTION("""COMPUTED_VALUE"""),12430200)</f>
        <v>12430200</v>
      </c>
    </row>
    <row r="718" spans="1:6">
      <c r="A718" s="1">
        <f ca="1">IFERROR(__xludf.DUMMYFUNCTION("""COMPUTED_VALUE"""),43089.625)</f>
        <v>43089.625</v>
      </c>
      <c r="B718" s="2">
        <f ca="1">IFERROR(__xludf.DUMMYFUNCTION("""COMPUTED_VALUE"""),9400)</f>
        <v>9400</v>
      </c>
      <c r="C718" s="2">
        <f ca="1">IFERROR(__xludf.DUMMYFUNCTION("""COMPUTED_VALUE"""),9600)</f>
        <v>9600</v>
      </c>
      <c r="D718" s="2">
        <f ca="1">IFERROR(__xludf.DUMMYFUNCTION("""COMPUTED_VALUE"""),9350)</f>
        <v>9350</v>
      </c>
      <c r="E718" s="2">
        <f ca="1">IFERROR(__xludf.DUMMYFUNCTION("""COMPUTED_VALUE"""),9525)</f>
        <v>9525</v>
      </c>
      <c r="F718" s="2">
        <f ca="1">IFERROR(__xludf.DUMMYFUNCTION("""COMPUTED_VALUE"""),16578200)</f>
        <v>16578200</v>
      </c>
    </row>
    <row r="719" spans="1:6">
      <c r="A719" s="1">
        <f ca="1">IFERROR(__xludf.DUMMYFUNCTION("""COMPUTED_VALUE"""),43090.625)</f>
        <v>43090.625</v>
      </c>
      <c r="B719" s="2">
        <f ca="1">IFERROR(__xludf.DUMMYFUNCTION("""COMPUTED_VALUE"""),9650)</f>
        <v>9650</v>
      </c>
      <c r="C719" s="2">
        <f ca="1">IFERROR(__xludf.DUMMYFUNCTION("""COMPUTED_VALUE"""),9925)</f>
        <v>9925</v>
      </c>
      <c r="D719" s="2">
        <f ca="1">IFERROR(__xludf.DUMMYFUNCTION("""COMPUTED_VALUE"""),9550)</f>
        <v>9550</v>
      </c>
      <c r="E719" s="2">
        <f ca="1">IFERROR(__xludf.DUMMYFUNCTION("""COMPUTED_VALUE"""),9850)</f>
        <v>9850</v>
      </c>
      <c r="F719" s="2">
        <f ca="1">IFERROR(__xludf.DUMMYFUNCTION("""COMPUTED_VALUE"""),29769000)</f>
        <v>29769000</v>
      </c>
    </row>
    <row r="720" spans="1:6">
      <c r="A720" s="1">
        <f ca="1">IFERROR(__xludf.DUMMYFUNCTION("""COMPUTED_VALUE"""),43091.625)</f>
        <v>43091.625</v>
      </c>
      <c r="B720" s="2">
        <f ca="1">IFERROR(__xludf.DUMMYFUNCTION("""COMPUTED_VALUE"""),9850)</f>
        <v>9850</v>
      </c>
      <c r="C720" s="2">
        <f ca="1">IFERROR(__xludf.DUMMYFUNCTION("""COMPUTED_VALUE"""),9975)</f>
        <v>9975</v>
      </c>
      <c r="D720" s="2">
        <f ca="1">IFERROR(__xludf.DUMMYFUNCTION("""COMPUTED_VALUE"""),9600)</f>
        <v>9600</v>
      </c>
      <c r="E720" s="2">
        <f ca="1">IFERROR(__xludf.DUMMYFUNCTION("""COMPUTED_VALUE"""),9850)</f>
        <v>9850</v>
      </c>
      <c r="F720" s="2">
        <f ca="1">IFERROR(__xludf.DUMMYFUNCTION("""COMPUTED_VALUE"""),67623600)</f>
        <v>67623600</v>
      </c>
    </row>
    <row r="721" spans="1:6">
      <c r="A721" s="1">
        <f ca="1">IFERROR(__xludf.DUMMYFUNCTION("""COMPUTED_VALUE"""),43096.625)</f>
        <v>43096.625</v>
      </c>
      <c r="B721" s="2">
        <f ca="1">IFERROR(__xludf.DUMMYFUNCTION("""COMPUTED_VALUE"""),9850)</f>
        <v>9850</v>
      </c>
      <c r="C721" s="2">
        <f ca="1">IFERROR(__xludf.DUMMYFUNCTION("""COMPUTED_VALUE"""),9950)</f>
        <v>9950</v>
      </c>
      <c r="D721" s="2">
        <f ca="1">IFERROR(__xludf.DUMMYFUNCTION("""COMPUTED_VALUE"""),9750)</f>
        <v>9750</v>
      </c>
      <c r="E721" s="2">
        <f ca="1">IFERROR(__xludf.DUMMYFUNCTION("""COMPUTED_VALUE"""),9900)</f>
        <v>9900</v>
      </c>
      <c r="F721" s="2">
        <f ca="1">IFERROR(__xludf.DUMMYFUNCTION("""COMPUTED_VALUE"""),15316600)</f>
        <v>15316600</v>
      </c>
    </row>
    <row r="722" spans="1:6">
      <c r="A722" s="1">
        <f ca="1">IFERROR(__xludf.DUMMYFUNCTION("""COMPUTED_VALUE"""),43097.625)</f>
        <v>43097.625</v>
      </c>
      <c r="B722" s="2">
        <f ca="1">IFERROR(__xludf.DUMMYFUNCTION("""COMPUTED_VALUE"""),9950)</f>
        <v>9950</v>
      </c>
      <c r="C722" s="2">
        <f ca="1">IFERROR(__xludf.DUMMYFUNCTION("""COMPUTED_VALUE"""),9975)</f>
        <v>9975</v>
      </c>
      <c r="D722" s="2">
        <f ca="1">IFERROR(__xludf.DUMMYFUNCTION("""COMPUTED_VALUE"""),9850)</f>
        <v>9850</v>
      </c>
      <c r="E722" s="2">
        <f ca="1">IFERROR(__xludf.DUMMYFUNCTION("""COMPUTED_VALUE"""),9925)</f>
        <v>9925</v>
      </c>
      <c r="F722" s="2">
        <f ca="1">IFERROR(__xludf.DUMMYFUNCTION("""COMPUTED_VALUE"""),105960300)</f>
        <v>105960300</v>
      </c>
    </row>
    <row r="723" spans="1:6">
      <c r="A723" s="1">
        <f ca="1">IFERROR(__xludf.DUMMYFUNCTION("""COMPUTED_VALUE"""),43098.625)</f>
        <v>43098.625</v>
      </c>
      <c r="B723" s="2">
        <f ca="1">IFERROR(__xludf.DUMMYFUNCTION("""COMPUTED_VALUE"""),9900)</f>
        <v>9900</v>
      </c>
      <c r="C723" s="2">
        <f ca="1">IFERROR(__xludf.DUMMYFUNCTION("""COMPUTED_VALUE"""),10000)</f>
        <v>10000</v>
      </c>
      <c r="D723" s="2">
        <f ca="1">IFERROR(__xludf.DUMMYFUNCTION("""COMPUTED_VALUE"""),9800)</f>
        <v>9800</v>
      </c>
      <c r="E723" s="2">
        <f ca="1">IFERROR(__xludf.DUMMYFUNCTION("""COMPUTED_VALUE"""),9900)</f>
        <v>9900</v>
      </c>
      <c r="F723" s="2">
        <f ca="1">IFERROR(__xludf.DUMMYFUNCTION("""COMPUTED_VALUE"""),44149300)</f>
        <v>44149300</v>
      </c>
    </row>
    <row r="724" spans="1:6">
      <c r="A724" s="1">
        <f ca="1">IFERROR(__xludf.DUMMYFUNCTION("""COMPUTED_VALUE"""),43102.625)</f>
        <v>43102.625</v>
      </c>
      <c r="B724" s="2">
        <f ca="1">IFERROR(__xludf.DUMMYFUNCTION("""COMPUTED_VALUE"""),9900)</f>
        <v>9900</v>
      </c>
      <c r="C724" s="2">
        <f ca="1">IFERROR(__xludf.DUMMYFUNCTION("""COMPUTED_VALUE"""),10000)</f>
        <v>10000</v>
      </c>
      <c r="D724" s="2">
        <f ca="1">IFERROR(__xludf.DUMMYFUNCTION("""COMPUTED_VALUE"""),9675)</f>
        <v>9675</v>
      </c>
      <c r="E724" s="2">
        <f ca="1">IFERROR(__xludf.DUMMYFUNCTION("""COMPUTED_VALUE"""),9775)</f>
        <v>9775</v>
      </c>
      <c r="F724" s="2">
        <f ca="1">IFERROR(__xludf.DUMMYFUNCTION("""COMPUTED_VALUE"""),12434000)</f>
        <v>12434000</v>
      </c>
    </row>
    <row r="725" spans="1:6">
      <c r="A725" s="1">
        <f ca="1">IFERROR(__xludf.DUMMYFUNCTION("""COMPUTED_VALUE"""),43103.625)</f>
        <v>43103.625</v>
      </c>
      <c r="B725" s="2">
        <f ca="1">IFERROR(__xludf.DUMMYFUNCTION("""COMPUTED_VALUE"""),9775)</f>
        <v>9775</v>
      </c>
      <c r="C725" s="2">
        <f ca="1">IFERROR(__xludf.DUMMYFUNCTION("""COMPUTED_VALUE"""),9800)</f>
        <v>9800</v>
      </c>
      <c r="D725" s="2">
        <f ca="1">IFERROR(__xludf.DUMMYFUNCTION("""COMPUTED_VALUE"""),9375)</f>
        <v>9375</v>
      </c>
      <c r="E725" s="2">
        <f ca="1">IFERROR(__xludf.DUMMYFUNCTION("""COMPUTED_VALUE"""),9425)</f>
        <v>9425</v>
      </c>
      <c r="F725" s="2">
        <f ca="1">IFERROR(__xludf.DUMMYFUNCTION("""COMPUTED_VALUE"""),26893200)</f>
        <v>26893200</v>
      </c>
    </row>
    <row r="726" spans="1:6">
      <c r="A726" s="1">
        <f ca="1">IFERROR(__xludf.DUMMYFUNCTION("""COMPUTED_VALUE"""),43104.625)</f>
        <v>43104.625</v>
      </c>
      <c r="B726" s="2">
        <f ca="1">IFERROR(__xludf.DUMMYFUNCTION("""COMPUTED_VALUE"""),9350)</f>
        <v>9350</v>
      </c>
      <c r="C726" s="2">
        <f ca="1">IFERROR(__xludf.DUMMYFUNCTION("""COMPUTED_VALUE"""),9425)</f>
        <v>9425</v>
      </c>
      <c r="D726" s="2">
        <f ca="1">IFERROR(__xludf.DUMMYFUNCTION("""COMPUTED_VALUE"""),9150)</f>
        <v>9150</v>
      </c>
      <c r="E726" s="2">
        <f ca="1">IFERROR(__xludf.DUMMYFUNCTION("""COMPUTED_VALUE"""),9400)</f>
        <v>9400</v>
      </c>
      <c r="F726" s="2">
        <f ca="1">IFERROR(__xludf.DUMMYFUNCTION("""COMPUTED_VALUE"""),25390100)</f>
        <v>25390100</v>
      </c>
    </row>
    <row r="727" spans="1:6">
      <c r="A727" s="1">
        <f ca="1">IFERROR(__xludf.DUMMYFUNCTION("""COMPUTED_VALUE"""),43105.625)</f>
        <v>43105.625</v>
      </c>
      <c r="B727" s="2">
        <f ca="1">IFERROR(__xludf.DUMMYFUNCTION("""COMPUTED_VALUE"""),9400)</f>
        <v>9400</v>
      </c>
      <c r="C727" s="2">
        <f ca="1">IFERROR(__xludf.DUMMYFUNCTION("""COMPUTED_VALUE"""),9450)</f>
        <v>9450</v>
      </c>
      <c r="D727" s="2">
        <f ca="1">IFERROR(__xludf.DUMMYFUNCTION("""COMPUTED_VALUE"""),9250)</f>
        <v>9250</v>
      </c>
      <c r="E727" s="2">
        <f ca="1">IFERROR(__xludf.DUMMYFUNCTION("""COMPUTED_VALUE"""),9300)</f>
        <v>9300</v>
      </c>
      <c r="F727" s="2">
        <f ca="1">IFERROR(__xludf.DUMMYFUNCTION("""COMPUTED_VALUE"""),23046300)</f>
        <v>23046300</v>
      </c>
    </row>
    <row r="728" spans="1:6">
      <c r="A728" s="1">
        <f ca="1">IFERROR(__xludf.DUMMYFUNCTION("""COMPUTED_VALUE"""),43108.625)</f>
        <v>43108.625</v>
      </c>
      <c r="B728" s="2">
        <f ca="1">IFERROR(__xludf.DUMMYFUNCTION("""COMPUTED_VALUE"""),9300)</f>
        <v>9300</v>
      </c>
      <c r="C728" s="2">
        <f ca="1">IFERROR(__xludf.DUMMYFUNCTION("""COMPUTED_VALUE"""),9375)</f>
        <v>9375</v>
      </c>
      <c r="D728" s="2">
        <f ca="1">IFERROR(__xludf.DUMMYFUNCTION("""COMPUTED_VALUE"""),9275)</f>
        <v>9275</v>
      </c>
      <c r="E728" s="2">
        <f ca="1">IFERROR(__xludf.DUMMYFUNCTION("""COMPUTED_VALUE"""),9300)</f>
        <v>9300</v>
      </c>
      <c r="F728" s="2">
        <f ca="1">IFERROR(__xludf.DUMMYFUNCTION("""COMPUTED_VALUE"""),20674700)</f>
        <v>20674700</v>
      </c>
    </row>
    <row r="729" spans="1:6">
      <c r="A729" s="1">
        <f ca="1">IFERROR(__xludf.DUMMYFUNCTION("""COMPUTED_VALUE"""),43109.625)</f>
        <v>43109.625</v>
      </c>
      <c r="B729" s="2">
        <f ca="1">IFERROR(__xludf.DUMMYFUNCTION("""COMPUTED_VALUE"""),9300)</f>
        <v>9300</v>
      </c>
      <c r="C729" s="2">
        <f ca="1">IFERROR(__xludf.DUMMYFUNCTION("""COMPUTED_VALUE"""),9325)</f>
        <v>9325</v>
      </c>
      <c r="D729" s="2">
        <f ca="1">IFERROR(__xludf.DUMMYFUNCTION("""COMPUTED_VALUE"""),9250)</f>
        <v>9250</v>
      </c>
      <c r="E729" s="2">
        <f ca="1">IFERROR(__xludf.DUMMYFUNCTION("""COMPUTED_VALUE"""),9300)</f>
        <v>9300</v>
      </c>
      <c r="F729" s="2">
        <f ca="1">IFERROR(__xludf.DUMMYFUNCTION("""COMPUTED_VALUE"""),14288600)</f>
        <v>14288600</v>
      </c>
    </row>
    <row r="730" spans="1:6">
      <c r="A730" s="1">
        <f ca="1">IFERROR(__xludf.DUMMYFUNCTION("""COMPUTED_VALUE"""),43110.625)</f>
        <v>43110.625</v>
      </c>
      <c r="B730" s="2">
        <f ca="1">IFERROR(__xludf.DUMMYFUNCTION("""COMPUTED_VALUE"""),9300)</f>
        <v>9300</v>
      </c>
      <c r="C730" s="2">
        <f ca="1">IFERROR(__xludf.DUMMYFUNCTION("""COMPUTED_VALUE"""),9325)</f>
        <v>9325</v>
      </c>
      <c r="D730" s="2">
        <f ca="1">IFERROR(__xludf.DUMMYFUNCTION("""COMPUTED_VALUE"""),9225)</f>
        <v>9225</v>
      </c>
      <c r="E730" s="2">
        <f ca="1">IFERROR(__xludf.DUMMYFUNCTION("""COMPUTED_VALUE"""),9275)</f>
        <v>9275</v>
      </c>
      <c r="F730" s="2">
        <f ca="1">IFERROR(__xludf.DUMMYFUNCTION("""COMPUTED_VALUE"""),24911800)</f>
        <v>24911800</v>
      </c>
    </row>
    <row r="731" spans="1:6">
      <c r="A731" s="1">
        <f ca="1">IFERROR(__xludf.DUMMYFUNCTION("""COMPUTED_VALUE"""),43111.625)</f>
        <v>43111.625</v>
      </c>
      <c r="B731" s="2">
        <f ca="1">IFERROR(__xludf.DUMMYFUNCTION("""COMPUTED_VALUE"""),9275)</f>
        <v>9275</v>
      </c>
      <c r="C731" s="2">
        <f ca="1">IFERROR(__xludf.DUMMYFUNCTION("""COMPUTED_VALUE"""),9350)</f>
        <v>9350</v>
      </c>
      <c r="D731" s="2">
        <f ca="1">IFERROR(__xludf.DUMMYFUNCTION("""COMPUTED_VALUE"""),9200)</f>
        <v>9200</v>
      </c>
      <c r="E731" s="2">
        <f ca="1">IFERROR(__xludf.DUMMYFUNCTION("""COMPUTED_VALUE"""),9275)</f>
        <v>9275</v>
      </c>
      <c r="F731" s="2">
        <f ca="1">IFERROR(__xludf.DUMMYFUNCTION("""COMPUTED_VALUE"""),26725000)</f>
        <v>26725000</v>
      </c>
    </row>
    <row r="732" spans="1:6">
      <c r="A732" s="1">
        <f ca="1">IFERROR(__xludf.DUMMYFUNCTION("""COMPUTED_VALUE"""),43112.625)</f>
        <v>43112.625</v>
      </c>
      <c r="B732" s="2">
        <f ca="1">IFERROR(__xludf.DUMMYFUNCTION("""COMPUTED_VALUE"""),9275)</f>
        <v>9275</v>
      </c>
      <c r="C732" s="2">
        <f ca="1">IFERROR(__xludf.DUMMYFUNCTION("""COMPUTED_VALUE"""),9350)</f>
        <v>9350</v>
      </c>
      <c r="D732" s="2">
        <f ca="1">IFERROR(__xludf.DUMMYFUNCTION("""COMPUTED_VALUE"""),9275)</f>
        <v>9275</v>
      </c>
      <c r="E732" s="2">
        <f ca="1">IFERROR(__xludf.DUMMYFUNCTION("""COMPUTED_VALUE"""),9275)</f>
        <v>9275</v>
      </c>
      <c r="F732" s="2">
        <f ca="1">IFERROR(__xludf.DUMMYFUNCTION("""COMPUTED_VALUE"""),23982800)</f>
        <v>23982800</v>
      </c>
    </row>
    <row r="733" spans="1:6">
      <c r="A733" s="1">
        <f ca="1">IFERROR(__xludf.DUMMYFUNCTION("""COMPUTED_VALUE"""),43115.625)</f>
        <v>43115.625</v>
      </c>
      <c r="B733" s="2">
        <f ca="1">IFERROR(__xludf.DUMMYFUNCTION("""COMPUTED_VALUE"""),9300)</f>
        <v>9300</v>
      </c>
      <c r="C733" s="2">
        <f ca="1">IFERROR(__xludf.DUMMYFUNCTION("""COMPUTED_VALUE"""),9625)</f>
        <v>9625</v>
      </c>
      <c r="D733" s="2">
        <f ca="1">IFERROR(__xludf.DUMMYFUNCTION("""COMPUTED_VALUE"""),9300)</f>
        <v>9300</v>
      </c>
      <c r="E733" s="2">
        <f ca="1">IFERROR(__xludf.DUMMYFUNCTION("""COMPUTED_VALUE"""),9500)</f>
        <v>9500</v>
      </c>
      <c r="F733" s="2">
        <f ca="1">IFERROR(__xludf.DUMMYFUNCTION("""COMPUTED_VALUE"""),29439900)</f>
        <v>29439900</v>
      </c>
    </row>
    <row r="734" spans="1:6">
      <c r="A734" s="1">
        <f ca="1">IFERROR(__xludf.DUMMYFUNCTION("""COMPUTED_VALUE"""),43116.625)</f>
        <v>43116.625</v>
      </c>
      <c r="B734" s="2">
        <f ca="1">IFERROR(__xludf.DUMMYFUNCTION("""COMPUTED_VALUE"""),9550)</f>
        <v>9550</v>
      </c>
      <c r="C734" s="2">
        <f ca="1">IFERROR(__xludf.DUMMYFUNCTION("""COMPUTED_VALUE"""),9650)</f>
        <v>9650</v>
      </c>
      <c r="D734" s="2">
        <f ca="1">IFERROR(__xludf.DUMMYFUNCTION("""COMPUTED_VALUE"""),9525)</f>
        <v>9525</v>
      </c>
      <c r="E734" s="2">
        <f ca="1">IFERROR(__xludf.DUMMYFUNCTION("""COMPUTED_VALUE"""),9600)</f>
        <v>9600</v>
      </c>
      <c r="F734" s="2">
        <f ca="1">IFERROR(__xludf.DUMMYFUNCTION("""COMPUTED_VALUE"""),20316600)</f>
        <v>20316600</v>
      </c>
    </row>
    <row r="735" spans="1:6">
      <c r="A735" s="1">
        <f ca="1">IFERROR(__xludf.DUMMYFUNCTION("""COMPUTED_VALUE"""),43117.625)</f>
        <v>43117.625</v>
      </c>
      <c r="B735" s="2">
        <f ca="1">IFERROR(__xludf.DUMMYFUNCTION("""COMPUTED_VALUE"""),9600)</f>
        <v>9600</v>
      </c>
      <c r="C735" s="2">
        <f ca="1">IFERROR(__xludf.DUMMYFUNCTION("""COMPUTED_VALUE"""),9650)</f>
        <v>9650</v>
      </c>
      <c r="D735" s="2">
        <f ca="1">IFERROR(__xludf.DUMMYFUNCTION("""COMPUTED_VALUE"""),9525)</f>
        <v>9525</v>
      </c>
      <c r="E735" s="2">
        <f ca="1">IFERROR(__xludf.DUMMYFUNCTION("""COMPUTED_VALUE"""),9600)</f>
        <v>9600</v>
      </c>
      <c r="F735" s="2">
        <f ca="1">IFERROR(__xludf.DUMMYFUNCTION("""COMPUTED_VALUE"""),25532700)</f>
        <v>25532700</v>
      </c>
    </row>
    <row r="736" spans="1:6">
      <c r="A736" s="1">
        <f ca="1">IFERROR(__xludf.DUMMYFUNCTION("""COMPUTED_VALUE"""),43118.625)</f>
        <v>43118.625</v>
      </c>
      <c r="B736" s="2">
        <f ca="1">IFERROR(__xludf.DUMMYFUNCTION("""COMPUTED_VALUE"""),9650)</f>
        <v>9650</v>
      </c>
      <c r="C736" s="2">
        <f ca="1">IFERROR(__xludf.DUMMYFUNCTION("""COMPUTED_VALUE"""),9675)</f>
        <v>9675</v>
      </c>
      <c r="D736" s="2">
        <f ca="1">IFERROR(__xludf.DUMMYFUNCTION("""COMPUTED_VALUE"""),9400)</f>
        <v>9400</v>
      </c>
      <c r="E736" s="2">
        <f ca="1">IFERROR(__xludf.DUMMYFUNCTION("""COMPUTED_VALUE"""),9500)</f>
        <v>9500</v>
      </c>
      <c r="F736" s="2">
        <f ca="1">IFERROR(__xludf.DUMMYFUNCTION("""COMPUTED_VALUE"""),20518300)</f>
        <v>20518300</v>
      </c>
    </row>
    <row r="737" spans="1:6">
      <c r="A737" s="1">
        <f ca="1">IFERROR(__xludf.DUMMYFUNCTION("""COMPUTED_VALUE"""),43119.625)</f>
        <v>43119.625</v>
      </c>
      <c r="B737" s="2">
        <f ca="1">IFERROR(__xludf.DUMMYFUNCTION("""COMPUTED_VALUE"""),9550)</f>
        <v>9550</v>
      </c>
      <c r="C737" s="2">
        <f ca="1">IFERROR(__xludf.DUMMYFUNCTION("""COMPUTED_VALUE"""),9550)</f>
        <v>9550</v>
      </c>
      <c r="D737" s="2">
        <f ca="1">IFERROR(__xludf.DUMMYFUNCTION("""COMPUTED_VALUE"""),9300)</f>
        <v>9300</v>
      </c>
      <c r="E737" s="2">
        <f ca="1">IFERROR(__xludf.DUMMYFUNCTION("""COMPUTED_VALUE"""),9425)</f>
        <v>9425</v>
      </c>
      <c r="F737" s="2">
        <f ca="1">IFERROR(__xludf.DUMMYFUNCTION("""COMPUTED_VALUE"""),24124000)</f>
        <v>24124000</v>
      </c>
    </row>
    <row r="738" spans="1:6">
      <c r="A738" s="1">
        <f ca="1">IFERROR(__xludf.DUMMYFUNCTION("""COMPUTED_VALUE"""),43122.625)</f>
        <v>43122.625</v>
      </c>
      <c r="B738" s="2">
        <f ca="1">IFERROR(__xludf.DUMMYFUNCTION("""COMPUTED_VALUE"""),9400)</f>
        <v>9400</v>
      </c>
      <c r="C738" s="2">
        <f ca="1">IFERROR(__xludf.DUMMYFUNCTION("""COMPUTED_VALUE"""),9450)</f>
        <v>9450</v>
      </c>
      <c r="D738" s="2">
        <f ca="1">IFERROR(__xludf.DUMMYFUNCTION("""COMPUTED_VALUE"""),9325)</f>
        <v>9325</v>
      </c>
      <c r="E738" s="2">
        <f ca="1">IFERROR(__xludf.DUMMYFUNCTION("""COMPUTED_VALUE"""),9400)</f>
        <v>9400</v>
      </c>
      <c r="F738" s="2">
        <f ca="1">IFERROR(__xludf.DUMMYFUNCTION("""COMPUTED_VALUE"""),24309100)</f>
        <v>24309100</v>
      </c>
    </row>
    <row r="739" spans="1:6">
      <c r="A739" s="1">
        <f ca="1">IFERROR(__xludf.DUMMYFUNCTION("""COMPUTED_VALUE"""),43123.625)</f>
        <v>43123.625</v>
      </c>
      <c r="B739" s="2">
        <f ca="1">IFERROR(__xludf.DUMMYFUNCTION("""COMPUTED_VALUE"""),9450)</f>
        <v>9450</v>
      </c>
      <c r="C739" s="2">
        <f ca="1">IFERROR(__xludf.DUMMYFUNCTION("""COMPUTED_VALUE"""),9650)</f>
        <v>9650</v>
      </c>
      <c r="D739" s="2">
        <f ca="1">IFERROR(__xludf.DUMMYFUNCTION("""COMPUTED_VALUE"""),9425)</f>
        <v>9425</v>
      </c>
      <c r="E739" s="2">
        <f ca="1">IFERROR(__xludf.DUMMYFUNCTION("""COMPUTED_VALUE"""),9650)</f>
        <v>9650</v>
      </c>
      <c r="F739" s="2">
        <f ca="1">IFERROR(__xludf.DUMMYFUNCTION("""COMPUTED_VALUE"""),16672900)</f>
        <v>16672900</v>
      </c>
    </row>
    <row r="740" spans="1:6">
      <c r="A740" s="1">
        <f ca="1">IFERROR(__xludf.DUMMYFUNCTION("""COMPUTED_VALUE"""),43124.625)</f>
        <v>43124.625</v>
      </c>
      <c r="B740" s="2">
        <f ca="1">IFERROR(__xludf.DUMMYFUNCTION("""COMPUTED_VALUE"""),9600)</f>
        <v>9600</v>
      </c>
      <c r="C740" s="2">
        <f ca="1">IFERROR(__xludf.DUMMYFUNCTION("""COMPUTED_VALUE"""),9750)</f>
        <v>9750</v>
      </c>
      <c r="D740" s="2">
        <f ca="1">IFERROR(__xludf.DUMMYFUNCTION("""COMPUTED_VALUE"""),9575)</f>
        <v>9575</v>
      </c>
      <c r="E740" s="2">
        <f ca="1">IFERROR(__xludf.DUMMYFUNCTION("""COMPUTED_VALUE"""),9725)</f>
        <v>9725</v>
      </c>
      <c r="F740" s="2">
        <f ca="1">IFERROR(__xludf.DUMMYFUNCTION("""COMPUTED_VALUE"""),15933000)</f>
        <v>15933000</v>
      </c>
    </row>
    <row r="741" spans="1:6">
      <c r="A741" s="1">
        <f ca="1">IFERROR(__xludf.DUMMYFUNCTION("""COMPUTED_VALUE"""),43125.625)</f>
        <v>43125.625</v>
      </c>
      <c r="B741" s="2">
        <f ca="1">IFERROR(__xludf.DUMMYFUNCTION("""COMPUTED_VALUE"""),9750)</f>
        <v>9750</v>
      </c>
      <c r="C741" s="2">
        <f ca="1">IFERROR(__xludf.DUMMYFUNCTION("""COMPUTED_VALUE"""),9750)</f>
        <v>9750</v>
      </c>
      <c r="D741" s="2">
        <f ca="1">IFERROR(__xludf.DUMMYFUNCTION("""COMPUTED_VALUE"""),9550)</f>
        <v>9550</v>
      </c>
      <c r="E741" s="2">
        <f ca="1">IFERROR(__xludf.DUMMYFUNCTION("""COMPUTED_VALUE"""),9600)</f>
        <v>9600</v>
      </c>
      <c r="F741" s="2">
        <f ca="1">IFERROR(__xludf.DUMMYFUNCTION("""COMPUTED_VALUE"""),15589900)</f>
        <v>15589900</v>
      </c>
    </row>
    <row r="742" spans="1:6">
      <c r="A742" s="1">
        <f ca="1">IFERROR(__xludf.DUMMYFUNCTION("""COMPUTED_VALUE"""),43126.625)</f>
        <v>43126.625</v>
      </c>
      <c r="B742" s="2">
        <f ca="1">IFERROR(__xludf.DUMMYFUNCTION("""COMPUTED_VALUE"""),9600)</f>
        <v>9600</v>
      </c>
      <c r="C742" s="2">
        <f ca="1">IFERROR(__xludf.DUMMYFUNCTION("""COMPUTED_VALUE"""),9725)</f>
        <v>9725</v>
      </c>
      <c r="D742" s="2">
        <f ca="1">IFERROR(__xludf.DUMMYFUNCTION("""COMPUTED_VALUE"""),9600)</f>
        <v>9600</v>
      </c>
      <c r="E742" s="2">
        <f ca="1">IFERROR(__xludf.DUMMYFUNCTION("""COMPUTED_VALUE"""),9600)</f>
        <v>9600</v>
      </c>
      <c r="F742" s="2">
        <f ca="1">IFERROR(__xludf.DUMMYFUNCTION("""COMPUTED_VALUE"""),9056900)</f>
        <v>9056900</v>
      </c>
    </row>
    <row r="743" spans="1:6">
      <c r="A743" s="1">
        <f ca="1">IFERROR(__xludf.DUMMYFUNCTION("""COMPUTED_VALUE"""),43129.625)</f>
        <v>43129.625</v>
      </c>
      <c r="B743" s="2">
        <f ca="1">IFERROR(__xludf.DUMMYFUNCTION("""COMPUTED_VALUE"""),9600)</f>
        <v>9600</v>
      </c>
      <c r="C743" s="2">
        <f ca="1">IFERROR(__xludf.DUMMYFUNCTION("""COMPUTED_VALUE"""),9625)</f>
        <v>9625</v>
      </c>
      <c r="D743" s="2">
        <f ca="1">IFERROR(__xludf.DUMMYFUNCTION("""COMPUTED_VALUE"""),9300)</f>
        <v>9300</v>
      </c>
      <c r="E743" s="2">
        <f ca="1">IFERROR(__xludf.DUMMYFUNCTION("""COMPUTED_VALUE"""),9500)</f>
        <v>9500</v>
      </c>
      <c r="F743" s="2">
        <f ca="1">IFERROR(__xludf.DUMMYFUNCTION("""COMPUTED_VALUE"""),21825300)</f>
        <v>21825300</v>
      </c>
    </row>
    <row r="744" spans="1:6">
      <c r="A744" s="1">
        <f ca="1">IFERROR(__xludf.DUMMYFUNCTION("""COMPUTED_VALUE"""),43130.625)</f>
        <v>43130.625</v>
      </c>
      <c r="B744" s="2">
        <f ca="1">IFERROR(__xludf.DUMMYFUNCTION("""COMPUTED_VALUE"""),9425)</f>
        <v>9425</v>
      </c>
      <c r="C744" s="2">
        <f ca="1">IFERROR(__xludf.DUMMYFUNCTION("""COMPUTED_VALUE"""),9450)</f>
        <v>9450</v>
      </c>
      <c r="D744" s="2">
        <f ca="1">IFERROR(__xludf.DUMMYFUNCTION("""COMPUTED_VALUE"""),9225)</f>
        <v>9225</v>
      </c>
      <c r="E744" s="2">
        <f ca="1">IFERROR(__xludf.DUMMYFUNCTION("""COMPUTED_VALUE"""),9225)</f>
        <v>9225</v>
      </c>
      <c r="F744" s="2">
        <f ca="1">IFERROR(__xludf.DUMMYFUNCTION("""COMPUTED_VALUE"""),26094800)</f>
        <v>26094800</v>
      </c>
    </row>
    <row r="745" spans="1:6">
      <c r="A745" s="1">
        <f ca="1">IFERROR(__xludf.DUMMYFUNCTION("""COMPUTED_VALUE"""),43131.625)</f>
        <v>43131.625</v>
      </c>
      <c r="B745" s="2">
        <f ca="1">IFERROR(__xludf.DUMMYFUNCTION("""COMPUTED_VALUE"""),9200)</f>
        <v>9200</v>
      </c>
      <c r="C745" s="2">
        <f ca="1">IFERROR(__xludf.DUMMYFUNCTION("""COMPUTED_VALUE"""),9400)</f>
        <v>9400</v>
      </c>
      <c r="D745" s="2">
        <f ca="1">IFERROR(__xludf.DUMMYFUNCTION("""COMPUTED_VALUE"""),9125)</f>
        <v>9125</v>
      </c>
      <c r="E745" s="2">
        <f ca="1">IFERROR(__xludf.DUMMYFUNCTION("""COMPUTED_VALUE"""),9400)</f>
        <v>9400</v>
      </c>
      <c r="F745" s="2">
        <f ca="1">IFERROR(__xludf.DUMMYFUNCTION("""COMPUTED_VALUE"""),24110700)</f>
        <v>24110700</v>
      </c>
    </row>
    <row r="746" spans="1:6">
      <c r="A746" s="1">
        <f ca="1">IFERROR(__xludf.DUMMYFUNCTION("""COMPUTED_VALUE"""),43132.625)</f>
        <v>43132.625</v>
      </c>
      <c r="B746" s="2">
        <f ca="1">IFERROR(__xludf.DUMMYFUNCTION("""COMPUTED_VALUE"""),9350)</f>
        <v>9350</v>
      </c>
      <c r="C746" s="2">
        <f ca="1">IFERROR(__xludf.DUMMYFUNCTION("""COMPUTED_VALUE"""),9450)</f>
        <v>9450</v>
      </c>
      <c r="D746" s="2">
        <f ca="1">IFERROR(__xludf.DUMMYFUNCTION("""COMPUTED_VALUE"""),9300)</f>
        <v>9300</v>
      </c>
      <c r="E746" s="2">
        <f ca="1">IFERROR(__xludf.DUMMYFUNCTION("""COMPUTED_VALUE"""),9325)</f>
        <v>9325</v>
      </c>
      <c r="F746" s="2">
        <f ca="1">IFERROR(__xludf.DUMMYFUNCTION("""COMPUTED_VALUE"""),19407100)</f>
        <v>19407100</v>
      </c>
    </row>
    <row r="747" spans="1:6">
      <c r="A747" s="1">
        <f ca="1">IFERROR(__xludf.DUMMYFUNCTION("""COMPUTED_VALUE"""),43133.625)</f>
        <v>43133.625</v>
      </c>
      <c r="B747" s="2">
        <f ca="1">IFERROR(__xludf.DUMMYFUNCTION("""COMPUTED_VALUE"""),9400)</f>
        <v>9400</v>
      </c>
      <c r="C747" s="2">
        <f ca="1">IFERROR(__xludf.DUMMYFUNCTION("""COMPUTED_VALUE"""),9400)</f>
        <v>9400</v>
      </c>
      <c r="D747" s="2">
        <f ca="1">IFERROR(__xludf.DUMMYFUNCTION("""COMPUTED_VALUE"""),9275)</f>
        <v>9275</v>
      </c>
      <c r="E747" s="2">
        <f ca="1">IFERROR(__xludf.DUMMYFUNCTION("""COMPUTED_VALUE"""),9300)</f>
        <v>9300</v>
      </c>
      <c r="F747" s="2">
        <f ca="1">IFERROR(__xludf.DUMMYFUNCTION("""COMPUTED_VALUE"""),14041500)</f>
        <v>14041500</v>
      </c>
    </row>
    <row r="748" spans="1:6">
      <c r="A748" s="1">
        <f ca="1">IFERROR(__xludf.DUMMYFUNCTION("""COMPUTED_VALUE"""),43136.625)</f>
        <v>43136.625</v>
      </c>
      <c r="B748" s="2">
        <f ca="1">IFERROR(__xludf.DUMMYFUNCTION("""COMPUTED_VALUE"""),9100)</f>
        <v>9100</v>
      </c>
      <c r="C748" s="2">
        <f ca="1">IFERROR(__xludf.DUMMYFUNCTION("""COMPUTED_VALUE"""),9300)</f>
        <v>9300</v>
      </c>
      <c r="D748" s="2">
        <f ca="1">IFERROR(__xludf.DUMMYFUNCTION("""COMPUTED_VALUE"""),9050)</f>
        <v>9050</v>
      </c>
      <c r="E748" s="2">
        <f ca="1">IFERROR(__xludf.DUMMYFUNCTION("""COMPUTED_VALUE"""),9275)</f>
        <v>9275</v>
      </c>
      <c r="F748" s="2">
        <f ca="1">IFERROR(__xludf.DUMMYFUNCTION("""COMPUTED_VALUE"""),21070800)</f>
        <v>21070800</v>
      </c>
    </row>
    <row r="749" spans="1:6">
      <c r="A749" s="1">
        <f ca="1">IFERROR(__xludf.DUMMYFUNCTION("""COMPUTED_VALUE"""),43137.625)</f>
        <v>43137.625</v>
      </c>
      <c r="B749" s="2">
        <f ca="1">IFERROR(__xludf.DUMMYFUNCTION("""COMPUTED_VALUE"""),8975)</f>
        <v>8975</v>
      </c>
      <c r="C749" s="2">
        <f ca="1">IFERROR(__xludf.DUMMYFUNCTION("""COMPUTED_VALUE"""),9175)</f>
        <v>9175</v>
      </c>
      <c r="D749" s="2">
        <f ca="1">IFERROR(__xludf.DUMMYFUNCTION("""COMPUTED_VALUE"""),8925)</f>
        <v>8925</v>
      </c>
      <c r="E749" s="2">
        <f ca="1">IFERROR(__xludf.DUMMYFUNCTION("""COMPUTED_VALUE"""),9075)</f>
        <v>9075</v>
      </c>
      <c r="F749" s="2">
        <f ca="1">IFERROR(__xludf.DUMMYFUNCTION("""COMPUTED_VALUE"""),33430200)</f>
        <v>33430200</v>
      </c>
    </row>
    <row r="750" spans="1:6">
      <c r="A750" s="1">
        <f ca="1">IFERROR(__xludf.DUMMYFUNCTION("""COMPUTED_VALUE"""),43138.625)</f>
        <v>43138.625</v>
      </c>
      <c r="B750" s="2">
        <f ca="1">IFERROR(__xludf.DUMMYFUNCTION("""COMPUTED_VALUE"""),9125)</f>
        <v>9125</v>
      </c>
      <c r="C750" s="2">
        <f ca="1">IFERROR(__xludf.DUMMYFUNCTION("""COMPUTED_VALUE"""),9550)</f>
        <v>9550</v>
      </c>
      <c r="D750" s="2">
        <f ca="1">IFERROR(__xludf.DUMMYFUNCTION("""COMPUTED_VALUE"""),9125)</f>
        <v>9125</v>
      </c>
      <c r="E750" s="2">
        <f ca="1">IFERROR(__xludf.DUMMYFUNCTION("""COMPUTED_VALUE"""),9550)</f>
        <v>9550</v>
      </c>
      <c r="F750" s="2">
        <f ca="1">IFERROR(__xludf.DUMMYFUNCTION("""COMPUTED_VALUE"""),33739300)</f>
        <v>33739300</v>
      </c>
    </row>
    <row r="751" spans="1:6">
      <c r="A751" s="1">
        <f ca="1">IFERROR(__xludf.DUMMYFUNCTION("""COMPUTED_VALUE"""),43139.625)</f>
        <v>43139.625</v>
      </c>
      <c r="B751" s="2">
        <f ca="1">IFERROR(__xludf.DUMMYFUNCTION("""COMPUTED_VALUE"""),9550)</f>
        <v>9550</v>
      </c>
      <c r="C751" s="2">
        <f ca="1">IFERROR(__xludf.DUMMYFUNCTION("""COMPUTED_VALUE"""),9550)</f>
        <v>9550</v>
      </c>
      <c r="D751" s="2">
        <f ca="1">IFERROR(__xludf.DUMMYFUNCTION("""COMPUTED_VALUE"""),9425)</f>
        <v>9425</v>
      </c>
      <c r="E751" s="2">
        <f ca="1">IFERROR(__xludf.DUMMYFUNCTION("""COMPUTED_VALUE"""),9500)</f>
        <v>9500</v>
      </c>
      <c r="F751" s="2">
        <f ca="1">IFERROR(__xludf.DUMMYFUNCTION("""COMPUTED_VALUE"""),25451500)</f>
        <v>25451500</v>
      </c>
    </row>
    <row r="752" spans="1:6">
      <c r="A752" s="1">
        <f ca="1">IFERROR(__xludf.DUMMYFUNCTION("""COMPUTED_VALUE"""),43140.625)</f>
        <v>43140.625</v>
      </c>
      <c r="B752" s="2">
        <f ca="1">IFERROR(__xludf.DUMMYFUNCTION("""COMPUTED_VALUE"""),9350)</f>
        <v>9350</v>
      </c>
      <c r="C752" s="2">
        <f ca="1">IFERROR(__xludf.DUMMYFUNCTION("""COMPUTED_VALUE"""),9500)</f>
        <v>9500</v>
      </c>
      <c r="D752" s="2">
        <f ca="1">IFERROR(__xludf.DUMMYFUNCTION("""COMPUTED_VALUE"""),9250)</f>
        <v>9250</v>
      </c>
      <c r="E752" s="2">
        <f ca="1">IFERROR(__xludf.DUMMYFUNCTION("""COMPUTED_VALUE"""),9425)</f>
        <v>9425</v>
      </c>
      <c r="F752" s="2">
        <f ca="1">IFERROR(__xludf.DUMMYFUNCTION("""COMPUTED_VALUE"""),19380900)</f>
        <v>19380900</v>
      </c>
    </row>
    <row r="753" spans="1:6">
      <c r="A753" s="1">
        <f ca="1">IFERROR(__xludf.DUMMYFUNCTION("""COMPUTED_VALUE"""),43143.625)</f>
        <v>43143.625</v>
      </c>
      <c r="B753" s="2">
        <f ca="1">IFERROR(__xludf.DUMMYFUNCTION("""COMPUTED_VALUE"""),9400)</f>
        <v>9400</v>
      </c>
      <c r="C753" s="2">
        <f ca="1">IFERROR(__xludf.DUMMYFUNCTION("""COMPUTED_VALUE"""),9525)</f>
        <v>9525</v>
      </c>
      <c r="D753" s="2">
        <f ca="1">IFERROR(__xludf.DUMMYFUNCTION("""COMPUTED_VALUE"""),9400)</f>
        <v>9400</v>
      </c>
      <c r="E753" s="2">
        <f ca="1">IFERROR(__xludf.DUMMYFUNCTION("""COMPUTED_VALUE"""),9525)</f>
        <v>9525</v>
      </c>
      <c r="F753" s="2">
        <f ca="1">IFERROR(__xludf.DUMMYFUNCTION("""COMPUTED_VALUE"""),10061900)</f>
        <v>10061900</v>
      </c>
    </row>
    <row r="754" spans="1:6">
      <c r="A754" s="1">
        <f ca="1">IFERROR(__xludf.DUMMYFUNCTION("""COMPUTED_VALUE"""),43144.625)</f>
        <v>43144.625</v>
      </c>
      <c r="B754" s="2">
        <f ca="1">IFERROR(__xludf.DUMMYFUNCTION("""COMPUTED_VALUE"""),9575)</f>
        <v>9575</v>
      </c>
      <c r="C754" s="2">
        <f ca="1">IFERROR(__xludf.DUMMYFUNCTION("""COMPUTED_VALUE"""),9800)</f>
        <v>9800</v>
      </c>
      <c r="D754" s="2">
        <f ca="1">IFERROR(__xludf.DUMMYFUNCTION("""COMPUTED_VALUE"""),9575)</f>
        <v>9575</v>
      </c>
      <c r="E754" s="2">
        <f ca="1">IFERROR(__xludf.DUMMYFUNCTION("""COMPUTED_VALUE"""),9700)</f>
        <v>9700</v>
      </c>
      <c r="F754" s="2">
        <f ca="1">IFERROR(__xludf.DUMMYFUNCTION("""COMPUTED_VALUE"""),28403600)</f>
        <v>28403600</v>
      </c>
    </row>
    <row r="755" spans="1:6">
      <c r="A755" s="1">
        <f ca="1">IFERROR(__xludf.DUMMYFUNCTION("""COMPUTED_VALUE"""),43145.625)</f>
        <v>43145.625</v>
      </c>
      <c r="B755" s="2">
        <f ca="1">IFERROR(__xludf.DUMMYFUNCTION("""COMPUTED_VALUE"""),9675)</f>
        <v>9675</v>
      </c>
      <c r="C755" s="2">
        <f ca="1">IFERROR(__xludf.DUMMYFUNCTION("""COMPUTED_VALUE"""),9725)</f>
        <v>9725</v>
      </c>
      <c r="D755" s="2">
        <f ca="1">IFERROR(__xludf.DUMMYFUNCTION("""COMPUTED_VALUE"""),9675)</f>
        <v>9675</v>
      </c>
      <c r="E755" s="2">
        <f ca="1">IFERROR(__xludf.DUMMYFUNCTION("""COMPUTED_VALUE"""),9700)</f>
        <v>9700</v>
      </c>
      <c r="F755" s="2">
        <f ca="1">IFERROR(__xludf.DUMMYFUNCTION("""COMPUTED_VALUE"""),13534400)</f>
        <v>13534400</v>
      </c>
    </row>
    <row r="756" spans="1:6">
      <c r="A756" s="1">
        <f ca="1">IFERROR(__xludf.DUMMYFUNCTION("""COMPUTED_VALUE"""),43146.5416666666)</f>
        <v>43146.541666666599</v>
      </c>
      <c r="B756" s="2">
        <f ca="1">IFERROR(__xludf.DUMMYFUNCTION("""COMPUTED_VALUE"""),9700)</f>
        <v>9700</v>
      </c>
      <c r="C756" s="2">
        <f ca="1">IFERROR(__xludf.DUMMYFUNCTION("""COMPUTED_VALUE"""),9725)</f>
        <v>9725</v>
      </c>
      <c r="D756" s="2">
        <f ca="1">IFERROR(__xludf.DUMMYFUNCTION("""COMPUTED_VALUE"""),9550)</f>
        <v>9550</v>
      </c>
      <c r="E756" s="2">
        <f ca="1">IFERROR(__xludf.DUMMYFUNCTION("""COMPUTED_VALUE"""),9625)</f>
        <v>9625</v>
      </c>
      <c r="F756" s="2">
        <f ca="1">IFERROR(__xludf.DUMMYFUNCTION("""COMPUTED_VALUE"""),11297000)</f>
        <v>11297000</v>
      </c>
    </row>
    <row r="757" spans="1:6">
      <c r="A757" s="1">
        <f ca="1">IFERROR(__xludf.DUMMYFUNCTION("""COMPUTED_VALUE"""),43150.625)</f>
        <v>43150.625</v>
      </c>
      <c r="B757" s="2">
        <f ca="1">IFERROR(__xludf.DUMMYFUNCTION("""COMPUTED_VALUE"""),9625)</f>
        <v>9625</v>
      </c>
      <c r="C757" s="2">
        <f ca="1">IFERROR(__xludf.DUMMYFUNCTION("""COMPUTED_VALUE"""),9875)</f>
        <v>9875</v>
      </c>
      <c r="D757" s="2">
        <f ca="1">IFERROR(__xludf.DUMMYFUNCTION("""COMPUTED_VALUE"""),9625)</f>
        <v>9625</v>
      </c>
      <c r="E757" s="2">
        <f ca="1">IFERROR(__xludf.DUMMYFUNCTION("""COMPUTED_VALUE"""),9875)</f>
        <v>9875</v>
      </c>
      <c r="F757" s="2">
        <f ca="1">IFERROR(__xludf.DUMMYFUNCTION("""COMPUTED_VALUE"""),15672500)</f>
        <v>15672500</v>
      </c>
    </row>
    <row r="758" spans="1:6">
      <c r="A758" s="1">
        <f ca="1">IFERROR(__xludf.DUMMYFUNCTION("""COMPUTED_VALUE"""),43151.625)</f>
        <v>43151.625</v>
      </c>
      <c r="B758" s="2">
        <f ca="1">IFERROR(__xludf.DUMMYFUNCTION("""COMPUTED_VALUE"""),9875)</f>
        <v>9875</v>
      </c>
      <c r="C758" s="2">
        <f ca="1">IFERROR(__xludf.DUMMYFUNCTION("""COMPUTED_VALUE"""),9950)</f>
        <v>9950</v>
      </c>
      <c r="D758" s="2">
        <f ca="1">IFERROR(__xludf.DUMMYFUNCTION("""COMPUTED_VALUE"""),9850)</f>
        <v>9850</v>
      </c>
      <c r="E758" s="2">
        <f ca="1">IFERROR(__xludf.DUMMYFUNCTION("""COMPUTED_VALUE"""),9925)</f>
        <v>9925</v>
      </c>
      <c r="F758" s="2">
        <f ca="1">IFERROR(__xludf.DUMMYFUNCTION("""COMPUTED_VALUE"""),18466000)</f>
        <v>18466000</v>
      </c>
    </row>
    <row r="759" spans="1:6">
      <c r="A759" s="1">
        <f ca="1">IFERROR(__xludf.DUMMYFUNCTION("""COMPUTED_VALUE"""),43152.625)</f>
        <v>43152.625</v>
      </c>
      <c r="B759" s="2">
        <f ca="1">IFERROR(__xludf.DUMMYFUNCTION("""COMPUTED_VALUE"""),9925)</f>
        <v>9925</v>
      </c>
      <c r="C759" s="2">
        <f ca="1">IFERROR(__xludf.DUMMYFUNCTION("""COMPUTED_VALUE"""),10175)</f>
        <v>10175</v>
      </c>
      <c r="D759" s="2">
        <f ca="1">IFERROR(__xludf.DUMMYFUNCTION("""COMPUTED_VALUE"""),9900)</f>
        <v>9900</v>
      </c>
      <c r="E759" s="2">
        <f ca="1">IFERROR(__xludf.DUMMYFUNCTION("""COMPUTED_VALUE"""),10175)</f>
        <v>10175</v>
      </c>
      <c r="F759" s="2">
        <f ca="1">IFERROR(__xludf.DUMMYFUNCTION("""COMPUTED_VALUE"""),25111600)</f>
        <v>25111600</v>
      </c>
    </row>
    <row r="760" spans="1:6">
      <c r="A760" s="1">
        <f ca="1">IFERROR(__xludf.DUMMYFUNCTION("""COMPUTED_VALUE"""),43153.625)</f>
        <v>43153.625</v>
      </c>
      <c r="B760" s="2">
        <f ca="1">IFERROR(__xludf.DUMMYFUNCTION("""COMPUTED_VALUE"""),10175)</f>
        <v>10175</v>
      </c>
      <c r="C760" s="2">
        <f ca="1">IFERROR(__xludf.DUMMYFUNCTION("""COMPUTED_VALUE"""),10175)</f>
        <v>10175</v>
      </c>
      <c r="D760" s="2">
        <f ca="1">IFERROR(__xludf.DUMMYFUNCTION("""COMPUTED_VALUE"""),9750)</f>
        <v>9750</v>
      </c>
      <c r="E760" s="2">
        <f ca="1">IFERROR(__xludf.DUMMYFUNCTION("""COMPUTED_VALUE"""),9775)</f>
        <v>9775</v>
      </c>
      <c r="F760" s="2">
        <f ca="1">IFERROR(__xludf.DUMMYFUNCTION("""COMPUTED_VALUE"""),16661000)</f>
        <v>16661000</v>
      </c>
    </row>
    <row r="761" spans="1:6">
      <c r="A761" s="1">
        <f ca="1">IFERROR(__xludf.DUMMYFUNCTION("""COMPUTED_VALUE"""),43154.625)</f>
        <v>43154.625</v>
      </c>
      <c r="B761" s="2">
        <f ca="1">IFERROR(__xludf.DUMMYFUNCTION("""COMPUTED_VALUE"""),9875)</f>
        <v>9875</v>
      </c>
      <c r="C761" s="2">
        <f ca="1">IFERROR(__xludf.DUMMYFUNCTION("""COMPUTED_VALUE"""),9925)</f>
        <v>9925</v>
      </c>
      <c r="D761" s="2">
        <f ca="1">IFERROR(__xludf.DUMMYFUNCTION("""COMPUTED_VALUE"""),9800)</f>
        <v>9800</v>
      </c>
      <c r="E761" s="2">
        <f ca="1">IFERROR(__xludf.DUMMYFUNCTION("""COMPUTED_VALUE"""),9850)</f>
        <v>9850</v>
      </c>
      <c r="F761" s="2">
        <f ca="1">IFERROR(__xludf.DUMMYFUNCTION("""COMPUTED_VALUE"""),15015900)</f>
        <v>15015900</v>
      </c>
    </row>
    <row r="762" spans="1:6">
      <c r="A762" s="1">
        <f ca="1">IFERROR(__xludf.DUMMYFUNCTION("""COMPUTED_VALUE"""),43157.625)</f>
        <v>43157.625</v>
      </c>
      <c r="B762" s="2">
        <f ca="1">IFERROR(__xludf.DUMMYFUNCTION("""COMPUTED_VALUE"""),9850)</f>
        <v>9850</v>
      </c>
      <c r="C762" s="2">
        <f ca="1">IFERROR(__xludf.DUMMYFUNCTION("""COMPUTED_VALUE"""),9875)</f>
        <v>9875</v>
      </c>
      <c r="D762" s="2">
        <f ca="1">IFERROR(__xludf.DUMMYFUNCTION("""COMPUTED_VALUE"""),9750)</f>
        <v>9750</v>
      </c>
      <c r="E762" s="2">
        <f ca="1">IFERROR(__xludf.DUMMYFUNCTION("""COMPUTED_VALUE"""),9825)</f>
        <v>9825</v>
      </c>
      <c r="F762" s="2">
        <f ca="1">IFERROR(__xludf.DUMMYFUNCTION("""COMPUTED_VALUE"""),7566500)</f>
        <v>7566500</v>
      </c>
    </row>
    <row r="763" spans="1:6">
      <c r="A763" s="1">
        <f ca="1">IFERROR(__xludf.DUMMYFUNCTION("""COMPUTED_VALUE"""),43158.625)</f>
        <v>43158.625</v>
      </c>
      <c r="B763" s="2">
        <f ca="1">IFERROR(__xludf.DUMMYFUNCTION("""COMPUTED_VALUE"""),9825)</f>
        <v>9825</v>
      </c>
      <c r="C763" s="2">
        <f ca="1">IFERROR(__xludf.DUMMYFUNCTION("""COMPUTED_VALUE"""),9950)</f>
        <v>9950</v>
      </c>
      <c r="D763" s="2">
        <f ca="1">IFERROR(__xludf.DUMMYFUNCTION("""COMPUTED_VALUE"""),9825)</f>
        <v>9825</v>
      </c>
      <c r="E763" s="2">
        <f ca="1">IFERROR(__xludf.DUMMYFUNCTION("""COMPUTED_VALUE"""),9825)</f>
        <v>9825</v>
      </c>
      <c r="F763" s="2">
        <f ca="1">IFERROR(__xludf.DUMMYFUNCTION("""COMPUTED_VALUE"""),11560600)</f>
        <v>11560600</v>
      </c>
    </row>
    <row r="764" spans="1:6">
      <c r="A764" s="1">
        <f ca="1">IFERROR(__xludf.DUMMYFUNCTION("""COMPUTED_VALUE"""),43159.625)</f>
        <v>43159.625</v>
      </c>
      <c r="B764" s="2">
        <f ca="1">IFERROR(__xludf.DUMMYFUNCTION("""COMPUTED_VALUE"""),9750)</f>
        <v>9750</v>
      </c>
      <c r="C764" s="2">
        <f ca="1">IFERROR(__xludf.DUMMYFUNCTION("""COMPUTED_VALUE"""),9775)</f>
        <v>9775</v>
      </c>
      <c r="D764" s="2">
        <f ca="1">IFERROR(__xludf.DUMMYFUNCTION("""COMPUTED_VALUE"""),9575)</f>
        <v>9575</v>
      </c>
      <c r="E764" s="2">
        <f ca="1">IFERROR(__xludf.DUMMYFUNCTION("""COMPUTED_VALUE"""),9725)</f>
        <v>9725</v>
      </c>
      <c r="F764" s="2">
        <f ca="1">IFERROR(__xludf.DUMMYFUNCTION("""COMPUTED_VALUE"""),18614400)</f>
        <v>18614400</v>
      </c>
    </row>
    <row r="765" spans="1:6">
      <c r="A765" s="1">
        <f ca="1">IFERROR(__xludf.DUMMYFUNCTION("""COMPUTED_VALUE"""),43160.625)</f>
        <v>43160.625</v>
      </c>
      <c r="B765" s="2">
        <f ca="1">IFERROR(__xludf.DUMMYFUNCTION("""COMPUTED_VALUE"""),9650)</f>
        <v>9650</v>
      </c>
      <c r="C765" s="2">
        <f ca="1">IFERROR(__xludf.DUMMYFUNCTION("""COMPUTED_VALUE"""),9875)</f>
        <v>9875</v>
      </c>
      <c r="D765" s="2">
        <f ca="1">IFERROR(__xludf.DUMMYFUNCTION("""COMPUTED_VALUE"""),9625)</f>
        <v>9625</v>
      </c>
      <c r="E765" s="2">
        <f ca="1">IFERROR(__xludf.DUMMYFUNCTION("""COMPUTED_VALUE"""),9625)</f>
        <v>9625</v>
      </c>
      <c r="F765" s="2">
        <f ca="1">IFERROR(__xludf.DUMMYFUNCTION("""COMPUTED_VALUE"""),14553900)</f>
        <v>14553900</v>
      </c>
    </row>
    <row r="766" spans="1:6">
      <c r="A766" s="1">
        <f ca="1">IFERROR(__xludf.DUMMYFUNCTION("""COMPUTED_VALUE"""),43161.625)</f>
        <v>43161.625</v>
      </c>
      <c r="B766" s="2">
        <f ca="1">IFERROR(__xludf.DUMMYFUNCTION("""COMPUTED_VALUE"""),9625)</f>
        <v>9625</v>
      </c>
      <c r="C766" s="2">
        <f ca="1">IFERROR(__xludf.DUMMYFUNCTION("""COMPUTED_VALUE"""),9625)</f>
        <v>9625</v>
      </c>
      <c r="D766" s="2">
        <f ca="1">IFERROR(__xludf.DUMMYFUNCTION("""COMPUTED_VALUE"""),9500)</f>
        <v>9500</v>
      </c>
      <c r="E766" s="2">
        <f ca="1">IFERROR(__xludf.DUMMYFUNCTION("""COMPUTED_VALUE"""),9525)</f>
        <v>9525</v>
      </c>
      <c r="F766" s="2">
        <f ca="1">IFERROR(__xludf.DUMMYFUNCTION("""COMPUTED_VALUE"""),16500700)</f>
        <v>16500700</v>
      </c>
    </row>
    <row r="767" spans="1:6">
      <c r="A767" s="1">
        <f ca="1">IFERROR(__xludf.DUMMYFUNCTION("""COMPUTED_VALUE"""),43164.625)</f>
        <v>43164.625</v>
      </c>
      <c r="B767" s="2">
        <f ca="1">IFERROR(__xludf.DUMMYFUNCTION("""COMPUTED_VALUE"""),9425)</f>
        <v>9425</v>
      </c>
      <c r="C767" s="2">
        <f ca="1">IFERROR(__xludf.DUMMYFUNCTION("""COMPUTED_VALUE"""),9575)</f>
        <v>9575</v>
      </c>
      <c r="D767" s="2">
        <f ca="1">IFERROR(__xludf.DUMMYFUNCTION("""COMPUTED_VALUE"""),9425)</f>
        <v>9425</v>
      </c>
      <c r="E767" s="2">
        <f ca="1">IFERROR(__xludf.DUMMYFUNCTION("""COMPUTED_VALUE"""),9550)</f>
        <v>9550</v>
      </c>
      <c r="F767" s="2">
        <f ca="1">IFERROR(__xludf.DUMMYFUNCTION("""COMPUTED_VALUE"""),15059500)</f>
        <v>15059500</v>
      </c>
    </row>
    <row r="768" spans="1:6">
      <c r="A768" s="1">
        <f ca="1">IFERROR(__xludf.DUMMYFUNCTION("""COMPUTED_VALUE"""),43165.625)</f>
        <v>43165.625</v>
      </c>
      <c r="B768" s="2">
        <f ca="1">IFERROR(__xludf.DUMMYFUNCTION("""COMPUTED_VALUE"""),9550)</f>
        <v>9550</v>
      </c>
      <c r="C768" s="2">
        <f ca="1">IFERROR(__xludf.DUMMYFUNCTION("""COMPUTED_VALUE"""),9575)</f>
        <v>9575</v>
      </c>
      <c r="D768" s="2">
        <f ca="1">IFERROR(__xludf.DUMMYFUNCTION("""COMPUTED_VALUE"""),9150)</f>
        <v>9150</v>
      </c>
      <c r="E768" s="2">
        <f ca="1">IFERROR(__xludf.DUMMYFUNCTION("""COMPUTED_VALUE"""),9175)</f>
        <v>9175</v>
      </c>
      <c r="F768" s="2">
        <f ca="1">IFERROR(__xludf.DUMMYFUNCTION("""COMPUTED_VALUE"""),19192900)</f>
        <v>19192900</v>
      </c>
    </row>
    <row r="769" spans="1:6">
      <c r="A769" s="1">
        <f ca="1">IFERROR(__xludf.DUMMYFUNCTION("""COMPUTED_VALUE"""),43166.625)</f>
        <v>43166.625</v>
      </c>
      <c r="B769" s="2">
        <f ca="1">IFERROR(__xludf.DUMMYFUNCTION("""COMPUTED_VALUE"""),9250)</f>
        <v>9250</v>
      </c>
      <c r="C769" s="2">
        <f ca="1">IFERROR(__xludf.DUMMYFUNCTION("""COMPUTED_VALUE"""),9250)</f>
        <v>9250</v>
      </c>
      <c r="D769" s="2">
        <f ca="1">IFERROR(__xludf.DUMMYFUNCTION("""COMPUTED_VALUE"""),8825)</f>
        <v>8825</v>
      </c>
      <c r="E769" s="2">
        <f ca="1">IFERROR(__xludf.DUMMYFUNCTION("""COMPUTED_VALUE"""),9075)</f>
        <v>9075</v>
      </c>
      <c r="F769" s="2">
        <f ca="1">IFERROR(__xludf.DUMMYFUNCTION("""COMPUTED_VALUE"""),23280600)</f>
        <v>23280600</v>
      </c>
    </row>
    <row r="770" spans="1:6">
      <c r="A770" s="1">
        <f ca="1">IFERROR(__xludf.DUMMYFUNCTION("""COMPUTED_VALUE"""),43167.625)</f>
        <v>43167.625</v>
      </c>
      <c r="B770" s="2">
        <f ca="1">IFERROR(__xludf.DUMMYFUNCTION("""COMPUTED_VALUE"""),9225)</f>
        <v>9225</v>
      </c>
      <c r="C770" s="2">
        <f ca="1">IFERROR(__xludf.DUMMYFUNCTION("""COMPUTED_VALUE"""),9350)</f>
        <v>9350</v>
      </c>
      <c r="D770" s="2">
        <f ca="1">IFERROR(__xludf.DUMMYFUNCTION("""COMPUTED_VALUE"""),9150)</f>
        <v>9150</v>
      </c>
      <c r="E770" s="2">
        <f ca="1">IFERROR(__xludf.DUMMYFUNCTION("""COMPUTED_VALUE"""),9350)</f>
        <v>9350</v>
      </c>
      <c r="F770" s="2">
        <f ca="1">IFERROR(__xludf.DUMMYFUNCTION("""COMPUTED_VALUE"""),22182600)</f>
        <v>22182600</v>
      </c>
    </row>
    <row r="771" spans="1:6">
      <c r="A771" s="1">
        <f ca="1">IFERROR(__xludf.DUMMYFUNCTION("""COMPUTED_VALUE"""),43168.625)</f>
        <v>43168.625</v>
      </c>
      <c r="B771" s="2">
        <f ca="1">IFERROR(__xludf.DUMMYFUNCTION("""COMPUTED_VALUE"""),9375)</f>
        <v>9375</v>
      </c>
      <c r="C771" s="2">
        <f ca="1">IFERROR(__xludf.DUMMYFUNCTION("""COMPUTED_VALUE"""),9400)</f>
        <v>9400</v>
      </c>
      <c r="D771" s="2">
        <f ca="1">IFERROR(__xludf.DUMMYFUNCTION("""COMPUTED_VALUE"""),9175)</f>
        <v>9175</v>
      </c>
      <c r="E771" s="2">
        <f ca="1">IFERROR(__xludf.DUMMYFUNCTION("""COMPUTED_VALUE"""),9400)</f>
        <v>9400</v>
      </c>
      <c r="F771" s="2">
        <f ca="1">IFERROR(__xludf.DUMMYFUNCTION("""COMPUTED_VALUE"""),9321700)</f>
        <v>9321700</v>
      </c>
    </row>
    <row r="772" spans="1:6">
      <c r="A772" s="1">
        <f ca="1">IFERROR(__xludf.DUMMYFUNCTION("""COMPUTED_VALUE"""),43171.625)</f>
        <v>43171.625</v>
      </c>
      <c r="B772" s="2">
        <f ca="1">IFERROR(__xludf.DUMMYFUNCTION("""COMPUTED_VALUE"""),9450)</f>
        <v>9450</v>
      </c>
      <c r="C772" s="2">
        <f ca="1">IFERROR(__xludf.DUMMYFUNCTION("""COMPUTED_VALUE"""),9500)</f>
        <v>9500</v>
      </c>
      <c r="D772" s="2">
        <f ca="1">IFERROR(__xludf.DUMMYFUNCTION("""COMPUTED_VALUE"""),9325)</f>
        <v>9325</v>
      </c>
      <c r="E772" s="2">
        <f ca="1">IFERROR(__xludf.DUMMYFUNCTION("""COMPUTED_VALUE"""),9350)</f>
        <v>9350</v>
      </c>
      <c r="F772" s="2">
        <f ca="1">IFERROR(__xludf.DUMMYFUNCTION("""COMPUTED_VALUE"""),11372300)</f>
        <v>11372300</v>
      </c>
    </row>
    <row r="773" spans="1:6">
      <c r="A773" s="1">
        <f ca="1">IFERROR(__xludf.DUMMYFUNCTION("""COMPUTED_VALUE"""),43172.625)</f>
        <v>43172.625</v>
      </c>
      <c r="B773" s="2">
        <f ca="1">IFERROR(__xludf.DUMMYFUNCTION("""COMPUTED_VALUE"""),9375)</f>
        <v>9375</v>
      </c>
      <c r="C773" s="2">
        <f ca="1">IFERROR(__xludf.DUMMYFUNCTION("""COMPUTED_VALUE"""),9450)</f>
        <v>9450</v>
      </c>
      <c r="D773" s="2">
        <f ca="1">IFERROR(__xludf.DUMMYFUNCTION("""COMPUTED_VALUE"""),9250)</f>
        <v>9250</v>
      </c>
      <c r="E773" s="2">
        <f ca="1">IFERROR(__xludf.DUMMYFUNCTION("""COMPUTED_VALUE"""),9250)</f>
        <v>9250</v>
      </c>
      <c r="F773" s="2">
        <f ca="1">IFERROR(__xludf.DUMMYFUNCTION("""COMPUTED_VALUE"""),17063700)</f>
        <v>17063700</v>
      </c>
    </row>
    <row r="774" spans="1:6">
      <c r="A774" s="1">
        <f ca="1">IFERROR(__xludf.DUMMYFUNCTION("""COMPUTED_VALUE"""),43173.625)</f>
        <v>43173.625</v>
      </c>
      <c r="B774" s="2">
        <f ca="1">IFERROR(__xludf.DUMMYFUNCTION("""COMPUTED_VALUE"""),9150)</f>
        <v>9150</v>
      </c>
      <c r="C774" s="2">
        <f ca="1">IFERROR(__xludf.DUMMYFUNCTION("""COMPUTED_VALUE"""),9450)</f>
        <v>9450</v>
      </c>
      <c r="D774" s="2">
        <f ca="1">IFERROR(__xludf.DUMMYFUNCTION("""COMPUTED_VALUE"""),9125)</f>
        <v>9125</v>
      </c>
      <c r="E774" s="2">
        <f ca="1">IFERROR(__xludf.DUMMYFUNCTION("""COMPUTED_VALUE"""),9450)</f>
        <v>9450</v>
      </c>
      <c r="F774" s="2">
        <f ca="1">IFERROR(__xludf.DUMMYFUNCTION("""COMPUTED_VALUE"""),14121900)</f>
        <v>14121900</v>
      </c>
    </row>
    <row r="775" spans="1:6">
      <c r="A775" s="1">
        <f ca="1">IFERROR(__xludf.DUMMYFUNCTION("""COMPUTED_VALUE"""),43174.625)</f>
        <v>43174.625</v>
      </c>
      <c r="B775" s="2">
        <f ca="1">IFERROR(__xludf.DUMMYFUNCTION("""COMPUTED_VALUE"""),9450)</f>
        <v>9450</v>
      </c>
      <c r="C775" s="2">
        <f ca="1">IFERROR(__xludf.DUMMYFUNCTION("""COMPUTED_VALUE"""),9450)</f>
        <v>9450</v>
      </c>
      <c r="D775" s="2">
        <f ca="1">IFERROR(__xludf.DUMMYFUNCTION("""COMPUTED_VALUE"""),9275)</f>
        <v>9275</v>
      </c>
      <c r="E775" s="2">
        <f ca="1">IFERROR(__xludf.DUMMYFUNCTION("""COMPUTED_VALUE"""),9400)</f>
        <v>9400</v>
      </c>
      <c r="F775" s="2">
        <f ca="1">IFERROR(__xludf.DUMMYFUNCTION("""COMPUTED_VALUE"""),11838300)</f>
        <v>11838300</v>
      </c>
    </row>
    <row r="776" spans="1:6">
      <c r="A776" s="1">
        <f ca="1">IFERROR(__xludf.DUMMYFUNCTION("""COMPUTED_VALUE"""),43175.625)</f>
        <v>43175.625</v>
      </c>
      <c r="B776" s="2">
        <f ca="1">IFERROR(__xludf.DUMMYFUNCTION("""COMPUTED_VALUE"""),9400)</f>
        <v>9400</v>
      </c>
      <c r="C776" s="2">
        <f ca="1">IFERROR(__xludf.DUMMYFUNCTION("""COMPUTED_VALUE"""),9525)</f>
        <v>9525</v>
      </c>
      <c r="D776" s="2">
        <f ca="1">IFERROR(__xludf.DUMMYFUNCTION("""COMPUTED_VALUE"""),9025)</f>
        <v>9025</v>
      </c>
      <c r="E776" s="2">
        <f ca="1">IFERROR(__xludf.DUMMYFUNCTION("""COMPUTED_VALUE"""),9525)</f>
        <v>9525</v>
      </c>
      <c r="F776" s="2">
        <f ca="1">IFERROR(__xludf.DUMMYFUNCTION("""COMPUTED_VALUE"""),28363500)</f>
        <v>28363500</v>
      </c>
    </row>
    <row r="777" spans="1:6">
      <c r="A777" s="1">
        <f ca="1">IFERROR(__xludf.DUMMYFUNCTION("""COMPUTED_VALUE"""),43178.625)</f>
        <v>43178.625</v>
      </c>
      <c r="B777" s="2">
        <f ca="1">IFERROR(__xludf.DUMMYFUNCTION("""COMPUTED_VALUE"""),9550)</f>
        <v>9550</v>
      </c>
      <c r="C777" s="2">
        <f ca="1">IFERROR(__xludf.DUMMYFUNCTION("""COMPUTED_VALUE"""),9600)</f>
        <v>9600</v>
      </c>
      <c r="D777" s="2">
        <f ca="1">IFERROR(__xludf.DUMMYFUNCTION("""COMPUTED_VALUE"""),9425)</f>
        <v>9425</v>
      </c>
      <c r="E777" s="2">
        <f ca="1">IFERROR(__xludf.DUMMYFUNCTION("""COMPUTED_VALUE"""),9600)</f>
        <v>9600</v>
      </c>
      <c r="F777" s="2">
        <f ca="1">IFERROR(__xludf.DUMMYFUNCTION("""COMPUTED_VALUE"""),8084000)</f>
        <v>8084000</v>
      </c>
    </row>
    <row r="778" spans="1:6">
      <c r="A778" s="1">
        <f ca="1">IFERROR(__xludf.DUMMYFUNCTION("""COMPUTED_VALUE"""),43179.625)</f>
        <v>43179.625</v>
      </c>
      <c r="B778" s="2">
        <f ca="1">IFERROR(__xludf.DUMMYFUNCTION("""COMPUTED_VALUE"""),9600)</f>
        <v>9600</v>
      </c>
      <c r="C778" s="2">
        <f ca="1">IFERROR(__xludf.DUMMYFUNCTION("""COMPUTED_VALUE"""),9600)</f>
        <v>9600</v>
      </c>
      <c r="D778" s="2">
        <f ca="1">IFERROR(__xludf.DUMMYFUNCTION("""COMPUTED_VALUE"""),9200)</f>
        <v>9200</v>
      </c>
      <c r="E778" s="2">
        <f ca="1">IFERROR(__xludf.DUMMYFUNCTION("""COMPUTED_VALUE"""),9250)</f>
        <v>9250</v>
      </c>
      <c r="F778" s="2">
        <f ca="1">IFERROR(__xludf.DUMMYFUNCTION("""COMPUTED_VALUE"""),15713400)</f>
        <v>15713400</v>
      </c>
    </row>
    <row r="779" spans="1:6">
      <c r="A779" s="1">
        <f ca="1">IFERROR(__xludf.DUMMYFUNCTION("""COMPUTED_VALUE"""),43180.625)</f>
        <v>43180.625</v>
      </c>
      <c r="B779" s="2">
        <f ca="1">IFERROR(__xludf.DUMMYFUNCTION("""COMPUTED_VALUE"""),9200)</f>
        <v>9200</v>
      </c>
      <c r="C779" s="2">
        <f ca="1">IFERROR(__xludf.DUMMYFUNCTION("""COMPUTED_VALUE"""),9325)</f>
        <v>9325</v>
      </c>
      <c r="D779" s="2">
        <f ca="1">IFERROR(__xludf.DUMMYFUNCTION("""COMPUTED_VALUE"""),9200)</f>
        <v>9200</v>
      </c>
      <c r="E779" s="2">
        <f ca="1">IFERROR(__xludf.DUMMYFUNCTION("""COMPUTED_VALUE"""),9275)</f>
        <v>9275</v>
      </c>
      <c r="F779" s="2">
        <f ca="1">IFERROR(__xludf.DUMMYFUNCTION("""COMPUTED_VALUE"""),26622300)</f>
        <v>26622300</v>
      </c>
    </row>
    <row r="780" spans="1:6">
      <c r="A780" s="1">
        <f ca="1">IFERROR(__xludf.DUMMYFUNCTION("""COMPUTED_VALUE"""),43181.625)</f>
        <v>43181.625</v>
      </c>
      <c r="B780" s="2">
        <f ca="1">IFERROR(__xludf.DUMMYFUNCTION("""COMPUTED_VALUE"""),9325)</f>
        <v>9325</v>
      </c>
      <c r="C780" s="2">
        <f ca="1">IFERROR(__xludf.DUMMYFUNCTION("""COMPUTED_VALUE"""),9350)</f>
        <v>9350</v>
      </c>
      <c r="D780" s="2">
        <f ca="1">IFERROR(__xludf.DUMMYFUNCTION("""COMPUTED_VALUE"""),8875)</f>
        <v>8875</v>
      </c>
      <c r="E780" s="2">
        <f ca="1">IFERROR(__xludf.DUMMYFUNCTION("""COMPUTED_VALUE"""),8900)</f>
        <v>8900</v>
      </c>
      <c r="F780" s="2">
        <f ca="1">IFERROR(__xludf.DUMMYFUNCTION("""COMPUTED_VALUE"""),32849400)</f>
        <v>32849400</v>
      </c>
    </row>
    <row r="781" spans="1:6">
      <c r="A781" s="1">
        <f ca="1">IFERROR(__xludf.DUMMYFUNCTION("""COMPUTED_VALUE"""),43182.625)</f>
        <v>43182.625</v>
      </c>
      <c r="B781" s="2">
        <f ca="1">IFERROR(__xludf.DUMMYFUNCTION("""COMPUTED_VALUE"""),8700)</f>
        <v>8700</v>
      </c>
      <c r="C781" s="2">
        <f ca="1">IFERROR(__xludf.DUMMYFUNCTION("""COMPUTED_VALUE"""),8775)</f>
        <v>8775</v>
      </c>
      <c r="D781" s="2">
        <f ca="1">IFERROR(__xludf.DUMMYFUNCTION("""COMPUTED_VALUE"""),8625)</f>
        <v>8625</v>
      </c>
      <c r="E781" s="2">
        <f ca="1">IFERROR(__xludf.DUMMYFUNCTION("""COMPUTED_VALUE"""),8725)</f>
        <v>8725</v>
      </c>
      <c r="F781" s="2">
        <f ca="1">IFERROR(__xludf.DUMMYFUNCTION("""COMPUTED_VALUE"""),26740700)</f>
        <v>26740700</v>
      </c>
    </row>
    <row r="782" spans="1:6">
      <c r="A782" s="1">
        <f ca="1">IFERROR(__xludf.DUMMYFUNCTION("""COMPUTED_VALUE"""),43185.625)</f>
        <v>43185.625</v>
      </c>
      <c r="B782" s="2">
        <f ca="1">IFERROR(__xludf.DUMMYFUNCTION("""COMPUTED_VALUE"""),8725)</f>
        <v>8725</v>
      </c>
      <c r="C782" s="2">
        <f ca="1">IFERROR(__xludf.DUMMYFUNCTION("""COMPUTED_VALUE"""),9200)</f>
        <v>9200</v>
      </c>
      <c r="D782" s="2">
        <f ca="1">IFERROR(__xludf.DUMMYFUNCTION("""COMPUTED_VALUE"""),8725)</f>
        <v>8725</v>
      </c>
      <c r="E782" s="2">
        <f ca="1">IFERROR(__xludf.DUMMYFUNCTION("""COMPUTED_VALUE"""),9150)</f>
        <v>9150</v>
      </c>
      <c r="F782" s="2">
        <f ca="1">IFERROR(__xludf.DUMMYFUNCTION("""COMPUTED_VALUE"""),16487300)</f>
        <v>16487300</v>
      </c>
    </row>
    <row r="783" spans="1:6">
      <c r="A783" s="1">
        <f ca="1">IFERROR(__xludf.DUMMYFUNCTION("""COMPUTED_VALUE"""),43186.625)</f>
        <v>43186.625</v>
      </c>
      <c r="B783" s="2">
        <f ca="1">IFERROR(__xludf.DUMMYFUNCTION("""COMPUTED_VALUE"""),9200)</f>
        <v>9200</v>
      </c>
      <c r="C783" s="2">
        <f ca="1">IFERROR(__xludf.DUMMYFUNCTION("""COMPUTED_VALUE"""),9350)</f>
        <v>9350</v>
      </c>
      <c r="D783" s="2">
        <f ca="1">IFERROR(__xludf.DUMMYFUNCTION("""COMPUTED_VALUE"""),9075)</f>
        <v>9075</v>
      </c>
      <c r="E783" s="2">
        <f ca="1">IFERROR(__xludf.DUMMYFUNCTION("""COMPUTED_VALUE"""),9200)</f>
        <v>9200</v>
      </c>
      <c r="F783" s="2">
        <f ca="1">IFERROR(__xludf.DUMMYFUNCTION("""COMPUTED_VALUE"""),22204600)</f>
        <v>22204600</v>
      </c>
    </row>
    <row r="784" spans="1:6">
      <c r="A784" s="1">
        <f ca="1">IFERROR(__xludf.DUMMYFUNCTION("""COMPUTED_VALUE"""),43187.625)</f>
        <v>43187.625</v>
      </c>
      <c r="B784" s="2">
        <f ca="1">IFERROR(__xludf.DUMMYFUNCTION("""COMPUTED_VALUE"""),9000)</f>
        <v>9000</v>
      </c>
      <c r="C784" s="2">
        <f ca="1">IFERROR(__xludf.DUMMYFUNCTION("""COMPUTED_VALUE"""),9000)</f>
        <v>9000</v>
      </c>
      <c r="D784" s="2">
        <f ca="1">IFERROR(__xludf.DUMMYFUNCTION("""COMPUTED_VALUE"""),8550)</f>
        <v>8550</v>
      </c>
      <c r="E784" s="2">
        <f ca="1">IFERROR(__xludf.DUMMYFUNCTION("""COMPUTED_VALUE"""),8650)</f>
        <v>8650</v>
      </c>
      <c r="F784" s="2">
        <f ca="1">IFERROR(__xludf.DUMMYFUNCTION("""COMPUTED_VALUE"""),24512300)</f>
        <v>24512300</v>
      </c>
    </row>
    <row r="785" spans="1:6">
      <c r="A785" s="1">
        <f ca="1">IFERROR(__xludf.DUMMYFUNCTION("""COMPUTED_VALUE"""),43188.625)</f>
        <v>43188.625</v>
      </c>
      <c r="B785" s="2">
        <f ca="1">IFERROR(__xludf.DUMMYFUNCTION("""COMPUTED_VALUE"""),8775)</f>
        <v>8775</v>
      </c>
      <c r="C785" s="2">
        <f ca="1">IFERROR(__xludf.DUMMYFUNCTION("""COMPUTED_VALUE"""),8775)</f>
        <v>8775</v>
      </c>
      <c r="D785" s="2">
        <f ca="1">IFERROR(__xludf.DUMMYFUNCTION("""COMPUTED_VALUE"""),8425)</f>
        <v>8425</v>
      </c>
      <c r="E785" s="2">
        <f ca="1">IFERROR(__xludf.DUMMYFUNCTION("""COMPUTED_VALUE"""),8675)</f>
        <v>8675</v>
      </c>
      <c r="F785" s="2">
        <f ca="1">IFERROR(__xludf.DUMMYFUNCTION("""COMPUTED_VALUE"""),19135000)</f>
        <v>19135000</v>
      </c>
    </row>
    <row r="786" spans="1:6">
      <c r="A786" s="1">
        <f ca="1">IFERROR(__xludf.DUMMYFUNCTION("""COMPUTED_VALUE"""),43192.625)</f>
        <v>43192.625</v>
      </c>
      <c r="B786" s="2">
        <f ca="1">IFERROR(__xludf.DUMMYFUNCTION("""COMPUTED_VALUE"""),8725)</f>
        <v>8725</v>
      </c>
      <c r="C786" s="2">
        <f ca="1">IFERROR(__xludf.DUMMYFUNCTION("""COMPUTED_VALUE"""),8725)</f>
        <v>8725</v>
      </c>
      <c r="D786" s="2">
        <f ca="1">IFERROR(__xludf.DUMMYFUNCTION("""COMPUTED_VALUE"""),8625)</f>
        <v>8625</v>
      </c>
      <c r="E786" s="2">
        <f ca="1">IFERROR(__xludf.DUMMYFUNCTION("""COMPUTED_VALUE"""),8725)</f>
        <v>8725</v>
      </c>
      <c r="F786" s="2">
        <f ca="1">IFERROR(__xludf.DUMMYFUNCTION("""COMPUTED_VALUE"""),6505700)</f>
        <v>6505700</v>
      </c>
    </row>
    <row r="787" spans="1:6">
      <c r="A787" s="1">
        <f ca="1">IFERROR(__xludf.DUMMYFUNCTION("""COMPUTED_VALUE"""),43193.625)</f>
        <v>43193.625</v>
      </c>
      <c r="B787" s="2">
        <f ca="1">IFERROR(__xludf.DUMMYFUNCTION("""COMPUTED_VALUE"""),8675)</f>
        <v>8675</v>
      </c>
      <c r="C787" s="2">
        <f ca="1">IFERROR(__xludf.DUMMYFUNCTION("""COMPUTED_VALUE"""),8725)</f>
        <v>8725</v>
      </c>
      <c r="D787" s="2">
        <f ca="1">IFERROR(__xludf.DUMMYFUNCTION("""COMPUTED_VALUE"""),8600)</f>
        <v>8600</v>
      </c>
      <c r="E787" s="2">
        <f ca="1">IFERROR(__xludf.DUMMYFUNCTION("""COMPUTED_VALUE"""),8625)</f>
        <v>8625</v>
      </c>
      <c r="F787" s="2">
        <f ca="1">IFERROR(__xludf.DUMMYFUNCTION("""COMPUTED_VALUE"""),14800200)</f>
        <v>14800200</v>
      </c>
    </row>
    <row r="788" spans="1:6">
      <c r="A788" s="1">
        <f ca="1">IFERROR(__xludf.DUMMYFUNCTION("""COMPUTED_VALUE"""),43194.625)</f>
        <v>43194.625</v>
      </c>
      <c r="B788" s="2">
        <f ca="1">IFERROR(__xludf.DUMMYFUNCTION("""COMPUTED_VALUE"""),8650)</f>
        <v>8650</v>
      </c>
      <c r="C788" s="2">
        <f ca="1">IFERROR(__xludf.DUMMYFUNCTION("""COMPUTED_VALUE"""),8700)</f>
        <v>8700</v>
      </c>
      <c r="D788" s="2">
        <f ca="1">IFERROR(__xludf.DUMMYFUNCTION("""COMPUTED_VALUE"""),8250)</f>
        <v>8250</v>
      </c>
      <c r="E788" s="2">
        <f ca="1">IFERROR(__xludf.DUMMYFUNCTION("""COMPUTED_VALUE"""),8275)</f>
        <v>8275</v>
      </c>
      <c r="F788" s="2">
        <f ca="1">IFERROR(__xludf.DUMMYFUNCTION("""COMPUTED_VALUE"""),22675900)</f>
        <v>22675900</v>
      </c>
    </row>
    <row r="789" spans="1:6">
      <c r="A789" s="1">
        <f ca="1">IFERROR(__xludf.DUMMYFUNCTION("""COMPUTED_VALUE"""),43195.625)</f>
        <v>43195.625</v>
      </c>
      <c r="B789" s="2">
        <f ca="1">IFERROR(__xludf.DUMMYFUNCTION("""COMPUTED_VALUE"""),8400)</f>
        <v>8400</v>
      </c>
      <c r="C789" s="2">
        <f ca="1">IFERROR(__xludf.DUMMYFUNCTION("""COMPUTED_VALUE"""),8450)</f>
        <v>8450</v>
      </c>
      <c r="D789" s="2">
        <f ca="1">IFERROR(__xludf.DUMMYFUNCTION("""COMPUTED_VALUE"""),8150)</f>
        <v>8150</v>
      </c>
      <c r="E789" s="2">
        <f ca="1">IFERROR(__xludf.DUMMYFUNCTION("""COMPUTED_VALUE"""),8200)</f>
        <v>8200</v>
      </c>
      <c r="F789" s="2">
        <f ca="1">IFERROR(__xludf.DUMMYFUNCTION("""COMPUTED_VALUE"""),21581600)</f>
        <v>21581600</v>
      </c>
    </row>
    <row r="790" spans="1:6">
      <c r="A790" s="1">
        <f ca="1">IFERROR(__xludf.DUMMYFUNCTION("""COMPUTED_VALUE"""),43196.625)</f>
        <v>43196.625</v>
      </c>
      <c r="B790" s="2">
        <f ca="1">IFERROR(__xludf.DUMMYFUNCTION("""COMPUTED_VALUE"""),8200)</f>
        <v>8200</v>
      </c>
      <c r="C790" s="2">
        <f ca="1">IFERROR(__xludf.DUMMYFUNCTION("""COMPUTED_VALUE"""),8400)</f>
        <v>8400</v>
      </c>
      <c r="D790" s="2">
        <f ca="1">IFERROR(__xludf.DUMMYFUNCTION("""COMPUTED_VALUE"""),8150)</f>
        <v>8150</v>
      </c>
      <c r="E790" s="2">
        <f ca="1">IFERROR(__xludf.DUMMYFUNCTION("""COMPUTED_VALUE"""),8300)</f>
        <v>8300</v>
      </c>
      <c r="F790" s="2">
        <f ca="1">IFERROR(__xludf.DUMMYFUNCTION("""COMPUTED_VALUE"""),14872500)</f>
        <v>14872500</v>
      </c>
    </row>
    <row r="791" spans="1:6">
      <c r="A791" s="1">
        <f ca="1">IFERROR(__xludf.DUMMYFUNCTION("""COMPUTED_VALUE"""),43199.625)</f>
        <v>43199.625</v>
      </c>
      <c r="B791" s="2">
        <f ca="1">IFERROR(__xludf.DUMMYFUNCTION("""COMPUTED_VALUE"""),8300)</f>
        <v>8300</v>
      </c>
      <c r="C791" s="2">
        <f ca="1">IFERROR(__xludf.DUMMYFUNCTION("""COMPUTED_VALUE"""),8525)</f>
        <v>8525</v>
      </c>
      <c r="D791" s="2">
        <f ca="1">IFERROR(__xludf.DUMMYFUNCTION("""COMPUTED_VALUE"""),8300)</f>
        <v>8300</v>
      </c>
      <c r="E791" s="2">
        <f ca="1">IFERROR(__xludf.DUMMYFUNCTION("""COMPUTED_VALUE"""),8500)</f>
        <v>8500</v>
      </c>
      <c r="F791" s="2">
        <f ca="1">IFERROR(__xludf.DUMMYFUNCTION("""COMPUTED_VALUE"""),11180700)</f>
        <v>11180700</v>
      </c>
    </row>
    <row r="792" spans="1:6">
      <c r="A792" s="1">
        <f ca="1">IFERROR(__xludf.DUMMYFUNCTION("""COMPUTED_VALUE"""),43200.625)</f>
        <v>43200.625</v>
      </c>
      <c r="B792" s="2">
        <f ca="1">IFERROR(__xludf.DUMMYFUNCTION("""COMPUTED_VALUE"""),8550)</f>
        <v>8550</v>
      </c>
      <c r="C792" s="2">
        <f ca="1">IFERROR(__xludf.DUMMYFUNCTION("""COMPUTED_VALUE"""),8825)</f>
        <v>8825</v>
      </c>
      <c r="D792" s="2">
        <f ca="1">IFERROR(__xludf.DUMMYFUNCTION("""COMPUTED_VALUE"""),8525)</f>
        <v>8525</v>
      </c>
      <c r="E792" s="2">
        <f ca="1">IFERROR(__xludf.DUMMYFUNCTION("""COMPUTED_VALUE"""),8725)</f>
        <v>8725</v>
      </c>
      <c r="F792" s="2">
        <f ca="1">IFERROR(__xludf.DUMMYFUNCTION("""COMPUTED_VALUE"""),19685700)</f>
        <v>19685700</v>
      </c>
    </row>
    <row r="793" spans="1:6">
      <c r="A793" s="1">
        <f ca="1">IFERROR(__xludf.DUMMYFUNCTION("""COMPUTED_VALUE"""),43201.625)</f>
        <v>43201.625</v>
      </c>
      <c r="B793" s="2">
        <f ca="1">IFERROR(__xludf.DUMMYFUNCTION("""COMPUTED_VALUE"""),8850)</f>
        <v>8850</v>
      </c>
      <c r="C793" s="2">
        <f ca="1">IFERROR(__xludf.DUMMYFUNCTION("""COMPUTED_VALUE"""),8875)</f>
        <v>8875</v>
      </c>
      <c r="D793" s="2">
        <f ca="1">IFERROR(__xludf.DUMMYFUNCTION("""COMPUTED_VALUE"""),8575)</f>
        <v>8575</v>
      </c>
      <c r="E793" s="2">
        <f ca="1">IFERROR(__xludf.DUMMYFUNCTION("""COMPUTED_VALUE"""),8575)</f>
        <v>8575</v>
      </c>
      <c r="F793" s="2">
        <f ca="1">IFERROR(__xludf.DUMMYFUNCTION("""COMPUTED_VALUE"""),13878800)</f>
        <v>13878800</v>
      </c>
    </row>
    <row r="794" spans="1:6">
      <c r="A794" s="1">
        <f ca="1">IFERROR(__xludf.DUMMYFUNCTION("""COMPUTED_VALUE"""),43202.625)</f>
        <v>43202.625</v>
      </c>
      <c r="B794" s="2">
        <f ca="1">IFERROR(__xludf.DUMMYFUNCTION("""COMPUTED_VALUE"""),8650)</f>
        <v>8650</v>
      </c>
      <c r="C794" s="2">
        <f ca="1">IFERROR(__xludf.DUMMYFUNCTION("""COMPUTED_VALUE"""),8725)</f>
        <v>8725</v>
      </c>
      <c r="D794" s="2">
        <f ca="1">IFERROR(__xludf.DUMMYFUNCTION("""COMPUTED_VALUE"""),8525)</f>
        <v>8525</v>
      </c>
      <c r="E794" s="2">
        <f ca="1">IFERROR(__xludf.DUMMYFUNCTION("""COMPUTED_VALUE"""),8650)</f>
        <v>8650</v>
      </c>
      <c r="F794" s="2">
        <f ca="1">IFERROR(__xludf.DUMMYFUNCTION("""COMPUTED_VALUE"""),8069700)</f>
        <v>8069700</v>
      </c>
    </row>
    <row r="795" spans="1:6">
      <c r="A795" s="1">
        <f ca="1">IFERROR(__xludf.DUMMYFUNCTION("""COMPUTED_VALUE"""),43203.625)</f>
        <v>43203.625</v>
      </c>
      <c r="B795" s="2">
        <f ca="1">IFERROR(__xludf.DUMMYFUNCTION("""COMPUTED_VALUE"""),8700)</f>
        <v>8700</v>
      </c>
      <c r="C795" s="2">
        <f ca="1">IFERROR(__xludf.DUMMYFUNCTION("""COMPUTED_VALUE"""),8850)</f>
        <v>8850</v>
      </c>
      <c r="D795" s="2">
        <f ca="1">IFERROR(__xludf.DUMMYFUNCTION("""COMPUTED_VALUE"""),8675)</f>
        <v>8675</v>
      </c>
      <c r="E795" s="2">
        <f ca="1">IFERROR(__xludf.DUMMYFUNCTION("""COMPUTED_VALUE"""),8825)</f>
        <v>8825</v>
      </c>
      <c r="F795" s="2">
        <f ca="1">IFERROR(__xludf.DUMMYFUNCTION("""COMPUTED_VALUE"""),8819200)</f>
        <v>8819200</v>
      </c>
    </row>
    <row r="796" spans="1:6">
      <c r="A796" s="1">
        <f ca="1">IFERROR(__xludf.DUMMYFUNCTION("""COMPUTED_VALUE"""),43206.625)</f>
        <v>43206.625</v>
      </c>
      <c r="B796" s="2">
        <f ca="1">IFERROR(__xludf.DUMMYFUNCTION("""COMPUTED_VALUE"""),8825)</f>
        <v>8825</v>
      </c>
      <c r="C796" s="2">
        <f ca="1">IFERROR(__xludf.DUMMYFUNCTION("""COMPUTED_VALUE"""),8975)</f>
        <v>8975</v>
      </c>
      <c r="D796" s="2">
        <f ca="1">IFERROR(__xludf.DUMMYFUNCTION("""COMPUTED_VALUE"""),8700)</f>
        <v>8700</v>
      </c>
      <c r="E796" s="2">
        <f ca="1">IFERROR(__xludf.DUMMYFUNCTION("""COMPUTED_VALUE"""),8900)</f>
        <v>8900</v>
      </c>
      <c r="F796" s="2">
        <f ca="1">IFERROR(__xludf.DUMMYFUNCTION("""COMPUTED_VALUE"""),11778500)</f>
        <v>11778500</v>
      </c>
    </row>
    <row r="797" spans="1:6">
      <c r="A797" s="1">
        <f ca="1">IFERROR(__xludf.DUMMYFUNCTION("""COMPUTED_VALUE"""),43207.625)</f>
        <v>43207.625</v>
      </c>
      <c r="B797" s="2">
        <f ca="1">IFERROR(__xludf.DUMMYFUNCTION("""COMPUTED_VALUE"""),8950)</f>
        <v>8950</v>
      </c>
      <c r="C797" s="2">
        <f ca="1">IFERROR(__xludf.DUMMYFUNCTION("""COMPUTED_VALUE"""),8975)</f>
        <v>8975</v>
      </c>
      <c r="D797" s="2">
        <f ca="1">IFERROR(__xludf.DUMMYFUNCTION("""COMPUTED_VALUE"""),8825)</f>
        <v>8825</v>
      </c>
      <c r="E797" s="2">
        <f ca="1">IFERROR(__xludf.DUMMYFUNCTION("""COMPUTED_VALUE"""),8950)</f>
        <v>8950</v>
      </c>
      <c r="F797" s="2">
        <f ca="1">IFERROR(__xludf.DUMMYFUNCTION("""COMPUTED_VALUE"""),12846300)</f>
        <v>12846300</v>
      </c>
    </row>
    <row r="798" spans="1:6">
      <c r="A798" s="1">
        <f ca="1">IFERROR(__xludf.DUMMYFUNCTION("""COMPUTED_VALUE"""),43208.625)</f>
        <v>43208.625</v>
      </c>
      <c r="B798" s="2">
        <f ca="1">IFERROR(__xludf.DUMMYFUNCTION("""COMPUTED_VALUE"""),8950)</f>
        <v>8950</v>
      </c>
      <c r="C798" s="2">
        <f ca="1">IFERROR(__xludf.DUMMYFUNCTION("""COMPUTED_VALUE"""),9000)</f>
        <v>9000</v>
      </c>
      <c r="D798" s="2">
        <f ca="1">IFERROR(__xludf.DUMMYFUNCTION("""COMPUTED_VALUE"""),8700)</f>
        <v>8700</v>
      </c>
      <c r="E798" s="2">
        <f ca="1">IFERROR(__xludf.DUMMYFUNCTION("""COMPUTED_VALUE"""),8775)</f>
        <v>8775</v>
      </c>
      <c r="F798" s="2">
        <f ca="1">IFERROR(__xludf.DUMMYFUNCTION("""COMPUTED_VALUE"""),21169300)</f>
        <v>21169300</v>
      </c>
    </row>
    <row r="799" spans="1:6">
      <c r="A799" s="1">
        <f ca="1">IFERROR(__xludf.DUMMYFUNCTION("""COMPUTED_VALUE"""),43209.625)</f>
        <v>43209.625</v>
      </c>
      <c r="B799" s="2">
        <f ca="1">IFERROR(__xludf.DUMMYFUNCTION("""COMPUTED_VALUE"""),8775)</f>
        <v>8775</v>
      </c>
      <c r="C799" s="2">
        <f ca="1">IFERROR(__xludf.DUMMYFUNCTION("""COMPUTED_VALUE"""),8900)</f>
        <v>8900</v>
      </c>
      <c r="D799" s="2">
        <f ca="1">IFERROR(__xludf.DUMMYFUNCTION("""COMPUTED_VALUE"""),8750)</f>
        <v>8750</v>
      </c>
      <c r="E799" s="2">
        <f ca="1">IFERROR(__xludf.DUMMYFUNCTION("""COMPUTED_VALUE"""),8800)</f>
        <v>8800</v>
      </c>
      <c r="F799" s="2">
        <f ca="1">IFERROR(__xludf.DUMMYFUNCTION("""COMPUTED_VALUE"""),9860500)</f>
        <v>9860500</v>
      </c>
    </row>
    <row r="800" spans="1:6">
      <c r="A800" s="1">
        <f ca="1">IFERROR(__xludf.DUMMYFUNCTION("""COMPUTED_VALUE"""),43210.625)</f>
        <v>43210.625</v>
      </c>
      <c r="B800" s="2">
        <f ca="1">IFERROR(__xludf.DUMMYFUNCTION("""COMPUTED_VALUE"""),8875)</f>
        <v>8875</v>
      </c>
      <c r="C800" s="2">
        <f ca="1">IFERROR(__xludf.DUMMYFUNCTION("""COMPUTED_VALUE"""),8875)</f>
        <v>8875</v>
      </c>
      <c r="D800" s="2">
        <f ca="1">IFERROR(__xludf.DUMMYFUNCTION("""COMPUTED_VALUE"""),8725)</f>
        <v>8725</v>
      </c>
      <c r="E800" s="2">
        <f ca="1">IFERROR(__xludf.DUMMYFUNCTION("""COMPUTED_VALUE"""),8725)</f>
        <v>8725</v>
      </c>
      <c r="F800" s="2">
        <f ca="1">IFERROR(__xludf.DUMMYFUNCTION("""COMPUTED_VALUE"""),5968000)</f>
        <v>5968000</v>
      </c>
    </row>
    <row r="801" spans="1:6">
      <c r="A801" s="1">
        <f ca="1">IFERROR(__xludf.DUMMYFUNCTION("""COMPUTED_VALUE"""),43213.625)</f>
        <v>43213.625</v>
      </c>
      <c r="B801" s="2">
        <f ca="1">IFERROR(__xludf.DUMMYFUNCTION("""COMPUTED_VALUE"""),8725)</f>
        <v>8725</v>
      </c>
      <c r="C801" s="2">
        <f ca="1">IFERROR(__xludf.DUMMYFUNCTION("""COMPUTED_VALUE"""),8825)</f>
        <v>8825</v>
      </c>
      <c r="D801" s="2">
        <f ca="1">IFERROR(__xludf.DUMMYFUNCTION("""COMPUTED_VALUE"""),8625)</f>
        <v>8625</v>
      </c>
      <c r="E801" s="2">
        <f ca="1">IFERROR(__xludf.DUMMYFUNCTION("""COMPUTED_VALUE"""),8725)</f>
        <v>8725</v>
      </c>
      <c r="F801" s="2">
        <f ca="1">IFERROR(__xludf.DUMMYFUNCTION("""COMPUTED_VALUE"""),22142900)</f>
        <v>22142900</v>
      </c>
    </row>
    <row r="802" spans="1:6">
      <c r="A802" s="1">
        <f ca="1">IFERROR(__xludf.DUMMYFUNCTION("""COMPUTED_VALUE"""),43214.625)</f>
        <v>43214.625</v>
      </c>
      <c r="B802" s="2">
        <f ca="1">IFERROR(__xludf.DUMMYFUNCTION("""COMPUTED_VALUE"""),8725)</f>
        <v>8725</v>
      </c>
      <c r="C802" s="2">
        <f ca="1">IFERROR(__xludf.DUMMYFUNCTION("""COMPUTED_VALUE"""),8775)</f>
        <v>8775</v>
      </c>
      <c r="D802" s="2">
        <f ca="1">IFERROR(__xludf.DUMMYFUNCTION("""COMPUTED_VALUE"""),8350)</f>
        <v>8350</v>
      </c>
      <c r="E802" s="2">
        <f ca="1">IFERROR(__xludf.DUMMYFUNCTION("""COMPUTED_VALUE"""),8375)</f>
        <v>8375</v>
      </c>
      <c r="F802" s="2">
        <f ca="1">IFERROR(__xludf.DUMMYFUNCTION("""COMPUTED_VALUE"""),23784500)</f>
        <v>23784500</v>
      </c>
    </row>
    <row r="803" spans="1:6">
      <c r="A803" s="1">
        <f ca="1">IFERROR(__xludf.DUMMYFUNCTION("""COMPUTED_VALUE"""),43215.625)</f>
        <v>43215.625</v>
      </c>
      <c r="B803" s="2">
        <f ca="1">IFERROR(__xludf.DUMMYFUNCTION("""COMPUTED_VALUE"""),8325)</f>
        <v>8325</v>
      </c>
      <c r="C803" s="2">
        <f ca="1">IFERROR(__xludf.DUMMYFUNCTION("""COMPUTED_VALUE"""),8325)</f>
        <v>8325</v>
      </c>
      <c r="D803" s="2">
        <f ca="1">IFERROR(__xludf.DUMMYFUNCTION("""COMPUTED_VALUE"""),8050)</f>
        <v>8050</v>
      </c>
      <c r="E803" s="2">
        <f ca="1">IFERROR(__xludf.DUMMYFUNCTION("""COMPUTED_VALUE"""),8225)</f>
        <v>8225</v>
      </c>
      <c r="F803" s="2">
        <f ca="1">IFERROR(__xludf.DUMMYFUNCTION("""COMPUTED_VALUE"""),32566200)</f>
        <v>32566200</v>
      </c>
    </row>
    <row r="804" spans="1:6">
      <c r="A804" s="1">
        <f ca="1">IFERROR(__xludf.DUMMYFUNCTION("""COMPUTED_VALUE"""),43216.625)</f>
        <v>43216.625</v>
      </c>
      <c r="B804" s="2">
        <f ca="1">IFERROR(__xludf.DUMMYFUNCTION("""COMPUTED_VALUE"""),8100)</f>
        <v>8100</v>
      </c>
      <c r="C804" s="2">
        <f ca="1">IFERROR(__xludf.DUMMYFUNCTION("""COMPUTED_VALUE"""),8200)</f>
        <v>8200</v>
      </c>
      <c r="D804" s="2">
        <f ca="1">IFERROR(__xludf.DUMMYFUNCTION("""COMPUTED_VALUE"""),7900)</f>
        <v>7900</v>
      </c>
      <c r="E804" s="2">
        <f ca="1">IFERROR(__xludf.DUMMYFUNCTION("""COMPUTED_VALUE"""),7900)</f>
        <v>7900</v>
      </c>
      <c r="F804" s="2">
        <f ca="1">IFERROR(__xludf.DUMMYFUNCTION("""COMPUTED_VALUE"""),22420900)</f>
        <v>22420900</v>
      </c>
    </row>
    <row r="805" spans="1:6">
      <c r="A805" s="1">
        <f ca="1">IFERROR(__xludf.DUMMYFUNCTION("""COMPUTED_VALUE"""),43217.625)</f>
        <v>43217.625</v>
      </c>
      <c r="B805" s="2">
        <f ca="1">IFERROR(__xludf.DUMMYFUNCTION("""COMPUTED_VALUE"""),8150)</f>
        <v>8150</v>
      </c>
      <c r="C805" s="2">
        <f ca="1">IFERROR(__xludf.DUMMYFUNCTION("""COMPUTED_VALUE"""),8175)</f>
        <v>8175</v>
      </c>
      <c r="D805" s="2">
        <f ca="1">IFERROR(__xludf.DUMMYFUNCTION("""COMPUTED_VALUE"""),7925)</f>
        <v>7925</v>
      </c>
      <c r="E805" s="2">
        <f ca="1">IFERROR(__xludf.DUMMYFUNCTION("""COMPUTED_VALUE"""),8150)</f>
        <v>8150</v>
      </c>
      <c r="F805" s="2">
        <f ca="1">IFERROR(__xludf.DUMMYFUNCTION("""COMPUTED_VALUE"""),17529300)</f>
        <v>17529300</v>
      </c>
    </row>
    <row r="806" spans="1:6">
      <c r="A806" s="1">
        <f ca="1">IFERROR(__xludf.DUMMYFUNCTION("""COMPUTED_VALUE"""),43220.625)</f>
        <v>43220.625</v>
      </c>
      <c r="B806" s="2">
        <f ca="1">IFERROR(__xludf.DUMMYFUNCTION("""COMPUTED_VALUE"""),8150)</f>
        <v>8150</v>
      </c>
      <c r="C806" s="2">
        <f ca="1">IFERROR(__xludf.DUMMYFUNCTION("""COMPUTED_VALUE"""),8225)</f>
        <v>8225</v>
      </c>
      <c r="D806" s="2">
        <f ca="1">IFERROR(__xludf.DUMMYFUNCTION("""COMPUTED_VALUE"""),8050)</f>
        <v>8050</v>
      </c>
      <c r="E806" s="2">
        <f ca="1">IFERROR(__xludf.DUMMYFUNCTION("""COMPUTED_VALUE"""),8050)</f>
        <v>8050</v>
      </c>
      <c r="F806" s="2">
        <f ca="1">IFERROR(__xludf.DUMMYFUNCTION("""COMPUTED_VALUE"""),23218800)</f>
        <v>23218800</v>
      </c>
    </row>
    <row r="807" spans="1:6">
      <c r="A807" s="1">
        <f ca="1">IFERROR(__xludf.DUMMYFUNCTION("""COMPUTED_VALUE"""),43222.625)</f>
        <v>43222.625</v>
      </c>
      <c r="B807" s="2">
        <f ca="1">IFERROR(__xludf.DUMMYFUNCTION("""COMPUTED_VALUE"""),8050)</f>
        <v>8050</v>
      </c>
      <c r="C807" s="2">
        <f ca="1">IFERROR(__xludf.DUMMYFUNCTION("""COMPUTED_VALUE"""),8150)</f>
        <v>8150</v>
      </c>
      <c r="D807" s="2">
        <f ca="1">IFERROR(__xludf.DUMMYFUNCTION("""COMPUTED_VALUE"""),7925)</f>
        <v>7925</v>
      </c>
      <c r="E807" s="2">
        <f ca="1">IFERROR(__xludf.DUMMYFUNCTION("""COMPUTED_VALUE"""),8000)</f>
        <v>8000</v>
      </c>
      <c r="F807" s="2">
        <f ca="1">IFERROR(__xludf.DUMMYFUNCTION("""COMPUTED_VALUE"""),13162900)</f>
        <v>13162900</v>
      </c>
    </row>
    <row r="808" spans="1:6">
      <c r="A808" s="1">
        <f ca="1">IFERROR(__xludf.DUMMYFUNCTION("""COMPUTED_VALUE"""),43223.625)</f>
        <v>43223.625</v>
      </c>
      <c r="B808" s="2">
        <f ca="1">IFERROR(__xludf.DUMMYFUNCTION("""COMPUTED_VALUE"""),7975)</f>
        <v>7975</v>
      </c>
      <c r="C808" s="2">
        <f ca="1">IFERROR(__xludf.DUMMYFUNCTION("""COMPUTED_VALUE"""),7975)</f>
        <v>7975</v>
      </c>
      <c r="D808" s="2">
        <f ca="1">IFERROR(__xludf.DUMMYFUNCTION("""COMPUTED_VALUE"""),7700)</f>
        <v>7700</v>
      </c>
      <c r="E808" s="2">
        <f ca="1">IFERROR(__xludf.DUMMYFUNCTION("""COMPUTED_VALUE"""),7725)</f>
        <v>7725</v>
      </c>
      <c r="F808" s="2">
        <f ca="1">IFERROR(__xludf.DUMMYFUNCTION("""COMPUTED_VALUE"""),16341700)</f>
        <v>16341700</v>
      </c>
    </row>
    <row r="809" spans="1:6">
      <c r="A809" s="1">
        <f ca="1">IFERROR(__xludf.DUMMYFUNCTION("""COMPUTED_VALUE"""),43224.625)</f>
        <v>43224.625</v>
      </c>
      <c r="B809" s="2">
        <f ca="1">IFERROR(__xludf.DUMMYFUNCTION("""COMPUTED_VALUE"""),7550)</f>
        <v>7550</v>
      </c>
      <c r="C809" s="2">
        <f ca="1">IFERROR(__xludf.DUMMYFUNCTION("""COMPUTED_VALUE"""),7675)</f>
        <v>7675</v>
      </c>
      <c r="D809" s="2">
        <f ca="1">IFERROR(__xludf.DUMMYFUNCTION("""COMPUTED_VALUE"""),7300)</f>
        <v>7300</v>
      </c>
      <c r="E809" s="2">
        <f ca="1">IFERROR(__xludf.DUMMYFUNCTION("""COMPUTED_VALUE"""),7475)</f>
        <v>7475</v>
      </c>
      <c r="F809" s="2">
        <f ca="1">IFERROR(__xludf.DUMMYFUNCTION("""COMPUTED_VALUE"""),23957500)</f>
        <v>23957500</v>
      </c>
    </row>
    <row r="810" spans="1:6">
      <c r="A810" s="1">
        <f ca="1">IFERROR(__xludf.DUMMYFUNCTION("""COMPUTED_VALUE"""),43227.625)</f>
        <v>43227.625</v>
      </c>
      <c r="B810" s="2">
        <f ca="1">IFERROR(__xludf.DUMMYFUNCTION("""COMPUTED_VALUE"""),7475)</f>
        <v>7475</v>
      </c>
      <c r="C810" s="2">
        <f ca="1">IFERROR(__xludf.DUMMYFUNCTION("""COMPUTED_VALUE"""),7550)</f>
        <v>7550</v>
      </c>
      <c r="D810" s="2">
        <f ca="1">IFERROR(__xludf.DUMMYFUNCTION("""COMPUTED_VALUE"""),7325)</f>
        <v>7325</v>
      </c>
      <c r="E810" s="2">
        <f ca="1">IFERROR(__xludf.DUMMYFUNCTION("""COMPUTED_VALUE"""),7325)</f>
        <v>7325</v>
      </c>
      <c r="F810" s="2">
        <f ca="1">IFERROR(__xludf.DUMMYFUNCTION("""COMPUTED_VALUE"""),22536400)</f>
        <v>22536400</v>
      </c>
    </row>
    <row r="811" spans="1:6">
      <c r="A811" s="1">
        <f ca="1">IFERROR(__xludf.DUMMYFUNCTION("""COMPUTED_VALUE"""),43228.625)</f>
        <v>43228.625</v>
      </c>
      <c r="B811" s="2">
        <f ca="1">IFERROR(__xludf.DUMMYFUNCTION("""COMPUTED_VALUE"""),7325)</f>
        <v>7325</v>
      </c>
      <c r="C811" s="2">
        <f ca="1">IFERROR(__xludf.DUMMYFUNCTION("""COMPUTED_VALUE"""),7375)</f>
        <v>7375</v>
      </c>
      <c r="D811" s="2">
        <f ca="1">IFERROR(__xludf.DUMMYFUNCTION("""COMPUTED_VALUE"""),7200)</f>
        <v>7200</v>
      </c>
      <c r="E811" s="2">
        <f ca="1">IFERROR(__xludf.DUMMYFUNCTION("""COMPUTED_VALUE"""),7325)</f>
        <v>7325</v>
      </c>
      <c r="F811" s="2">
        <f ca="1">IFERROR(__xludf.DUMMYFUNCTION("""COMPUTED_VALUE"""),17040000)</f>
        <v>17040000</v>
      </c>
    </row>
    <row r="812" spans="1:6">
      <c r="A812" s="1">
        <f ca="1">IFERROR(__xludf.DUMMYFUNCTION("""COMPUTED_VALUE"""),43229.625)</f>
        <v>43229.625</v>
      </c>
      <c r="B812" s="2">
        <f ca="1">IFERROR(__xludf.DUMMYFUNCTION("""COMPUTED_VALUE"""),7375)</f>
        <v>7375</v>
      </c>
      <c r="C812" s="2">
        <f ca="1">IFERROR(__xludf.DUMMYFUNCTION("""COMPUTED_VALUE"""),8075)</f>
        <v>8075</v>
      </c>
      <c r="D812" s="2">
        <f ca="1">IFERROR(__xludf.DUMMYFUNCTION("""COMPUTED_VALUE"""),7350)</f>
        <v>7350</v>
      </c>
      <c r="E812" s="2">
        <f ca="1">IFERROR(__xludf.DUMMYFUNCTION("""COMPUTED_VALUE"""),8050)</f>
        <v>8050</v>
      </c>
      <c r="F812" s="2">
        <f ca="1">IFERROR(__xludf.DUMMYFUNCTION("""COMPUTED_VALUE"""),42189400)</f>
        <v>42189400</v>
      </c>
    </row>
    <row r="813" spans="1:6">
      <c r="A813" s="1">
        <f ca="1">IFERROR(__xludf.DUMMYFUNCTION("""COMPUTED_VALUE"""),43231.625)</f>
        <v>43231.625</v>
      </c>
      <c r="B813" s="2">
        <f ca="1">IFERROR(__xludf.DUMMYFUNCTION("""COMPUTED_VALUE"""),8150)</f>
        <v>8150</v>
      </c>
      <c r="C813" s="2">
        <f ca="1">IFERROR(__xludf.DUMMYFUNCTION("""COMPUTED_VALUE"""),8550)</f>
        <v>8550</v>
      </c>
      <c r="D813" s="2">
        <f ca="1">IFERROR(__xludf.DUMMYFUNCTION("""COMPUTED_VALUE"""),8150)</f>
        <v>8150</v>
      </c>
      <c r="E813" s="2">
        <f ca="1">IFERROR(__xludf.DUMMYFUNCTION("""COMPUTED_VALUE"""),8275)</f>
        <v>8275</v>
      </c>
      <c r="F813" s="2">
        <f ca="1">IFERROR(__xludf.DUMMYFUNCTION("""COMPUTED_VALUE"""),29595700)</f>
        <v>29595700</v>
      </c>
    </row>
    <row r="814" spans="1:6">
      <c r="A814" s="1">
        <f ca="1">IFERROR(__xludf.DUMMYFUNCTION("""COMPUTED_VALUE"""),43234.625)</f>
        <v>43234.625</v>
      </c>
      <c r="B814" s="2">
        <f ca="1">IFERROR(__xludf.DUMMYFUNCTION("""COMPUTED_VALUE"""),8050)</f>
        <v>8050</v>
      </c>
      <c r="C814" s="2">
        <f ca="1">IFERROR(__xludf.DUMMYFUNCTION("""COMPUTED_VALUE"""),8325)</f>
        <v>8325</v>
      </c>
      <c r="D814" s="2">
        <f ca="1">IFERROR(__xludf.DUMMYFUNCTION("""COMPUTED_VALUE"""),8050)</f>
        <v>8050</v>
      </c>
      <c r="E814" s="2">
        <f ca="1">IFERROR(__xludf.DUMMYFUNCTION("""COMPUTED_VALUE"""),8200)</f>
        <v>8200</v>
      </c>
      <c r="F814" s="2">
        <f ca="1">IFERROR(__xludf.DUMMYFUNCTION("""COMPUTED_VALUE"""),12784900)</f>
        <v>12784900</v>
      </c>
    </row>
    <row r="815" spans="1:6">
      <c r="A815" s="1">
        <f ca="1">IFERROR(__xludf.DUMMYFUNCTION("""COMPUTED_VALUE"""),43235.625)</f>
        <v>43235.625</v>
      </c>
      <c r="B815" s="2">
        <f ca="1">IFERROR(__xludf.DUMMYFUNCTION("""COMPUTED_VALUE"""),8200)</f>
        <v>8200</v>
      </c>
      <c r="C815" s="2">
        <f ca="1">IFERROR(__xludf.DUMMYFUNCTION("""COMPUTED_VALUE"""),8275)</f>
        <v>8275</v>
      </c>
      <c r="D815" s="2">
        <f ca="1">IFERROR(__xludf.DUMMYFUNCTION("""COMPUTED_VALUE"""),8050)</f>
        <v>8050</v>
      </c>
      <c r="E815" s="2">
        <f ca="1">IFERROR(__xludf.DUMMYFUNCTION("""COMPUTED_VALUE"""),8075)</f>
        <v>8075</v>
      </c>
      <c r="F815" s="2">
        <f ca="1">IFERROR(__xludf.DUMMYFUNCTION("""COMPUTED_VALUE"""),12660100)</f>
        <v>12660100</v>
      </c>
    </row>
    <row r="816" spans="1:6">
      <c r="A816" s="1">
        <f ca="1">IFERROR(__xludf.DUMMYFUNCTION("""COMPUTED_VALUE"""),43236.625)</f>
        <v>43236.625</v>
      </c>
      <c r="B816" s="2">
        <f ca="1">IFERROR(__xludf.DUMMYFUNCTION("""COMPUTED_VALUE"""),7975)</f>
        <v>7975</v>
      </c>
      <c r="C816" s="2">
        <f ca="1">IFERROR(__xludf.DUMMYFUNCTION("""COMPUTED_VALUE"""),8125)</f>
        <v>8125</v>
      </c>
      <c r="D816" s="2">
        <f ca="1">IFERROR(__xludf.DUMMYFUNCTION("""COMPUTED_VALUE"""),7600)</f>
        <v>7600</v>
      </c>
      <c r="E816" s="2">
        <f ca="1">IFERROR(__xludf.DUMMYFUNCTION("""COMPUTED_VALUE"""),8000)</f>
        <v>8000</v>
      </c>
      <c r="F816" s="2">
        <f ca="1">IFERROR(__xludf.DUMMYFUNCTION("""COMPUTED_VALUE"""),29408200)</f>
        <v>29408200</v>
      </c>
    </row>
    <row r="817" spans="1:6">
      <c r="A817" s="1">
        <f ca="1">IFERROR(__xludf.DUMMYFUNCTION("""COMPUTED_VALUE"""),43237.625)</f>
        <v>43237.625</v>
      </c>
      <c r="B817" s="2">
        <f ca="1">IFERROR(__xludf.DUMMYFUNCTION("""COMPUTED_VALUE"""),8000)</f>
        <v>8000</v>
      </c>
      <c r="C817" s="2">
        <f ca="1">IFERROR(__xludf.DUMMYFUNCTION("""COMPUTED_VALUE"""),8100)</f>
        <v>8100</v>
      </c>
      <c r="D817" s="2">
        <f ca="1">IFERROR(__xludf.DUMMYFUNCTION("""COMPUTED_VALUE"""),7800)</f>
        <v>7800</v>
      </c>
      <c r="E817" s="2">
        <f ca="1">IFERROR(__xludf.DUMMYFUNCTION("""COMPUTED_VALUE"""),7800)</f>
        <v>7800</v>
      </c>
      <c r="F817" s="2">
        <f ca="1">IFERROR(__xludf.DUMMYFUNCTION("""COMPUTED_VALUE"""),20408600)</f>
        <v>20408600</v>
      </c>
    </row>
    <row r="818" spans="1:6">
      <c r="A818" s="1">
        <f ca="1">IFERROR(__xludf.DUMMYFUNCTION("""COMPUTED_VALUE"""),43238.625)</f>
        <v>43238.625</v>
      </c>
      <c r="B818" s="2">
        <f ca="1">IFERROR(__xludf.DUMMYFUNCTION("""COMPUTED_VALUE"""),7825)</f>
        <v>7825</v>
      </c>
      <c r="C818" s="2">
        <f ca="1">IFERROR(__xludf.DUMMYFUNCTION("""COMPUTED_VALUE"""),7925)</f>
        <v>7925</v>
      </c>
      <c r="D818" s="2">
        <f ca="1">IFERROR(__xludf.DUMMYFUNCTION("""COMPUTED_VALUE"""),7575)</f>
        <v>7575</v>
      </c>
      <c r="E818" s="2">
        <f ca="1">IFERROR(__xludf.DUMMYFUNCTION("""COMPUTED_VALUE"""),7575)</f>
        <v>7575</v>
      </c>
      <c r="F818" s="2">
        <f ca="1">IFERROR(__xludf.DUMMYFUNCTION("""COMPUTED_VALUE"""),21486800)</f>
        <v>21486800</v>
      </c>
    </row>
    <row r="819" spans="1:6">
      <c r="A819" s="1">
        <f ca="1">IFERROR(__xludf.DUMMYFUNCTION("""COMPUTED_VALUE"""),43241.625)</f>
        <v>43241.625</v>
      </c>
      <c r="B819" s="2">
        <f ca="1">IFERROR(__xludf.DUMMYFUNCTION("""COMPUTED_VALUE"""),7500)</f>
        <v>7500</v>
      </c>
      <c r="C819" s="2">
        <f ca="1">IFERROR(__xludf.DUMMYFUNCTION("""COMPUTED_VALUE"""),7500)</f>
        <v>7500</v>
      </c>
      <c r="D819" s="2">
        <f ca="1">IFERROR(__xludf.DUMMYFUNCTION("""COMPUTED_VALUE"""),7300)</f>
        <v>7300</v>
      </c>
      <c r="E819" s="2">
        <f ca="1">IFERROR(__xludf.DUMMYFUNCTION("""COMPUTED_VALUE"""),7300)</f>
        <v>7300</v>
      </c>
      <c r="F819" s="2">
        <f ca="1">IFERROR(__xludf.DUMMYFUNCTION("""COMPUTED_VALUE"""),21878700)</f>
        <v>21878700</v>
      </c>
    </row>
    <row r="820" spans="1:6">
      <c r="A820" s="1">
        <f ca="1">IFERROR(__xludf.DUMMYFUNCTION("""COMPUTED_VALUE"""),43242.625)</f>
        <v>43242.625</v>
      </c>
      <c r="B820" s="2">
        <f ca="1">IFERROR(__xludf.DUMMYFUNCTION("""COMPUTED_VALUE"""),7300)</f>
        <v>7300</v>
      </c>
      <c r="C820" s="2">
        <f ca="1">IFERROR(__xludf.DUMMYFUNCTION("""COMPUTED_VALUE"""),7500)</f>
        <v>7500</v>
      </c>
      <c r="D820" s="2">
        <f ca="1">IFERROR(__xludf.DUMMYFUNCTION("""COMPUTED_VALUE"""),7125)</f>
        <v>7125</v>
      </c>
      <c r="E820" s="2">
        <f ca="1">IFERROR(__xludf.DUMMYFUNCTION("""COMPUTED_VALUE"""),7125)</f>
        <v>7125</v>
      </c>
      <c r="F820" s="2">
        <f ca="1">IFERROR(__xludf.DUMMYFUNCTION("""COMPUTED_VALUE"""),27793400)</f>
        <v>27793400</v>
      </c>
    </row>
    <row r="821" spans="1:6">
      <c r="A821" s="1">
        <f ca="1">IFERROR(__xludf.DUMMYFUNCTION("""COMPUTED_VALUE"""),43243.625)</f>
        <v>43243.625</v>
      </c>
      <c r="B821" s="2">
        <f ca="1">IFERROR(__xludf.DUMMYFUNCTION("""COMPUTED_VALUE"""),7175)</f>
        <v>7175</v>
      </c>
      <c r="C821" s="2">
        <f ca="1">IFERROR(__xludf.DUMMYFUNCTION("""COMPUTED_VALUE"""),7575)</f>
        <v>7575</v>
      </c>
      <c r="D821" s="2">
        <f ca="1">IFERROR(__xludf.DUMMYFUNCTION("""COMPUTED_VALUE"""),7175)</f>
        <v>7175</v>
      </c>
      <c r="E821" s="2">
        <f ca="1">IFERROR(__xludf.DUMMYFUNCTION("""COMPUTED_VALUE"""),7200)</f>
        <v>7200</v>
      </c>
      <c r="F821" s="2">
        <f ca="1">IFERROR(__xludf.DUMMYFUNCTION("""COMPUTED_VALUE"""),47130700)</f>
        <v>47130700</v>
      </c>
    </row>
    <row r="822" spans="1:6">
      <c r="A822" s="1">
        <f ca="1">IFERROR(__xludf.DUMMYFUNCTION("""COMPUTED_VALUE"""),43244.625)</f>
        <v>43244.625</v>
      </c>
      <c r="B822" s="2">
        <f ca="1">IFERROR(__xludf.DUMMYFUNCTION("""COMPUTED_VALUE"""),7300)</f>
        <v>7300</v>
      </c>
      <c r="C822" s="2">
        <f ca="1">IFERROR(__xludf.DUMMYFUNCTION("""COMPUTED_VALUE"""),7725)</f>
        <v>7725</v>
      </c>
      <c r="D822" s="2">
        <f ca="1">IFERROR(__xludf.DUMMYFUNCTION("""COMPUTED_VALUE"""),7300)</f>
        <v>7300</v>
      </c>
      <c r="E822" s="2">
        <f ca="1">IFERROR(__xludf.DUMMYFUNCTION("""COMPUTED_VALUE"""),7675)</f>
        <v>7675</v>
      </c>
      <c r="F822" s="2">
        <f ca="1">IFERROR(__xludf.DUMMYFUNCTION("""COMPUTED_VALUE"""),26829200)</f>
        <v>26829200</v>
      </c>
    </row>
    <row r="823" spans="1:6">
      <c r="A823" s="1">
        <f ca="1">IFERROR(__xludf.DUMMYFUNCTION("""COMPUTED_VALUE"""),43245.625)</f>
        <v>43245.625</v>
      </c>
      <c r="B823" s="2">
        <f ca="1">IFERROR(__xludf.DUMMYFUNCTION("""COMPUTED_VALUE"""),7700)</f>
        <v>7700</v>
      </c>
      <c r="C823" s="2">
        <f ca="1">IFERROR(__xludf.DUMMYFUNCTION("""COMPUTED_VALUE"""),7975)</f>
        <v>7975</v>
      </c>
      <c r="D823" s="2">
        <f ca="1">IFERROR(__xludf.DUMMYFUNCTION("""COMPUTED_VALUE"""),7625)</f>
        <v>7625</v>
      </c>
      <c r="E823" s="2">
        <f ca="1">IFERROR(__xludf.DUMMYFUNCTION("""COMPUTED_VALUE"""),7975)</f>
        <v>7975</v>
      </c>
      <c r="F823" s="2">
        <f ca="1">IFERROR(__xludf.DUMMYFUNCTION("""COMPUTED_VALUE"""),20142700)</f>
        <v>20142700</v>
      </c>
    </row>
    <row r="824" spans="1:6">
      <c r="A824" s="1">
        <f ca="1">IFERROR(__xludf.DUMMYFUNCTION("""COMPUTED_VALUE"""),43248.625)</f>
        <v>43248.625</v>
      </c>
      <c r="B824" s="2">
        <f ca="1">IFERROR(__xludf.DUMMYFUNCTION("""COMPUTED_VALUE"""),7975)</f>
        <v>7975</v>
      </c>
      <c r="C824" s="2">
        <f ca="1">IFERROR(__xludf.DUMMYFUNCTION("""COMPUTED_VALUE"""),8675)</f>
        <v>8675</v>
      </c>
      <c r="D824" s="2">
        <f ca="1">IFERROR(__xludf.DUMMYFUNCTION("""COMPUTED_VALUE"""),7925)</f>
        <v>7925</v>
      </c>
      <c r="E824" s="2">
        <f ca="1">IFERROR(__xludf.DUMMYFUNCTION("""COMPUTED_VALUE"""),8575)</f>
        <v>8575</v>
      </c>
      <c r="F824" s="2">
        <f ca="1">IFERROR(__xludf.DUMMYFUNCTION("""COMPUTED_VALUE"""),43431800)</f>
        <v>43431800</v>
      </c>
    </row>
    <row r="825" spans="1:6">
      <c r="A825" s="1">
        <f ca="1">IFERROR(__xludf.DUMMYFUNCTION("""COMPUTED_VALUE"""),43250.625)</f>
        <v>43250.625</v>
      </c>
      <c r="B825" s="2">
        <f ca="1">IFERROR(__xludf.DUMMYFUNCTION("""COMPUTED_VALUE"""),8425)</f>
        <v>8425</v>
      </c>
      <c r="C825" s="2">
        <f ca="1">IFERROR(__xludf.DUMMYFUNCTION("""COMPUTED_VALUE"""),8800)</f>
        <v>8800</v>
      </c>
      <c r="D825" s="2">
        <f ca="1">IFERROR(__xludf.DUMMYFUNCTION("""COMPUTED_VALUE"""),8300)</f>
        <v>8300</v>
      </c>
      <c r="E825" s="2">
        <f ca="1">IFERROR(__xludf.DUMMYFUNCTION("""COMPUTED_VALUE"""),8650)</f>
        <v>8650</v>
      </c>
      <c r="F825" s="2">
        <f ca="1">IFERROR(__xludf.DUMMYFUNCTION("""COMPUTED_VALUE"""),47567600)</f>
        <v>47567600</v>
      </c>
    </row>
    <row r="826" spans="1:6">
      <c r="A826" s="1">
        <f ca="1">IFERROR(__xludf.DUMMYFUNCTION("""COMPUTED_VALUE"""),43251.625)</f>
        <v>43251.625</v>
      </c>
      <c r="B826" s="2">
        <f ca="1">IFERROR(__xludf.DUMMYFUNCTION("""COMPUTED_VALUE"""),8750)</f>
        <v>8750</v>
      </c>
      <c r="C826" s="2">
        <f ca="1">IFERROR(__xludf.DUMMYFUNCTION("""COMPUTED_VALUE"""),8750)</f>
        <v>8750</v>
      </c>
      <c r="D826" s="2">
        <f ca="1">IFERROR(__xludf.DUMMYFUNCTION("""COMPUTED_VALUE"""),8375)</f>
        <v>8375</v>
      </c>
      <c r="E826" s="2">
        <f ca="1">IFERROR(__xludf.DUMMYFUNCTION("""COMPUTED_VALUE"""),8475)</f>
        <v>8475</v>
      </c>
      <c r="F826" s="2">
        <f ca="1">IFERROR(__xludf.DUMMYFUNCTION("""COMPUTED_VALUE"""),47886700)</f>
        <v>47886700</v>
      </c>
    </row>
    <row r="827" spans="1:6">
      <c r="A827" s="1">
        <f ca="1">IFERROR(__xludf.DUMMYFUNCTION("""COMPUTED_VALUE"""),43255.625)</f>
        <v>43255.625</v>
      </c>
      <c r="B827" s="2">
        <f ca="1">IFERROR(__xludf.DUMMYFUNCTION("""COMPUTED_VALUE"""),8250)</f>
        <v>8250</v>
      </c>
      <c r="C827" s="2">
        <f ca="1">IFERROR(__xludf.DUMMYFUNCTION("""COMPUTED_VALUE"""),8550)</f>
        <v>8550</v>
      </c>
      <c r="D827" s="2">
        <f ca="1">IFERROR(__xludf.DUMMYFUNCTION("""COMPUTED_VALUE"""),8250)</f>
        <v>8250</v>
      </c>
      <c r="E827" s="2">
        <f ca="1">IFERROR(__xludf.DUMMYFUNCTION("""COMPUTED_VALUE"""),8475)</f>
        <v>8475</v>
      </c>
      <c r="F827" s="2">
        <f ca="1">IFERROR(__xludf.DUMMYFUNCTION("""COMPUTED_VALUE"""),34569300)</f>
        <v>34569300</v>
      </c>
    </row>
    <row r="828" spans="1:6">
      <c r="A828" s="1">
        <f ca="1">IFERROR(__xludf.DUMMYFUNCTION("""COMPUTED_VALUE"""),43256.625)</f>
        <v>43256.625</v>
      </c>
      <c r="B828" s="2">
        <f ca="1">IFERROR(__xludf.DUMMYFUNCTION("""COMPUTED_VALUE"""),8400)</f>
        <v>8400</v>
      </c>
      <c r="C828" s="2">
        <f ca="1">IFERROR(__xludf.DUMMYFUNCTION("""COMPUTED_VALUE"""),8425)</f>
        <v>8425</v>
      </c>
      <c r="D828" s="2">
        <f ca="1">IFERROR(__xludf.DUMMYFUNCTION("""COMPUTED_VALUE"""),8250)</f>
        <v>8250</v>
      </c>
      <c r="E828" s="2">
        <f ca="1">IFERROR(__xludf.DUMMYFUNCTION("""COMPUTED_VALUE"""),8275)</f>
        <v>8275</v>
      </c>
      <c r="F828" s="2">
        <f ca="1">IFERROR(__xludf.DUMMYFUNCTION("""COMPUTED_VALUE"""),24189200)</f>
        <v>24189200</v>
      </c>
    </row>
    <row r="829" spans="1:6">
      <c r="A829" s="1">
        <f ca="1">IFERROR(__xludf.DUMMYFUNCTION("""COMPUTED_VALUE"""),43257.625)</f>
        <v>43257.625</v>
      </c>
      <c r="B829" s="2">
        <f ca="1">IFERROR(__xludf.DUMMYFUNCTION("""COMPUTED_VALUE"""),8200)</f>
        <v>8200</v>
      </c>
      <c r="C829" s="2">
        <f ca="1">IFERROR(__xludf.DUMMYFUNCTION("""COMPUTED_VALUE"""),8350)</f>
        <v>8350</v>
      </c>
      <c r="D829" s="2">
        <f ca="1">IFERROR(__xludf.DUMMYFUNCTION("""COMPUTED_VALUE"""),8150)</f>
        <v>8150</v>
      </c>
      <c r="E829" s="2">
        <f ca="1">IFERROR(__xludf.DUMMYFUNCTION("""COMPUTED_VALUE"""),8250)</f>
        <v>8250</v>
      </c>
      <c r="F829" s="2">
        <f ca="1">IFERROR(__xludf.DUMMYFUNCTION("""COMPUTED_VALUE"""),20126000)</f>
        <v>20126000</v>
      </c>
    </row>
    <row r="830" spans="1:6">
      <c r="A830" s="1">
        <f ca="1">IFERROR(__xludf.DUMMYFUNCTION("""COMPUTED_VALUE"""),43258.625)</f>
        <v>43258.625</v>
      </c>
      <c r="B830" s="2">
        <f ca="1">IFERROR(__xludf.DUMMYFUNCTION("""COMPUTED_VALUE"""),8250)</f>
        <v>8250</v>
      </c>
      <c r="C830" s="2">
        <f ca="1">IFERROR(__xludf.DUMMYFUNCTION("""COMPUTED_VALUE"""),8475)</f>
        <v>8475</v>
      </c>
      <c r="D830" s="2">
        <f ca="1">IFERROR(__xludf.DUMMYFUNCTION("""COMPUTED_VALUE"""),8250)</f>
        <v>8250</v>
      </c>
      <c r="E830" s="2">
        <f ca="1">IFERROR(__xludf.DUMMYFUNCTION("""COMPUTED_VALUE"""),8450)</f>
        <v>8450</v>
      </c>
      <c r="F830" s="2">
        <f ca="1">IFERROR(__xludf.DUMMYFUNCTION("""COMPUTED_VALUE"""),14146100)</f>
        <v>14146100</v>
      </c>
    </row>
    <row r="831" spans="1:6">
      <c r="A831" s="1">
        <f ca="1">IFERROR(__xludf.DUMMYFUNCTION("""COMPUTED_VALUE"""),43259.625)</f>
        <v>43259.625</v>
      </c>
      <c r="B831" s="2">
        <f ca="1">IFERROR(__xludf.DUMMYFUNCTION("""COMPUTED_VALUE"""),8350)</f>
        <v>8350</v>
      </c>
      <c r="C831" s="2">
        <f ca="1">IFERROR(__xludf.DUMMYFUNCTION("""COMPUTED_VALUE"""),8400)</f>
        <v>8400</v>
      </c>
      <c r="D831" s="2">
        <f ca="1">IFERROR(__xludf.DUMMYFUNCTION("""COMPUTED_VALUE"""),8050)</f>
        <v>8050</v>
      </c>
      <c r="E831" s="2">
        <f ca="1">IFERROR(__xludf.DUMMYFUNCTION("""COMPUTED_VALUE"""),8050)</f>
        <v>8050</v>
      </c>
      <c r="F831" s="2">
        <f ca="1">IFERROR(__xludf.DUMMYFUNCTION("""COMPUTED_VALUE"""),34863900)</f>
        <v>34863900</v>
      </c>
    </row>
    <row r="832" spans="1:6">
      <c r="A832" s="1">
        <f ca="1">IFERROR(__xludf.DUMMYFUNCTION("""COMPUTED_VALUE"""),43271.625)</f>
        <v>43271.625</v>
      </c>
      <c r="B832" s="2">
        <f ca="1">IFERROR(__xludf.DUMMYFUNCTION("""COMPUTED_VALUE"""),7800)</f>
        <v>7800</v>
      </c>
      <c r="C832" s="2">
        <f ca="1">IFERROR(__xludf.DUMMYFUNCTION("""COMPUTED_VALUE"""),7850)</f>
        <v>7850</v>
      </c>
      <c r="D832" s="2">
        <f ca="1">IFERROR(__xludf.DUMMYFUNCTION("""COMPUTED_VALUE"""),7525)</f>
        <v>7525</v>
      </c>
      <c r="E832" s="2">
        <f ca="1">IFERROR(__xludf.DUMMYFUNCTION("""COMPUTED_VALUE"""),7525)</f>
        <v>7525</v>
      </c>
      <c r="F832" s="2">
        <f ca="1">IFERROR(__xludf.DUMMYFUNCTION("""COMPUTED_VALUE"""),62183900)</f>
        <v>62183900</v>
      </c>
    </row>
    <row r="833" spans="1:6">
      <c r="A833" s="1">
        <f ca="1">IFERROR(__xludf.DUMMYFUNCTION("""COMPUTED_VALUE"""),43272.625)</f>
        <v>43272.625</v>
      </c>
      <c r="B833" s="2">
        <f ca="1">IFERROR(__xludf.DUMMYFUNCTION("""COMPUTED_VALUE"""),7500)</f>
        <v>7500</v>
      </c>
      <c r="C833" s="2">
        <f ca="1">IFERROR(__xludf.DUMMYFUNCTION("""COMPUTED_VALUE"""),7650)</f>
        <v>7650</v>
      </c>
      <c r="D833" s="2">
        <f ca="1">IFERROR(__xludf.DUMMYFUNCTION("""COMPUTED_VALUE"""),7400)</f>
        <v>7400</v>
      </c>
      <c r="E833" s="2">
        <f ca="1">IFERROR(__xludf.DUMMYFUNCTION("""COMPUTED_VALUE"""),7400)</f>
        <v>7400</v>
      </c>
      <c r="F833" s="2">
        <f ca="1">IFERROR(__xludf.DUMMYFUNCTION("""COMPUTED_VALUE"""),19218100)</f>
        <v>19218100</v>
      </c>
    </row>
    <row r="834" spans="1:6">
      <c r="A834" s="1">
        <f ca="1">IFERROR(__xludf.DUMMYFUNCTION("""COMPUTED_VALUE"""),43273.625)</f>
        <v>43273.625</v>
      </c>
      <c r="B834" s="2">
        <f ca="1">IFERROR(__xludf.DUMMYFUNCTION("""COMPUTED_VALUE"""),7375)</f>
        <v>7375</v>
      </c>
      <c r="C834" s="2">
        <f ca="1">IFERROR(__xludf.DUMMYFUNCTION("""COMPUTED_VALUE"""),7500)</f>
        <v>7500</v>
      </c>
      <c r="D834" s="2">
        <f ca="1">IFERROR(__xludf.DUMMYFUNCTION("""COMPUTED_VALUE"""),7275)</f>
        <v>7275</v>
      </c>
      <c r="E834" s="2">
        <f ca="1">IFERROR(__xludf.DUMMYFUNCTION("""COMPUTED_VALUE"""),7400)</f>
        <v>7400</v>
      </c>
      <c r="F834" s="2">
        <f ca="1">IFERROR(__xludf.DUMMYFUNCTION("""COMPUTED_VALUE"""),28406000)</f>
        <v>28406000</v>
      </c>
    </row>
    <row r="835" spans="1:6">
      <c r="A835" s="1">
        <f ca="1">IFERROR(__xludf.DUMMYFUNCTION("""COMPUTED_VALUE"""),43276.625)</f>
        <v>43276.625</v>
      </c>
      <c r="B835" s="2">
        <f ca="1">IFERROR(__xludf.DUMMYFUNCTION("""COMPUTED_VALUE"""),7500)</f>
        <v>7500</v>
      </c>
      <c r="C835" s="2">
        <f ca="1">IFERROR(__xludf.DUMMYFUNCTION("""COMPUTED_VALUE"""),7500)</f>
        <v>7500</v>
      </c>
      <c r="D835" s="2">
        <f ca="1">IFERROR(__xludf.DUMMYFUNCTION("""COMPUTED_VALUE"""),7225)</f>
        <v>7225</v>
      </c>
      <c r="E835" s="2">
        <f ca="1">IFERROR(__xludf.DUMMYFUNCTION("""COMPUTED_VALUE"""),7300)</f>
        <v>7300</v>
      </c>
      <c r="F835" s="2">
        <f ca="1">IFERROR(__xludf.DUMMYFUNCTION("""COMPUTED_VALUE"""),23871600)</f>
        <v>23871600</v>
      </c>
    </row>
    <row r="836" spans="1:6">
      <c r="A836" s="1">
        <f ca="1">IFERROR(__xludf.DUMMYFUNCTION("""COMPUTED_VALUE"""),43277.625)</f>
        <v>43277.625</v>
      </c>
      <c r="B836" s="2">
        <f ca="1">IFERROR(__xludf.DUMMYFUNCTION("""COMPUTED_VALUE"""),7200)</f>
        <v>7200</v>
      </c>
      <c r="C836" s="2">
        <f ca="1">IFERROR(__xludf.DUMMYFUNCTION("""COMPUTED_VALUE"""),7275)</f>
        <v>7275</v>
      </c>
      <c r="D836" s="2">
        <f ca="1">IFERROR(__xludf.DUMMYFUNCTION("""COMPUTED_VALUE"""),7150)</f>
        <v>7150</v>
      </c>
      <c r="E836" s="2">
        <f ca="1">IFERROR(__xludf.DUMMYFUNCTION("""COMPUTED_VALUE"""),7150)</f>
        <v>7150</v>
      </c>
      <c r="F836" s="2">
        <f ca="1">IFERROR(__xludf.DUMMYFUNCTION("""COMPUTED_VALUE"""),22791900)</f>
        <v>22791900</v>
      </c>
    </row>
    <row r="837" spans="1:6">
      <c r="A837" s="1">
        <f ca="1">IFERROR(__xludf.DUMMYFUNCTION("""COMPUTED_VALUE"""),43278.625)</f>
        <v>43278.625</v>
      </c>
      <c r="B837" s="2">
        <f ca="1">IFERROR(__xludf.DUMMYFUNCTION("""COMPUTED_VALUE"""),7150)</f>
        <v>7150</v>
      </c>
      <c r="C837" s="2">
        <f ca="1">IFERROR(__xludf.DUMMYFUNCTION("""COMPUTED_VALUE"""),7250)</f>
        <v>7250</v>
      </c>
      <c r="D837" s="2">
        <f ca="1">IFERROR(__xludf.DUMMYFUNCTION("""COMPUTED_VALUE"""),7000)</f>
        <v>7000</v>
      </c>
      <c r="E837" s="2">
        <f ca="1">IFERROR(__xludf.DUMMYFUNCTION("""COMPUTED_VALUE"""),7050)</f>
        <v>7050</v>
      </c>
      <c r="F837" s="2">
        <f ca="1">IFERROR(__xludf.DUMMYFUNCTION("""COMPUTED_VALUE"""),22670300)</f>
        <v>22670300</v>
      </c>
    </row>
    <row r="838" spans="1:6">
      <c r="A838" s="1">
        <f ca="1">IFERROR(__xludf.DUMMYFUNCTION("""COMPUTED_VALUE"""),43279.625)</f>
        <v>43279.625</v>
      </c>
      <c r="B838" s="2">
        <f ca="1">IFERROR(__xludf.DUMMYFUNCTION("""COMPUTED_VALUE"""),7000)</f>
        <v>7000</v>
      </c>
      <c r="C838" s="2">
        <f ca="1">IFERROR(__xludf.DUMMYFUNCTION("""COMPUTED_VALUE"""),7125)</f>
        <v>7125</v>
      </c>
      <c r="D838" s="2">
        <f ca="1">IFERROR(__xludf.DUMMYFUNCTION("""COMPUTED_VALUE"""),6800)</f>
        <v>6800</v>
      </c>
      <c r="E838" s="2">
        <f ca="1">IFERROR(__xludf.DUMMYFUNCTION("""COMPUTED_VALUE"""),6800)</f>
        <v>6800</v>
      </c>
      <c r="F838" s="2">
        <f ca="1">IFERROR(__xludf.DUMMYFUNCTION("""COMPUTED_VALUE"""),29602100)</f>
        <v>29602100</v>
      </c>
    </row>
    <row r="839" spans="1:6">
      <c r="A839" s="1">
        <f ca="1">IFERROR(__xludf.DUMMYFUNCTION("""COMPUTED_VALUE"""),43280.625)</f>
        <v>43280.625</v>
      </c>
      <c r="B839" s="2">
        <f ca="1">IFERROR(__xludf.DUMMYFUNCTION("""COMPUTED_VALUE"""),6850)</f>
        <v>6850</v>
      </c>
      <c r="C839" s="2">
        <f ca="1">IFERROR(__xludf.DUMMYFUNCTION("""COMPUTED_VALUE"""),7075)</f>
        <v>7075</v>
      </c>
      <c r="D839" s="2">
        <f ca="1">IFERROR(__xludf.DUMMYFUNCTION("""COMPUTED_VALUE"""),6825)</f>
        <v>6825</v>
      </c>
      <c r="E839" s="2">
        <f ca="1">IFERROR(__xludf.DUMMYFUNCTION("""COMPUTED_VALUE"""),7050)</f>
        <v>7050</v>
      </c>
      <c r="F839" s="2">
        <f ca="1">IFERROR(__xludf.DUMMYFUNCTION("""COMPUTED_VALUE"""),31968800)</f>
        <v>31968800</v>
      </c>
    </row>
    <row r="840" spans="1:6">
      <c r="A840" s="1">
        <f ca="1">IFERROR(__xludf.DUMMYFUNCTION("""COMPUTED_VALUE"""),43283.625)</f>
        <v>43283.625</v>
      </c>
      <c r="B840" s="2">
        <f ca="1">IFERROR(__xludf.DUMMYFUNCTION("""COMPUTED_VALUE"""),7125)</f>
        <v>7125</v>
      </c>
      <c r="C840" s="2">
        <f ca="1">IFERROR(__xludf.DUMMYFUNCTION("""COMPUTED_VALUE"""),7225)</f>
        <v>7225</v>
      </c>
      <c r="D840" s="2">
        <f ca="1">IFERROR(__xludf.DUMMYFUNCTION("""COMPUTED_VALUE"""),7000)</f>
        <v>7000</v>
      </c>
      <c r="E840" s="2">
        <f ca="1">IFERROR(__xludf.DUMMYFUNCTION("""COMPUTED_VALUE"""),7050)</f>
        <v>7050</v>
      </c>
      <c r="F840" s="2">
        <f ca="1">IFERROR(__xludf.DUMMYFUNCTION("""COMPUTED_VALUE"""),18116800)</f>
        <v>18116800</v>
      </c>
    </row>
    <row r="841" spans="1:6">
      <c r="A841" s="1">
        <f ca="1">IFERROR(__xludf.DUMMYFUNCTION("""COMPUTED_VALUE"""),43284.625)</f>
        <v>43284.625</v>
      </c>
      <c r="B841" s="2">
        <f ca="1">IFERROR(__xludf.DUMMYFUNCTION("""COMPUTED_VALUE"""),7050)</f>
        <v>7050</v>
      </c>
      <c r="C841" s="2">
        <f ca="1">IFERROR(__xludf.DUMMYFUNCTION("""COMPUTED_VALUE"""),7100)</f>
        <v>7100</v>
      </c>
      <c r="D841" s="2">
        <f ca="1">IFERROR(__xludf.DUMMYFUNCTION("""COMPUTED_VALUE"""),6750)</f>
        <v>6750</v>
      </c>
      <c r="E841" s="2">
        <f ca="1">IFERROR(__xludf.DUMMYFUNCTION("""COMPUTED_VALUE"""),6950)</f>
        <v>6950</v>
      </c>
      <c r="F841" s="2">
        <f ca="1">IFERROR(__xludf.DUMMYFUNCTION("""COMPUTED_VALUE"""),21581400)</f>
        <v>21581400</v>
      </c>
    </row>
    <row r="842" spans="1:6">
      <c r="A842" s="1">
        <f ca="1">IFERROR(__xludf.DUMMYFUNCTION("""COMPUTED_VALUE"""),43285.625)</f>
        <v>43285.625</v>
      </c>
      <c r="B842" s="2">
        <f ca="1">IFERROR(__xludf.DUMMYFUNCTION("""COMPUTED_VALUE"""),7025)</f>
        <v>7025</v>
      </c>
      <c r="C842" s="2">
        <f ca="1">IFERROR(__xludf.DUMMYFUNCTION("""COMPUTED_VALUE"""),7275)</f>
        <v>7275</v>
      </c>
      <c r="D842" s="2">
        <f ca="1">IFERROR(__xludf.DUMMYFUNCTION("""COMPUTED_VALUE"""),6800)</f>
        <v>6800</v>
      </c>
      <c r="E842" s="2">
        <f ca="1">IFERROR(__xludf.DUMMYFUNCTION("""COMPUTED_VALUE"""),7200)</f>
        <v>7200</v>
      </c>
      <c r="F842" s="2">
        <f ca="1">IFERROR(__xludf.DUMMYFUNCTION("""COMPUTED_VALUE"""),28015900)</f>
        <v>28015900</v>
      </c>
    </row>
    <row r="843" spans="1:6">
      <c r="A843" s="1">
        <f ca="1">IFERROR(__xludf.DUMMYFUNCTION("""COMPUTED_VALUE"""),43286.625)</f>
        <v>43286.625</v>
      </c>
      <c r="B843" s="2">
        <f ca="1">IFERROR(__xludf.DUMMYFUNCTION("""COMPUTED_VALUE"""),7275)</f>
        <v>7275</v>
      </c>
      <c r="C843" s="2">
        <f ca="1">IFERROR(__xludf.DUMMYFUNCTION("""COMPUTED_VALUE"""),7275)</f>
        <v>7275</v>
      </c>
      <c r="D843" s="2">
        <f ca="1">IFERROR(__xludf.DUMMYFUNCTION("""COMPUTED_VALUE"""),6950)</f>
        <v>6950</v>
      </c>
      <c r="E843" s="2">
        <f ca="1">IFERROR(__xludf.DUMMYFUNCTION("""COMPUTED_VALUE"""),7100)</f>
        <v>7100</v>
      </c>
      <c r="F843" s="2">
        <f ca="1">IFERROR(__xludf.DUMMYFUNCTION("""COMPUTED_VALUE"""),18365500)</f>
        <v>18365500</v>
      </c>
    </row>
    <row r="844" spans="1:6">
      <c r="A844" s="1">
        <f ca="1">IFERROR(__xludf.DUMMYFUNCTION("""COMPUTED_VALUE"""),43287.625)</f>
        <v>43287.625</v>
      </c>
      <c r="B844" s="2">
        <f ca="1">IFERROR(__xludf.DUMMYFUNCTION("""COMPUTED_VALUE"""),7150)</f>
        <v>7150</v>
      </c>
      <c r="C844" s="2">
        <f ca="1">IFERROR(__xludf.DUMMYFUNCTION("""COMPUTED_VALUE"""),7150)</f>
        <v>7150</v>
      </c>
      <c r="D844" s="2">
        <f ca="1">IFERROR(__xludf.DUMMYFUNCTION("""COMPUTED_VALUE"""),6900)</f>
        <v>6900</v>
      </c>
      <c r="E844" s="2">
        <f ca="1">IFERROR(__xludf.DUMMYFUNCTION("""COMPUTED_VALUE"""),6950)</f>
        <v>6950</v>
      </c>
      <c r="F844" s="2">
        <f ca="1">IFERROR(__xludf.DUMMYFUNCTION("""COMPUTED_VALUE"""),17497000)</f>
        <v>17497000</v>
      </c>
    </row>
    <row r="845" spans="1:6">
      <c r="A845" s="1">
        <f ca="1">IFERROR(__xludf.DUMMYFUNCTION("""COMPUTED_VALUE"""),43290.625)</f>
        <v>43290.625</v>
      </c>
      <c r="B845" s="2">
        <f ca="1">IFERROR(__xludf.DUMMYFUNCTION("""COMPUTED_VALUE"""),7000)</f>
        <v>7000</v>
      </c>
      <c r="C845" s="2">
        <f ca="1">IFERROR(__xludf.DUMMYFUNCTION("""COMPUTED_VALUE"""),7300)</f>
        <v>7300</v>
      </c>
      <c r="D845" s="2">
        <f ca="1">IFERROR(__xludf.DUMMYFUNCTION("""COMPUTED_VALUE"""),6925)</f>
        <v>6925</v>
      </c>
      <c r="E845" s="2">
        <f ca="1">IFERROR(__xludf.DUMMYFUNCTION("""COMPUTED_VALUE"""),7200)</f>
        <v>7200</v>
      </c>
      <c r="F845" s="2">
        <f ca="1">IFERROR(__xludf.DUMMYFUNCTION("""COMPUTED_VALUE"""),25748400)</f>
        <v>25748400</v>
      </c>
    </row>
    <row r="846" spans="1:6">
      <c r="A846" s="1">
        <f ca="1">IFERROR(__xludf.DUMMYFUNCTION("""COMPUTED_VALUE"""),43291.625)</f>
        <v>43291.625</v>
      </c>
      <c r="B846" s="2">
        <f ca="1">IFERROR(__xludf.DUMMYFUNCTION("""COMPUTED_VALUE"""),7300)</f>
        <v>7300</v>
      </c>
      <c r="C846" s="2">
        <f ca="1">IFERROR(__xludf.DUMMYFUNCTION("""COMPUTED_VALUE"""),7375)</f>
        <v>7375</v>
      </c>
      <c r="D846" s="2">
        <f ca="1">IFERROR(__xludf.DUMMYFUNCTION("""COMPUTED_VALUE"""),7100)</f>
        <v>7100</v>
      </c>
      <c r="E846" s="2">
        <f ca="1">IFERROR(__xludf.DUMMYFUNCTION("""COMPUTED_VALUE"""),7300)</f>
        <v>7300</v>
      </c>
      <c r="F846" s="2">
        <f ca="1">IFERROR(__xludf.DUMMYFUNCTION("""COMPUTED_VALUE"""),27014700)</f>
        <v>27014700</v>
      </c>
    </row>
    <row r="847" spans="1:6">
      <c r="A847" s="1">
        <f ca="1">IFERROR(__xludf.DUMMYFUNCTION("""COMPUTED_VALUE"""),43292.625)</f>
        <v>43292.625</v>
      </c>
      <c r="B847" s="2">
        <f ca="1">IFERROR(__xludf.DUMMYFUNCTION("""COMPUTED_VALUE"""),7150)</f>
        <v>7150</v>
      </c>
      <c r="C847" s="2">
        <f ca="1">IFERROR(__xludf.DUMMYFUNCTION("""COMPUTED_VALUE"""),7200)</f>
        <v>7200</v>
      </c>
      <c r="D847" s="2">
        <f ca="1">IFERROR(__xludf.DUMMYFUNCTION("""COMPUTED_VALUE"""),7050)</f>
        <v>7050</v>
      </c>
      <c r="E847" s="2">
        <f ca="1">IFERROR(__xludf.DUMMYFUNCTION("""COMPUTED_VALUE"""),7175)</f>
        <v>7175</v>
      </c>
      <c r="F847" s="2">
        <f ca="1">IFERROR(__xludf.DUMMYFUNCTION("""COMPUTED_VALUE"""),18197200)</f>
        <v>18197200</v>
      </c>
    </row>
    <row r="848" spans="1:6">
      <c r="A848" s="1">
        <f ca="1">IFERROR(__xludf.DUMMYFUNCTION("""COMPUTED_VALUE"""),43293.625)</f>
        <v>43293.625</v>
      </c>
      <c r="B848" s="2">
        <f ca="1">IFERROR(__xludf.DUMMYFUNCTION("""COMPUTED_VALUE"""),7100)</f>
        <v>7100</v>
      </c>
      <c r="C848" s="2">
        <f ca="1">IFERROR(__xludf.DUMMYFUNCTION("""COMPUTED_VALUE"""),7225)</f>
        <v>7225</v>
      </c>
      <c r="D848" s="2">
        <f ca="1">IFERROR(__xludf.DUMMYFUNCTION("""COMPUTED_VALUE"""),7025)</f>
        <v>7025</v>
      </c>
      <c r="E848" s="2">
        <f ca="1">IFERROR(__xludf.DUMMYFUNCTION("""COMPUTED_VALUE"""),7025)</f>
        <v>7025</v>
      </c>
      <c r="F848" s="2">
        <f ca="1">IFERROR(__xludf.DUMMYFUNCTION("""COMPUTED_VALUE"""),26550200)</f>
        <v>26550200</v>
      </c>
    </row>
    <row r="849" spans="1:6">
      <c r="A849" s="1">
        <f ca="1">IFERROR(__xludf.DUMMYFUNCTION("""COMPUTED_VALUE"""),43294.625)</f>
        <v>43294.625</v>
      </c>
      <c r="B849" s="2">
        <f ca="1">IFERROR(__xludf.DUMMYFUNCTION("""COMPUTED_VALUE"""),7100)</f>
        <v>7100</v>
      </c>
      <c r="C849" s="2">
        <f ca="1">IFERROR(__xludf.DUMMYFUNCTION("""COMPUTED_VALUE"""),7300)</f>
        <v>7300</v>
      </c>
      <c r="D849" s="2">
        <f ca="1">IFERROR(__xludf.DUMMYFUNCTION("""COMPUTED_VALUE"""),7075)</f>
        <v>7075</v>
      </c>
      <c r="E849" s="2">
        <f ca="1">IFERROR(__xludf.DUMMYFUNCTION("""COMPUTED_VALUE"""),7250)</f>
        <v>7250</v>
      </c>
      <c r="F849" s="2">
        <f ca="1">IFERROR(__xludf.DUMMYFUNCTION("""COMPUTED_VALUE"""),25456900)</f>
        <v>25456900</v>
      </c>
    </row>
    <row r="850" spans="1:6">
      <c r="A850" s="1">
        <f ca="1">IFERROR(__xludf.DUMMYFUNCTION("""COMPUTED_VALUE"""),43297.625)</f>
        <v>43297.625</v>
      </c>
      <c r="B850" s="2">
        <f ca="1">IFERROR(__xludf.DUMMYFUNCTION("""COMPUTED_VALUE"""),7300)</f>
        <v>7300</v>
      </c>
      <c r="C850" s="2">
        <f ca="1">IFERROR(__xludf.DUMMYFUNCTION("""COMPUTED_VALUE"""),7375)</f>
        <v>7375</v>
      </c>
      <c r="D850" s="2">
        <f ca="1">IFERROR(__xludf.DUMMYFUNCTION("""COMPUTED_VALUE"""),7225)</f>
        <v>7225</v>
      </c>
      <c r="E850" s="2">
        <f ca="1">IFERROR(__xludf.DUMMYFUNCTION("""COMPUTED_VALUE"""),7350)</f>
        <v>7350</v>
      </c>
      <c r="F850" s="2">
        <f ca="1">IFERROR(__xludf.DUMMYFUNCTION("""COMPUTED_VALUE"""),23858500)</f>
        <v>23858500</v>
      </c>
    </row>
    <row r="851" spans="1:6">
      <c r="A851" s="1">
        <f ca="1">IFERROR(__xludf.DUMMYFUNCTION("""COMPUTED_VALUE"""),43298.625)</f>
        <v>43298.625</v>
      </c>
      <c r="B851" s="2">
        <f ca="1">IFERROR(__xludf.DUMMYFUNCTION("""COMPUTED_VALUE"""),7300)</f>
        <v>7300</v>
      </c>
      <c r="C851" s="2">
        <f ca="1">IFERROR(__xludf.DUMMYFUNCTION("""COMPUTED_VALUE"""),7450)</f>
        <v>7450</v>
      </c>
      <c r="D851" s="2">
        <f ca="1">IFERROR(__xludf.DUMMYFUNCTION("""COMPUTED_VALUE"""),7275)</f>
        <v>7275</v>
      </c>
      <c r="E851" s="2">
        <f ca="1">IFERROR(__xludf.DUMMYFUNCTION("""COMPUTED_VALUE"""),7425)</f>
        <v>7425</v>
      </c>
      <c r="F851" s="2">
        <f ca="1">IFERROR(__xludf.DUMMYFUNCTION("""COMPUTED_VALUE"""),24486800)</f>
        <v>24486800</v>
      </c>
    </row>
    <row r="852" spans="1:6">
      <c r="A852" s="1">
        <f ca="1">IFERROR(__xludf.DUMMYFUNCTION("""COMPUTED_VALUE"""),43299.625)</f>
        <v>43299.625</v>
      </c>
      <c r="B852" s="2">
        <f ca="1">IFERROR(__xludf.DUMMYFUNCTION("""COMPUTED_VALUE"""),7400)</f>
        <v>7400</v>
      </c>
      <c r="C852" s="2">
        <f ca="1">IFERROR(__xludf.DUMMYFUNCTION("""COMPUTED_VALUE"""),7425)</f>
        <v>7425</v>
      </c>
      <c r="D852" s="2">
        <f ca="1">IFERROR(__xludf.DUMMYFUNCTION("""COMPUTED_VALUE"""),7250)</f>
        <v>7250</v>
      </c>
      <c r="E852" s="2">
        <f ca="1">IFERROR(__xludf.DUMMYFUNCTION("""COMPUTED_VALUE"""),7375)</f>
        <v>7375</v>
      </c>
      <c r="F852" s="2">
        <f ca="1">IFERROR(__xludf.DUMMYFUNCTION("""COMPUTED_VALUE"""),18569600)</f>
        <v>18569600</v>
      </c>
    </row>
    <row r="853" spans="1:6">
      <c r="A853" s="1">
        <f ca="1">IFERROR(__xludf.DUMMYFUNCTION("""COMPUTED_VALUE"""),43300.625)</f>
        <v>43300.625</v>
      </c>
      <c r="B853" s="2">
        <f ca="1">IFERROR(__xludf.DUMMYFUNCTION("""COMPUTED_VALUE"""),7450)</f>
        <v>7450</v>
      </c>
      <c r="C853" s="2">
        <f ca="1">IFERROR(__xludf.DUMMYFUNCTION("""COMPUTED_VALUE"""),7550)</f>
        <v>7550</v>
      </c>
      <c r="D853" s="2">
        <f ca="1">IFERROR(__xludf.DUMMYFUNCTION("""COMPUTED_VALUE"""),7375)</f>
        <v>7375</v>
      </c>
      <c r="E853" s="2">
        <f ca="1">IFERROR(__xludf.DUMMYFUNCTION("""COMPUTED_VALUE"""),7375)</f>
        <v>7375</v>
      </c>
      <c r="F853" s="2">
        <f ca="1">IFERROR(__xludf.DUMMYFUNCTION("""COMPUTED_VALUE"""),43799800)</f>
        <v>43799800</v>
      </c>
    </row>
    <row r="854" spans="1:6">
      <c r="A854" s="1">
        <f ca="1">IFERROR(__xludf.DUMMYFUNCTION("""COMPUTED_VALUE"""),43301.625)</f>
        <v>43301.625</v>
      </c>
      <c r="B854" s="2">
        <f ca="1">IFERROR(__xludf.DUMMYFUNCTION("""COMPUTED_VALUE"""),7325)</f>
        <v>7325</v>
      </c>
      <c r="C854" s="2">
        <f ca="1">IFERROR(__xludf.DUMMYFUNCTION("""COMPUTED_VALUE"""),7400)</f>
        <v>7400</v>
      </c>
      <c r="D854" s="2">
        <f ca="1">IFERROR(__xludf.DUMMYFUNCTION("""COMPUTED_VALUE"""),7200)</f>
        <v>7200</v>
      </c>
      <c r="E854" s="2">
        <f ca="1">IFERROR(__xludf.DUMMYFUNCTION("""COMPUTED_VALUE"""),7250)</f>
        <v>7250</v>
      </c>
      <c r="F854" s="2">
        <f ca="1">IFERROR(__xludf.DUMMYFUNCTION("""COMPUTED_VALUE"""),26326500)</f>
        <v>26326500</v>
      </c>
    </row>
    <row r="855" spans="1:6">
      <c r="A855" s="1">
        <f ca="1">IFERROR(__xludf.DUMMYFUNCTION("""COMPUTED_VALUE"""),43304.625)</f>
        <v>43304.625</v>
      </c>
      <c r="B855" s="2">
        <f ca="1">IFERROR(__xludf.DUMMYFUNCTION("""COMPUTED_VALUE"""),7300)</f>
        <v>7300</v>
      </c>
      <c r="C855" s="2">
        <f ca="1">IFERROR(__xludf.DUMMYFUNCTION("""COMPUTED_VALUE"""),7475)</f>
        <v>7475</v>
      </c>
      <c r="D855" s="2">
        <f ca="1">IFERROR(__xludf.DUMMYFUNCTION("""COMPUTED_VALUE"""),7275)</f>
        <v>7275</v>
      </c>
      <c r="E855" s="2">
        <f ca="1">IFERROR(__xludf.DUMMYFUNCTION("""COMPUTED_VALUE"""),7300)</f>
        <v>7300</v>
      </c>
      <c r="F855" s="2">
        <f ca="1">IFERROR(__xludf.DUMMYFUNCTION("""COMPUTED_VALUE"""),19011600)</f>
        <v>19011600</v>
      </c>
    </row>
    <row r="856" spans="1:6">
      <c r="A856" s="1">
        <f ca="1">IFERROR(__xludf.DUMMYFUNCTION("""COMPUTED_VALUE"""),43305.625)</f>
        <v>43305.625</v>
      </c>
      <c r="B856" s="2">
        <f ca="1">IFERROR(__xludf.DUMMYFUNCTION("""COMPUTED_VALUE"""),7300)</f>
        <v>7300</v>
      </c>
      <c r="C856" s="2">
        <f ca="1">IFERROR(__xludf.DUMMYFUNCTION("""COMPUTED_VALUE"""),7475)</f>
        <v>7475</v>
      </c>
      <c r="D856" s="2">
        <f ca="1">IFERROR(__xludf.DUMMYFUNCTION("""COMPUTED_VALUE"""),7300)</f>
        <v>7300</v>
      </c>
      <c r="E856" s="2">
        <f ca="1">IFERROR(__xludf.DUMMYFUNCTION("""COMPUTED_VALUE"""),7350)</f>
        <v>7350</v>
      </c>
      <c r="F856" s="2">
        <f ca="1">IFERROR(__xludf.DUMMYFUNCTION("""COMPUTED_VALUE"""),19889800)</f>
        <v>19889800</v>
      </c>
    </row>
    <row r="857" spans="1:6">
      <c r="A857" s="1">
        <f ca="1">IFERROR(__xludf.DUMMYFUNCTION("""COMPUTED_VALUE"""),43306.625)</f>
        <v>43306.625</v>
      </c>
      <c r="B857" s="2">
        <f ca="1">IFERROR(__xludf.DUMMYFUNCTION("""COMPUTED_VALUE"""),7350)</f>
        <v>7350</v>
      </c>
      <c r="C857" s="2">
        <f ca="1">IFERROR(__xludf.DUMMYFUNCTION("""COMPUTED_VALUE"""),7400)</f>
        <v>7400</v>
      </c>
      <c r="D857" s="2">
        <f ca="1">IFERROR(__xludf.DUMMYFUNCTION("""COMPUTED_VALUE"""),7275)</f>
        <v>7275</v>
      </c>
      <c r="E857" s="2">
        <f ca="1">IFERROR(__xludf.DUMMYFUNCTION("""COMPUTED_VALUE"""),7300)</f>
        <v>7300</v>
      </c>
      <c r="F857" s="2">
        <f ca="1">IFERROR(__xludf.DUMMYFUNCTION("""COMPUTED_VALUE"""),17293200)</f>
        <v>17293200</v>
      </c>
    </row>
    <row r="858" spans="1:6">
      <c r="A858" s="1">
        <f ca="1">IFERROR(__xludf.DUMMYFUNCTION("""COMPUTED_VALUE"""),43307.625)</f>
        <v>43307.625</v>
      </c>
      <c r="B858" s="2">
        <f ca="1">IFERROR(__xludf.DUMMYFUNCTION("""COMPUTED_VALUE"""),7350)</f>
        <v>7350</v>
      </c>
      <c r="C858" s="2">
        <f ca="1">IFERROR(__xludf.DUMMYFUNCTION("""COMPUTED_VALUE"""),7575)</f>
        <v>7575</v>
      </c>
      <c r="D858" s="2">
        <f ca="1">IFERROR(__xludf.DUMMYFUNCTION("""COMPUTED_VALUE"""),7350)</f>
        <v>7350</v>
      </c>
      <c r="E858" s="2">
        <f ca="1">IFERROR(__xludf.DUMMYFUNCTION("""COMPUTED_VALUE"""),7575)</f>
        <v>7575</v>
      </c>
      <c r="F858" s="2">
        <f ca="1">IFERROR(__xludf.DUMMYFUNCTION("""COMPUTED_VALUE"""),28730600)</f>
        <v>28730600</v>
      </c>
    </row>
    <row r="859" spans="1:6">
      <c r="A859" s="1">
        <f ca="1">IFERROR(__xludf.DUMMYFUNCTION("""COMPUTED_VALUE"""),43308.625)</f>
        <v>43308.625</v>
      </c>
      <c r="B859" s="2">
        <f ca="1">IFERROR(__xludf.DUMMYFUNCTION("""COMPUTED_VALUE"""),7600)</f>
        <v>7600</v>
      </c>
      <c r="C859" s="2">
        <f ca="1">IFERROR(__xludf.DUMMYFUNCTION("""COMPUTED_VALUE"""),7600)</f>
        <v>7600</v>
      </c>
      <c r="D859" s="2">
        <f ca="1">IFERROR(__xludf.DUMMYFUNCTION("""COMPUTED_VALUE"""),7450)</f>
        <v>7450</v>
      </c>
      <c r="E859" s="2">
        <f ca="1">IFERROR(__xludf.DUMMYFUNCTION("""COMPUTED_VALUE"""),7450)</f>
        <v>7450</v>
      </c>
      <c r="F859" s="2">
        <f ca="1">IFERROR(__xludf.DUMMYFUNCTION("""COMPUTED_VALUE"""),13140200)</f>
        <v>13140200</v>
      </c>
    </row>
    <row r="860" spans="1:6">
      <c r="A860" s="1">
        <f ca="1">IFERROR(__xludf.DUMMYFUNCTION("""COMPUTED_VALUE"""),43311.625)</f>
        <v>43311.625</v>
      </c>
      <c r="B860" s="2">
        <f ca="1">IFERROR(__xludf.DUMMYFUNCTION("""COMPUTED_VALUE"""),7450)</f>
        <v>7450</v>
      </c>
      <c r="C860" s="2">
        <f ca="1">IFERROR(__xludf.DUMMYFUNCTION("""COMPUTED_VALUE"""),7525)</f>
        <v>7525</v>
      </c>
      <c r="D860" s="2">
        <f ca="1">IFERROR(__xludf.DUMMYFUNCTION("""COMPUTED_VALUE"""),7400)</f>
        <v>7400</v>
      </c>
      <c r="E860" s="2">
        <f ca="1">IFERROR(__xludf.DUMMYFUNCTION("""COMPUTED_VALUE"""),7500)</f>
        <v>7500</v>
      </c>
      <c r="F860" s="2">
        <f ca="1">IFERROR(__xludf.DUMMYFUNCTION("""COMPUTED_VALUE"""),13437600)</f>
        <v>13437600</v>
      </c>
    </row>
    <row r="861" spans="1:6">
      <c r="A861" s="1">
        <f ca="1">IFERROR(__xludf.DUMMYFUNCTION("""COMPUTED_VALUE"""),43312.625)</f>
        <v>43312.625</v>
      </c>
      <c r="B861" s="2">
        <f ca="1">IFERROR(__xludf.DUMMYFUNCTION("""COMPUTED_VALUE"""),7525)</f>
        <v>7525</v>
      </c>
      <c r="C861" s="2">
        <f ca="1">IFERROR(__xludf.DUMMYFUNCTION("""COMPUTED_VALUE"""),7525)</f>
        <v>7525</v>
      </c>
      <c r="D861" s="2">
        <f ca="1">IFERROR(__xludf.DUMMYFUNCTION("""COMPUTED_VALUE"""),7325)</f>
        <v>7325</v>
      </c>
      <c r="E861" s="2">
        <f ca="1">IFERROR(__xludf.DUMMYFUNCTION("""COMPUTED_VALUE"""),7400)</f>
        <v>7400</v>
      </c>
      <c r="F861" s="2">
        <f ca="1">IFERROR(__xludf.DUMMYFUNCTION("""COMPUTED_VALUE"""),25980600)</f>
        <v>25980600</v>
      </c>
    </row>
    <row r="862" spans="1:6">
      <c r="A862" s="1">
        <f ca="1">IFERROR(__xludf.DUMMYFUNCTION("""COMPUTED_VALUE"""),43313.625)</f>
        <v>43313.625</v>
      </c>
      <c r="B862" s="2">
        <f ca="1">IFERROR(__xludf.DUMMYFUNCTION("""COMPUTED_VALUE"""),7400)</f>
        <v>7400</v>
      </c>
      <c r="C862" s="2">
        <f ca="1">IFERROR(__xludf.DUMMYFUNCTION("""COMPUTED_VALUE"""),7900)</f>
        <v>7900</v>
      </c>
      <c r="D862" s="2">
        <f ca="1">IFERROR(__xludf.DUMMYFUNCTION("""COMPUTED_VALUE"""),7375)</f>
        <v>7375</v>
      </c>
      <c r="E862" s="2">
        <f ca="1">IFERROR(__xludf.DUMMYFUNCTION("""COMPUTED_VALUE"""),7825)</f>
        <v>7825</v>
      </c>
      <c r="F862" s="2">
        <f ca="1">IFERROR(__xludf.DUMMYFUNCTION("""COMPUTED_VALUE"""),35185800)</f>
        <v>35185800</v>
      </c>
    </row>
    <row r="863" spans="1:6">
      <c r="A863" s="1">
        <f ca="1">IFERROR(__xludf.DUMMYFUNCTION("""COMPUTED_VALUE"""),43314.625)</f>
        <v>43314.625</v>
      </c>
      <c r="B863" s="2">
        <f ca="1">IFERROR(__xludf.DUMMYFUNCTION("""COMPUTED_VALUE"""),7775)</f>
        <v>7775</v>
      </c>
      <c r="C863" s="2">
        <f ca="1">IFERROR(__xludf.DUMMYFUNCTION("""COMPUTED_VALUE"""),7925)</f>
        <v>7925</v>
      </c>
      <c r="D863" s="2">
        <f ca="1">IFERROR(__xludf.DUMMYFUNCTION("""COMPUTED_VALUE"""),7700)</f>
        <v>7700</v>
      </c>
      <c r="E863" s="2">
        <f ca="1">IFERROR(__xludf.DUMMYFUNCTION("""COMPUTED_VALUE"""),7800)</f>
        <v>7800</v>
      </c>
      <c r="F863" s="2">
        <f ca="1">IFERROR(__xludf.DUMMYFUNCTION("""COMPUTED_VALUE"""),22676200)</f>
        <v>22676200</v>
      </c>
    </row>
    <row r="864" spans="1:6">
      <c r="A864" s="1">
        <f ca="1">IFERROR(__xludf.DUMMYFUNCTION("""COMPUTED_VALUE"""),43315.625)</f>
        <v>43315.625</v>
      </c>
      <c r="B864" s="2">
        <f ca="1">IFERROR(__xludf.DUMMYFUNCTION("""COMPUTED_VALUE"""),7800)</f>
        <v>7800</v>
      </c>
      <c r="C864" s="2">
        <f ca="1">IFERROR(__xludf.DUMMYFUNCTION("""COMPUTED_VALUE"""),7900)</f>
        <v>7900</v>
      </c>
      <c r="D864" s="2">
        <f ca="1">IFERROR(__xludf.DUMMYFUNCTION("""COMPUTED_VALUE"""),7700)</f>
        <v>7700</v>
      </c>
      <c r="E864" s="2">
        <f ca="1">IFERROR(__xludf.DUMMYFUNCTION("""COMPUTED_VALUE"""),7900)</f>
        <v>7900</v>
      </c>
      <c r="F864" s="2">
        <f ca="1">IFERROR(__xludf.DUMMYFUNCTION("""COMPUTED_VALUE"""),20142100)</f>
        <v>20142100</v>
      </c>
    </row>
    <row r="865" spans="1:6">
      <c r="A865" s="1">
        <f ca="1">IFERROR(__xludf.DUMMYFUNCTION("""COMPUTED_VALUE"""),43318.625)</f>
        <v>43318.625</v>
      </c>
      <c r="B865" s="2">
        <f ca="1">IFERROR(__xludf.DUMMYFUNCTION("""COMPUTED_VALUE"""),7925)</f>
        <v>7925</v>
      </c>
      <c r="C865" s="2">
        <f ca="1">IFERROR(__xludf.DUMMYFUNCTION("""COMPUTED_VALUE"""),8250)</f>
        <v>8250</v>
      </c>
      <c r="D865" s="2">
        <f ca="1">IFERROR(__xludf.DUMMYFUNCTION("""COMPUTED_VALUE"""),7900)</f>
        <v>7900</v>
      </c>
      <c r="E865" s="2">
        <f ca="1">IFERROR(__xludf.DUMMYFUNCTION("""COMPUTED_VALUE"""),8200)</f>
        <v>8200</v>
      </c>
      <c r="F865" s="2">
        <f ca="1">IFERROR(__xludf.DUMMYFUNCTION("""COMPUTED_VALUE"""),28313700)</f>
        <v>28313700</v>
      </c>
    </row>
    <row r="866" spans="1:6">
      <c r="A866" s="1">
        <f ca="1">IFERROR(__xludf.DUMMYFUNCTION("""COMPUTED_VALUE"""),43319.625)</f>
        <v>43319.625</v>
      </c>
      <c r="B866" s="2">
        <f ca="1">IFERROR(__xludf.DUMMYFUNCTION("""COMPUTED_VALUE"""),8200)</f>
        <v>8200</v>
      </c>
      <c r="C866" s="2">
        <f ca="1">IFERROR(__xludf.DUMMYFUNCTION("""COMPUTED_VALUE"""),8225)</f>
        <v>8225</v>
      </c>
      <c r="D866" s="2">
        <f ca="1">IFERROR(__xludf.DUMMYFUNCTION("""COMPUTED_VALUE"""),8000)</f>
        <v>8000</v>
      </c>
      <c r="E866" s="2">
        <f ca="1">IFERROR(__xludf.DUMMYFUNCTION("""COMPUTED_VALUE"""),8100)</f>
        <v>8100</v>
      </c>
      <c r="F866" s="2">
        <f ca="1">IFERROR(__xludf.DUMMYFUNCTION("""COMPUTED_VALUE"""),27228600)</f>
        <v>27228600</v>
      </c>
    </row>
    <row r="867" spans="1:6">
      <c r="A867" s="1">
        <f ca="1">IFERROR(__xludf.DUMMYFUNCTION("""COMPUTED_VALUE"""),43320.625)</f>
        <v>43320.625</v>
      </c>
      <c r="B867" s="2">
        <f ca="1">IFERROR(__xludf.DUMMYFUNCTION("""COMPUTED_VALUE"""),8275)</f>
        <v>8275</v>
      </c>
      <c r="C867" s="2">
        <f ca="1">IFERROR(__xludf.DUMMYFUNCTION("""COMPUTED_VALUE"""),8300)</f>
        <v>8300</v>
      </c>
      <c r="D867" s="2">
        <f ca="1">IFERROR(__xludf.DUMMYFUNCTION("""COMPUTED_VALUE"""),8050)</f>
        <v>8050</v>
      </c>
      <c r="E867" s="2">
        <f ca="1">IFERROR(__xludf.DUMMYFUNCTION("""COMPUTED_VALUE"""),8100)</f>
        <v>8100</v>
      </c>
      <c r="F867" s="2">
        <f ca="1">IFERROR(__xludf.DUMMYFUNCTION("""COMPUTED_VALUE"""),19215400)</f>
        <v>19215400</v>
      </c>
    </row>
    <row r="868" spans="1:6">
      <c r="A868" s="1">
        <f ca="1">IFERROR(__xludf.DUMMYFUNCTION("""COMPUTED_VALUE"""),43321.625)</f>
        <v>43321.625</v>
      </c>
      <c r="B868" s="2">
        <f ca="1">IFERROR(__xludf.DUMMYFUNCTION("""COMPUTED_VALUE"""),8000)</f>
        <v>8000</v>
      </c>
      <c r="C868" s="2">
        <f ca="1">IFERROR(__xludf.DUMMYFUNCTION("""COMPUTED_VALUE"""),8100)</f>
        <v>8100</v>
      </c>
      <c r="D868" s="2">
        <f ca="1">IFERROR(__xludf.DUMMYFUNCTION("""COMPUTED_VALUE"""),7850)</f>
        <v>7850</v>
      </c>
      <c r="E868" s="2">
        <f ca="1">IFERROR(__xludf.DUMMYFUNCTION("""COMPUTED_VALUE"""),7950)</f>
        <v>7950</v>
      </c>
      <c r="F868" s="2">
        <f ca="1">IFERROR(__xludf.DUMMYFUNCTION("""COMPUTED_VALUE"""),31873100)</f>
        <v>31873100</v>
      </c>
    </row>
    <row r="869" spans="1:6">
      <c r="A869" s="1">
        <f ca="1">IFERROR(__xludf.DUMMYFUNCTION("""COMPUTED_VALUE"""),43322.625)</f>
        <v>43322.625</v>
      </c>
      <c r="B869" s="2">
        <f ca="1">IFERROR(__xludf.DUMMYFUNCTION("""COMPUTED_VALUE"""),7900)</f>
        <v>7900</v>
      </c>
      <c r="C869" s="2">
        <f ca="1">IFERROR(__xludf.DUMMYFUNCTION("""COMPUTED_VALUE"""),8150)</f>
        <v>8150</v>
      </c>
      <c r="D869" s="2">
        <f ca="1">IFERROR(__xludf.DUMMYFUNCTION("""COMPUTED_VALUE"""),7900)</f>
        <v>7900</v>
      </c>
      <c r="E869" s="2">
        <f ca="1">IFERROR(__xludf.DUMMYFUNCTION("""COMPUTED_VALUE"""),7975)</f>
        <v>7975</v>
      </c>
      <c r="F869" s="2">
        <f ca="1">IFERROR(__xludf.DUMMYFUNCTION("""COMPUTED_VALUE"""),22282200)</f>
        <v>22282200</v>
      </c>
    </row>
    <row r="870" spans="1:6">
      <c r="A870" s="1">
        <f ca="1">IFERROR(__xludf.DUMMYFUNCTION("""COMPUTED_VALUE"""),43325.625)</f>
        <v>43325.625</v>
      </c>
      <c r="B870" s="2">
        <f ca="1">IFERROR(__xludf.DUMMYFUNCTION("""COMPUTED_VALUE"""),7850)</f>
        <v>7850</v>
      </c>
      <c r="C870" s="2">
        <f ca="1">IFERROR(__xludf.DUMMYFUNCTION("""COMPUTED_VALUE"""),7875)</f>
        <v>7875</v>
      </c>
      <c r="D870" s="2">
        <f ca="1">IFERROR(__xludf.DUMMYFUNCTION("""COMPUTED_VALUE"""),7375)</f>
        <v>7375</v>
      </c>
      <c r="E870" s="2">
        <f ca="1">IFERROR(__xludf.DUMMYFUNCTION("""COMPUTED_VALUE"""),7400)</f>
        <v>7400</v>
      </c>
      <c r="F870" s="2">
        <f ca="1">IFERROR(__xludf.DUMMYFUNCTION("""COMPUTED_VALUE"""),38100300)</f>
        <v>38100300</v>
      </c>
    </row>
    <row r="871" spans="1:6">
      <c r="A871" s="1">
        <f ca="1">IFERROR(__xludf.DUMMYFUNCTION("""COMPUTED_VALUE"""),43326.625)</f>
        <v>43326.625</v>
      </c>
      <c r="B871" s="2">
        <f ca="1">IFERROR(__xludf.DUMMYFUNCTION("""COMPUTED_VALUE"""),7350)</f>
        <v>7350</v>
      </c>
      <c r="C871" s="2">
        <f ca="1">IFERROR(__xludf.DUMMYFUNCTION("""COMPUTED_VALUE"""),7425)</f>
        <v>7425</v>
      </c>
      <c r="D871" s="2">
        <f ca="1">IFERROR(__xludf.DUMMYFUNCTION("""COMPUTED_VALUE"""),7200)</f>
        <v>7200</v>
      </c>
      <c r="E871" s="2">
        <f ca="1">IFERROR(__xludf.DUMMYFUNCTION("""COMPUTED_VALUE"""),7300)</f>
        <v>7300</v>
      </c>
      <c r="F871" s="2">
        <f ca="1">IFERROR(__xludf.DUMMYFUNCTION("""COMPUTED_VALUE"""),29993600)</f>
        <v>29993600</v>
      </c>
    </row>
    <row r="872" spans="1:6">
      <c r="A872" s="1">
        <f ca="1">IFERROR(__xludf.DUMMYFUNCTION("""COMPUTED_VALUE"""),43327.625)</f>
        <v>43327.625</v>
      </c>
      <c r="B872" s="2">
        <f ca="1">IFERROR(__xludf.DUMMYFUNCTION("""COMPUTED_VALUE"""),7350)</f>
        <v>7350</v>
      </c>
      <c r="C872" s="2">
        <f ca="1">IFERROR(__xludf.DUMMYFUNCTION("""COMPUTED_VALUE"""),7425)</f>
        <v>7425</v>
      </c>
      <c r="D872" s="2">
        <f ca="1">IFERROR(__xludf.DUMMYFUNCTION("""COMPUTED_VALUE"""),6925)</f>
        <v>6925</v>
      </c>
      <c r="E872" s="2">
        <f ca="1">IFERROR(__xludf.DUMMYFUNCTION("""COMPUTED_VALUE"""),7375)</f>
        <v>7375</v>
      </c>
      <c r="F872" s="2">
        <f ca="1">IFERROR(__xludf.DUMMYFUNCTION("""COMPUTED_VALUE"""),45665900)</f>
        <v>45665900</v>
      </c>
    </row>
    <row r="873" spans="1:6">
      <c r="A873" s="1">
        <f ca="1">IFERROR(__xludf.DUMMYFUNCTION("""COMPUTED_VALUE"""),43328.625)</f>
        <v>43328.625</v>
      </c>
      <c r="B873" s="2">
        <f ca="1">IFERROR(__xludf.DUMMYFUNCTION("""COMPUTED_VALUE"""),7275)</f>
        <v>7275</v>
      </c>
      <c r="C873" s="2">
        <f ca="1">IFERROR(__xludf.DUMMYFUNCTION("""COMPUTED_VALUE"""),7350)</f>
        <v>7350</v>
      </c>
      <c r="D873" s="2">
        <f ca="1">IFERROR(__xludf.DUMMYFUNCTION("""COMPUTED_VALUE"""),7050)</f>
        <v>7050</v>
      </c>
      <c r="E873" s="2">
        <f ca="1">IFERROR(__xludf.DUMMYFUNCTION("""COMPUTED_VALUE"""),7075)</f>
        <v>7075</v>
      </c>
      <c r="F873" s="2">
        <f ca="1">IFERROR(__xludf.DUMMYFUNCTION("""COMPUTED_VALUE"""),31091100)</f>
        <v>31091100</v>
      </c>
    </row>
    <row r="874" spans="1:6">
      <c r="A874" s="1">
        <f ca="1">IFERROR(__xludf.DUMMYFUNCTION("""COMPUTED_VALUE"""),43332.625)</f>
        <v>43332.625</v>
      </c>
      <c r="B874" s="2">
        <f ca="1">IFERROR(__xludf.DUMMYFUNCTION("""COMPUTED_VALUE"""),7275)</f>
        <v>7275</v>
      </c>
      <c r="C874" s="2">
        <f ca="1">IFERROR(__xludf.DUMMYFUNCTION("""COMPUTED_VALUE"""),7375)</f>
        <v>7375</v>
      </c>
      <c r="D874" s="2">
        <f ca="1">IFERROR(__xludf.DUMMYFUNCTION("""COMPUTED_VALUE"""),7150)</f>
        <v>7150</v>
      </c>
      <c r="E874" s="2">
        <f ca="1">IFERROR(__xludf.DUMMYFUNCTION("""COMPUTED_VALUE"""),7275)</f>
        <v>7275</v>
      </c>
      <c r="F874" s="2">
        <f ca="1">IFERROR(__xludf.DUMMYFUNCTION("""COMPUTED_VALUE"""),22957500)</f>
        <v>22957500</v>
      </c>
    </row>
    <row r="875" spans="1:6">
      <c r="A875" s="1">
        <f ca="1">IFERROR(__xludf.DUMMYFUNCTION("""COMPUTED_VALUE"""),43333.625)</f>
        <v>43333.625</v>
      </c>
      <c r="B875" s="2">
        <f ca="1">IFERROR(__xludf.DUMMYFUNCTION("""COMPUTED_VALUE"""),7300)</f>
        <v>7300</v>
      </c>
      <c r="C875" s="2">
        <f ca="1">IFERROR(__xludf.DUMMYFUNCTION("""COMPUTED_VALUE"""),7400)</f>
        <v>7400</v>
      </c>
      <c r="D875" s="2">
        <f ca="1">IFERROR(__xludf.DUMMYFUNCTION("""COMPUTED_VALUE"""),7200)</f>
        <v>7200</v>
      </c>
      <c r="E875" s="2">
        <f ca="1">IFERROR(__xludf.DUMMYFUNCTION("""COMPUTED_VALUE"""),7375)</f>
        <v>7375</v>
      </c>
      <c r="F875" s="2">
        <f ca="1">IFERROR(__xludf.DUMMYFUNCTION("""COMPUTED_VALUE"""),16237800)</f>
        <v>16237800</v>
      </c>
    </row>
    <row r="876" spans="1:6">
      <c r="A876" s="1">
        <f ca="1">IFERROR(__xludf.DUMMYFUNCTION("""COMPUTED_VALUE"""),43335.625)</f>
        <v>43335.625</v>
      </c>
      <c r="B876" s="2">
        <f ca="1">IFERROR(__xludf.DUMMYFUNCTION("""COMPUTED_VALUE"""),7375)</f>
        <v>7375</v>
      </c>
      <c r="C876" s="2">
        <f ca="1">IFERROR(__xludf.DUMMYFUNCTION("""COMPUTED_VALUE"""),7550)</f>
        <v>7550</v>
      </c>
      <c r="D876" s="2">
        <f ca="1">IFERROR(__xludf.DUMMYFUNCTION("""COMPUTED_VALUE"""),7225)</f>
        <v>7225</v>
      </c>
      <c r="E876" s="2">
        <f ca="1">IFERROR(__xludf.DUMMYFUNCTION("""COMPUTED_VALUE"""),7550)</f>
        <v>7550</v>
      </c>
      <c r="F876" s="2">
        <f ca="1">IFERROR(__xludf.DUMMYFUNCTION("""COMPUTED_VALUE"""),26950700)</f>
        <v>26950700</v>
      </c>
    </row>
    <row r="877" spans="1:6">
      <c r="A877" s="1">
        <f ca="1">IFERROR(__xludf.DUMMYFUNCTION("""COMPUTED_VALUE"""),43336.625)</f>
        <v>43336.625</v>
      </c>
      <c r="B877" s="2">
        <f ca="1">IFERROR(__xludf.DUMMYFUNCTION("""COMPUTED_VALUE"""),7450)</f>
        <v>7450</v>
      </c>
      <c r="C877" s="2">
        <f ca="1">IFERROR(__xludf.DUMMYFUNCTION("""COMPUTED_VALUE"""),7500)</f>
        <v>7500</v>
      </c>
      <c r="D877" s="2">
        <f ca="1">IFERROR(__xludf.DUMMYFUNCTION("""COMPUTED_VALUE"""),7325)</f>
        <v>7325</v>
      </c>
      <c r="E877" s="2">
        <f ca="1">IFERROR(__xludf.DUMMYFUNCTION("""COMPUTED_VALUE"""),7425)</f>
        <v>7425</v>
      </c>
      <c r="F877" s="2">
        <f ca="1">IFERROR(__xludf.DUMMYFUNCTION("""COMPUTED_VALUE"""),16836400)</f>
        <v>16836400</v>
      </c>
    </row>
    <row r="878" spans="1:6">
      <c r="A878" s="1">
        <f ca="1">IFERROR(__xludf.DUMMYFUNCTION("""COMPUTED_VALUE"""),43339.625)</f>
        <v>43339.625</v>
      </c>
      <c r="B878" s="2">
        <f ca="1">IFERROR(__xludf.DUMMYFUNCTION("""COMPUTED_VALUE"""),7500)</f>
        <v>7500</v>
      </c>
      <c r="C878" s="2">
        <f ca="1">IFERROR(__xludf.DUMMYFUNCTION("""COMPUTED_VALUE"""),7675)</f>
        <v>7675</v>
      </c>
      <c r="D878" s="2">
        <f ca="1">IFERROR(__xludf.DUMMYFUNCTION("""COMPUTED_VALUE"""),7450)</f>
        <v>7450</v>
      </c>
      <c r="E878" s="2">
        <f ca="1">IFERROR(__xludf.DUMMYFUNCTION("""COMPUTED_VALUE"""),7675)</f>
        <v>7675</v>
      </c>
      <c r="F878" s="2">
        <f ca="1">IFERROR(__xludf.DUMMYFUNCTION("""COMPUTED_VALUE"""),15145000)</f>
        <v>15145000</v>
      </c>
    </row>
    <row r="879" spans="1:6">
      <c r="A879" s="1">
        <f ca="1">IFERROR(__xludf.DUMMYFUNCTION("""COMPUTED_VALUE"""),43340.625)</f>
        <v>43340.625</v>
      </c>
      <c r="B879" s="2">
        <f ca="1">IFERROR(__xludf.DUMMYFUNCTION("""COMPUTED_VALUE"""),7750)</f>
        <v>7750</v>
      </c>
      <c r="C879" s="2">
        <f ca="1">IFERROR(__xludf.DUMMYFUNCTION("""COMPUTED_VALUE"""),7900)</f>
        <v>7900</v>
      </c>
      <c r="D879" s="2">
        <f ca="1">IFERROR(__xludf.DUMMYFUNCTION("""COMPUTED_VALUE"""),7725)</f>
        <v>7725</v>
      </c>
      <c r="E879" s="2">
        <f ca="1">IFERROR(__xludf.DUMMYFUNCTION("""COMPUTED_VALUE"""),7875)</f>
        <v>7875</v>
      </c>
      <c r="F879" s="2">
        <f ca="1">IFERROR(__xludf.DUMMYFUNCTION("""COMPUTED_VALUE"""),27073600)</f>
        <v>27073600</v>
      </c>
    </row>
    <row r="880" spans="1:6">
      <c r="A880" s="1">
        <f ca="1">IFERROR(__xludf.DUMMYFUNCTION("""COMPUTED_VALUE"""),43341.625)</f>
        <v>43341.625</v>
      </c>
      <c r="B880" s="2">
        <f ca="1">IFERROR(__xludf.DUMMYFUNCTION("""COMPUTED_VALUE"""),7875)</f>
        <v>7875</v>
      </c>
      <c r="C880" s="2">
        <f ca="1">IFERROR(__xludf.DUMMYFUNCTION("""COMPUTED_VALUE"""),7875)</f>
        <v>7875</v>
      </c>
      <c r="D880" s="2">
        <f ca="1">IFERROR(__xludf.DUMMYFUNCTION("""COMPUTED_VALUE"""),7675)</f>
        <v>7675</v>
      </c>
      <c r="E880" s="2">
        <f ca="1">IFERROR(__xludf.DUMMYFUNCTION("""COMPUTED_VALUE"""),7850)</f>
        <v>7850</v>
      </c>
      <c r="F880" s="2">
        <f ca="1">IFERROR(__xludf.DUMMYFUNCTION("""COMPUTED_VALUE"""),12862600)</f>
        <v>12862600</v>
      </c>
    </row>
    <row r="881" spans="1:6">
      <c r="A881" s="1">
        <f ca="1">IFERROR(__xludf.DUMMYFUNCTION("""COMPUTED_VALUE"""),43342.625)</f>
        <v>43342.625</v>
      </c>
      <c r="B881" s="2">
        <f ca="1">IFERROR(__xludf.DUMMYFUNCTION("""COMPUTED_VALUE"""),7925)</f>
        <v>7925</v>
      </c>
      <c r="C881" s="2">
        <f ca="1">IFERROR(__xludf.DUMMYFUNCTION("""COMPUTED_VALUE"""),7925)</f>
        <v>7925</v>
      </c>
      <c r="D881" s="2">
        <f ca="1">IFERROR(__xludf.DUMMYFUNCTION("""COMPUTED_VALUE"""),7600)</f>
        <v>7600</v>
      </c>
      <c r="E881" s="2">
        <f ca="1">IFERROR(__xludf.DUMMYFUNCTION("""COMPUTED_VALUE"""),7625)</f>
        <v>7625</v>
      </c>
      <c r="F881" s="2">
        <f ca="1">IFERROR(__xludf.DUMMYFUNCTION("""COMPUTED_VALUE"""),17506700)</f>
        <v>17506700</v>
      </c>
    </row>
    <row r="882" spans="1:6">
      <c r="A882" s="1">
        <f ca="1">IFERROR(__xludf.DUMMYFUNCTION("""COMPUTED_VALUE"""),43343.625)</f>
        <v>43343.625</v>
      </c>
      <c r="B882" s="2">
        <f ca="1">IFERROR(__xludf.DUMMYFUNCTION("""COMPUTED_VALUE"""),7500)</f>
        <v>7500</v>
      </c>
      <c r="C882" s="2">
        <f ca="1">IFERROR(__xludf.DUMMYFUNCTION("""COMPUTED_VALUE"""),7800)</f>
        <v>7800</v>
      </c>
      <c r="D882" s="2">
        <f ca="1">IFERROR(__xludf.DUMMYFUNCTION("""COMPUTED_VALUE"""),7425)</f>
        <v>7425</v>
      </c>
      <c r="E882" s="2">
        <f ca="1">IFERROR(__xludf.DUMMYFUNCTION("""COMPUTED_VALUE"""),7800)</f>
        <v>7800</v>
      </c>
      <c r="F882" s="2">
        <f ca="1">IFERROR(__xludf.DUMMYFUNCTION("""COMPUTED_VALUE"""),29894700)</f>
        <v>29894700</v>
      </c>
    </row>
    <row r="883" spans="1:6">
      <c r="A883" s="1">
        <f ca="1">IFERROR(__xludf.DUMMYFUNCTION("""COMPUTED_VALUE"""),43346.625)</f>
        <v>43346.625</v>
      </c>
      <c r="B883" s="2">
        <f ca="1">IFERROR(__xludf.DUMMYFUNCTION("""COMPUTED_VALUE"""),7800)</f>
        <v>7800</v>
      </c>
      <c r="C883" s="2">
        <f ca="1">IFERROR(__xludf.DUMMYFUNCTION("""COMPUTED_VALUE"""),7850)</f>
        <v>7850</v>
      </c>
      <c r="D883" s="2">
        <f ca="1">IFERROR(__xludf.DUMMYFUNCTION("""COMPUTED_VALUE"""),7675)</f>
        <v>7675</v>
      </c>
      <c r="E883" s="2">
        <f ca="1">IFERROR(__xludf.DUMMYFUNCTION("""COMPUTED_VALUE"""),7850)</f>
        <v>7850</v>
      </c>
      <c r="F883" s="2">
        <f ca="1">IFERROR(__xludf.DUMMYFUNCTION("""COMPUTED_VALUE"""),14654100)</f>
        <v>14654100</v>
      </c>
    </row>
    <row r="884" spans="1:6">
      <c r="A884" s="1">
        <f ca="1">IFERROR(__xludf.DUMMYFUNCTION("""COMPUTED_VALUE"""),43347.625)</f>
        <v>43347.625</v>
      </c>
      <c r="B884" s="2">
        <f ca="1">IFERROR(__xludf.DUMMYFUNCTION("""COMPUTED_VALUE"""),7750)</f>
        <v>7750</v>
      </c>
      <c r="C884" s="2">
        <f ca="1">IFERROR(__xludf.DUMMYFUNCTION("""COMPUTED_VALUE"""),7775)</f>
        <v>7775</v>
      </c>
      <c r="D884" s="2">
        <f ca="1">IFERROR(__xludf.DUMMYFUNCTION("""COMPUTED_VALUE"""),7500)</f>
        <v>7500</v>
      </c>
      <c r="E884" s="2">
        <f ca="1">IFERROR(__xludf.DUMMYFUNCTION("""COMPUTED_VALUE"""),7500)</f>
        <v>7500</v>
      </c>
      <c r="F884" s="2">
        <f ca="1">IFERROR(__xludf.DUMMYFUNCTION("""COMPUTED_VALUE"""),13608400)</f>
        <v>13608400</v>
      </c>
    </row>
    <row r="885" spans="1:6">
      <c r="A885" s="1">
        <f ca="1">IFERROR(__xludf.DUMMYFUNCTION("""COMPUTED_VALUE"""),43348.625)</f>
        <v>43348.625</v>
      </c>
      <c r="B885" s="2">
        <f ca="1">IFERROR(__xludf.DUMMYFUNCTION("""COMPUTED_VALUE"""),7400)</f>
        <v>7400</v>
      </c>
      <c r="C885" s="2">
        <f ca="1">IFERROR(__xludf.DUMMYFUNCTION("""COMPUTED_VALUE"""),7400)</f>
        <v>7400</v>
      </c>
      <c r="D885" s="2">
        <f ca="1">IFERROR(__xludf.DUMMYFUNCTION("""COMPUTED_VALUE"""),7000)</f>
        <v>7000</v>
      </c>
      <c r="E885" s="2">
        <f ca="1">IFERROR(__xludf.DUMMYFUNCTION("""COMPUTED_VALUE"""),7075)</f>
        <v>7075</v>
      </c>
      <c r="F885" s="2">
        <f ca="1">IFERROR(__xludf.DUMMYFUNCTION("""COMPUTED_VALUE"""),32498800)</f>
        <v>32498800</v>
      </c>
    </row>
    <row r="886" spans="1:6">
      <c r="A886" s="1">
        <f ca="1">IFERROR(__xludf.DUMMYFUNCTION("""COMPUTED_VALUE"""),43349.625)</f>
        <v>43349.625</v>
      </c>
      <c r="B886" s="2">
        <f ca="1">IFERROR(__xludf.DUMMYFUNCTION("""COMPUTED_VALUE"""),7000)</f>
        <v>7000</v>
      </c>
      <c r="C886" s="2">
        <f ca="1">IFERROR(__xludf.DUMMYFUNCTION("""COMPUTED_VALUE"""),7300)</f>
        <v>7300</v>
      </c>
      <c r="D886" s="2">
        <f ca="1">IFERROR(__xludf.DUMMYFUNCTION("""COMPUTED_VALUE"""),6950)</f>
        <v>6950</v>
      </c>
      <c r="E886" s="2">
        <f ca="1">IFERROR(__xludf.DUMMYFUNCTION("""COMPUTED_VALUE"""),7275)</f>
        <v>7275</v>
      </c>
      <c r="F886" s="2">
        <f ca="1">IFERROR(__xludf.DUMMYFUNCTION("""COMPUTED_VALUE"""),41516600)</f>
        <v>41516600</v>
      </c>
    </row>
    <row r="887" spans="1:6">
      <c r="A887" s="1">
        <f ca="1">IFERROR(__xludf.DUMMYFUNCTION("""COMPUTED_VALUE"""),43350.625)</f>
        <v>43350.625</v>
      </c>
      <c r="B887" s="2">
        <f ca="1">IFERROR(__xludf.DUMMYFUNCTION("""COMPUTED_VALUE"""),7225)</f>
        <v>7225</v>
      </c>
      <c r="C887" s="2">
        <f ca="1">IFERROR(__xludf.DUMMYFUNCTION("""COMPUTED_VALUE"""),7400)</f>
        <v>7400</v>
      </c>
      <c r="D887" s="2">
        <f ca="1">IFERROR(__xludf.DUMMYFUNCTION("""COMPUTED_VALUE"""),7150)</f>
        <v>7150</v>
      </c>
      <c r="E887" s="2">
        <f ca="1">IFERROR(__xludf.DUMMYFUNCTION("""COMPUTED_VALUE"""),7350)</f>
        <v>7350</v>
      </c>
      <c r="F887" s="2">
        <f ca="1">IFERROR(__xludf.DUMMYFUNCTION("""COMPUTED_VALUE"""),17675000)</f>
        <v>17675000</v>
      </c>
    </row>
    <row r="888" spans="1:6">
      <c r="A888" s="1">
        <f ca="1">IFERROR(__xludf.DUMMYFUNCTION("""COMPUTED_VALUE"""),43353.625)</f>
        <v>43353.625</v>
      </c>
      <c r="B888" s="2">
        <f ca="1">IFERROR(__xludf.DUMMYFUNCTION("""COMPUTED_VALUE"""),7200)</f>
        <v>7200</v>
      </c>
      <c r="C888" s="2">
        <f ca="1">IFERROR(__xludf.DUMMYFUNCTION("""COMPUTED_VALUE"""),7300)</f>
        <v>7300</v>
      </c>
      <c r="D888" s="2">
        <f ca="1">IFERROR(__xludf.DUMMYFUNCTION("""COMPUTED_VALUE"""),7125)</f>
        <v>7125</v>
      </c>
      <c r="E888" s="2">
        <f ca="1">IFERROR(__xludf.DUMMYFUNCTION("""COMPUTED_VALUE"""),7275)</f>
        <v>7275</v>
      </c>
      <c r="F888" s="2">
        <f ca="1">IFERROR(__xludf.DUMMYFUNCTION("""COMPUTED_VALUE"""),17602700)</f>
        <v>17602700</v>
      </c>
    </row>
    <row r="889" spans="1:6">
      <c r="A889" s="1">
        <f ca="1">IFERROR(__xludf.DUMMYFUNCTION("""COMPUTED_VALUE"""),43355.625)</f>
        <v>43355.625</v>
      </c>
      <c r="B889" s="2">
        <f ca="1">IFERROR(__xludf.DUMMYFUNCTION("""COMPUTED_VALUE"""),7325)</f>
        <v>7325</v>
      </c>
      <c r="C889" s="2">
        <f ca="1">IFERROR(__xludf.DUMMYFUNCTION("""COMPUTED_VALUE"""),7375)</f>
        <v>7375</v>
      </c>
      <c r="D889" s="2">
        <f ca="1">IFERROR(__xludf.DUMMYFUNCTION("""COMPUTED_VALUE"""),7100)</f>
        <v>7100</v>
      </c>
      <c r="E889" s="2">
        <f ca="1">IFERROR(__xludf.DUMMYFUNCTION("""COMPUTED_VALUE"""),7125)</f>
        <v>7125</v>
      </c>
      <c r="F889" s="2">
        <f ca="1">IFERROR(__xludf.DUMMYFUNCTION("""COMPUTED_VALUE"""),17773500)</f>
        <v>17773500</v>
      </c>
    </row>
    <row r="890" spans="1:6">
      <c r="A890" s="1">
        <f ca="1">IFERROR(__xludf.DUMMYFUNCTION("""COMPUTED_VALUE"""),43356.625)</f>
        <v>43356.625</v>
      </c>
      <c r="B890" s="2">
        <f ca="1">IFERROR(__xludf.DUMMYFUNCTION("""COMPUTED_VALUE"""),7200)</f>
        <v>7200</v>
      </c>
      <c r="C890" s="2">
        <f ca="1">IFERROR(__xludf.DUMMYFUNCTION("""COMPUTED_VALUE"""),7350)</f>
        <v>7350</v>
      </c>
      <c r="D890" s="2">
        <f ca="1">IFERROR(__xludf.DUMMYFUNCTION("""COMPUTED_VALUE"""),7200)</f>
        <v>7200</v>
      </c>
      <c r="E890" s="2">
        <f ca="1">IFERROR(__xludf.DUMMYFUNCTION("""COMPUTED_VALUE"""),7350)</f>
        <v>7350</v>
      </c>
      <c r="F890" s="2">
        <f ca="1">IFERROR(__xludf.DUMMYFUNCTION("""COMPUTED_VALUE"""),22479400)</f>
        <v>22479400</v>
      </c>
    </row>
    <row r="891" spans="1:6">
      <c r="A891" s="1">
        <f ca="1">IFERROR(__xludf.DUMMYFUNCTION("""COMPUTED_VALUE"""),43357.625)</f>
        <v>43357.625</v>
      </c>
      <c r="B891" s="2">
        <f ca="1">IFERROR(__xludf.DUMMYFUNCTION("""COMPUTED_VALUE"""),7400)</f>
        <v>7400</v>
      </c>
      <c r="C891" s="2">
        <f ca="1">IFERROR(__xludf.DUMMYFUNCTION("""COMPUTED_VALUE"""),7525)</f>
        <v>7525</v>
      </c>
      <c r="D891" s="2">
        <f ca="1">IFERROR(__xludf.DUMMYFUNCTION("""COMPUTED_VALUE"""),7350)</f>
        <v>7350</v>
      </c>
      <c r="E891" s="2">
        <f ca="1">IFERROR(__xludf.DUMMYFUNCTION("""COMPUTED_VALUE"""),7525)</f>
        <v>7525</v>
      </c>
      <c r="F891" s="2">
        <f ca="1">IFERROR(__xludf.DUMMYFUNCTION("""COMPUTED_VALUE"""),12161100)</f>
        <v>12161100</v>
      </c>
    </row>
    <row r="892" spans="1:6">
      <c r="A892" s="1">
        <f ca="1">IFERROR(__xludf.DUMMYFUNCTION("""COMPUTED_VALUE"""),43360.625)</f>
        <v>43360.625</v>
      </c>
      <c r="B892" s="2">
        <f ca="1">IFERROR(__xludf.DUMMYFUNCTION("""COMPUTED_VALUE"""),7525)</f>
        <v>7525</v>
      </c>
      <c r="C892" s="2">
        <f ca="1">IFERROR(__xludf.DUMMYFUNCTION("""COMPUTED_VALUE"""),7525)</f>
        <v>7525</v>
      </c>
      <c r="D892" s="2">
        <f ca="1">IFERROR(__xludf.DUMMYFUNCTION("""COMPUTED_VALUE"""),7200)</f>
        <v>7200</v>
      </c>
      <c r="E892" s="2">
        <f ca="1">IFERROR(__xludf.DUMMYFUNCTION("""COMPUTED_VALUE"""),7225)</f>
        <v>7225</v>
      </c>
      <c r="F892" s="2">
        <f ca="1">IFERROR(__xludf.DUMMYFUNCTION("""COMPUTED_VALUE"""),11342600)</f>
        <v>11342600</v>
      </c>
    </row>
    <row r="893" spans="1:6">
      <c r="A893" s="1">
        <f ca="1">IFERROR(__xludf.DUMMYFUNCTION("""COMPUTED_VALUE"""),43361.625)</f>
        <v>43361.625</v>
      </c>
      <c r="B893" s="2">
        <f ca="1">IFERROR(__xludf.DUMMYFUNCTION("""COMPUTED_VALUE"""),7300)</f>
        <v>7300</v>
      </c>
      <c r="C893" s="2">
        <f ca="1">IFERROR(__xludf.DUMMYFUNCTION("""COMPUTED_VALUE"""),7300)</f>
        <v>7300</v>
      </c>
      <c r="D893" s="2">
        <f ca="1">IFERROR(__xludf.DUMMYFUNCTION("""COMPUTED_VALUE"""),7150)</f>
        <v>7150</v>
      </c>
      <c r="E893" s="2">
        <f ca="1">IFERROR(__xludf.DUMMYFUNCTION("""COMPUTED_VALUE"""),7225)</f>
        <v>7225</v>
      </c>
      <c r="F893" s="2">
        <f ca="1">IFERROR(__xludf.DUMMYFUNCTION("""COMPUTED_VALUE"""),23861600)</f>
        <v>23861600</v>
      </c>
    </row>
    <row r="894" spans="1:6">
      <c r="A894" s="1">
        <f ca="1">IFERROR(__xludf.DUMMYFUNCTION("""COMPUTED_VALUE"""),43362.625)</f>
        <v>43362.625</v>
      </c>
      <c r="B894" s="2">
        <f ca="1">IFERROR(__xludf.DUMMYFUNCTION("""COMPUTED_VALUE"""),7225)</f>
        <v>7225</v>
      </c>
      <c r="C894" s="2">
        <f ca="1">IFERROR(__xludf.DUMMYFUNCTION("""COMPUTED_VALUE"""),7325)</f>
        <v>7325</v>
      </c>
      <c r="D894" s="2">
        <f ca="1">IFERROR(__xludf.DUMMYFUNCTION("""COMPUTED_VALUE"""),7175)</f>
        <v>7175</v>
      </c>
      <c r="E894" s="2">
        <f ca="1">IFERROR(__xludf.DUMMYFUNCTION("""COMPUTED_VALUE"""),7175)</f>
        <v>7175</v>
      </c>
      <c r="F894" s="2">
        <f ca="1">IFERROR(__xludf.DUMMYFUNCTION("""COMPUTED_VALUE"""),17106200)</f>
        <v>17106200</v>
      </c>
    </row>
    <row r="895" spans="1:6">
      <c r="A895" s="1">
        <f ca="1">IFERROR(__xludf.DUMMYFUNCTION("""COMPUTED_VALUE"""),43363.625)</f>
        <v>43363.625</v>
      </c>
      <c r="B895" s="2">
        <f ca="1">IFERROR(__xludf.DUMMYFUNCTION("""COMPUTED_VALUE"""),7200)</f>
        <v>7200</v>
      </c>
      <c r="C895" s="2">
        <f ca="1">IFERROR(__xludf.DUMMYFUNCTION("""COMPUTED_VALUE"""),7425)</f>
        <v>7425</v>
      </c>
      <c r="D895" s="2">
        <f ca="1">IFERROR(__xludf.DUMMYFUNCTION("""COMPUTED_VALUE"""),7200)</f>
        <v>7200</v>
      </c>
      <c r="E895" s="2">
        <f ca="1">IFERROR(__xludf.DUMMYFUNCTION("""COMPUTED_VALUE"""),7300)</f>
        <v>7300</v>
      </c>
      <c r="F895" s="2">
        <f ca="1">IFERROR(__xludf.DUMMYFUNCTION("""COMPUTED_VALUE"""),15324600)</f>
        <v>15324600</v>
      </c>
    </row>
    <row r="896" spans="1:6">
      <c r="A896" s="1">
        <f ca="1">IFERROR(__xludf.DUMMYFUNCTION("""COMPUTED_VALUE"""),43364.625)</f>
        <v>43364.625</v>
      </c>
      <c r="B896" s="2">
        <f ca="1">IFERROR(__xludf.DUMMYFUNCTION("""COMPUTED_VALUE"""),7425)</f>
        <v>7425</v>
      </c>
      <c r="C896" s="2">
        <f ca="1">IFERROR(__xludf.DUMMYFUNCTION("""COMPUTED_VALUE"""),7675)</f>
        <v>7675</v>
      </c>
      <c r="D896" s="2">
        <f ca="1">IFERROR(__xludf.DUMMYFUNCTION("""COMPUTED_VALUE"""),7400)</f>
        <v>7400</v>
      </c>
      <c r="E896" s="2">
        <f ca="1">IFERROR(__xludf.DUMMYFUNCTION("""COMPUTED_VALUE"""),7650)</f>
        <v>7650</v>
      </c>
      <c r="F896" s="2">
        <f ca="1">IFERROR(__xludf.DUMMYFUNCTION("""COMPUTED_VALUE"""),42445300)</f>
        <v>42445300</v>
      </c>
    </row>
    <row r="897" spans="1:6">
      <c r="A897" s="1">
        <f ca="1">IFERROR(__xludf.DUMMYFUNCTION("""COMPUTED_VALUE"""),43367.625)</f>
        <v>43367.625</v>
      </c>
      <c r="B897" s="2">
        <f ca="1">IFERROR(__xludf.DUMMYFUNCTION("""COMPUTED_VALUE"""),7600)</f>
        <v>7600</v>
      </c>
      <c r="C897" s="2">
        <f ca="1">IFERROR(__xludf.DUMMYFUNCTION("""COMPUTED_VALUE"""),7625)</f>
        <v>7625</v>
      </c>
      <c r="D897" s="2">
        <f ca="1">IFERROR(__xludf.DUMMYFUNCTION("""COMPUTED_VALUE"""),7325)</f>
        <v>7325</v>
      </c>
      <c r="E897" s="2">
        <f ca="1">IFERROR(__xludf.DUMMYFUNCTION("""COMPUTED_VALUE"""),7375)</f>
        <v>7375</v>
      </c>
      <c r="F897" s="2">
        <f ca="1">IFERROR(__xludf.DUMMYFUNCTION("""COMPUTED_VALUE"""),14876900)</f>
        <v>14876900</v>
      </c>
    </row>
    <row r="898" spans="1:6">
      <c r="A898" s="1">
        <f ca="1">IFERROR(__xludf.DUMMYFUNCTION("""COMPUTED_VALUE"""),43368.625)</f>
        <v>43368.625</v>
      </c>
      <c r="B898" s="2">
        <f ca="1">IFERROR(__xludf.DUMMYFUNCTION("""COMPUTED_VALUE"""),7250)</f>
        <v>7250</v>
      </c>
      <c r="C898" s="2">
        <f ca="1">IFERROR(__xludf.DUMMYFUNCTION("""COMPUTED_VALUE"""),7400)</f>
        <v>7400</v>
      </c>
      <c r="D898" s="2">
        <f ca="1">IFERROR(__xludf.DUMMYFUNCTION("""COMPUTED_VALUE"""),7250)</f>
        <v>7250</v>
      </c>
      <c r="E898" s="2">
        <f ca="1">IFERROR(__xludf.DUMMYFUNCTION("""COMPUTED_VALUE"""),7350)</f>
        <v>7350</v>
      </c>
      <c r="F898" s="2">
        <f ca="1">IFERROR(__xludf.DUMMYFUNCTION("""COMPUTED_VALUE"""),6430700)</f>
        <v>6430700</v>
      </c>
    </row>
    <row r="899" spans="1:6">
      <c r="A899" s="1">
        <f ca="1">IFERROR(__xludf.DUMMYFUNCTION("""COMPUTED_VALUE"""),43369.625)</f>
        <v>43369.625</v>
      </c>
      <c r="B899" s="2">
        <f ca="1">IFERROR(__xludf.DUMMYFUNCTION("""COMPUTED_VALUE"""),7300)</f>
        <v>7300</v>
      </c>
      <c r="C899" s="2">
        <f ca="1">IFERROR(__xludf.DUMMYFUNCTION("""COMPUTED_VALUE"""),7400)</f>
        <v>7400</v>
      </c>
      <c r="D899" s="2">
        <f ca="1">IFERROR(__xludf.DUMMYFUNCTION("""COMPUTED_VALUE"""),7300)</f>
        <v>7300</v>
      </c>
      <c r="E899" s="2">
        <f ca="1">IFERROR(__xludf.DUMMYFUNCTION("""COMPUTED_VALUE"""),7325)</f>
        <v>7325</v>
      </c>
      <c r="F899" s="2">
        <f ca="1">IFERROR(__xludf.DUMMYFUNCTION("""COMPUTED_VALUE"""),10892400)</f>
        <v>10892400</v>
      </c>
    </row>
    <row r="900" spans="1:6">
      <c r="A900" s="1">
        <f ca="1">IFERROR(__xludf.DUMMYFUNCTION("""COMPUTED_VALUE"""),43370.625)</f>
        <v>43370.625</v>
      </c>
      <c r="B900" s="2">
        <f ca="1">IFERROR(__xludf.DUMMYFUNCTION("""COMPUTED_VALUE"""),7375)</f>
        <v>7375</v>
      </c>
      <c r="C900" s="2">
        <f ca="1">IFERROR(__xludf.DUMMYFUNCTION("""COMPUTED_VALUE"""),7525)</f>
        <v>7525</v>
      </c>
      <c r="D900" s="2">
        <f ca="1">IFERROR(__xludf.DUMMYFUNCTION("""COMPUTED_VALUE"""),7350)</f>
        <v>7350</v>
      </c>
      <c r="E900" s="2">
        <f ca="1">IFERROR(__xludf.DUMMYFUNCTION("""COMPUTED_VALUE"""),7350)</f>
        <v>7350</v>
      </c>
      <c r="F900" s="2">
        <f ca="1">IFERROR(__xludf.DUMMYFUNCTION("""COMPUTED_VALUE"""),22809400)</f>
        <v>22809400</v>
      </c>
    </row>
    <row r="901" spans="1:6">
      <c r="A901" s="1">
        <f ca="1">IFERROR(__xludf.DUMMYFUNCTION("""COMPUTED_VALUE"""),43371.625)</f>
        <v>43371.625</v>
      </c>
      <c r="B901" s="2">
        <f ca="1">IFERROR(__xludf.DUMMYFUNCTION("""COMPUTED_VALUE"""),7375)</f>
        <v>7375</v>
      </c>
      <c r="C901" s="2">
        <f ca="1">IFERROR(__xludf.DUMMYFUNCTION("""COMPUTED_VALUE"""),7525)</f>
        <v>7525</v>
      </c>
      <c r="D901" s="2">
        <f ca="1">IFERROR(__xludf.DUMMYFUNCTION("""COMPUTED_VALUE"""),7350)</f>
        <v>7350</v>
      </c>
      <c r="E901" s="2">
        <f ca="1">IFERROR(__xludf.DUMMYFUNCTION("""COMPUTED_VALUE"""),7400)</f>
        <v>7400</v>
      </c>
      <c r="F901" s="2">
        <f ca="1">IFERROR(__xludf.DUMMYFUNCTION("""COMPUTED_VALUE"""),13735400)</f>
        <v>13735400</v>
      </c>
    </row>
    <row r="902" spans="1:6">
      <c r="A902" s="1">
        <f ca="1">IFERROR(__xludf.DUMMYFUNCTION("""COMPUTED_VALUE"""),43374.625)</f>
        <v>43374.625</v>
      </c>
      <c r="B902" s="2">
        <f ca="1">IFERROR(__xludf.DUMMYFUNCTION("""COMPUTED_VALUE"""),7425)</f>
        <v>7425</v>
      </c>
      <c r="C902" s="2">
        <f ca="1">IFERROR(__xludf.DUMMYFUNCTION("""COMPUTED_VALUE"""),7550)</f>
        <v>7550</v>
      </c>
      <c r="D902" s="2">
        <f ca="1">IFERROR(__xludf.DUMMYFUNCTION("""COMPUTED_VALUE"""),7400)</f>
        <v>7400</v>
      </c>
      <c r="E902" s="2">
        <f ca="1">IFERROR(__xludf.DUMMYFUNCTION("""COMPUTED_VALUE"""),7500)</f>
        <v>7500</v>
      </c>
      <c r="F902" s="2">
        <f ca="1">IFERROR(__xludf.DUMMYFUNCTION("""COMPUTED_VALUE"""),13281400)</f>
        <v>13281400</v>
      </c>
    </row>
    <row r="903" spans="1:6">
      <c r="A903" s="1">
        <f ca="1">IFERROR(__xludf.DUMMYFUNCTION("""COMPUTED_VALUE"""),43375.625)</f>
        <v>43375.625</v>
      </c>
      <c r="B903" s="2">
        <f ca="1">IFERROR(__xludf.DUMMYFUNCTION("""COMPUTED_VALUE"""),7475)</f>
        <v>7475</v>
      </c>
      <c r="C903" s="2">
        <f ca="1">IFERROR(__xludf.DUMMYFUNCTION("""COMPUTED_VALUE"""),7500)</f>
        <v>7500</v>
      </c>
      <c r="D903" s="2">
        <f ca="1">IFERROR(__xludf.DUMMYFUNCTION("""COMPUTED_VALUE"""),7250)</f>
        <v>7250</v>
      </c>
      <c r="E903" s="2">
        <f ca="1">IFERROR(__xludf.DUMMYFUNCTION("""COMPUTED_VALUE"""),7275)</f>
        <v>7275</v>
      </c>
      <c r="F903" s="2">
        <f ca="1">IFERROR(__xludf.DUMMYFUNCTION("""COMPUTED_VALUE"""),17467300)</f>
        <v>17467300</v>
      </c>
    </row>
    <row r="904" spans="1:6">
      <c r="A904" s="1">
        <f ca="1">IFERROR(__xludf.DUMMYFUNCTION("""COMPUTED_VALUE"""),43376.625)</f>
        <v>43376.625</v>
      </c>
      <c r="B904" s="2">
        <f ca="1">IFERROR(__xludf.DUMMYFUNCTION("""COMPUTED_VALUE"""),7300)</f>
        <v>7300</v>
      </c>
      <c r="C904" s="2">
        <f ca="1">IFERROR(__xludf.DUMMYFUNCTION("""COMPUTED_VALUE"""),7375)</f>
        <v>7375</v>
      </c>
      <c r="D904" s="2">
        <f ca="1">IFERROR(__xludf.DUMMYFUNCTION("""COMPUTED_VALUE"""),7250)</f>
        <v>7250</v>
      </c>
      <c r="E904" s="2">
        <f ca="1">IFERROR(__xludf.DUMMYFUNCTION("""COMPUTED_VALUE"""),7250)</f>
        <v>7250</v>
      </c>
      <c r="F904" s="2">
        <f ca="1">IFERROR(__xludf.DUMMYFUNCTION("""COMPUTED_VALUE"""),12292600)</f>
        <v>12292600</v>
      </c>
    </row>
    <row r="905" spans="1:6">
      <c r="A905" s="1">
        <f ca="1">IFERROR(__xludf.DUMMYFUNCTION("""COMPUTED_VALUE"""),43377.625)</f>
        <v>43377.625</v>
      </c>
      <c r="B905" s="2">
        <f ca="1">IFERROR(__xludf.DUMMYFUNCTION("""COMPUTED_VALUE"""),7200)</f>
        <v>7200</v>
      </c>
      <c r="C905" s="2">
        <f ca="1">IFERROR(__xludf.DUMMYFUNCTION("""COMPUTED_VALUE"""),7200)</f>
        <v>7200</v>
      </c>
      <c r="D905" s="2">
        <f ca="1">IFERROR(__xludf.DUMMYFUNCTION("""COMPUTED_VALUE"""),6850)</f>
        <v>6850</v>
      </c>
      <c r="E905" s="2">
        <f ca="1">IFERROR(__xludf.DUMMYFUNCTION("""COMPUTED_VALUE"""),6900)</f>
        <v>6900</v>
      </c>
      <c r="F905" s="2">
        <f ca="1">IFERROR(__xludf.DUMMYFUNCTION("""COMPUTED_VALUE"""),61868000)</f>
        <v>61868000</v>
      </c>
    </row>
    <row r="906" spans="1:6">
      <c r="A906" s="1">
        <f ca="1">IFERROR(__xludf.DUMMYFUNCTION("""COMPUTED_VALUE"""),43378.625)</f>
        <v>43378.625</v>
      </c>
      <c r="B906" s="2">
        <f ca="1">IFERROR(__xludf.DUMMYFUNCTION("""COMPUTED_VALUE"""),6900)</f>
        <v>6900</v>
      </c>
      <c r="C906" s="2">
        <f ca="1">IFERROR(__xludf.DUMMYFUNCTION("""COMPUTED_VALUE"""),6975)</f>
        <v>6975</v>
      </c>
      <c r="D906" s="2">
        <f ca="1">IFERROR(__xludf.DUMMYFUNCTION("""COMPUTED_VALUE"""),6800)</f>
        <v>6800</v>
      </c>
      <c r="E906" s="2">
        <f ca="1">IFERROR(__xludf.DUMMYFUNCTION("""COMPUTED_VALUE"""),6875)</f>
        <v>6875</v>
      </c>
      <c r="F906" s="2">
        <f ca="1">IFERROR(__xludf.DUMMYFUNCTION("""COMPUTED_VALUE"""),37871600)</f>
        <v>37871600</v>
      </c>
    </row>
    <row r="907" spans="1:6">
      <c r="A907" s="1">
        <f ca="1">IFERROR(__xludf.DUMMYFUNCTION("""COMPUTED_VALUE"""),43381.625)</f>
        <v>43381.625</v>
      </c>
      <c r="B907" s="2">
        <f ca="1">IFERROR(__xludf.DUMMYFUNCTION("""COMPUTED_VALUE"""),6825)</f>
        <v>6825</v>
      </c>
      <c r="C907" s="2">
        <f ca="1">IFERROR(__xludf.DUMMYFUNCTION("""COMPUTED_VALUE"""),6925)</f>
        <v>6925</v>
      </c>
      <c r="D907" s="2">
        <f ca="1">IFERROR(__xludf.DUMMYFUNCTION("""COMPUTED_VALUE"""),6775)</f>
        <v>6775</v>
      </c>
      <c r="E907" s="2">
        <f ca="1">IFERROR(__xludf.DUMMYFUNCTION("""COMPUTED_VALUE"""),6825)</f>
        <v>6825</v>
      </c>
      <c r="F907" s="2">
        <f ca="1">IFERROR(__xludf.DUMMYFUNCTION("""COMPUTED_VALUE"""),24496100)</f>
        <v>24496100</v>
      </c>
    </row>
    <row r="908" spans="1:6">
      <c r="A908" s="1">
        <f ca="1">IFERROR(__xludf.DUMMYFUNCTION("""COMPUTED_VALUE"""),43382.625)</f>
        <v>43382.625</v>
      </c>
      <c r="B908" s="2">
        <f ca="1">IFERROR(__xludf.DUMMYFUNCTION("""COMPUTED_VALUE"""),6825)</f>
        <v>6825</v>
      </c>
      <c r="C908" s="2">
        <f ca="1">IFERROR(__xludf.DUMMYFUNCTION("""COMPUTED_VALUE"""),6950)</f>
        <v>6950</v>
      </c>
      <c r="D908" s="2">
        <f ca="1">IFERROR(__xludf.DUMMYFUNCTION("""COMPUTED_VALUE"""),6825)</f>
        <v>6825</v>
      </c>
      <c r="E908" s="2">
        <f ca="1">IFERROR(__xludf.DUMMYFUNCTION("""COMPUTED_VALUE"""),6825)</f>
        <v>6825</v>
      </c>
      <c r="F908" s="2">
        <f ca="1">IFERROR(__xludf.DUMMYFUNCTION("""COMPUTED_VALUE"""),22071800)</f>
        <v>22071800</v>
      </c>
    </row>
    <row r="909" spans="1:6">
      <c r="A909" s="1">
        <f ca="1">IFERROR(__xludf.DUMMYFUNCTION("""COMPUTED_VALUE"""),43383.625)</f>
        <v>43383.625</v>
      </c>
      <c r="B909" s="2">
        <f ca="1">IFERROR(__xludf.DUMMYFUNCTION("""COMPUTED_VALUE"""),6875)</f>
        <v>6875</v>
      </c>
      <c r="C909" s="2">
        <f ca="1">IFERROR(__xludf.DUMMYFUNCTION("""COMPUTED_VALUE"""),6975)</f>
        <v>6975</v>
      </c>
      <c r="D909" s="2">
        <f ca="1">IFERROR(__xludf.DUMMYFUNCTION("""COMPUTED_VALUE"""),6850)</f>
        <v>6850</v>
      </c>
      <c r="E909" s="2">
        <f ca="1">IFERROR(__xludf.DUMMYFUNCTION("""COMPUTED_VALUE"""),6950)</f>
        <v>6950</v>
      </c>
      <c r="F909" s="2">
        <f ca="1">IFERROR(__xludf.DUMMYFUNCTION("""COMPUTED_VALUE"""),20561000)</f>
        <v>20561000</v>
      </c>
    </row>
    <row r="910" spans="1:6">
      <c r="A910" s="1">
        <f ca="1">IFERROR(__xludf.DUMMYFUNCTION("""COMPUTED_VALUE"""),43384.625)</f>
        <v>43384.625</v>
      </c>
      <c r="B910" s="2">
        <f ca="1">IFERROR(__xludf.DUMMYFUNCTION("""COMPUTED_VALUE"""),6750)</f>
        <v>6750</v>
      </c>
      <c r="C910" s="2">
        <f ca="1">IFERROR(__xludf.DUMMYFUNCTION("""COMPUTED_VALUE"""),6825)</f>
        <v>6825</v>
      </c>
      <c r="D910" s="2">
        <f ca="1">IFERROR(__xludf.DUMMYFUNCTION("""COMPUTED_VALUE"""),6675)</f>
        <v>6675</v>
      </c>
      <c r="E910" s="2">
        <f ca="1">IFERROR(__xludf.DUMMYFUNCTION("""COMPUTED_VALUE"""),6725)</f>
        <v>6725</v>
      </c>
      <c r="F910" s="2">
        <f ca="1">IFERROR(__xludf.DUMMYFUNCTION("""COMPUTED_VALUE"""),30446900)</f>
        <v>30446900</v>
      </c>
    </row>
    <row r="911" spans="1:6">
      <c r="A911" s="1">
        <f ca="1">IFERROR(__xludf.DUMMYFUNCTION("""COMPUTED_VALUE"""),43385.625)</f>
        <v>43385.625</v>
      </c>
      <c r="B911" s="2">
        <f ca="1">IFERROR(__xludf.DUMMYFUNCTION("""COMPUTED_VALUE"""),6775)</f>
        <v>6775</v>
      </c>
      <c r="C911" s="2">
        <f ca="1">IFERROR(__xludf.DUMMYFUNCTION("""COMPUTED_VALUE"""),7100)</f>
        <v>7100</v>
      </c>
      <c r="D911" s="2">
        <f ca="1">IFERROR(__xludf.DUMMYFUNCTION("""COMPUTED_VALUE"""),6775)</f>
        <v>6775</v>
      </c>
      <c r="E911" s="2">
        <f ca="1">IFERROR(__xludf.DUMMYFUNCTION("""COMPUTED_VALUE"""),6925)</f>
        <v>6925</v>
      </c>
      <c r="F911" s="2">
        <f ca="1">IFERROR(__xludf.DUMMYFUNCTION("""COMPUTED_VALUE"""),34952400)</f>
        <v>34952400</v>
      </c>
    </row>
    <row r="912" spans="1:6">
      <c r="A912" s="1">
        <f ca="1">IFERROR(__xludf.DUMMYFUNCTION("""COMPUTED_VALUE"""),43388.625)</f>
        <v>43388.625</v>
      </c>
      <c r="B912" s="2">
        <f ca="1">IFERROR(__xludf.DUMMYFUNCTION("""COMPUTED_VALUE"""),6950)</f>
        <v>6950</v>
      </c>
      <c r="C912" s="2">
        <f ca="1">IFERROR(__xludf.DUMMYFUNCTION("""COMPUTED_VALUE"""),7125)</f>
        <v>7125</v>
      </c>
      <c r="D912" s="2">
        <f ca="1">IFERROR(__xludf.DUMMYFUNCTION("""COMPUTED_VALUE"""),6900)</f>
        <v>6900</v>
      </c>
      <c r="E912" s="2">
        <f ca="1">IFERROR(__xludf.DUMMYFUNCTION("""COMPUTED_VALUE"""),7050)</f>
        <v>7050</v>
      </c>
      <c r="F912" s="2">
        <f ca="1">IFERROR(__xludf.DUMMYFUNCTION("""COMPUTED_VALUE"""),27893400)</f>
        <v>27893400</v>
      </c>
    </row>
    <row r="913" spans="1:6">
      <c r="A913" s="1">
        <f ca="1">IFERROR(__xludf.DUMMYFUNCTION("""COMPUTED_VALUE"""),43389.625)</f>
        <v>43389.625</v>
      </c>
      <c r="B913" s="2">
        <f ca="1">IFERROR(__xludf.DUMMYFUNCTION("""COMPUTED_VALUE"""),7075)</f>
        <v>7075</v>
      </c>
      <c r="C913" s="2">
        <f ca="1">IFERROR(__xludf.DUMMYFUNCTION("""COMPUTED_VALUE"""),7250)</f>
        <v>7250</v>
      </c>
      <c r="D913" s="2">
        <f ca="1">IFERROR(__xludf.DUMMYFUNCTION("""COMPUTED_VALUE"""),7050)</f>
        <v>7050</v>
      </c>
      <c r="E913" s="2">
        <f ca="1">IFERROR(__xludf.DUMMYFUNCTION("""COMPUTED_VALUE"""),7250)</f>
        <v>7250</v>
      </c>
      <c r="F913" s="2">
        <f ca="1">IFERROR(__xludf.DUMMYFUNCTION("""COMPUTED_VALUE"""),27498900)</f>
        <v>27498900</v>
      </c>
    </row>
    <row r="914" spans="1:6">
      <c r="A914" s="1">
        <f ca="1">IFERROR(__xludf.DUMMYFUNCTION("""COMPUTED_VALUE"""),43390.625)</f>
        <v>43390.625</v>
      </c>
      <c r="B914" s="2">
        <f ca="1">IFERROR(__xludf.DUMMYFUNCTION("""COMPUTED_VALUE"""),7350)</f>
        <v>7350</v>
      </c>
      <c r="C914" s="2">
        <f ca="1">IFERROR(__xludf.DUMMYFUNCTION("""COMPUTED_VALUE"""),7375)</f>
        <v>7375</v>
      </c>
      <c r="D914" s="2">
        <f ca="1">IFERROR(__xludf.DUMMYFUNCTION("""COMPUTED_VALUE"""),7275)</f>
        <v>7275</v>
      </c>
      <c r="E914" s="2">
        <f ca="1">IFERROR(__xludf.DUMMYFUNCTION("""COMPUTED_VALUE"""),7325)</f>
        <v>7325</v>
      </c>
      <c r="F914" s="2">
        <f ca="1">IFERROR(__xludf.DUMMYFUNCTION("""COMPUTED_VALUE"""),17152400)</f>
        <v>17152400</v>
      </c>
    </row>
    <row r="915" spans="1:6">
      <c r="A915" s="1">
        <f ca="1">IFERROR(__xludf.DUMMYFUNCTION("""COMPUTED_VALUE"""),43391.625)</f>
        <v>43391.625</v>
      </c>
      <c r="B915" s="2">
        <f ca="1">IFERROR(__xludf.DUMMYFUNCTION("""COMPUTED_VALUE"""),7325)</f>
        <v>7325</v>
      </c>
      <c r="C915" s="2">
        <f ca="1">IFERROR(__xludf.DUMMYFUNCTION("""COMPUTED_VALUE"""),7325)</f>
        <v>7325</v>
      </c>
      <c r="D915" s="2">
        <f ca="1">IFERROR(__xludf.DUMMYFUNCTION("""COMPUTED_VALUE"""),7150)</f>
        <v>7150</v>
      </c>
      <c r="E915" s="2">
        <f ca="1">IFERROR(__xludf.DUMMYFUNCTION("""COMPUTED_VALUE"""),7200)</f>
        <v>7200</v>
      </c>
      <c r="F915" s="2">
        <f ca="1">IFERROR(__xludf.DUMMYFUNCTION("""COMPUTED_VALUE"""),9667000)</f>
        <v>9667000</v>
      </c>
    </row>
    <row r="916" spans="1:6">
      <c r="A916" s="1">
        <f ca="1">IFERROR(__xludf.DUMMYFUNCTION("""COMPUTED_VALUE"""),43392.625)</f>
        <v>43392.625</v>
      </c>
      <c r="B916" s="2">
        <f ca="1">IFERROR(__xludf.DUMMYFUNCTION("""COMPUTED_VALUE"""),7075)</f>
        <v>7075</v>
      </c>
      <c r="C916" s="2">
        <f ca="1">IFERROR(__xludf.DUMMYFUNCTION("""COMPUTED_VALUE"""),7250)</f>
        <v>7250</v>
      </c>
      <c r="D916" s="2">
        <f ca="1">IFERROR(__xludf.DUMMYFUNCTION("""COMPUTED_VALUE"""),7075)</f>
        <v>7075</v>
      </c>
      <c r="E916" s="2">
        <f ca="1">IFERROR(__xludf.DUMMYFUNCTION("""COMPUTED_VALUE"""),7175)</f>
        <v>7175</v>
      </c>
      <c r="F916" s="2">
        <f ca="1">IFERROR(__xludf.DUMMYFUNCTION("""COMPUTED_VALUE"""),15709800)</f>
        <v>15709800</v>
      </c>
    </row>
    <row r="917" spans="1:6">
      <c r="A917" s="1">
        <f ca="1">IFERROR(__xludf.DUMMYFUNCTION("""COMPUTED_VALUE"""),43395.625)</f>
        <v>43395.625</v>
      </c>
      <c r="B917" s="2">
        <f ca="1">IFERROR(__xludf.DUMMYFUNCTION("""COMPUTED_VALUE"""),7200)</f>
        <v>7200</v>
      </c>
      <c r="C917" s="2">
        <f ca="1">IFERROR(__xludf.DUMMYFUNCTION("""COMPUTED_VALUE"""),7250)</f>
        <v>7250</v>
      </c>
      <c r="D917" s="2">
        <f ca="1">IFERROR(__xludf.DUMMYFUNCTION("""COMPUTED_VALUE"""),7150)</f>
        <v>7150</v>
      </c>
      <c r="E917" s="2">
        <f ca="1">IFERROR(__xludf.DUMMYFUNCTION("""COMPUTED_VALUE"""),7175)</f>
        <v>7175</v>
      </c>
      <c r="F917" s="2">
        <f ca="1">IFERROR(__xludf.DUMMYFUNCTION("""COMPUTED_VALUE"""),5899500)</f>
        <v>5899500</v>
      </c>
    </row>
    <row r="918" spans="1:6">
      <c r="A918" s="1">
        <f ca="1">IFERROR(__xludf.DUMMYFUNCTION("""COMPUTED_VALUE"""),43396.625)</f>
        <v>43396.625</v>
      </c>
      <c r="B918" s="2">
        <f ca="1">IFERROR(__xludf.DUMMYFUNCTION("""COMPUTED_VALUE"""),7150)</f>
        <v>7150</v>
      </c>
      <c r="C918" s="2">
        <f ca="1">IFERROR(__xludf.DUMMYFUNCTION("""COMPUTED_VALUE"""),7225)</f>
        <v>7225</v>
      </c>
      <c r="D918" s="2">
        <f ca="1">IFERROR(__xludf.DUMMYFUNCTION("""COMPUTED_VALUE"""),7100)</f>
        <v>7100</v>
      </c>
      <c r="E918" s="2">
        <f ca="1">IFERROR(__xludf.DUMMYFUNCTION("""COMPUTED_VALUE"""),7125)</f>
        <v>7125</v>
      </c>
      <c r="F918" s="2">
        <f ca="1">IFERROR(__xludf.DUMMYFUNCTION("""COMPUTED_VALUE"""),8821500)</f>
        <v>8821500</v>
      </c>
    </row>
    <row r="919" spans="1:6">
      <c r="A919" s="1">
        <f ca="1">IFERROR(__xludf.DUMMYFUNCTION("""COMPUTED_VALUE"""),43397.625)</f>
        <v>43397.625</v>
      </c>
      <c r="B919" s="2">
        <f ca="1">IFERROR(__xludf.DUMMYFUNCTION("""COMPUTED_VALUE"""),7100)</f>
        <v>7100</v>
      </c>
      <c r="C919" s="2">
        <f ca="1">IFERROR(__xludf.DUMMYFUNCTION("""COMPUTED_VALUE"""),7175)</f>
        <v>7175</v>
      </c>
      <c r="D919" s="2">
        <f ca="1">IFERROR(__xludf.DUMMYFUNCTION("""COMPUTED_VALUE"""),6975)</f>
        <v>6975</v>
      </c>
      <c r="E919" s="2">
        <f ca="1">IFERROR(__xludf.DUMMYFUNCTION("""COMPUTED_VALUE"""),7050)</f>
        <v>7050</v>
      </c>
      <c r="F919" s="2">
        <f ca="1">IFERROR(__xludf.DUMMYFUNCTION("""COMPUTED_VALUE"""),12023700)</f>
        <v>12023700</v>
      </c>
    </row>
    <row r="920" spans="1:6">
      <c r="A920" s="1">
        <f ca="1">IFERROR(__xludf.DUMMYFUNCTION("""COMPUTED_VALUE"""),43398.625)</f>
        <v>43398.625</v>
      </c>
      <c r="B920" s="2">
        <f ca="1">IFERROR(__xludf.DUMMYFUNCTION("""COMPUTED_VALUE"""),6950)</f>
        <v>6950</v>
      </c>
      <c r="C920" s="2">
        <f ca="1">IFERROR(__xludf.DUMMYFUNCTION("""COMPUTED_VALUE"""),7125)</f>
        <v>7125</v>
      </c>
      <c r="D920" s="2">
        <f ca="1">IFERROR(__xludf.DUMMYFUNCTION("""COMPUTED_VALUE"""),6925)</f>
        <v>6925</v>
      </c>
      <c r="E920" s="2">
        <f ca="1">IFERROR(__xludf.DUMMYFUNCTION("""COMPUTED_VALUE"""),7075)</f>
        <v>7075</v>
      </c>
      <c r="F920" s="2">
        <f ca="1">IFERROR(__xludf.DUMMYFUNCTION("""COMPUTED_VALUE"""),17180600)</f>
        <v>17180600</v>
      </c>
    </row>
    <row r="921" spans="1:6">
      <c r="A921" s="1">
        <f ca="1">IFERROR(__xludf.DUMMYFUNCTION("""COMPUTED_VALUE"""),43399.625)</f>
        <v>43399.625</v>
      </c>
      <c r="B921" s="2">
        <f ca="1">IFERROR(__xludf.DUMMYFUNCTION("""COMPUTED_VALUE"""),7075)</f>
        <v>7075</v>
      </c>
      <c r="C921" s="2">
        <f ca="1">IFERROR(__xludf.DUMMYFUNCTION("""COMPUTED_VALUE"""),7150)</f>
        <v>7150</v>
      </c>
      <c r="D921" s="2">
        <f ca="1">IFERROR(__xludf.DUMMYFUNCTION("""COMPUTED_VALUE"""),7050)</f>
        <v>7050</v>
      </c>
      <c r="E921" s="2">
        <f ca="1">IFERROR(__xludf.DUMMYFUNCTION("""COMPUTED_VALUE"""),7100)</f>
        <v>7100</v>
      </c>
      <c r="F921" s="2">
        <f ca="1">IFERROR(__xludf.DUMMYFUNCTION("""COMPUTED_VALUE"""),5889500)</f>
        <v>5889500</v>
      </c>
    </row>
    <row r="922" spans="1:6">
      <c r="A922" s="1">
        <f ca="1">IFERROR(__xludf.DUMMYFUNCTION("""COMPUTED_VALUE"""),43402.625)</f>
        <v>43402.625</v>
      </c>
      <c r="B922" s="2">
        <f ca="1">IFERROR(__xludf.DUMMYFUNCTION("""COMPUTED_VALUE"""),7150)</f>
        <v>7150</v>
      </c>
      <c r="C922" s="2">
        <f ca="1">IFERROR(__xludf.DUMMYFUNCTION("""COMPUTED_VALUE"""),7175)</f>
        <v>7175</v>
      </c>
      <c r="D922" s="2">
        <f ca="1">IFERROR(__xludf.DUMMYFUNCTION("""COMPUTED_VALUE"""),6975)</f>
        <v>6975</v>
      </c>
      <c r="E922" s="2">
        <f ca="1">IFERROR(__xludf.DUMMYFUNCTION("""COMPUTED_VALUE"""),7075)</f>
        <v>7075</v>
      </c>
      <c r="F922" s="2">
        <f ca="1">IFERROR(__xludf.DUMMYFUNCTION("""COMPUTED_VALUE"""),4947000)</f>
        <v>4947000</v>
      </c>
    </row>
    <row r="923" spans="1:6">
      <c r="A923" s="1">
        <f ca="1">IFERROR(__xludf.DUMMYFUNCTION("""COMPUTED_VALUE"""),43403.625)</f>
        <v>43403.625</v>
      </c>
      <c r="B923" s="2">
        <f ca="1">IFERROR(__xludf.DUMMYFUNCTION("""COMPUTED_VALUE"""),7075)</f>
        <v>7075</v>
      </c>
      <c r="C923" s="2">
        <f ca="1">IFERROR(__xludf.DUMMYFUNCTION("""COMPUTED_VALUE"""),7225)</f>
        <v>7225</v>
      </c>
      <c r="D923" s="2">
        <f ca="1">IFERROR(__xludf.DUMMYFUNCTION("""COMPUTED_VALUE"""),7025)</f>
        <v>7025</v>
      </c>
      <c r="E923" s="2">
        <f ca="1">IFERROR(__xludf.DUMMYFUNCTION("""COMPUTED_VALUE"""),7175)</f>
        <v>7175</v>
      </c>
      <c r="F923" s="2">
        <f ca="1">IFERROR(__xludf.DUMMYFUNCTION("""COMPUTED_VALUE"""),16140100)</f>
        <v>16140100</v>
      </c>
    </row>
    <row r="924" spans="1:6">
      <c r="A924" s="1">
        <f ca="1">IFERROR(__xludf.DUMMYFUNCTION("""COMPUTED_VALUE"""),43404.625)</f>
        <v>43404.625</v>
      </c>
      <c r="B924" s="2">
        <f ca="1">IFERROR(__xludf.DUMMYFUNCTION("""COMPUTED_VALUE"""),7225)</f>
        <v>7225</v>
      </c>
      <c r="C924" s="2">
        <f ca="1">IFERROR(__xludf.DUMMYFUNCTION("""COMPUTED_VALUE"""),7375)</f>
        <v>7375</v>
      </c>
      <c r="D924" s="2">
        <f ca="1">IFERROR(__xludf.DUMMYFUNCTION("""COMPUTED_VALUE"""),7175)</f>
        <v>7175</v>
      </c>
      <c r="E924" s="2">
        <f ca="1">IFERROR(__xludf.DUMMYFUNCTION("""COMPUTED_VALUE"""),7325)</f>
        <v>7325</v>
      </c>
      <c r="F924" s="2">
        <f ca="1">IFERROR(__xludf.DUMMYFUNCTION("""COMPUTED_VALUE"""),28163200)</f>
        <v>28163200</v>
      </c>
    </row>
    <row r="925" spans="1:6">
      <c r="A925" s="1">
        <f ca="1">IFERROR(__xludf.DUMMYFUNCTION("""COMPUTED_VALUE"""),43405.625)</f>
        <v>43405.625</v>
      </c>
      <c r="B925" s="2">
        <f ca="1">IFERROR(__xludf.DUMMYFUNCTION("""COMPUTED_VALUE"""),7400)</f>
        <v>7400</v>
      </c>
      <c r="C925" s="2">
        <f ca="1">IFERROR(__xludf.DUMMYFUNCTION("""COMPUTED_VALUE"""),7475)</f>
        <v>7475</v>
      </c>
      <c r="D925" s="2">
        <f ca="1">IFERROR(__xludf.DUMMYFUNCTION("""COMPUTED_VALUE"""),7325)</f>
        <v>7325</v>
      </c>
      <c r="E925" s="2">
        <f ca="1">IFERROR(__xludf.DUMMYFUNCTION("""COMPUTED_VALUE"""),7425)</f>
        <v>7425</v>
      </c>
      <c r="F925" s="2">
        <f ca="1">IFERROR(__xludf.DUMMYFUNCTION("""COMPUTED_VALUE"""),32249900)</f>
        <v>32249900</v>
      </c>
    </row>
    <row r="926" spans="1:6">
      <c r="A926" s="1">
        <f ca="1">IFERROR(__xludf.DUMMYFUNCTION("""COMPUTED_VALUE"""),43406.625)</f>
        <v>43406.625</v>
      </c>
      <c r="B926" s="2">
        <f ca="1">IFERROR(__xludf.DUMMYFUNCTION("""COMPUTED_VALUE"""),7500)</f>
        <v>7500</v>
      </c>
      <c r="C926" s="2">
        <f ca="1">IFERROR(__xludf.DUMMYFUNCTION("""COMPUTED_VALUE"""),7775)</f>
        <v>7775</v>
      </c>
      <c r="D926" s="2">
        <f ca="1">IFERROR(__xludf.DUMMYFUNCTION("""COMPUTED_VALUE"""),7475)</f>
        <v>7475</v>
      </c>
      <c r="E926" s="2">
        <f ca="1">IFERROR(__xludf.DUMMYFUNCTION("""COMPUTED_VALUE"""),7775)</f>
        <v>7775</v>
      </c>
      <c r="F926" s="2">
        <f ca="1">IFERROR(__xludf.DUMMYFUNCTION("""COMPUTED_VALUE"""),58803000)</f>
        <v>58803000</v>
      </c>
    </row>
    <row r="927" spans="1:6">
      <c r="A927" s="1">
        <f ca="1">IFERROR(__xludf.DUMMYFUNCTION("""COMPUTED_VALUE"""),43409.625)</f>
        <v>43409.625</v>
      </c>
      <c r="B927" s="2">
        <f ca="1">IFERROR(__xludf.DUMMYFUNCTION("""COMPUTED_VALUE"""),7650)</f>
        <v>7650</v>
      </c>
      <c r="C927" s="2">
        <f ca="1">IFERROR(__xludf.DUMMYFUNCTION("""COMPUTED_VALUE"""),7700)</f>
        <v>7700</v>
      </c>
      <c r="D927" s="2">
        <f ca="1">IFERROR(__xludf.DUMMYFUNCTION("""COMPUTED_VALUE"""),7525)</f>
        <v>7525</v>
      </c>
      <c r="E927" s="2">
        <f ca="1">IFERROR(__xludf.DUMMYFUNCTION("""COMPUTED_VALUE"""),7600)</f>
        <v>7600</v>
      </c>
      <c r="F927" s="2">
        <f ca="1">IFERROR(__xludf.DUMMYFUNCTION("""COMPUTED_VALUE"""),19805900)</f>
        <v>19805900</v>
      </c>
    </row>
    <row r="928" spans="1:6">
      <c r="A928" s="1">
        <f ca="1">IFERROR(__xludf.DUMMYFUNCTION("""COMPUTED_VALUE"""),43410.625)</f>
        <v>43410.625</v>
      </c>
      <c r="B928" s="2">
        <f ca="1">IFERROR(__xludf.DUMMYFUNCTION("""COMPUTED_VALUE"""),7675)</f>
        <v>7675</v>
      </c>
      <c r="C928" s="2">
        <f ca="1">IFERROR(__xludf.DUMMYFUNCTION("""COMPUTED_VALUE"""),7925)</f>
        <v>7925</v>
      </c>
      <c r="D928" s="2">
        <f ca="1">IFERROR(__xludf.DUMMYFUNCTION("""COMPUTED_VALUE"""),7675)</f>
        <v>7675</v>
      </c>
      <c r="E928" s="2">
        <f ca="1">IFERROR(__xludf.DUMMYFUNCTION("""COMPUTED_VALUE"""),7750)</f>
        <v>7750</v>
      </c>
      <c r="F928" s="2">
        <f ca="1">IFERROR(__xludf.DUMMYFUNCTION("""COMPUTED_VALUE"""),27353600)</f>
        <v>27353600</v>
      </c>
    </row>
    <row r="929" spans="1:6">
      <c r="A929" s="1">
        <f ca="1">IFERROR(__xludf.DUMMYFUNCTION("""COMPUTED_VALUE"""),43411.625)</f>
        <v>43411.625</v>
      </c>
      <c r="B929" s="2">
        <f ca="1">IFERROR(__xludf.DUMMYFUNCTION("""COMPUTED_VALUE"""),7800)</f>
        <v>7800</v>
      </c>
      <c r="C929" s="2">
        <f ca="1">IFERROR(__xludf.DUMMYFUNCTION("""COMPUTED_VALUE"""),7800)</f>
        <v>7800</v>
      </c>
      <c r="D929" s="2">
        <f ca="1">IFERROR(__xludf.DUMMYFUNCTION("""COMPUTED_VALUE"""),7700)</f>
        <v>7700</v>
      </c>
      <c r="E929" s="2">
        <f ca="1">IFERROR(__xludf.DUMMYFUNCTION("""COMPUTED_VALUE"""),7800)</f>
        <v>7800</v>
      </c>
      <c r="F929" s="2">
        <f ca="1">IFERROR(__xludf.DUMMYFUNCTION("""COMPUTED_VALUE"""),22471000)</f>
        <v>22471000</v>
      </c>
    </row>
    <row r="930" spans="1:6">
      <c r="A930" s="1">
        <f ca="1">IFERROR(__xludf.DUMMYFUNCTION("""COMPUTED_VALUE"""),43412.625)</f>
        <v>43412.625</v>
      </c>
      <c r="B930" s="2">
        <f ca="1">IFERROR(__xludf.DUMMYFUNCTION("""COMPUTED_VALUE"""),7900)</f>
        <v>7900</v>
      </c>
      <c r="C930" s="2">
        <f ca="1">IFERROR(__xludf.DUMMYFUNCTION("""COMPUTED_VALUE"""),8075)</f>
        <v>8075</v>
      </c>
      <c r="D930" s="2">
        <f ca="1">IFERROR(__xludf.DUMMYFUNCTION("""COMPUTED_VALUE"""),7875)</f>
        <v>7875</v>
      </c>
      <c r="E930" s="2">
        <f ca="1">IFERROR(__xludf.DUMMYFUNCTION("""COMPUTED_VALUE"""),7900)</f>
        <v>7900</v>
      </c>
      <c r="F930" s="2">
        <f ca="1">IFERROR(__xludf.DUMMYFUNCTION("""COMPUTED_VALUE"""),43053500)</f>
        <v>43053500</v>
      </c>
    </row>
    <row r="931" spans="1:6">
      <c r="A931" s="1">
        <f ca="1">IFERROR(__xludf.DUMMYFUNCTION("""COMPUTED_VALUE"""),43413.625)</f>
        <v>43413.625</v>
      </c>
      <c r="B931" s="2">
        <f ca="1">IFERROR(__xludf.DUMMYFUNCTION("""COMPUTED_VALUE"""),7975)</f>
        <v>7975</v>
      </c>
      <c r="C931" s="2">
        <f ca="1">IFERROR(__xludf.DUMMYFUNCTION("""COMPUTED_VALUE"""),8000)</f>
        <v>8000</v>
      </c>
      <c r="D931" s="2">
        <f ca="1">IFERROR(__xludf.DUMMYFUNCTION("""COMPUTED_VALUE"""),7850)</f>
        <v>7850</v>
      </c>
      <c r="E931" s="2">
        <f ca="1">IFERROR(__xludf.DUMMYFUNCTION("""COMPUTED_VALUE"""),8000)</f>
        <v>8000</v>
      </c>
      <c r="F931" s="2">
        <f ca="1">IFERROR(__xludf.DUMMYFUNCTION("""COMPUTED_VALUE"""),29460300)</f>
        <v>29460300</v>
      </c>
    </row>
    <row r="932" spans="1:6">
      <c r="A932" s="1">
        <f ca="1">IFERROR(__xludf.DUMMYFUNCTION("""COMPUTED_VALUE"""),43416.625)</f>
        <v>43416.625</v>
      </c>
      <c r="B932" s="2">
        <f ca="1">IFERROR(__xludf.DUMMYFUNCTION("""COMPUTED_VALUE"""),7825)</f>
        <v>7825</v>
      </c>
      <c r="C932" s="2">
        <f ca="1">IFERROR(__xludf.DUMMYFUNCTION("""COMPUTED_VALUE"""),7850)</f>
        <v>7850</v>
      </c>
      <c r="D932" s="2">
        <f ca="1">IFERROR(__xludf.DUMMYFUNCTION("""COMPUTED_VALUE"""),7600)</f>
        <v>7600</v>
      </c>
      <c r="E932" s="2">
        <f ca="1">IFERROR(__xludf.DUMMYFUNCTION("""COMPUTED_VALUE"""),7600)</f>
        <v>7600</v>
      </c>
      <c r="F932" s="2">
        <f ca="1">IFERROR(__xludf.DUMMYFUNCTION("""COMPUTED_VALUE"""),31387900)</f>
        <v>31387900</v>
      </c>
    </row>
    <row r="933" spans="1:6">
      <c r="A933" s="1">
        <f ca="1">IFERROR(__xludf.DUMMYFUNCTION("""COMPUTED_VALUE"""),43417.625)</f>
        <v>43417.625</v>
      </c>
      <c r="B933" s="2">
        <f ca="1">IFERROR(__xludf.DUMMYFUNCTION("""COMPUTED_VALUE"""),7500)</f>
        <v>7500</v>
      </c>
      <c r="C933" s="2">
        <f ca="1">IFERROR(__xludf.DUMMYFUNCTION("""COMPUTED_VALUE"""),7950)</f>
        <v>7950</v>
      </c>
      <c r="D933" s="2">
        <f ca="1">IFERROR(__xludf.DUMMYFUNCTION("""COMPUTED_VALUE"""),7475)</f>
        <v>7475</v>
      </c>
      <c r="E933" s="2">
        <f ca="1">IFERROR(__xludf.DUMMYFUNCTION("""COMPUTED_VALUE"""),7900)</f>
        <v>7900</v>
      </c>
      <c r="F933" s="2">
        <f ca="1">IFERROR(__xludf.DUMMYFUNCTION("""COMPUTED_VALUE"""),30898000)</f>
        <v>30898000</v>
      </c>
    </row>
    <row r="934" spans="1:6">
      <c r="A934" s="1">
        <f ca="1">IFERROR(__xludf.DUMMYFUNCTION("""COMPUTED_VALUE"""),43418.625)</f>
        <v>43418.625</v>
      </c>
      <c r="B934" s="2">
        <f ca="1">IFERROR(__xludf.DUMMYFUNCTION("""COMPUTED_VALUE"""),7900)</f>
        <v>7900</v>
      </c>
      <c r="C934" s="2">
        <f ca="1">IFERROR(__xludf.DUMMYFUNCTION("""COMPUTED_VALUE"""),8150)</f>
        <v>8150</v>
      </c>
      <c r="D934" s="2">
        <f ca="1">IFERROR(__xludf.DUMMYFUNCTION("""COMPUTED_VALUE"""),7900)</f>
        <v>7900</v>
      </c>
      <c r="E934" s="2">
        <f ca="1">IFERROR(__xludf.DUMMYFUNCTION("""COMPUTED_VALUE"""),8025)</f>
        <v>8025</v>
      </c>
      <c r="F934" s="2">
        <f ca="1">IFERROR(__xludf.DUMMYFUNCTION("""COMPUTED_VALUE"""),38730600)</f>
        <v>38730600</v>
      </c>
    </row>
    <row r="935" spans="1:6">
      <c r="A935" s="1">
        <f ca="1">IFERROR(__xludf.DUMMYFUNCTION("""COMPUTED_VALUE"""),43419.625)</f>
        <v>43419.625</v>
      </c>
      <c r="B935" s="2">
        <f ca="1">IFERROR(__xludf.DUMMYFUNCTION("""COMPUTED_VALUE"""),7925)</f>
        <v>7925</v>
      </c>
      <c r="C935" s="2">
        <f ca="1">IFERROR(__xludf.DUMMYFUNCTION("""COMPUTED_VALUE"""),8300)</f>
        <v>8300</v>
      </c>
      <c r="D935" s="2">
        <f ca="1">IFERROR(__xludf.DUMMYFUNCTION("""COMPUTED_VALUE"""),7925)</f>
        <v>7925</v>
      </c>
      <c r="E935" s="2">
        <f ca="1">IFERROR(__xludf.DUMMYFUNCTION("""COMPUTED_VALUE"""),8250)</f>
        <v>8250</v>
      </c>
      <c r="F935" s="2">
        <f ca="1">IFERROR(__xludf.DUMMYFUNCTION("""COMPUTED_VALUE"""),36951700)</f>
        <v>36951700</v>
      </c>
    </row>
    <row r="936" spans="1:6">
      <c r="A936" s="1">
        <f ca="1">IFERROR(__xludf.DUMMYFUNCTION("""COMPUTED_VALUE"""),43420.625)</f>
        <v>43420.625</v>
      </c>
      <c r="B936" s="2">
        <f ca="1">IFERROR(__xludf.DUMMYFUNCTION("""COMPUTED_VALUE"""),8275)</f>
        <v>8275</v>
      </c>
      <c r="C936" s="2">
        <f ca="1">IFERROR(__xludf.DUMMYFUNCTION("""COMPUTED_VALUE"""),8550)</f>
        <v>8550</v>
      </c>
      <c r="D936" s="2">
        <f ca="1">IFERROR(__xludf.DUMMYFUNCTION("""COMPUTED_VALUE"""),8175)</f>
        <v>8175</v>
      </c>
      <c r="E936" s="2">
        <f ca="1">IFERROR(__xludf.DUMMYFUNCTION("""COMPUTED_VALUE"""),8300)</f>
        <v>8300</v>
      </c>
      <c r="F936" s="2">
        <f ca="1">IFERROR(__xludf.DUMMYFUNCTION("""COMPUTED_VALUE"""),28456300)</f>
        <v>28456300</v>
      </c>
    </row>
    <row r="937" spans="1:6">
      <c r="A937" s="1">
        <f ca="1">IFERROR(__xludf.DUMMYFUNCTION("""COMPUTED_VALUE"""),43423.625)</f>
        <v>43423.625</v>
      </c>
      <c r="B937" s="2">
        <f ca="1">IFERROR(__xludf.DUMMYFUNCTION("""COMPUTED_VALUE"""),8275)</f>
        <v>8275</v>
      </c>
      <c r="C937" s="2">
        <f ca="1">IFERROR(__xludf.DUMMYFUNCTION("""COMPUTED_VALUE"""),8400)</f>
        <v>8400</v>
      </c>
      <c r="D937" s="2">
        <f ca="1">IFERROR(__xludf.DUMMYFUNCTION("""COMPUTED_VALUE"""),8250)</f>
        <v>8250</v>
      </c>
      <c r="E937" s="2">
        <f ca="1">IFERROR(__xludf.DUMMYFUNCTION("""COMPUTED_VALUE"""),8400)</f>
        <v>8400</v>
      </c>
      <c r="F937" s="2">
        <f ca="1">IFERROR(__xludf.DUMMYFUNCTION("""COMPUTED_VALUE"""),15997800)</f>
        <v>15997800</v>
      </c>
    </row>
    <row r="938" spans="1:6">
      <c r="A938" s="1">
        <f ca="1">IFERROR(__xludf.DUMMYFUNCTION("""COMPUTED_VALUE"""),43425.625)</f>
        <v>43425.625</v>
      </c>
      <c r="B938" s="2">
        <f ca="1">IFERROR(__xludf.DUMMYFUNCTION("""COMPUTED_VALUE"""),8150)</f>
        <v>8150</v>
      </c>
      <c r="C938" s="2">
        <f ca="1">IFERROR(__xludf.DUMMYFUNCTION("""COMPUTED_VALUE"""),8300)</f>
        <v>8300</v>
      </c>
      <c r="D938" s="2">
        <f ca="1">IFERROR(__xludf.DUMMYFUNCTION("""COMPUTED_VALUE"""),8150)</f>
        <v>8150</v>
      </c>
      <c r="E938" s="2">
        <f ca="1">IFERROR(__xludf.DUMMYFUNCTION("""COMPUTED_VALUE"""),8250)</f>
        <v>8250</v>
      </c>
      <c r="F938" s="2">
        <f ca="1">IFERROR(__xludf.DUMMYFUNCTION("""COMPUTED_VALUE"""),32954700)</f>
        <v>32954700</v>
      </c>
    </row>
    <row r="939" spans="1:6">
      <c r="A939" s="1">
        <f ca="1">IFERROR(__xludf.DUMMYFUNCTION("""COMPUTED_VALUE"""),43426.625)</f>
        <v>43426.625</v>
      </c>
      <c r="B939" s="2">
        <f ca="1">IFERROR(__xludf.DUMMYFUNCTION("""COMPUTED_VALUE"""),8200)</f>
        <v>8200</v>
      </c>
      <c r="C939" s="2">
        <f ca="1">IFERROR(__xludf.DUMMYFUNCTION("""COMPUTED_VALUE"""),8450)</f>
        <v>8450</v>
      </c>
      <c r="D939" s="2">
        <f ca="1">IFERROR(__xludf.DUMMYFUNCTION("""COMPUTED_VALUE"""),8175)</f>
        <v>8175</v>
      </c>
      <c r="E939" s="2">
        <f ca="1">IFERROR(__xludf.DUMMYFUNCTION("""COMPUTED_VALUE"""),8400)</f>
        <v>8400</v>
      </c>
      <c r="F939" s="2">
        <f ca="1">IFERROR(__xludf.DUMMYFUNCTION("""COMPUTED_VALUE"""),23435600)</f>
        <v>23435600</v>
      </c>
    </row>
    <row r="940" spans="1:6">
      <c r="A940" s="1">
        <f ca="1">IFERROR(__xludf.DUMMYFUNCTION("""COMPUTED_VALUE"""),43427.625)</f>
        <v>43427.625</v>
      </c>
      <c r="B940" s="2">
        <f ca="1">IFERROR(__xludf.DUMMYFUNCTION("""COMPUTED_VALUE"""),8425)</f>
        <v>8425</v>
      </c>
      <c r="C940" s="2">
        <f ca="1">IFERROR(__xludf.DUMMYFUNCTION("""COMPUTED_VALUE"""),8500)</f>
        <v>8500</v>
      </c>
      <c r="D940" s="2">
        <f ca="1">IFERROR(__xludf.DUMMYFUNCTION("""COMPUTED_VALUE"""),8350)</f>
        <v>8350</v>
      </c>
      <c r="E940" s="2">
        <f ca="1">IFERROR(__xludf.DUMMYFUNCTION("""COMPUTED_VALUE"""),8425)</f>
        <v>8425</v>
      </c>
      <c r="F940" s="2">
        <f ca="1">IFERROR(__xludf.DUMMYFUNCTION("""COMPUTED_VALUE"""),8195200)</f>
        <v>8195200</v>
      </c>
    </row>
    <row r="941" spans="1:6">
      <c r="A941" s="1">
        <f ca="1">IFERROR(__xludf.DUMMYFUNCTION("""COMPUTED_VALUE"""),43430.625)</f>
        <v>43430.625</v>
      </c>
      <c r="B941" s="2">
        <f ca="1">IFERROR(__xludf.DUMMYFUNCTION("""COMPUTED_VALUE"""),8425)</f>
        <v>8425</v>
      </c>
      <c r="C941" s="2">
        <f ca="1">IFERROR(__xludf.DUMMYFUNCTION("""COMPUTED_VALUE"""),8500)</f>
        <v>8500</v>
      </c>
      <c r="D941" s="2">
        <f ca="1">IFERROR(__xludf.DUMMYFUNCTION("""COMPUTED_VALUE"""),8350)</f>
        <v>8350</v>
      </c>
      <c r="E941" s="2">
        <f ca="1">IFERROR(__xludf.DUMMYFUNCTION("""COMPUTED_VALUE"""),8425)</f>
        <v>8425</v>
      </c>
      <c r="F941" s="2">
        <f ca="1">IFERROR(__xludf.DUMMYFUNCTION("""COMPUTED_VALUE"""),14709900)</f>
        <v>14709900</v>
      </c>
    </row>
    <row r="942" spans="1:6">
      <c r="A942" s="1">
        <f ca="1">IFERROR(__xludf.DUMMYFUNCTION("""COMPUTED_VALUE"""),43431.625)</f>
        <v>43431.625</v>
      </c>
      <c r="B942" s="2">
        <f ca="1">IFERROR(__xludf.DUMMYFUNCTION("""COMPUTED_VALUE"""),8325)</f>
        <v>8325</v>
      </c>
      <c r="C942" s="2">
        <f ca="1">IFERROR(__xludf.DUMMYFUNCTION("""COMPUTED_VALUE"""),8675)</f>
        <v>8675</v>
      </c>
      <c r="D942" s="2">
        <f ca="1">IFERROR(__xludf.DUMMYFUNCTION("""COMPUTED_VALUE"""),8325)</f>
        <v>8325</v>
      </c>
      <c r="E942" s="2">
        <f ca="1">IFERROR(__xludf.DUMMYFUNCTION("""COMPUTED_VALUE"""),8650)</f>
        <v>8650</v>
      </c>
      <c r="F942" s="2">
        <f ca="1">IFERROR(__xludf.DUMMYFUNCTION("""COMPUTED_VALUE"""),40949200)</f>
        <v>40949200</v>
      </c>
    </row>
    <row r="943" spans="1:6">
      <c r="A943" s="1">
        <f ca="1">IFERROR(__xludf.DUMMYFUNCTION("""COMPUTED_VALUE"""),43432.625)</f>
        <v>43432.625</v>
      </c>
      <c r="B943" s="2">
        <f ca="1">IFERROR(__xludf.DUMMYFUNCTION("""COMPUTED_VALUE"""),8750)</f>
        <v>8750</v>
      </c>
      <c r="C943" s="2">
        <f ca="1">IFERROR(__xludf.DUMMYFUNCTION("""COMPUTED_VALUE"""),8750)</f>
        <v>8750</v>
      </c>
      <c r="D943" s="2">
        <f ca="1">IFERROR(__xludf.DUMMYFUNCTION("""COMPUTED_VALUE"""),8500)</f>
        <v>8500</v>
      </c>
      <c r="E943" s="2">
        <f ca="1">IFERROR(__xludf.DUMMYFUNCTION("""COMPUTED_VALUE"""),8550)</f>
        <v>8550</v>
      </c>
      <c r="F943" s="2">
        <f ca="1">IFERROR(__xludf.DUMMYFUNCTION("""COMPUTED_VALUE"""),27257700)</f>
        <v>27257700</v>
      </c>
    </row>
    <row r="944" spans="1:6">
      <c r="A944" s="1">
        <f ca="1">IFERROR(__xludf.DUMMYFUNCTION("""COMPUTED_VALUE"""),43433.625)</f>
        <v>43433.625</v>
      </c>
      <c r="B944" s="2">
        <f ca="1">IFERROR(__xludf.DUMMYFUNCTION("""COMPUTED_VALUE"""),8650)</f>
        <v>8650</v>
      </c>
      <c r="C944" s="2">
        <f ca="1">IFERROR(__xludf.DUMMYFUNCTION("""COMPUTED_VALUE"""),9050)</f>
        <v>9050</v>
      </c>
      <c r="D944" s="2">
        <f ca="1">IFERROR(__xludf.DUMMYFUNCTION("""COMPUTED_VALUE"""),8650)</f>
        <v>8650</v>
      </c>
      <c r="E944" s="2">
        <f ca="1">IFERROR(__xludf.DUMMYFUNCTION("""COMPUTED_VALUE"""),8775)</f>
        <v>8775</v>
      </c>
      <c r="F944" s="2">
        <f ca="1">IFERROR(__xludf.DUMMYFUNCTION("""COMPUTED_VALUE"""),45005100)</f>
        <v>45005100</v>
      </c>
    </row>
    <row r="945" spans="1:6">
      <c r="A945" s="1">
        <f ca="1">IFERROR(__xludf.DUMMYFUNCTION("""COMPUTED_VALUE"""),43434.625)</f>
        <v>43434.625</v>
      </c>
      <c r="B945" s="2">
        <f ca="1">IFERROR(__xludf.DUMMYFUNCTION("""COMPUTED_VALUE"""),8650)</f>
        <v>8650</v>
      </c>
      <c r="C945" s="2">
        <f ca="1">IFERROR(__xludf.DUMMYFUNCTION("""COMPUTED_VALUE"""),8775)</f>
        <v>8775</v>
      </c>
      <c r="D945" s="2">
        <f ca="1">IFERROR(__xludf.DUMMYFUNCTION("""COMPUTED_VALUE"""),8450)</f>
        <v>8450</v>
      </c>
      <c r="E945" s="2">
        <f ca="1">IFERROR(__xludf.DUMMYFUNCTION("""COMPUTED_VALUE"""),8500)</f>
        <v>8500</v>
      </c>
      <c r="F945" s="2">
        <f ca="1">IFERROR(__xludf.DUMMYFUNCTION("""COMPUTED_VALUE"""),61222500)</f>
        <v>61222500</v>
      </c>
    </row>
    <row r="946" spans="1:6">
      <c r="A946" s="1">
        <f ca="1">IFERROR(__xludf.DUMMYFUNCTION("""COMPUTED_VALUE"""),43437.625)</f>
        <v>43437.625</v>
      </c>
      <c r="B946" s="2">
        <f ca="1">IFERROR(__xludf.DUMMYFUNCTION("""COMPUTED_VALUE"""),8700)</f>
        <v>8700</v>
      </c>
      <c r="C946" s="2">
        <f ca="1">IFERROR(__xludf.DUMMYFUNCTION("""COMPUTED_VALUE"""),8850)</f>
        <v>8850</v>
      </c>
      <c r="D946" s="2">
        <f ca="1">IFERROR(__xludf.DUMMYFUNCTION("""COMPUTED_VALUE"""),8700)</f>
        <v>8700</v>
      </c>
      <c r="E946" s="2">
        <f ca="1">IFERROR(__xludf.DUMMYFUNCTION("""COMPUTED_VALUE"""),8750)</f>
        <v>8750</v>
      </c>
      <c r="F946" s="2">
        <f ca="1">IFERROR(__xludf.DUMMYFUNCTION("""COMPUTED_VALUE"""),36429900)</f>
        <v>36429900</v>
      </c>
    </row>
    <row r="947" spans="1:6">
      <c r="A947" s="1">
        <f ca="1">IFERROR(__xludf.DUMMYFUNCTION("""COMPUTED_VALUE"""),43438.625)</f>
        <v>43438.625</v>
      </c>
      <c r="B947" s="2">
        <f ca="1">IFERROR(__xludf.DUMMYFUNCTION("""COMPUTED_VALUE"""),8550)</f>
        <v>8550</v>
      </c>
      <c r="C947" s="2">
        <f ca="1">IFERROR(__xludf.DUMMYFUNCTION("""COMPUTED_VALUE"""),8825)</f>
        <v>8825</v>
      </c>
      <c r="D947" s="2">
        <f ca="1">IFERROR(__xludf.DUMMYFUNCTION("""COMPUTED_VALUE"""),8550)</f>
        <v>8550</v>
      </c>
      <c r="E947" s="2">
        <f ca="1">IFERROR(__xludf.DUMMYFUNCTION("""COMPUTED_VALUE"""),8800)</f>
        <v>8800</v>
      </c>
      <c r="F947" s="2">
        <f ca="1">IFERROR(__xludf.DUMMYFUNCTION("""COMPUTED_VALUE"""),18719100)</f>
        <v>18719100</v>
      </c>
    </row>
    <row r="948" spans="1:6">
      <c r="A948" s="1">
        <f ca="1">IFERROR(__xludf.DUMMYFUNCTION("""COMPUTED_VALUE"""),43439.625)</f>
        <v>43439.625</v>
      </c>
      <c r="B948" s="2">
        <f ca="1">IFERROR(__xludf.DUMMYFUNCTION("""COMPUTED_VALUE"""),8600)</f>
        <v>8600</v>
      </c>
      <c r="C948" s="2">
        <f ca="1">IFERROR(__xludf.DUMMYFUNCTION("""COMPUTED_VALUE"""),8775)</f>
        <v>8775</v>
      </c>
      <c r="D948" s="2">
        <f ca="1">IFERROR(__xludf.DUMMYFUNCTION("""COMPUTED_VALUE"""),8550)</f>
        <v>8550</v>
      </c>
      <c r="E948" s="2">
        <f ca="1">IFERROR(__xludf.DUMMYFUNCTION("""COMPUTED_VALUE"""),8750)</f>
        <v>8750</v>
      </c>
      <c r="F948" s="2">
        <f ca="1">IFERROR(__xludf.DUMMYFUNCTION("""COMPUTED_VALUE"""),18095600)</f>
        <v>18095600</v>
      </c>
    </row>
    <row r="949" spans="1:6">
      <c r="A949" s="1">
        <f ca="1">IFERROR(__xludf.DUMMYFUNCTION("""COMPUTED_VALUE"""),43440.625)</f>
        <v>43440.625</v>
      </c>
      <c r="B949" s="2">
        <f ca="1">IFERROR(__xludf.DUMMYFUNCTION("""COMPUTED_VALUE"""),8650)</f>
        <v>8650</v>
      </c>
      <c r="C949" s="2">
        <f ca="1">IFERROR(__xludf.DUMMYFUNCTION("""COMPUTED_VALUE"""),8675)</f>
        <v>8675</v>
      </c>
      <c r="D949" s="2">
        <f ca="1">IFERROR(__xludf.DUMMYFUNCTION("""COMPUTED_VALUE"""),8525)</f>
        <v>8525</v>
      </c>
      <c r="E949" s="2">
        <f ca="1">IFERROR(__xludf.DUMMYFUNCTION("""COMPUTED_VALUE"""),8650)</f>
        <v>8650</v>
      </c>
      <c r="F949" s="2">
        <f ca="1">IFERROR(__xludf.DUMMYFUNCTION("""COMPUTED_VALUE"""),28786900)</f>
        <v>28786900</v>
      </c>
    </row>
    <row r="950" spans="1:6">
      <c r="A950" s="1">
        <f ca="1">IFERROR(__xludf.DUMMYFUNCTION("""COMPUTED_VALUE"""),43441.625)</f>
        <v>43441.625</v>
      </c>
      <c r="B950" s="2">
        <f ca="1">IFERROR(__xludf.DUMMYFUNCTION("""COMPUTED_VALUE"""),8550)</f>
        <v>8550</v>
      </c>
      <c r="C950" s="2">
        <f ca="1">IFERROR(__xludf.DUMMYFUNCTION("""COMPUTED_VALUE"""),8625)</f>
        <v>8625</v>
      </c>
      <c r="D950" s="2">
        <f ca="1">IFERROR(__xludf.DUMMYFUNCTION("""COMPUTED_VALUE"""),8450)</f>
        <v>8450</v>
      </c>
      <c r="E950" s="2">
        <f ca="1">IFERROR(__xludf.DUMMYFUNCTION("""COMPUTED_VALUE"""),8575)</f>
        <v>8575</v>
      </c>
      <c r="F950" s="2">
        <f ca="1">IFERROR(__xludf.DUMMYFUNCTION("""COMPUTED_VALUE"""),19653100)</f>
        <v>19653100</v>
      </c>
    </row>
    <row r="951" spans="1:6">
      <c r="A951" s="1">
        <f ca="1">IFERROR(__xludf.DUMMYFUNCTION("""COMPUTED_VALUE"""),43444.625)</f>
        <v>43444.625</v>
      </c>
      <c r="B951" s="2">
        <f ca="1">IFERROR(__xludf.DUMMYFUNCTION("""COMPUTED_VALUE"""),8450)</f>
        <v>8450</v>
      </c>
      <c r="C951" s="2">
        <f ca="1">IFERROR(__xludf.DUMMYFUNCTION("""COMPUTED_VALUE"""),8600)</f>
        <v>8600</v>
      </c>
      <c r="D951" s="2">
        <f ca="1">IFERROR(__xludf.DUMMYFUNCTION("""COMPUTED_VALUE"""),8425)</f>
        <v>8425</v>
      </c>
      <c r="E951" s="2">
        <f ca="1">IFERROR(__xludf.DUMMYFUNCTION("""COMPUTED_VALUE"""),8575)</f>
        <v>8575</v>
      </c>
      <c r="F951" s="2">
        <f ca="1">IFERROR(__xludf.DUMMYFUNCTION("""COMPUTED_VALUE"""),11322800)</f>
        <v>11322800</v>
      </c>
    </row>
    <row r="952" spans="1:6">
      <c r="A952" s="1">
        <f ca="1">IFERROR(__xludf.DUMMYFUNCTION("""COMPUTED_VALUE"""),43445.625)</f>
        <v>43445.625</v>
      </c>
      <c r="B952" s="2">
        <f ca="1">IFERROR(__xludf.DUMMYFUNCTION("""COMPUTED_VALUE"""),8575)</f>
        <v>8575</v>
      </c>
      <c r="C952" s="2">
        <f ca="1">IFERROR(__xludf.DUMMYFUNCTION("""COMPUTED_VALUE"""),8600)</f>
        <v>8600</v>
      </c>
      <c r="D952" s="2">
        <f ca="1">IFERROR(__xludf.DUMMYFUNCTION("""COMPUTED_VALUE"""),8450)</f>
        <v>8450</v>
      </c>
      <c r="E952" s="2">
        <f ca="1">IFERROR(__xludf.DUMMYFUNCTION("""COMPUTED_VALUE"""),8450)</f>
        <v>8450</v>
      </c>
      <c r="F952" s="2">
        <f ca="1">IFERROR(__xludf.DUMMYFUNCTION("""COMPUTED_VALUE"""),18484800)</f>
        <v>18484800</v>
      </c>
    </row>
    <row r="953" spans="1:6">
      <c r="A953" s="1">
        <f ca="1">IFERROR(__xludf.DUMMYFUNCTION("""COMPUTED_VALUE"""),43446.625)</f>
        <v>43446.625</v>
      </c>
      <c r="B953" s="2">
        <f ca="1">IFERROR(__xludf.DUMMYFUNCTION("""COMPUTED_VALUE"""),8500)</f>
        <v>8500</v>
      </c>
      <c r="C953" s="2">
        <f ca="1">IFERROR(__xludf.DUMMYFUNCTION("""COMPUTED_VALUE"""),8550)</f>
        <v>8550</v>
      </c>
      <c r="D953" s="2">
        <f ca="1">IFERROR(__xludf.DUMMYFUNCTION("""COMPUTED_VALUE"""),8425)</f>
        <v>8425</v>
      </c>
      <c r="E953" s="2">
        <f ca="1">IFERROR(__xludf.DUMMYFUNCTION("""COMPUTED_VALUE"""),8450)</f>
        <v>8450</v>
      </c>
      <c r="F953" s="2">
        <f ca="1">IFERROR(__xludf.DUMMYFUNCTION("""COMPUTED_VALUE"""),22598000)</f>
        <v>22598000</v>
      </c>
    </row>
    <row r="954" spans="1:6">
      <c r="A954" s="1">
        <f ca="1">IFERROR(__xludf.DUMMYFUNCTION("""COMPUTED_VALUE"""),43447.625)</f>
        <v>43447.625</v>
      </c>
      <c r="B954" s="2">
        <f ca="1">IFERROR(__xludf.DUMMYFUNCTION("""COMPUTED_VALUE"""),8450)</f>
        <v>8450</v>
      </c>
      <c r="C954" s="2">
        <f ca="1">IFERROR(__xludf.DUMMYFUNCTION("""COMPUTED_VALUE"""),8725)</f>
        <v>8725</v>
      </c>
      <c r="D954" s="2">
        <f ca="1">IFERROR(__xludf.DUMMYFUNCTION("""COMPUTED_VALUE"""),8425)</f>
        <v>8425</v>
      </c>
      <c r="E954" s="2">
        <f ca="1">IFERROR(__xludf.DUMMYFUNCTION("""COMPUTED_VALUE"""),8550)</f>
        <v>8550</v>
      </c>
      <c r="F954" s="2">
        <f ca="1">IFERROR(__xludf.DUMMYFUNCTION("""COMPUTED_VALUE"""),34065100)</f>
        <v>34065100</v>
      </c>
    </row>
    <row r="955" spans="1:6">
      <c r="A955" s="1">
        <f ca="1">IFERROR(__xludf.DUMMYFUNCTION("""COMPUTED_VALUE"""),43448.625)</f>
        <v>43448.625</v>
      </c>
      <c r="B955" s="2">
        <f ca="1">IFERROR(__xludf.DUMMYFUNCTION("""COMPUTED_VALUE"""),8500)</f>
        <v>8500</v>
      </c>
      <c r="C955" s="2">
        <f ca="1">IFERROR(__xludf.DUMMYFUNCTION("""COMPUTED_VALUE"""),8650)</f>
        <v>8650</v>
      </c>
      <c r="D955" s="2">
        <f ca="1">IFERROR(__xludf.DUMMYFUNCTION("""COMPUTED_VALUE"""),8475)</f>
        <v>8475</v>
      </c>
      <c r="E955" s="2">
        <f ca="1">IFERROR(__xludf.DUMMYFUNCTION("""COMPUTED_VALUE"""),8600)</f>
        <v>8600</v>
      </c>
      <c r="F955" s="2">
        <f ca="1">IFERROR(__xludf.DUMMYFUNCTION("""COMPUTED_VALUE"""),20191000)</f>
        <v>20191000</v>
      </c>
    </row>
    <row r="956" spans="1:6">
      <c r="A956" s="1">
        <f ca="1">IFERROR(__xludf.DUMMYFUNCTION("""COMPUTED_VALUE"""),43451.625)</f>
        <v>43451.625</v>
      </c>
      <c r="B956" s="2">
        <f ca="1">IFERROR(__xludf.DUMMYFUNCTION("""COMPUTED_VALUE"""),8600)</f>
        <v>8600</v>
      </c>
      <c r="C956" s="2">
        <f ca="1">IFERROR(__xludf.DUMMYFUNCTION("""COMPUTED_VALUE"""),8600)</f>
        <v>8600</v>
      </c>
      <c r="D956" s="2">
        <f ca="1">IFERROR(__xludf.DUMMYFUNCTION("""COMPUTED_VALUE"""),8450)</f>
        <v>8450</v>
      </c>
      <c r="E956" s="2">
        <f ca="1">IFERROR(__xludf.DUMMYFUNCTION("""COMPUTED_VALUE"""),8575)</f>
        <v>8575</v>
      </c>
      <c r="F956" s="2">
        <f ca="1">IFERROR(__xludf.DUMMYFUNCTION("""COMPUTED_VALUE"""),21389900)</f>
        <v>21389900</v>
      </c>
    </row>
    <row r="957" spans="1:6">
      <c r="A957" s="1">
        <f ca="1">IFERROR(__xludf.DUMMYFUNCTION("""COMPUTED_VALUE"""),43452.625)</f>
        <v>43452.625</v>
      </c>
      <c r="B957" s="2">
        <f ca="1">IFERROR(__xludf.DUMMYFUNCTION("""COMPUTED_VALUE"""),8550)</f>
        <v>8550</v>
      </c>
      <c r="C957" s="2">
        <f ca="1">IFERROR(__xludf.DUMMYFUNCTION("""COMPUTED_VALUE"""),8650)</f>
        <v>8650</v>
      </c>
      <c r="D957" s="2">
        <f ca="1">IFERROR(__xludf.DUMMYFUNCTION("""COMPUTED_VALUE"""),8475)</f>
        <v>8475</v>
      </c>
      <c r="E957" s="2">
        <f ca="1">IFERROR(__xludf.DUMMYFUNCTION("""COMPUTED_VALUE"""),8625)</f>
        <v>8625</v>
      </c>
      <c r="F957" s="2">
        <f ca="1">IFERROR(__xludf.DUMMYFUNCTION("""COMPUTED_VALUE"""),15900900)</f>
        <v>15900900</v>
      </c>
    </row>
    <row r="958" spans="1:6">
      <c r="A958" s="1">
        <f ca="1">IFERROR(__xludf.DUMMYFUNCTION("""COMPUTED_VALUE"""),43453.625)</f>
        <v>43453.625</v>
      </c>
      <c r="B958" s="2">
        <f ca="1">IFERROR(__xludf.DUMMYFUNCTION("""COMPUTED_VALUE"""),8675)</f>
        <v>8675</v>
      </c>
      <c r="C958" s="2">
        <f ca="1">IFERROR(__xludf.DUMMYFUNCTION("""COMPUTED_VALUE"""),8725)</f>
        <v>8725</v>
      </c>
      <c r="D958" s="2">
        <f ca="1">IFERROR(__xludf.DUMMYFUNCTION("""COMPUTED_VALUE"""),8625)</f>
        <v>8625</v>
      </c>
      <c r="E958" s="2">
        <f ca="1">IFERROR(__xludf.DUMMYFUNCTION("""COMPUTED_VALUE"""),8700)</f>
        <v>8700</v>
      </c>
      <c r="F958" s="2">
        <f ca="1">IFERROR(__xludf.DUMMYFUNCTION("""COMPUTED_VALUE"""),24321400)</f>
        <v>24321400</v>
      </c>
    </row>
    <row r="959" spans="1:6">
      <c r="A959" s="1">
        <f ca="1">IFERROR(__xludf.DUMMYFUNCTION("""COMPUTED_VALUE"""),43454.625)</f>
        <v>43454.625</v>
      </c>
      <c r="B959" s="2">
        <f ca="1">IFERROR(__xludf.DUMMYFUNCTION("""COMPUTED_VALUE"""),8650)</f>
        <v>8650</v>
      </c>
      <c r="C959" s="2">
        <f ca="1">IFERROR(__xludf.DUMMYFUNCTION("""COMPUTED_VALUE"""),8750)</f>
        <v>8750</v>
      </c>
      <c r="D959" s="2">
        <f ca="1">IFERROR(__xludf.DUMMYFUNCTION("""COMPUTED_VALUE"""),8625)</f>
        <v>8625</v>
      </c>
      <c r="E959" s="2">
        <f ca="1">IFERROR(__xludf.DUMMYFUNCTION("""COMPUTED_VALUE"""),8675)</f>
        <v>8675</v>
      </c>
      <c r="F959" s="2">
        <f ca="1">IFERROR(__xludf.DUMMYFUNCTION("""COMPUTED_VALUE"""),14764800)</f>
        <v>14764800</v>
      </c>
    </row>
    <row r="960" spans="1:6">
      <c r="A960" s="1">
        <f ca="1">IFERROR(__xludf.DUMMYFUNCTION("""COMPUTED_VALUE"""),43455.625)</f>
        <v>43455.625</v>
      </c>
      <c r="B960" s="2">
        <f ca="1">IFERROR(__xludf.DUMMYFUNCTION("""COMPUTED_VALUE"""),8600)</f>
        <v>8600</v>
      </c>
      <c r="C960" s="2">
        <f ca="1">IFERROR(__xludf.DUMMYFUNCTION("""COMPUTED_VALUE"""),8700)</f>
        <v>8700</v>
      </c>
      <c r="D960" s="2">
        <f ca="1">IFERROR(__xludf.DUMMYFUNCTION("""COMPUTED_VALUE"""),8600)</f>
        <v>8600</v>
      </c>
      <c r="E960" s="2">
        <f ca="1">IFERROR(__xludf.DUMMYFUNCTION("""COMPUTED_VALUE"""),8675)</f>
        <v>8675</v>
      </c>
      <c r="F960" s="2">
        <f ca="1">IFERROR(__xludf.DUMMYFUNCTION("""COMPUTED_VALUE"""),16475800)</f>
        <v>16475800</v>
      </c>
    </row>
    <row r="961" spans="1:6">
      <c r="A961" s="1">
        <f ca="1">IFERROR(__xludf.DUMMYFUNCTION("""COMPUTED_VALUE"""),43460.625)</f>
        <v>43460.625</v>
      </c>
      <c r="B961" s="2">
        <f ca="1">IFERROR(__xludf.DUMMYFUNCTION("""COMPUTED_VALUE"""),8600)</f>
        <v>8600</v>
      </c>
      <c r="C961" s="2">
        <f ca="1">IFERROR(__xludf.DUMMYFUNCTION("""COMPUTED_VALUE"""),8775)</f>
        <v>8775</v>
      </c>
      <c r="D961" s="2">
        <f ca="1">IFERROR(__xludf.DUMMYFUNCTION("""COMPUTED_VALUE"""),8575)</f>
        <v>8575</v>
      </c>
      <c r="E961" s="2">
        <f ca="1">IFERROR(__xludf.DUMMYFUNCTION("""COMPUTED_VALUE"""),8700)</f>
        <v>8700</v>
      </c>
      <c r="F961" s="2">
        <f ca="1">IFERROR(__xludf.DUMMYFUNCTION("""COMPUTED_VALUE"""),12889100)</f>
        <v>12889100</v>
      </c>
    </row>
    <row r="962" spans="1:6">
      <c r="A962" s="1">
        <f ca="1">IFERROR(__xludf.DUMMYFUNCTION("""COMPUTED_VALUE"""),43461.625)</f>
        <v>43461.625</v>
      </c>
      <c r="B962" s="2">
        <f ca="1">IFERROR(__xludf.DUMMYFUNCTION("""COMPUTED_VALUE"""),8800)</f>
        <v>8800</v>
      </c>
      <c r="C962" s="2">
        <f ca="1">IFERROR(__xludf.DUMMYFUNCTION("""COMPUTED_VALUE"""),8800)</f>
        <v>8800</v>
      </c>
      <c r="D962" s="2">
        <f ca="1">IFERROR(__xludf.DUMMYFUNCTION("""COMPUTED_VALUE"""),8700)</f>
        <v>8700</v>
      </c>
      <c r="E962" s="2">
        <f ca="1">IFERROR(__xludf.DUMMYFUNCTION("""COMPUTED_VALUE"""),8800)</f>
        <v>8800</v>
      </c>
      <c r="F962" s="2">
        <f ca="1">IFERROR(__xludf.DUMMYFUNCTION("""COMPUTED_VALUE"""),15964900)</f>
        <v>15964900</v>
      </c>
    </row>
    <row r="963" spans="1:6">
      <c r="A963" s="1">
        <f ca="1">IFERROR(__xludf.DUMMYFUNCTION("""COMPUTED_VALUE"""),43462.625)</f>
        <v>43462.625</v>
      </c>
      <c r="B963" s="2">
        <f ca="1">IFERROR(__xludf.DUMMYFUNCTION("""COMPUTED_VALUE"""),8825)</f>
        <v>8825</v>
      </c>
      <c r="C963" s="2">
        <f ca="1">IFERROR(__xludf.DUMMYFUNCTION("""COMPUTED_VALUE"""),8825)</f>
        <v>8825</v>
      </c>
      <c r="D963" s="2">
        <f ca="1">IFERROR(__xludf.DUMMYFUNCTION("""COMPUTED_VALUE"""),8750)</f>
        <v>8750</v>
      </c>
      <c r="E963" s="2">
        <f ca="1">IFERROR(__xludf.DUMMYFUNCTION("""COMPUTED_VALUE"""),8800)</f>
        <v>8800</v>
      </c>
      <c r="F963" s="2">
        <f ca="1">IFERROR(__xludf.DUMMYFUNCTION("""COMPUTED_VALUE"""),16215800)</f>
        <v>16215800</v>
      </c>
    </row>
    <row r="964" spans="1:6">
      <c r="A964" s="1">
        <f ca="1">IFERROR(__xludf.DUMMYFUNCTION("""COMPUTED_VALUE"""),43467.625)</f>
        <v>43467.625</v>
      </c>
      <c r="B964" s="2">
        <f ca="1">IFERROR(__xludf.DUMMYFUNCTION("""COMPUTED_VALUE"""),8800)</f>
        <v>8800</v>
      </c>
      <c r="C964" s="2">
        <f ca="1">IFERROR(__xludf.DUMMYFUNCTION("""COMPUTED_VALUE"""),8800)</f>
        <v>8800</v>
      </c>
      <c r="D964" s="2">
        <f ca="1">IFERROR(__xludf.DUMMYFUNCTION("""COMPUTED_VALUE"""),8675)</f>
        <v>8675</v>
      </c>
      <c r="E964" s="2">
        <f ca="1">IFERROR(__xludf.DUMMYFUNCTION("""COMPUTED_VALUE"""),8725)</f>
        <v>8725</v>
      </c>
      <c r="F964" s="2">
        <f ca="1">IFERROR(__xludf.DUMMYFUNCTION("""COMPUTED_VALUE"""),7840600)</f>
        <v>7840600</v>
      </c>
    </row>
    <row r="965" spans="1:6">
      <c r="A965" s="1">
        <f ca="1">IFERROR(__xludf.DUMMYFUNCTION("""COMPUTED_VALUE"""),43468.625)</f>
        <v>43468.625</v>
      </c>
      <c r="B965" s="2">
        <f ca="1">IFERROR(__xludf.DUMMYFUNCTION("""COMPUTED_VALUE"""),8675)</f>
        <v>8675</v>
      </c>
      <c r="C965" s="2">
        <f ca="1">IFERROR(__xludf.DUMMYFUNCTION("""COMPUTED_VALUE"""),8775)</f>
        <v>8775</v>
      </c>
      <c r="D965" s="2">
        <f ca="1">IFERROR(__xludf.DUMMYFUNCTION("""COMPUTED_VALUE"""),8650)</f>
        <v>8650</v>
      </c>
      <c r="E965" s="2">
        <f ca="1">IFERROR(__xludf.DUMMYFUNCTION("""COMPUTED_VALUE"""),8725)</f>
        <v>8725</v>
      </c>
      <c r="F965" s="2">
        <f ca="1">IFERROR(__xludf.DUMMYFUNCTION("""COMPUTED_VALUE"""),10708300)</f>
        <v>10708300</v>
      </c>
    </row>
    <row r="966" spans="1:6">
      <c r="A966" s="1">
        <f ca="1">IFERROR(__xludf.DUMMYFUNCTION("""COMPUTED_VALUE"""),43469.625)</f>
        <v>43469.625</v>
      </c>
      <c r="B966" s="2">
        <f ca="1">IFERROR(__xludf.DUMMYFUNCTION("""COMPUTED_VALUE"""),8725)</f>
        <v>8725</v>
      </c>
      <c r="C966" s="2">
        <f ca="1">IFERROR(__xludf.DUMMYFUNCTION("""COMPUTED_VALUE"""),8800)</f>
        <v>8800</v>
      </c>
      <c r="D966" s="2">
        <f ca="1">IFERROR(__xludf.DUMMYFUNCTION("""COMPUTED_VALUE"""),8675)</f>
        <v>8675</v>
      </c>
      <c r="E966" s="2">
        <f ca="1">IFERROR(__xludf.DUMMYFUNCTION("""COMPUTED_VALUE"""),8725)</f>
        <v>8725</v>
      </c>
      <c r="F966" s="2">
        <f ca="1">IFERROR(__xludf.DUMMYFUNCTION("""COMPUTED_VALUE"""),20539300)</f>
        <v>20539300</v>
      </c>
    </row>
    <row r="967" spans="1:6">
      <c r="A967" s="1">
        <f ca="1">IFERROR(__xludf.DUMMYFUNCTION("""COMPUTED_VALUE"""),43472.625)</f>
        <v>43472.625</v>
      </c>
      <c r="B967" s="2">
        <f ca="1">IFERROR(__xludf.DUMMYFUNCTION("""COMPUTED_VALUE"""),8825)</f>
        <v>8825</v>
      </c>
      <c r="C967" s="2">
        <f ca="1">IFERROR(__xludf.DUMMYFUNCTION("""COMPUTED_VALUE"""),8925)</f>
        <v>8925</v>
      </c>
      <c r="D967" s="2">
        <f ca="1">IFERROR(__xludf.DUMMYFUNCTION("""COMPUTED_VALUE"""),8825)</f>
        <v>8825</v>
      </c>
      <c r="E967" s="2">
        <f ca="1">IFERROR(__xludf.DUMMYFUNCTION("""COMPUTED_VALUE"""),8875)</f>
        <v>8875</v>
      </c>
      <c r="F967" s="2">
        <f ca="1">IFERROR(__xludf.DUMMYFUNCTION("""COMPUTED_VALUE"""),24054100)</f>
        <v>24054100</v>
      </c>
    </row>
    <row r="968" spans="1:6">
      <c r="A968" s="1">
        <f ca="1">IFERROR(__xludf.DUMMYFUNCTION("""COMPUTED_VALUE"""),43473.625)</f>
        <v>43473.625</v>
      </c>
      <c r="B968" s="2">
        <f ca="1">IFERROR(__xludf.DUMMYFUNCTION("""COMPUTED_VALUE"""),8875)</f>
        <v>8875</v>
      </c>
      <c r="C968" s="2">
        <f ca="1">IFERROR(__xludf.DUMMYFUNCTION("""COMPUTED_VALUE"""),8950)</f>
        <v>8950</v>
      </c>
      <c r="D968" s="2">
        <f ca="1">IFERROR(__xludf.DUMMYFUNCTION("""COMPUTED_VALUE"""),8800)</f>
        <v>8800</v>
      </c>
      <c r="E968" s="2">
        <f ca="1">IFERROR(__xludf.DUMMYFUNCTION("""COMPUTED_VALUE"""),8900)</f>
        <v>8900</v>
      </c>
      <c r="F968" s="2">
        <f ca="1">IFERROR(__xludf.DUMMYFUNCTION("""COMPUTED_VALUE"""),22972900)</f>
        <v>22972900</v>
      </c>
    </row>
    <row r="969" spans="1:6">
      <c r="A969" s="1">
        <f ca="1">IFERROR(__xludf.DUMMYFUNCTION("""COMPUTED_VALUE"""),43474.625)</f>
        <v>43474.625</v>
      </c>
      <c r="B969" s="2">
        <f ca="1">IFERROR(__xludf.DUMMYFUNCTION("""COMPUTED_VALUE"""),8950)</f>
        <v>8950</v>
      </c>
      <c r="C969" s="2">
        <f ca="1">IFERROR(__xludf.DUMMYFUNCTION("""COMPUTED_VALUE"""),8950)</f>
        <v>8950</v>
      </c>
      <c r="D969" s="2">
        <f ca="1">IFERROR(__xludf.DUMMYFUNCTION("""COMPUTED_VALUE"""),8825)</f>
        <v>8825</v>
      </c>
      <c r="E969" s="2">
        <f ca="1">IFERROR(__xludf.DUMMYFUNCTION("""COMPUTED_VALUE"""),8850)</f>
        <v>8850</v>
      </c>
      <c r="F969" s="2">
        <f ca="1">IFERROR(__xludf.DUMMYFUNCTION("""COMPUTED_VALUE"""),25242000)</f>
        <v>25242000</v>
      </c>
    </row>
    <row r="970" spans="1:6">
      <c r="A970" s="1">
        <f ca="1">IFERROR(__xludf.DUMMYFUNCTION("""COMPUTED_VALUE"""),43475.625)</f>
        <v>43475.625</v>
      </c>
      <c r="B970" s="2">
        <f ca="1">IFERROR(__xludf.DUMMYFUNCTION("""COMPUTED_VALUE"""),8925)</f>
        <v>8925</v>
      </c>
      <c r="C970" s="2">
        <f ca="1">IFERROR(__xludf.DUMMYFUNCTION("""COMPUTED_VALUE"""),8925)</f>
        <v>8925</v>
      </c>
      <c r="D970" s="2">
        <f ca="1">IFERROR(__xludf.DUMMYFUNCTION("""COMPUTED_VALUE"""),8800)</f>
        <v>8800</v>
      </c>
      <c r="E970" s="2">
        <f ca="1">IFERROR(__xludf.DUMMYFUNCTION("""COMPUTED_VALUE"""),8850)</f>
        <v>8850</v>
      </c>
      <c r="F970" s="2">
        <f ca="1">IFERROR(__xludf.DUMMYFUNCTION("""COMPUTED_VALUE"""),22210700)</f>
        <v>22210700</v>
      </c>
    </row>
    <row r="971" spans="1:6">
      <c r="A971" s="1">
        <f ca="1">IFERROR(__xludf.DUMMYFUNCTION("""COMPUTED_VALUE"""),43476.625)</f>
        <v>43476.625</v>
      </c>
      <c r="B971" s="2">
        <f ca="1">IFERROR(__xludf.DUMMYFUNCTION("""COMPUTED_VALUE"""),8950)</f>
        <v>8950</v>
      </c>
      <c r="C971" s="2">
        <f ca="1">IFERROR(__xludf.DUMMYFUNCTION("""COMPUTED_VALUE"""),8975)</f>
        <v>8975</v>
      </c>
      <c r="D971" s="2">
        <f ca="1">IFERROR(__xludf.DUMMYFUNCTION("""COMPUTED_VALUE"""),8900)</f>
        <v>8900</v>
      </c>
      <c r="E971" s="2">
        <f ca="1">IFERROR(__xludf.DUMMYFUNCTION("""COMPUTED_VALUE"""),8925)</f>
        <v>8925</v>
      </c>
      <c r="F971" s="2">
        <f ca="1">IFERROR(__xludf.DUMMYFUNCTION("""COMPUTED_VALUE"""),23608500)</f>
        <v>23608500</v>
      </c>
    </row>
    <row r="972" spans="1:6">
      <c r="A972" s="1">
        <f ca="1">IFERROR(__xludf.DUMMYFUNCTION("""COMPUTED_VALUE"""),43479.625)</f>
        <v>43479.625</v>
      </c>
      <c r="B972" s="2">
        <f ca="1">IFERROR(__xludf.DUMMYFUNCTION("""COMPUTED_VALUE"""),8975)</f>
        <v>8975</v>
      </c>
      <c r="C972" s="2">
        <f ca="1">IFERROR(__xludf.DUMMYFUNCTION("""COMPUTED_VALUE"""),8975)</f>
        <v>8975</v>
      </c>
      <c r="D972" s="2">
        <f ca="1">IFERROR(__xludf.DUMMYFUNCTION("""COMPUTED_VALUE"""),8850)</f>
        <v>8850</v>
      </c>
      <c r="E972" s="2">
        <f ca="1">IFERROR(__xludf.DUMMYFUNCTION("""COMPUTED_VALUE"""),8875)</f>
        <v>8875</v>
      </c>
      <c r="F972" s="2">
        <f ca="1">IFERROR(__xludf.DUMMYFUNCTION("""COMPUTED_VALUE"""),13351400)</f>
        <v>13351400</v>
      </c>
    </row>
    <row r="973" spans="1:6">
      <c r="A973" s="1">
        <f ca="1">IFERROR(__xludf.DUMMYFUNCTION("""COMPUTED_VALUE"""),43480.625)</f>
        <v>43480.625</v>
      </c>
      <c r="B973" s="2">
        <f ca="1">IFERROR(__xludf.DUMMYFUNCTION("""COMPUTED_VALUE"""),8875)</f>
        <v>8875</v>
      </c>
      <c r="C973" s="2">
        <f ca="1">IFERROR(__xludf.DUMMYFUNCTION("""COMPUTED_VALUE"""),9100)</f>
        <v>9100</v>
      </c>
      <c r="D973" s="2">
        <f ca="1">IFERROR(__xludf.DUMMYFUNCTION("""COMPUTED_VALUE"""),8850)</f>
        <v>8850</v>
      </c>
      <c r="E973" s="2">
        <f ca="1">IFERROR(__xludf.DUMMYFUNCTION("""COMPUTED_VALUE"""),9000)</f>
        <v>9000</v>
      </c>
      <c r="F973" s="2">
        <f ca="1">IFERROR(__xludf.DUMMYFUNCTION("""COMPUTED_VALUE"""),24973700)</f>
        <v>24973700</v>
      </c>
    </row>
    <row r="974" spans="1:6">
      <c r="A974" s="1">
        <f ca="1">IFERROR(__xludf.DUMMYFUNCTION("""COMPUTED_VALUE"""),43481.625)</f>
        <v>43481.625</v>
      </c>
      <c r="B974" s="2">
        <f ca="1">IFERROR(__xludf.DUMMYFUNCTION("""COMPUTED_VALUE"""),9050)</f>
        <v>9050</v>
      </c>
      <c r="C974" s="2">
        <f ca="1">IFERROR(__xludf.DUMMYFUNCTION("""COMPUTED_VALUE"""),9250)</f>
        <v>9250</v>
      </c>
      <c r="D974" s="2">
        <f ca="1">IFERROR(__xludf.DUMMYFUNCTION("""COMPUTED_VALUE"""),9000)</f>
        <v>9000</v>
      </c>
      <c r="E974" s="2">
        <f ca="1">IFERROR(__xludf.DUMMYFUNCTION("""COMPUTED_VALUE"""),9250)</f>
        <v>9250</v>
      </c>
      <c r="F974" s="2">
        <f ca="1">IFERROR(__xludf.DUMMYFUNCTION("""COMPUTED_VALUE"""),29044900)</f>
        <v>29044900</v>
      </c>
    </row>
    <row r="975" spans="1:6">
      <c r="A975" s="1">
        <f ca="1">IFERROR(__xludf.DUMMYFUNCTION("""COMPUTED_VALUE"""),43482.625)</f>
        <v>43482.625</v>
      </c>
      <c r="B975" s="2">
        <f ca="1">IFERROR(__xludf.DUMMYFUNCTION("""COMPUTED_VALUE"""),9225)</f>
        <v>9225</v>
      </c>
      <c r="C975" s="2">
        <f ca="1">IFERROR(__xludf.DUMMYFUNCTION("""COMPUTED_VALUE"""),9325)</f>
        <v>9325</v>
      </c>
      <c r="D975" s="2">
        <f ca="1">IFERROR(__xludf.DUMMYFUNCTION("""COMPUTED_VALUE"""),9150)</f>
        <v>9150</v>
      </c>
      <c r="E975" s="2">
        <f ca="1">IFERROR(__xludf.DUMMYFUNCTION("""COMPUTED_VALUE"""),9250)</f>
        <v>9250</v>
      </c>
      <c r="F975" s="2">
        <f ca="1">IFERROR(__xludf.DUMMYFUNCTION("""COMPUTED_VALUE"""),23886800)</f>
        <v>23886800</v>
      </c>
    </row>
    <row r="976" spans="1:6">
      <c r="A976" s="1">
        <f ca="1">IFERROR(__xludf.DUMMYFUNCTION("""COMPUTED_VALUE"""),43483.625)</f>
        <v>43483.625</v>
      </c>
      <c r="B976" s="2">
        <f ca="1">IFERROR(__xludf.DUMMYFUNCTION("""COMPUTED_VALUE"""),9300)</f>
        <v>9300</v>
      </c>
      <c r="C976" s="2">
        <f ca="1">IFERROR(__xludf.DUMMYFUNCTION("""COMPUTED_VALUE"""),9400)</f>
        <v>9400</v>
      </c>
      <c r="D976" s="2">
        <f ca="1">IFERROR(__xludf.DUMMYFUNCTION("""COMPUTED_VALUE"""),9200)</f>
        <v>9200</v>
      </c>
      <c r="E976" s="2">
        <f ca="1">IFERROR(__xludf.DUMMYFUNCTION("""COMPUTED_VALUE"""),9400)</f>
        <v>9400</v>
      </c>
      <c r="F976" s="2">
        <f ca="1">IFERROR(__xludf.DUMMYFUNCTION("""COMPUTED_VALUE"""),19683000)</f>
        <v>19683000</v>
      </c>
    </row>
    <row r="977" spans="1:6">
      <c r="A977" s="1">
        <f ca="1">IFERROR(__xludf.DUMMYFUNCTION("""COMPUTED_VALUE"""),43486.625)</f>
        <v>43486.625</v>
      </c>
      <c r="B977" s="2">
        <f ca="1">IFERROR(__xludf.DUMMYFUNCTION("""COMPUTED_VALUE"""),9200)</f>
        <v>9200</v>
      </c>
      <c r="C977" s="2">
        <f ca="1">IFERROR(__xludf.DUMMYFUNCTION("""COMPUTED_VALUE"""),9375)</f>
        <v>9375</v>
      </c>
      <c r="D977" s="2">
        <f ca="1">IFERROR(__xludf.DUMMYFUNCTION("""COMPUTED_VALUE"""),9200)</f>
        <v>9200</v>
      </c>
      <c r="E977" s="2">
        <f ca="1">IFERROR(__xludf.DUMMYFUNCTION("""COMPUTED_VALUE"""),9225)</f>
        <v>9225</v>
      </c>
      <c r="F977" s="2">
        <f ca="1">IFERROR(__xludf.DUMMYFUNCTION("""COMPUTED_VALUE"""),16698700)</f>
        <v>16698700</v>
      </c>
    </row>
    <row r="978" spans="1:6">
      <c r="A978" s="1">
        <f ca="1">IFERROR(__xludf.DUMMYFUNCTION("""COMPUTED_VALUE"""),43487.625)</f>
        <v>43487.625</v>
      </c>
      <c r="B978" s="2">
        <f ca="1">IFERROR(__xludf.DUMMYFUNCTION("""COMPUTED_VALUE"""),9225)</f>
        <v>9225</v>
      </c>
      <c r="C978" s="2">
        <f ca="1">IFERROR(__xludf.DUMMYFUNCTION("""COMPUTED_VALUE"""),9250)</f>
        <v>9250</v>
      </c>
      <c r="D978" s="2">
        <f ca="1">IFERROR(__xludf.DUMMYFUNCTION("""COMPUTED_VALUE"""),9175)</f>
        <v>9175</v>
      </c>
      <c r="E978" s="2">
        <f ca="1">IFERROR(__xludf.DUMMYFUNCTION("""COMPUTED_VALUE"""),9250)</f>
        <v>9250</v>
      </c>
      <c r="F978" s="2">
        <f ca="1">IFERROR(__xludf.DUMMYFUNCTION("""COMPUTED_VALUE"""),21063900)</f>
        <v>21063900</v>
      </c>
    </row>
    <row r="979" spans="1:6">
      <c r="A979" s="1">
        <f ca="1">IFERROR(__xludf.DUMMYFUNCTION("""COMPUTED_VALUE"""),43488.625)</f>
        <v>43488.625</v>
      </c>
      <c r="B979" s="2">
        <f ca="1">IFERROR(__xludf.DUMMYFUNCTION("""COMPUTED_VALUE"""),9175)</f>
        <v>9175</v>
      </c>
      <c r="C979" s="2">
        <f ca="1">IFERROR(__xludf.DUMMYFUNCTION("""COMPUTED_VALUE"""),9225)</f>
        <v>9225</v>
      </c>
      <c r="D979" s="2">
        <f ca="1">IFERROR(__xludf.DUMMYFUNCTION("""COMPUTED_VALUE"""),9025)</f>
        <v>9025</v>
      </c>
      <c r="E979" s="2">
        <f ca="1">IFERROR(__xludf.DUMMYFUNCTION("""COMPUTED_VALUE"""),9050)</f>
        <v>9050</v>
      </c>
      <c r="F979" s="2">
        <f ca="1">IFERROR(__xludf.DUMMYFUNCTION("""COMPUTED_VALUE"""),25873000)</f>
        <v>25873000</v>
      </c>
    </row>
    <row r="980" spans="1:6">
      <c r="A980" s="1">
        <f ca="1">IFERROR(__xludf.DUMMYFUNCTION("""COMPUTED_VALUE"""),43489.625)</f>
        <v>43489.625</v>
      </c>
      <c r="B980" s="2">
        <f ca="1">IFERROR(__xludf.DUMMYFUNCTION("""COMPUTED_VALUE"""),9050)</f>
        <v>9050</v>
      </c>
      <c r="C980" s="2">
        <f ca="1">IFERROR(__xludf.DUMMYFUNCTION("""COMPUTED_VALUE"""),9075)</f>
        <v>9075</v>
      </c>
      <c r="D980" s="2">
        <f ca="1">IFERROR(__xludf.DUMMYFUNCTION("""COMPUTED_VALUE"""),8975)</f>
        <v>8975</v>
      </c>
      <c r="E980" s="2">
        <f ca="1">IFERROR(__xludf.DUMMYFUNCTION("""COMPUTED_VALUE"""),9000)</f>
        <v>9000</v>
      </c>
      <c r="F980" s="2">
        <f ca="1">IFERROR(__xludf.DUMMYFUNCTION("""COMPUTED_VALUE"""),44157900)</f>
        <v>44157900</v>
      </c>
    </row>
    <row r="981" spans="1:6">
      <c r="A981" s="1">
        <f ca="1">IFERROR(__xludf.DUMMYFUNCTION("""COMPUTED_VALUE"""),43490.625)</f>
        <v>43490.625</v>
      </c>
      <c r="B981" s="2">
        <f ca="1">IFERROR(__xludf.DUMMYFUNCTION("""COMPUTED_VALUE"""),9025)</f>
        <v>9025</v>
      </c>
      <c r="C981" s="2">
        <f ca="1">IFERROR(__xludf.DUMMYFUNCTION("""COMPUTED_VALUE"""),9125)</f>
        <v>9125</v>
      </c>
      <c r="D981" s="2">
        <f ca="1">IFERROR(__xludf.DUMMYFUNCTION("""COMPUTED_VALUE"""),9000)</f>
        <v>9000</v>
      </c>
      <c r="E981" s="2">
        <f ca="1">IFERROR(__xludf.DUMMYFUNCTION("""COMPUTED_VALUE"""),9100)</f>
        <v>9100</v>
      </c>
      <c r="F981" s="2">
        <f ca="1">IFERROR(__xludf.DUMMYFUNCTION("""COMPUTED_VALUE"""),25550400)</f>
        <v>25550400</v>
      </c>
    </row>
    <row r="982" spans="1:6">
      <c r="A982" s="1">
        <f ca="1">IFERROR(__xludf.DUMMYFUNCTION("""COMPUTED_VALUE"""),43493.625)</f>
        <v>43493.625</v>
      </c>
      <c r="B982" s="2">
        <f ca="1">IFERROR(__xludf.DUMMYFUNCTION("""COMPUTED_VALUE"""),9100)</f>
        <v>9100</v>
      </c>
      <c r="C982" s="2">
        <f ca="1">IFERROR(__xludf.DUMMYFUNCTION("""COMPUTED_VALUE"""),9125)</f>
        <v>9125</v>
      </c>
      <c r="D982" s="2">
        <f ca="1">IFERROR(__xludf.DUMMYFUNCTION("""COMPUTED_VALUE"""),9050)</f>
        <v>9050</v>
      </c>
      <c r="E982" s="2">
        <f ca="1">IFERROR(__xludf.DUMMYFUNCTION("""COMPUTED_VALUE"""),9100)</f>
        <v>9100</v>
      </c>
      <c r="F982" s="2">
        <f ca="1">IFERROR(__xludf.DUMMYFUNCTION("""COMPUTED_VALUE"""),21099000)</f>
        <v>21099000</v>
      </c>
    </row>
    <row r="983" spans="1:6">
      <c r="A983" s="1">
        <f ca="1">IFERROR(__xludf.DUMMYFUNCTION("""COMPUTED_VALUE"""),43494.625)</f>
        <v>43494.625</v>
      </c>
      <c r="B983" s="2">
        <f ca="1">IFERROR(__xludf.DUMMYFUNCTION("""COMPUTED_VALUE"""),9050)</f>
        <v>9050</v>
      </c>
      <c r="C983" s="2">
        <f ca="1">IFERROR(__xludf.DUMMYFUNCTION("""COMPUTED_VALUE"""),9100)</f>
        <v>9100</v>
      </c>
      <c r="D983" s="2">
        <f ca="1">IFERROR(__xludf.DUMMYFUNCTION("""COMPUTED_VALUE"""),8925)</f>
        <v>8925</v>
      </c>
      <c r="E983" s="2">
        <f ca="1">IFERROR(__xludf.DUMMYFUNCTION("""COMPUTED_VALUE"""),9025)</f>
        <v>9025</v>
      </c>
      <c r="F983" s="2">
        <f ca="1">IFERROR(__xludf.DUMMYFUNCTION("""COMPUTED_VALUE"""),19041800)</f>
        <v>19041800</v>
      </c>
    </row>
    <row r="984" spans="1:6">
      <c r="A984" s="1">
        <f ca="1">IFERROR(__xludf.DUMMYFUNCTION("""COMPUTED_VALUE"""),43495.625)</f>
        <v>43495.625</v>
      </c>
      <c r="B984" s="2">
        <f ca="1">IFERROR(__xludf.DUMMYFUNCTION("""COMPUTED_VALUE"""),8900)</f>
        <v>8900</v>
      </c>
      <c r="C984" s="2">
        <f ca="1">IFERROR(__xludf.DUMMYFUNCTION("""COMPUTED_VALUE"""),9000)</f>
        <v>9000</v>
      </c>
      <c r="D984" s="2">
        <f ca="1">IFERROR(__xludf.DUMMYFUNCTION("""COMPUTED_VALUE"""),8900)</f>
        <v>8900</v>
      </c>
      <c r="E984" s="2">
        <f ca="1">IFERROR(__xludf.DUMMYFUNCTION("""COMPUTED_VALUE"""),9000)</f>
        <v>9000</v>
      </c>
      <c r="F984" s="2">
        <f ca="1">IFERROR(__xludf.DUMMYFUNCTION("""COMPUTED_VALUE"""),20201200)</f>
        <v>20201200</v>
      </c>
    </row>
    <row r="985" spans="1:6">
      <c r="A985" s="1">
        <f ca="1">IFERROR(__xludf.DUMMYFUNCTION("""COMPUTED_VALUE"""),43496.625)</f>
        <v>43496.625</v>
      </c>
      <c r="B985" s="2">
        <f ca="1">IFERROR(__xludf.DUMMYFUNCTION("""COMPUTED_VALUE"""),9000)</f>
        <v>9000</v>
      </c>
      <c r="C985" s="2">
        <f ca="1">IFERROR(__xludf.DUMMYFUNCTION("""COMPUTED_VALUE"""),9175)</f>
        <v>9175</v>
      </c>
      <c r="D985" s="2">
        <f ca="1">IFERROR(__xludf.DUMMYFUNCTION("""COMPUTED_VALUE"""),9000)</f>
        <v>9000</v>
      </c>
      <c r="E985" s="2">
        <f ca="1">IFERROR(__xludf.DUMMYFUNCTION("""COMPUTED_VALUE"""),9075)</f>
        <v>9075</v>
      </c>
      <c r="F985" s="2">
        <f ca="1">IFERROR(__xludf.DUMMYFUNCTION("""COMPUTED_VALUE"""),36206100)</f>
        <v>36206100</v>
      </c>
    </row>
    <row r="986" spans="1:6">
      <c r="A986" s="1">
        <f ca="1">IFERROR(__xludf.DUMMYFUNCTION("""COMPUTED_VALUE"""),43497.625)</f>
        <v>43497.625</v>
      </c>
      <c r="B986" s="2">
        <f ca="1">IFERROR(__xludf.DUMMYFUNCTION("""COMPUTED_VALUE"""),9100)</f>
        <v>9100</v>
      </c>
      <c r="C986" s="2">
        <f ca="1">IFERROR(__xludf.DUMMYFUNCTION("""COMPUTED_VALUE"""),9325)</f>
        <v>9325</v>
      </c>
      <c r="D986" s="2">
        <f ca="1">IFERROR(__xludf.DUMMYFUNCTION("""COMPUTED_VALUE"""),9075)</f>
        <v>9075</v>
      </c>
      <c r="E986" s="2">
        <f ca="1">IFERROR(__xludf.DUMMYFUNCTION("""COMPUTED_VALUE"""),9250)</f>
        <v>9250</v>
      </c>
      <c r="F986" s="2">
        <f ca="1">IFERROR(__xludf.DUMMYFUNCTION("""COMPUTED_VALUE"""),41779900)</f>
        <v>41779900</v>
      </c>
    </row>
    <row r="987" spans="1:6">
      <c r="A987" s="1">
        <f ca="1">IFERROR(__xludf.DUMMYFUNCTION("""COMPUTED_VALUE"""),43500.625)</f>
        <v>43500.625</v>
      </c>
      <c r="B987" s="2">
        <f ca="1">IFERROR(__xludf.DUMMYFUNCTION("""COMPUTED_VALUE"""),9250)</f>
        <v>9250</v>
      </c>
      <c r="C987" s="2">
        <f ca="1">IFERROR(__xludf.DUMMYFUNCTION("""COMPUTED_VALUE"""),9275)</f>
        <v>9275</v>
      </c>
      <c r="D987" s="2">
        <f ca="1">IFERROR(__xludf.DUMMYFUNCTION("""COMPUTED_VALUE"""),9100)</f>
        <v>9100</v>
      </c>
      <c r="E987" s="2">
        <f ca="1">IFERROR(__xludf.DUMMYFUNCTION("""COMPUTED_VALUE"""),9125)</f>
        <v>9125</v>
      </c>
      <c r="F987" s="2">
        <f ca="1">IFERROR(__xludf.DUMMYFUNCTION("""COMPUTED_VALUE"""),22538800)</f>
        <v>22538800</v>
      </c>
    </row>
    <row r="988" spans="1:6">
      <c r="A988" s="1">
        <f ca="1">IFERROR(__xludf.DUMMYFUNCTION("""COMPUTED_VALUE"""),43502.625)</f>
        <v>43502.625</v>
      </c>
      <c r="B988" s="2">
        <f ca="1">IFERROR(__xludf.DUMMYFUNCTION("""COMPUTED_VALUE"""),9125)</f>
        <v>9125</v>
      </c>
      <c r="C988" s="2">
        <f ca="1">IFERROR(__xludf.DUMMYFUNCTION("""COMPUTED_VALUE"""),9225)</f>
        <v>9225</v>
      </c>
      <c r="D988" s="2">
        <f ca="1">IFERROR(__xludf.DUMMYFUNCTION("""COMPUTED_VALUE"""),9100)</f>
        <v>9100</v>
      </c>
      <c r="E988" s="2">
        <f ca="1">IFERROR(__xludf.DUMMYFUNCTION("""COMPUTED_VALUE"""),9100)</f>
        <v>9100</v>
      </c>
      <c r="F988" s="2">
        <f ca="1">IFERROR(__xludf.DUMMYFUNCTION("""COMPUTED_VALUE"""),19683100)</f>
        <v>19683100</v>
      </c>
    </row>
    <row r="989" spans="1:6">
      <c r="A989" s="1">
        <f ca="1">IFERROR(__xludf.DUMMYFUNCTION("""COMPUTED_VALUE"""),43503.625)</f>
        <v>43503.625</v>
      </c>
      <c r="B989" s="2">
        <f ca="1">IFERROR(__xludf.DUMMYFUNCTION("""COMPUTED_VALUE"""),9100)</f>
        <v>9100</v>
      </c>
      <c r="C989" s="2">
        <f ca="1">IFERROR(__xludf.DUMMYFUNCTION("""COMPUTED_VALUE"""),9100)</f>
        <v>9100</v>
      </c>
      <c r="D989" s="2">
        <f ca="1">IFERROR(__xludf.DUMMYFUNCTION("""COMPUTED_VALUE"""),9025)</f>
        <v>9025</v>
      </c>
      <c r="E989" s="2">
        <f ca="1">IFERROR(__xludf.DUMMYFUNCTION("""COMPUTED_VALUE"""),9075)</f>
        <v>9075</v>
      </c>
      <c r="F989" s="2">
        <f ca="1">IFERROR(__xludf.DUMMYFUNCTION("""COMPUTED_VALUE"""),5928600)</f>
        <v>5928600</v>
      </c>
    </row>
    <row r="990" spans="1:6">
      <c r="A990" s="1">
        <f ca="1">IFERROR(__xludf.DUMMYFUNCTION("""COMPUTED_VALUE"""),43504.625)</f>
        <v>43504.625</v>
      </c>
      <c r="B990" s="2">
        <f ca="1">IFERROR(__xludf.DUMMYFUNCTION("""COMPUTED_VALUE"""),8950)</f>
        <v>8950</v>
      </c>
      <c r="C990" s="2">
        <f ca="1">IFERROR(__xludf.DUMMYFUNCTION("""COMPUTED_VALUE"""),9050)</f>
        <v>9050</v>
      </c>
      <c r="D990" s="2">
        <f ca="1">IFERROR(__xludf.DUMMYFUNCTION("""COMPUTED_VALUE"""),8925)</f>
        <v>8925</v>
      </c>
      <c r="E990" s="2">
        <f ca="1">IFERROR(__xludf.DUMMYFUNCTION("""COMPUTED_VALUE"""),8975)</f>
        <v>8975</v>
      </c>
      <c r="F990" s="2">
        <f ca="1">IFERROR(__xludf.DUMMYFUNCTION("""COMPUTED_VALUE"""),12925300)</f>
        <v>12925300</v>
      </c>
    </row>
    <row r="991" spans="1:6">
      <c r="A991" s="1">
        <f ca="1">IFERROR(__xludf.DUMMYFUNCTION("""COMPUTED_VALUE"""),43507.625)</f>
        <v>43507.625</v>
      </c>
      <c r="B991" s="2">
        <f ca="1">IFERROR(__xludf.DUMMYFUNCTION("""COMPUTED_VALUE"""),8950)</f>
        <v>8950</v>
      </c>
      <c r="C991" s="2">
        <f ca="1">IFERROR(__xludf.DUMMYFUNCTION("""COMPUTED_VALUE"""),9050)</f>
        <v>9050</v>
      </c>
      <c r="D991" s="2">
        <f ca="1">IFERROR(__xludf.DUMMYFUNCTION("""COMPUTED_VALUE"""),8900)</f>
        <v>8900</v>
      </c>
      <c r="E991" s="2">
        <f ca="1">IFERROR(__xludf.DUMMYFUNCTION("""COMPUTED_VALUE"""),9050)</f>
        <v>9050</v>
      </c>
      <c r="F991" s="2">
        <f ca="1">IFERROR(__xludf.DUMMYFUNCTION("""COMPUTED_VALUE"""),14771300)</f>
        <v>14771300</v>
      </c>
    </row>
    <row r="992" spans="1:6">
      <c r="A992" s="1">
        <f ca="1">IFERROR(__xludf.DUMMYFUNCTION("""COMPUTED_VALUE"""),43508.625)</f>
        <v>43508.625</v>
      </c>
      <c r="B992" s="2">
        <f ca="1">IFERROR(__xludf.DUMMYFUNCTION("""COMPUTED_VALUE"""),9050)</f>
        <v>9050</v>
      </c>
      <c r="C992" s="2">
        <f ca="1">IFERROR(__xludf.DUMMYFUNCTION("""COMPUTED_VALUE"""),9075)</f>
        <v>9075</v>
      </c>
      <c r="D992" s="2">
        <f ca="1">IFERROR(__xludf.DUMMYFUNCTION("""COMPUTED_VALUE"""),8900)</f>
        <v>8900</v>
      </c>
      <c r="E992" s="2">
        <f ca="1">IFERROR(__xludf.DUMMYFUNCTION("""COMPUTED_VALUE"""),8900)</f>
        <v>8900</v>
      </c>
      <c r="F992" s="2">
        <f ca="1">IFERROR(__xludf.DUMMYFUNCTION("""COMPUTED_VALUE"""),12847200)</f>
        <v>12847200</v>
      </c>
    </row>
    <row r="993" spans="1:6">
      <c r="A993" s="1">
        <f ca="1">IFERROR(__xludf.DUMMYFUNCTION("""COMPUTED_VALUE"""),43509.625)</f>
        <v>43509.625</v>
      </c>
      <c r="B993" s="2">
        <f ca="1">IFERROR(__xludf.DUMMYFUNCTION("""COMPUTED_VALUE"""),8850)</f>
        <v>8850</v>
      </c>
      <c r="C993" s="2">
        <f ca="1">IFERROR(__xludf.DUMMYFUNCTION("""COMPUTED_VALUE"""),8900)</f>
        <v>8900</v>
      </c>
      <c r="D993" s="2">
        <f ca="1">IFERROR(__xludf.DUMMYFUNCTION("""COMPUTED_VALUE"""),8650)</f>
        <v>8650</v>
      </c>
      <c r="E993" s="2">
        <f ca="1">IFERROR(__xludf.DUMMYFUNCTION("""COMPUTED_VALUE"""),8650)</f>
        <v>8650</v>
      </c>
      <c r="F993" s="2">
        <f ca="1">IFERROR(__xludf.DUMMYFUNCTION("""COMPUTED_VALUE"""),28996500)</f>
        <v>28996500</v>
      </c>
    </row>
    <row r="994" spans="1:6">
      <c r="A994" s="1">
        <f ca="1">IFERROR(__xludf.DUMMYFUNCTION("""COMPUTED_VALUE"""),43510.625)</f>
        <v>43510.625</v>
      </c>
      <c r="B994" s="2">
        <f ca="1">IFERROR(__xludf.DUMMYFUNCTION("""COMPUTED_VALUE"""),8650)</f>
        <v>8650</v>
      </c>
      <c r="C994" s="2">
        <f ca="1">IFERROR(__xludf.DUMMYFUNCTION("""COMPUTED_VALUE"""),8875)</f>
        <v>8875</v>
      </c>
      <c r="D994" s="2">
        <f ca="1">IFERROR(__xludf.DUMMYFUNCTION("""COMPUTED_VALUE"""),8650)</f>
        <v>8650</v>
      </c>
      <c r="E994" s="2">
        <f ca="1">IFERROR(__xludf.DUMMYFUNCTION("""COMPUTED_VALUE"""),8775)</f>
        <v>8775</v>
      </c>
      <c r="F994" s="2">
        <f ca="1">IFERROR(__xludf.DUMMYFUNCTION("""COMPUTED_VALUE"""),17323600)</f>
        <v>17323600</v>
      </c>
    </row>
    <row r="995" spans="1:6">
      <c r="A995" s="1">
        <f ca="1">IFERROR(__xludf.DUMMYFUNCTION("""COMPUTED_VALUE"""),43511.625)</f>
        <v>43511.625</v>
      </c>
      <c r="B995" s="2">
        <f ca="1">IFERROR(__xludf.DUMMYFUNCTION("""COMPUTED_VALUE"""),8775)</f>
        <v>8775</v>
      </c>
      <c r="C995" s="2">
        <f ca="1">IFERROR(__xludf.DUMMYFUNCTION("""COMPUTED_VALUE"""),8775)</f>
        <v>8775</v>
      </c>
      <c r="D995" s="2">
        <f ca="1">IFERROR(__xludf.DUMMYFUNCTION("""COMPUTED_VALUE"""),8700)</f>
        <v>8700</v>
      </c>
      <c r="E995" s="2">
        <f ca="1">IFERROR(__xludf.DUMMYFUNCTION("""COMPUTED_VALUE"""),8775)</f>
        <v>8775</v>
      </c>
      <c r="F995" s="2">
        <f ca="1">IFERROR(__xludf.DUMMYFUNCTION("""COMPUTED_VALUE"""),12834700)</f>
        <v>12834700</v>
      </c>
    </row>
    <row r="996" spans="1:6">
      <c r="A996" s="1">
        <f ca="1">IFERROR(__xludf.DUMMYFUNCTION("""COMPUTED_VALUE"""),43514.625)</f>
        <v>43514.625</v>
      </c>
      <c r="B996" s="2">
        <f ca="1">IFERROR(__xludf.DUMMYFUNCTION("""COMPUTED_VALUE"""),8800)</f>
        <v>8800</v>
      </c>
      <c r="C996" s="2">
        <f ca="1">IFERROR(__xludf.DUMMYFUNCTION("""COMPUTED_VALUE"""),9050)</f>
        <v>9050</v>
      </c>
      <c r="D996" s="2">
        <f ca="1">IFERROR(__xludf.DUMMYFUNCTION("""COMPUTED_VALUE"""),8800)</f>
        <v>8800</v>
      </c>
      <c r="E996" s="2">
        <f ca="1">IFERROR(__xludf.DUMMYFUNCTION("""COMPUTED_VALUE"""),8975)</f>
        <v>8975</v>
      </c>
      <c r="F996" s="2">
        <f ca="1">IFERROR(__xludf.DUMMYFUNCTION("""COMPUTED_VALUE"""),16397300)</f>
        <v>16397300</v>
      </c>
    </row>
    <row r="997" spans="1:6">
      <c r="A997" s="1">
        <f ca="1">IFERROR(__xludf.DUMMYFUNCTION("""COMPUTED_VALUE"""),43515.625)</f>
        <v>43515.625</v>
      </c>
      <c r="B997" s="2">
        <f ca="1">IFERROR(__xludf.DUMMYFUNCTION("""COMPUTED_VALUE"""),8975)</f>
        <v>8975</v>
      </c>
      <c r="C997" s="2">
        <f ca="1">IFERROR(__xludf.DUMMYFUNCTION("""COMPUTED_VALUE"""),9025)</f>
        <v>9025</v>
      </c>
      <c r="D997" s="2">
        <f ca="1">IFERROR(__xludf.DUMMYFUNCTION("""COMPUTED_VALUE"""),8825)</f>
        <v>8825</v>
      </c>
      <c r="E997" s="2">
        <f ca="1">IFERROR(__xludf.DUMMYFUNCTION("""COMPUTED_VALUE"""),8875)</f>
        <v>8875</v>
      </c>
      <c r="F997" s="2">
        <f ca="1">IFERROR(__xludf.DUMMYFUNCTION("""COMPUTED_VALUE"""),8822000)</f>
        <v>8822000</v>
      </c>
    </row>
    <row r="998" spans="1:6">
      <c r="A998" s="1">
        <f ca="1">IFERROR(__xludf.DUMMYFUNCTION("""COMPUTED_VALUE"""),43516.625)</f>
        <v>43516.625</v>
      </c>
      <c r="B998" s="2">
        <f ca="1">IFERROR(__xludf.DUMMYFUNCTION("""COMPUTED_VALUE"""),8900)</f>
        <v>8900</v>
      </c>
      <c r="C998" s="2">
        <f ca="1">IFERROR(__xludf.DUMMYFUNCTION("""COMPUTED_VALUE"""),8900)</f>
        <v>8900</v>
      </c>
      <c r="D998" s="2">
        <f ca="1">IFERROR(__xludf.DUMMYFUNCTION("""COMPUTED_VALUE"""),8700)</f>
        <v>8700</v>
      </c>
      <c r="E998" s="2">
        <f ca="1">IFERROR(__xludf.DUMMYFUNCTION("""COMPUTED_VALUE"""),8825)</f>
        <v>8825</v>
      </c>
      <c r="F998" s="2">
        <f ca="1">IFERROR(__xludf.DUMMYFUNCTION("""COMPUTED_VALUE"""),15269000)</f>
        <v>15269000</v>
      </c>
    </row>
    <row r="999" spans="1:6">
      <c r="A999" s="1">
        <f ca="1">IFERROR(__xludf.DUMMYFUNCTION("""COMPUTED_VALUE"""),43517.625)</f>
        <v>43517.625</v>
      </c>
      <c r="B999" s="2">
        <f ca="1">IFERROR(__xludf.DUMMYFUNCTION("""COMPUTED_VALUE"""),8900)</f>
        <v>8900</v>
      </c>
      <c r="C999" s="2">
        <f ca="1">IFERROR(__xludf.DUMMYFUNCTION("""COMPUTED_VALUE"""),8950)</f>
        <v>8950</v>
      </c>
      <c r="D999" s="2">
        <f ca="1">IFERROR(__xludf.DUMMYFUNCTION("""COMPUTED_VALUE"""),8775)</f>
        <v>8775</v>
      </c>
      <c r="E999" s="2">
        <f ca="1">IFERROR(__xludf.DUMMYFUNCTION("""COMPUTED_VALUE"""),8925)</f>
        <v>8925</v>
      </c>
      <c r="F999" s="2">
        <f ca="1">IFERROR(__xludf.DUMMYFUNCTION("""COMPUTED_VALUE"""),13233200)</f>
        <v>13233200</v>
      </c>
    </row>
    <row r="1000" spans="1:6">
      <c r="A1000" s="1">
        <f ca="1">IFERROR(__xludf.DUMMYFUNCTION("""COMPUTED_VALUE"""),43518.625)</f>
        <v>43518.625</v>
      </c>
      <c r="B1000" s="2">
        <f ca="1">IFERROR(__xludf.DUMMYFUNCTION("""COMPUTED_VALUE"""),8900)</f>
        <v>8900</v>
      </c>
      <c r="C1000" s="2">
        <f ca="1">IFERROR(__xludf.DUMMYFUNCTION("""COMPUTED_VALUE"""),8900)</f>
        <v>8900</v>
      </c>
      <c r="D1000" s="2">
        <f ca="1">IFERROR(__xludf.DUMMYFUNCTION("""COMPUTED_VALUE"""),8650)</f>
        <v>8650</v>
      </c>
      <c r="E1000" s="2">
        <f ca="1">IFERROR(__xludf.DUMMYFUNCTION("""COMPUTED_VALUE"""),8725)</f>
        <v>8725</v>
      </c>
      <c r="F1000" s="2">
        <f ca="1">IFERROR(__xludf.DUMMYFUNCTION("""COMPUTED_VALUE"""),29821700)</f>
        <v>29821700</v>
      </c>
    </row>
    <row r="1001" spans="1:6">
      <c r="A1001" s="1">
        <f ca="1">IFERROR(__xludf.DUMMYFUNCTION("""COMPUTED_VALUE"""),43521.625)</f>
        <v>43521.625</v>
      </c>
      <c r="B1001" s="2">
        <f ca="1">IFERROR(__xludf.DUMMYFUNCTION("""COMPUTED_VALUE"""),8775)</f>
        <v>8775</v>
      </c>
      <c r="C1001" s="2">
        <f ca="1">IFERROR(__xludf.DUMMYFUNCTION("""COMPUTED_VALUE"""),8850)</f>
        <v>8850</v>
      </c>
      <c r="D1001" s="2">
        <f ca="1">IFERROR(__xludf.DUMMYFUNCTION("""COMPUTED_VALUE"""),8725)</f>
        <v>8725</v>
      </c>
      <c r="E1001" s="2">
        <f ca="1">IFERROR(__xludf.DUMMYFUNCTION("""COMPUTED_VALUE"""),8800)</f>
        <v>8800</v>
      </c>
      <c r="F1001" s="2">
        <f ca="1">IFERROR(__xludf.DUMMYFUNCTION("""COMPUTED_VALUE"""),15648900)</f>
        <v>15648900</v>
      </c>
    </row>
    <row r="1002" spans="1:6">
      <c r="A1002" s="1">
        <f ca="1">IFERROR(__xludf.DUMMYFUNCTION("""COMPUTED_VALUE"""),43522.625)</f>
        <v>43522.625</v>
      </c>
      <c r="B1002" s="2">
        <f ca="1">IFERROR(__xludf.DUMMYFUNCTION("""COMPUTED_VALUE"""),8800)</f>
        <v>8800</v>
      </c>
      <c r="C1002" s="2">
        <f ca="1">IFERROR(__xludf.DUMMYFUNCTION("""COMPUTED_VALUE"""),8875)</f>
        <v>8875</v>
      </c>
      <c r="D1002" s="2">
        <f ca="1">IFERROR(__xludf.DUMMYFUNCTION("""COMPUTED_VALUE"""),8700)</f>
        <v>8700</v>
      </c>
      <c r="E1002" s="2">
        <f ca="1">IFERROR(__xludf.DUMMYFUNCTION("""COMPUTED_VALUE"""),8850)</f>
        <v>8850</v>
      </c>
      <c r="F1002" s="2">
        <f ca="1">IFERROR(__xludf.DUMMYFUNCTION("""COMPUTED_VALUE"""),16312700)</f>
        <v>16312700</v>
      </c>
    </row>
    <row r="1003" spans="1:6">
      <c r="A1003" s="1">
        <f ca="1">IFERROR(__xludf.DUMMYFUNCTION("""COMPUTED_VALUE"""),43523.625)</f>
        <v>43523.625</v>
      </c>
      <c r="B1003" s="2">
        <f ca="1">IFERROR(__xludf.DUMMYFUNCTION("""COMPUTED_VALUE"""),8750)</f>
        <v>8750</v>
      </c>
      <c r="C1003" s="2">
        <f ca="1">IFERROR(__xludf.DUMMYFUNCTION("""COMPUTED_VALUE"""),8925)</f>
        <v>8925</v>
      </c>
      <c r="D1003" s="2">
        <f ca="1">IFERROR(__xludf.DUMMYFUNCTION("""COMPUTED_VALUE"""),8725)</f>
        <v>8725</v>
      </c>
      <c r="E1003" s="2">
        <f ca="1">IFERROR(__xludf.DUMMYFUNCTION("""COMPUTED_VALUE"""),8850)</f>
        <v>8850</v>
      </c>
      <c r="F1003" s="2">
        <f ca="1">IFERROR(__xludf.DUMMYFUNCTION("""COMPUTED_VALUE"""),9536800)</f>
        <v>9536800</v>
      </c>
    </row>
    <row r="1004" spans="1:6">
      <c r="A1004" s="1">
        <f ca="1">IFERROR(__xludf.DUMMYFUNCTION("""COMPUTED_VALUE"""),43524.625)</f>
        <v>43524.625</v>
      </c>
      <c r="B1004" s="2">
        <f ca="1">IFERROR(__xludf.DUMMYFUNCTION("""COMPUTED_VALUE"""),8925)</f>
        <v>8925</v>
      </c>
      <c r="C1004" s="2">
        <f ca="1">IFERROR(__xludf.DUMMYFUNCTION("""COMPUTED_VALUE"""),8925)</f>
        <v>8925</v>
      </c>
      <c r="D1004" s="2">
        <f ca="1">IFERROR(__xludf.DUMMYFUNCTION("""COMPUTED_VALUE"""),8725)</f>
        <v>8725</v>
      </c>
      <c r="E1004" s="2">
        <f ca="1">IFERROR(__xludf.DUMMYFUNCTION("""COMPUTED_VALUE"""),8800)</f>
        <v>8800</v>
      </c>
      <c r="F1004" s="2">
        <f ca="1">IFERROR(__xludf.DUMMYFUNCTION("""COMPUTED_VALUE"""),16705600)</f>
        <v>16705600</v>
      </c>
    </row>
    <row r="1005" spans="1:6">
      <c r="A1005" s="1">
        <f ca="1">IFERROR(__xludf.DUMMYFUNCTION("""COMPUTED_VALUE"""),43525.625)</f>
        <v>43525.625</v>
      </c>
      <c r="B1005" s="2">
        <f ca="1">IFERROR(__xludf.DUMMYFUNCTION("""COMPUTED_VALUE"""),8825)</f>
        <v>8825</v>
      </c>
      <c r="C1005" s="2">
        <f ca="1">IFERROR(__xludf.DUMMYFUNCTION("""COMPUTED_VALUE"""),8975)</f>
        <v>8975</v>
      </c>
      <c r="D1005" s="2">
        <f ca="1">IFERROR(__xludf.DUMMYFUNCTION("""COMPUTED_VALUE"""),8800)</f>
        <v>8800</v>
      </c>
      <c r="E1005" s="2">
        <f ca="1">IFERROR(__xludf.DUMMYFUNCTION("""COMPUTED_VALUE"""),8975)</f>
        <v>8975</v>
      </c>
      <c r="F1005" s="2">
        <f ca="1">IFERROR(__xludf.DUMMYFUNCTION("""COMPUTED_VALUE"""),13328400)</f>
        <v>13328400</v>
      </c>
    </row>
    <row r="1006" spans="1:6">
      <c r="A1006" s="1">
        <f ca="1">IFERROR(__xludf.DUMMYFUNCTION("""COMPUTED_VALUE"""),43528.625)</f>
        <v>43528.625</v>
      </c>
      <c r="B1006" s="2">
        <f ca="1">IFERROR(__xludf.DUMMYFUNCTION("""COMPUTED_VALUE"""),8900)</f>
        <v>8900</v>
      </c>
      <c r="C1006" s="2">
        <f ca="1">IFERROR(__xludf.DUMMYFUNCTION("""COMPUTED_VALUE"""),9000)</f>
        <v>9000</v>
      </c>
      <c r="D1006" s="2">
        <f ca="1">IFERROR(__xludf.DUMMYFUNCTION("""COMPUTED_VALUE"""),8875)</f>
        <v>8875</v>
      </c>
      <c r="E1006" s="2">
        <f ca="1">IFERROR(__xludf.DUMMYFUNCTION("""COMPUTED_VALUE"""),8950)</f>
        <v>8950</v>
      </c>
      <c r="F1006" s="2">
        <f ca="1">IFERROR(__xludf.DUMMYFUNCTION("""COMPUTED_VALUE"""),14274100)</f>
        <v>14274100</v>
      </c>
    </row>
    <row r="1007" spans="1:6">
      <c r="A1007" s="1">
        <f ca="1">IFERROR(__xludf.DUMMYFUNCTION("""COMPUTED_VALUE"""),43529.625)</f>
        <v>43529.625</v>
      </c>
      <c r="B1007" s="2">
        <f ca="1">IFERROR(__xludf.DUMMYFUNCTION("""COMPUTED_VALUE"""),8925)</f>
        <v>8925</v>
      </c>
      <c r="C1007" s="2">
        <f ca="1">IFERROR(__xludf.DUMMYFUNCTION("""COMPUTED_VALUE"""),8925)</f>
        <v>8925</v>
      </c>
      <c r="D1007" s="2">
        <f ca="1">IFERROR(__xludf.DUMMYFUNCTION("""COMPUTED_VALUE"""),8725)</f>
        <v>8725</v>
      </c>
      <c r="E1007" s="2">
        <f ca="1">IFERROR(__xludf.DUMMYFUNCTION("""COMPUTED_VALUE"""),8800)</f>
        <v>8800</v>
      </c>
      <c r="F1007" s="2">
        <f ca="1">IFERROR(__xludf.DUMMYFUNCTION("""COMPUTED_VALUE"""),14371800)</f>
        <v>14371800</v>
      </c>
    </row>
    <row r="1008" spans="1:6">
      <c r="A1008" s="1">
        <f ca="1">IFERROR(__xludf.DUMMYFUNCTION("""COMPUTED_VALUE"""),43530.625)</f>
        <v>43530.625</v>
      </c>
      <c r="B1008" s="2">
        <f ca="1">IFERROR(__xludf.DUMMYFUNCTION("""COMPUTED_VALUE"""),8750)</f>
        <v>8750</v>
      </c>
      <c r="C1008" s="2">
        <f ca="1">IFERROR(__xludf.DUMMYFUNCTION("""COMPUTED_VALUE"""),8875)</f>
        <v>8875</v>
      </c>
      <c r="D1008" s="2">
        <f ca="1">IFERROR(__xludf.DUMMYFUNCTION("""COMPUTED_VALUE"""),8750)</f>
        <v>8750</v>
      </c>
      <c r="E1008" s="2">
        <f ca="1">IFERROR(__xludf.DUMMYFUNCTION("""COMPUTED_VALUE"""),8800)</f>
        <v>8800</v>
      </c>
      <c r="F1008" s="2">
        <f ca="1">IFERROR(__xludf.DUMMYFUNCTION("""COMPUTED_VALUE"""),11669800)</f>
        <v>11669800</v>
      </c>
    </row>
    <row r="1009" spans="1:6">
      <c r="A1009" s="1">
        <f ca="1">IFERROR(__xludf.DUMMYFUNCTION("""COMPUTED_VALUE"""),43532.625)</f>
        <v>43532.625</v>
      </c>
      <c r="B1009" s="2">
        <f ca="1">IFERROR(__xludf.DUMMYFUNCTION("""COMPUTED_VALUE"""),8750)</f>
        <v>8750</v>
      </c>
      <c r="C1009" s="2">
        <f ca="1">IFERROR(__xludf.DUMMYFUNCTION("""COMPUTED_VALUE"""),8775)</f>
        <v>8775</v>
      </c>
      <c r="D1009" s="2">
        <f ca="1">IFERROR(__xludf.DUMMYFUNCTION("""COMPUTED_VALUE"""),8675)</f>
        <v>8675</v>
      </c>
      <c r="E1009" s="2">
        <f ca="1">IFERROR(__xludf.DUMMYFUNCTION("""COMPUTED_VALUE"""),8675)</f>
        <v>8675</v>
      </c>
      <c r="F1009" s="2">
        <f ca="1">IFERROR(__xludf.DUMMYFUNCTION("""COMPUTED_VALUE"""),18978500)</f>
        <v>18978500</v>
      </c>
    </row>
    <row r="1010" spans="1:6">
      <c r="A1010" s="1">
        <f ca="1">IFERROR(__xludf.DUMMYFUNCTION("""COMPUTED_VALUE"""),43535.625)</f>
        <v>43535.625</v>
      </c>
      <c r="B1010" s="2">
        <f ca="1">IFERROR(__xludf.DUMMYFUNCTION("""COMPUTED_VALUE"""),8800)</f>
        <v>8800</v>
      </c>
      <c r="C1010" s="2">
        <f ca="1">IFERROR(__xludf.DUMMYFUNCTION("""COMPUTED_VALUE"""),8800)</f>
        <v>8800</v>
      </c>
      <c r="D1010" s="2">
        <f ca="1">IFERROR(__xludf.DUMMYFUNCTION("""COMPUTED_VALUE"""),8575)</f>
        <v>8575</v>
      </c>
      <c r="E1010" s="2">
        <f ca="1">IFERROR(__xludf.DUMMYFUNCTION("""COMPUTED_VALUE"""),8600)</f>
        <v>8600</v>
      </c>
      <c r="F1010" s="2">
        <f ca="1">IFERROR(__xludf.DUMMYFUNCTION("""COMPUTED_VALUE"""),11182500)</f>
        <v>11182500</v>
      </c>
    </row>
    <row r="1011" spans="1:6">
      <c r="A1011" s="1">
        <f ca="1">IFERROR(__xludf.DUMMYFUNCTION("""COMPUTED_VALUE"""),43536.625)</f>
        <v>43536.625</v>
      </c>
      <c r="B1011" s="2">
        <f ca="1">IFERROR(__xludf.DUMMYFUNCTION("""COMPUTED_VALUE"""),8650)</f>
        <v>8650</v>
      </c>
      <c r="C1011" s="2">
        <f ca="1">IFERROR(__xludf.DUMMYFUNCTION("""COMPUTED_VALUE"""),8725)</f>
        <v>8725</v>
      </c>
      <c r="D1011" s="2">
        <f ca="1">IFERROR(__xludf.DUMMYFUNCTION("""COMPUTED_VALUE"""),8600)</f>
        <v>8600</v>
      </c>
      <c r="E1011" s="2">
        <f ca="1">IFERROR(__xludf.DUMMYFUNCTION("""COMPUTED_VALUE"""),8675)</f>
        <v>8675</v>
      </c>
      <c r="F1011" s="2">
        <f ca="1">IFERROR(__xludf.DUMMYFUNCTION("""COMPUTED_VALUE"""),16321700)</f>
        <v>16321700</v>
      </c>
    </row>
    <row r="1012" spans="1:6">
      <c r="A1012" s="1">
        <f ca="1">IFERROR(__xludf.DUMMYFUNCTION("""COMPUTED_VALUE"""),43537.625)</f>
        <v>43537.625</v>
      </c>
      <c r="B1012" s="2">
        <f ca="1">IFERROR(__xludf.DUMMYFUNCTION("""COMPUTED_VALUE"""),8575)</f>
        <v>8575</v>
      </c>
      <c r="C1012" s="2">
        <f ca="1">IFERROR(__xludf.DUMMYFUNCTION("""COMPUTED_VALUE"""),8700)</f>
        <v>8700</v>
      </c>
      <c r="D1012" s="2">
        <f ca="1">IFERROR(__xludf.DUMMYFUNCTION("""COMPUTED_VALUE"""),8525)</f>
        <v>8525</v>
      </c>
      <c r="E1012" s="2">
        <f ca="1">IFERROR(__xludf.DUMMYFUNCTION("""COMPUTED_VALUE"""),8700)</f>
        <v>8700</v>
      </c>
      <c r="F1012" s="2">
        <f ca="1">IFERROR(__xludf.DUMMYFUNCTION("""COMPUTED_VALUE"""),20965900)</f>
        <v>20965900</v>
      </c>
    </row>
    <row r="1013" spans="1:6">
      <c r="A1013" s="1">
        <f ca="1">IFERROR(__xludf.DUMMYFUNCTION("""COMPUTED_VALUE"""),43538.625)</f>
        <v>43538.625</v>
      </c>
      <c r="B1013" s="2">
        <f ca="1">IFERROR(__xludf.DUMMYFUNCTION("""COMPUTED_VALUE"""),8725)</f>
        <v>8725</v>
      </c>
      <c r="C1013" s="2">
        <f ca="1">IFERROR(__xludf.DUMMYFUNCTION("""COMPUTED_VALUE"""),8900)</f>
        <v>8900</v>
      </c>
      <c r="D1013" s="2">
        <f ca="1">IFERROR(__xludf.DUMMYFUNCTION("""COMPUTED_VALUE"""),8675)</f>
        <v>8675</v>
      </c>
      <c r="E1013" s="2">
        <f ca="1">IFERROR(__xludf.DUMMYFUNCTION("""COMPUTED_VALUE"""),8850)</f>
        <v>8850</v>
      </c>
      <c r="F1013" s="2">
        <f ca="1">IFERROR(__xludf.DUMMYFUNCTION("""COMPUTED_VALUE"""),11803700)</f>
        <v>11803700</v>
      </c>
    </row>
    <row r="1014" spans="1:6">
      <c r="A1014" s="1">
        <f ca="1">IFERROR(__xludf.DUMMYFUNCTION("""COMPUTED_VALUE"""),43539.625)</f>
        <v>43539.625</v>
      </c>
      <c r="B1014" s="2">
        <f ca="1">IFERROR(__xludf.DUMMYFUNCTION("""COMPUTED_VALUE"""),8925)</f>
        <v>8925</v>
      </c>
      <c r="C1014" s="2">
        <f ca="1">IFERROR(__xludf.DUMMYFUNCTION("""COMPUTED_VALUE"""),9125)</f>
        <v>9125</v>
      </c>
      <c r="D1014" s="2">
        <f ca="1">IFERROR(__xludf.DUMMYFUNCTION("""COMPUTED_VALUE"""),8900)</f>
        <v>8900</v>
      </c>
      <c r="E1014" s="2">
        <f ca="1">IFERROR(__xludf.DUMMYFUNCTION("""COMPUTED_VALUE"""),9050)</f>
        <v>9050</v>
      </c>
      <c r="F1014" s="2">
        <f ca="1">IFERROR(__xludf.DUMMYFUNCTION("""COMPUTED_VALUE"""),33780400)</f>
        <v>33780400</v>
      </c>
    </row>
    <row r="1015" spans="1:6">
      <c r="A1015" s="1">
        <f ca="1">IFERROR(__xludf.DUMMYFUNCTION("""COMPUTED_VALUE"""),43542.625)</f>
        <v>43542.625</v>
      </c>
      <c r="B1015" s="2">
        <f ca="1">IFERROR(__xludf.DUMMYFUNCTION("""COMPUTED_VALUE"""),9100)</f>
        <v>9100</v>
      </c>
      <c r="C1015" s="2">
        <f ca="1">IFERROR(__xludf.DUMMYFUNCTION("""COMPUTED_VALUE"""),9350)</f>
        <v>9350</v>
      </c>
      <c r="D1015" s="2">
        <f ca="1">IFERROR(__xludf.DUMMYFUNCTION("""COMPUTED_VALUE"""),9075)</f>
        <v>9075</v>
      </c>
      <c r="E1015" s="2">
        <f ca="1">IFERROR(__xludf.DUMMYFUNCTION("""COMPUTED_VALUE"""),9325)</f>
        <v>9325</v>
      </c>
      <c r="F1015" s="2">
        <f ca="1">IFERROR(__xludf.DUMMYFUNCTION("""COMPUTED_VALUE"""),28451100)</f>
        <v>28451100</v>
      </c>
    </row>
    <row r="1016" spans="1:6">
      <c r="A1016" s="1">
        <f ca="1">IFERROR(__xludf.DUMMYFUNCTION("""COMPUTED_VALUE"""),43543.625)</f>
        <v>43543.625</v>
      </c>
      <c r="B1016" s="2">
        <f ca="1">IFERROR(__xludf.DUMMYFUNCTION("""COMPUTED_VALUE"""),9325)</f>
        <v>9325</v>
      </c>
      <c r="C1016" s="2">
        <f ca="1">IFERROR(__xludf.DUMMYFUNCTION("""COMPUTED_VALUE"""),9450)</f>
        <v>9450</v>
      </c>
      <c r="D1016" s="2">
        <f ca="1">IFERROR(__xludf.DUMMYFUNCTION("""COMPUTED_VALUE"""),9300)</f>
        <v>9300</v>
      </c>
      <c r="E1016" s="2">
        <f ca="1">IFERROR(__xludf.DUMMYFUNCTION("""COMPUTED_VALUE"""),9325)</f>
        <v>9325</v>
      </c>
      <c r="F1016" s="2">
        <f ca="1">IFERROR(__xludf.DUMMYFUNCTION("""COMPUTED_VALUE"""),26431100)</f>
        <v>26431100</v>
      </c>
    </row>
    <row r="1017" spans="1:6">
      <c r="A1017" s="1">
        <f ca="1">IFERROR(__xludf.DUMMYFUNCTION("""COMPUTED_VALUE"""),43544.625)</f>
        <v>43544.625</v>
      </c>
      <c r="B1017" s="2">
        <f ca="1">IFERROR(__xludf.DUMMYFUNCTION("""COMPUTED_VALUE"""),9375)</f>
        <v>9375</v>
      </c>
      <c r="C1017" s="2">
        <f ca="1">IFERROR(__xludf.DUMMYFUNCTION("""COMPUTED_VALUE"""),9375)</f>
        <v>9375</v>
      </c>
      <c r="D1017" s="2">
        <f ca="1">IFERROR(__xludf.DUMMYFUNCTION("""COMPUTED_VALUE"""),9250)</f>
        <v>9250</v>
      </c>
      <c r="E1017" s="2">
        <f ca="1">IFERROR(__xludf.DUMMYFUNCTION("""COMPUTED_VALUE"""),9350)</f>
        <v>9350</v>
      </c>
      <c r="F1017" s="2">
        <f ca="1">IFERROR(__xludf.DUMMYFUNCTION("""COMPUTED_VALUE"""),15951900)</f>
        <v>15951900</v>
      </c>
    </row>
    <row r="1018" spans="1:6">
      <c r="A1018" s="1">
        <f ca="1">IFERROR(__xludf.DUMMYFUNCTION("""COMPUTED_VALUE"""),43545.625)</f>
        <v>43545.625</v>
      </c>
      <c r="B1018" s="2">
        <f ca="1">IFERROR(__xludf.DUMMYFUNCTION("""COMPUTED_VALUE"""),9450)</f>
        <v>9450</v>
      </c>
      <c r="C1018" s="2">
        <f ca="1">IFERROR(__xludf.DUMMYFUNCTION("""COMPUTED_VALUE"""),9550)</f>
        <v>9550</v>
      </c>
      <c r="D1018" s="2">
        <f ca="1">IFERROR(__xludf.DUMMYFUNCTION("""COMPUTED_VALUE"""),9425)</f>
        <v>9425</v>
      </c>
      <c r="E1018" s="2">
        <f ca="1">IFERROR(__xludf.DUMMYFUNCTION("""COMPUTED_VALUE"""),9500)</f>
        <v>9500</v>
      </c>
      <c r="F1018" s="2">
        <f ca="1">IFERROR(__xludf.DUMMYFUNCTION("""COMPUTED_VALUE"""),27584100)</f>
        <v>27584100</v>
      </c>
    </row>
    <row r="1019" spans="1:6">
      <c r="A1019" s="1">
        <f ca="1">IFERROR(__xludf.DUMMYFUNCTION("""COMPUTED_VALUE"""),43546.625)</f>
        <v>43546.625</v>
      </c>
      <c r="B1019" s="2">
        <f ca="1">IFERROR(__xludf.DUMMYFUNCTION("""COMPUTED_VALUE"""),9550)</f>
        <v>9550</v>
      </c>
      <c r="C1019" s="2">
        <f ca="1">IFERROR(__xludf.DUMMYFUNCTION("""COMPUTED_VALUE"""),9650)</f>
        <v>9650</v>
      </c>
      <c r="D1019" s="2">
        <f ca="1">IFERROR(__xludf.DUMMYFUNCTION("""COMPUTED_VALUE"""),9525)</f>
        <v>9525</v>
      </c>
      <c r="E1019" s="2">
        <f ca="1">IFERROR(__xludf.DUMMYFUNCTION("""COMPUTED_VALUE"""),9600)</f>
        <v>9600</v>
      </c>
      <c r="F1019" s="2">
        <f ca="1">IFERROR(__xludf.DUMMYFUNCTION("""COMPUTED_VALUE"""),19512900)</f>
        <v>19512900</v>
      </c>
    </row>
    <row r="1020" spans="1:6">
      <c r="A1020" s="1">
        <f ca="1">IFERROR(__xludf.DUMMYFUNCTION("""COMPUTED_VALUE"""),43549.625)</f>
        <v>43549.625</v>
      </c>
      <c r="B1020" s="2">
        <f ca="1">IFERROR(__xludf.DUMMYFUNCTION("""COMPUTED_VALUE"""),9300)</f>
        <v>9300</v>
      </c>
      <c r="C1020" s="2">
        <f ca="1">IFERROR(__xludf.DUMMYFUNCTION("""COMPUTED_VALUE"""),9450)</f>
        <v>9450</v>
      </c>
      <c r="D1020" s="2">
        <f ca="1">IFERROR(__xludf.DUMMYFUNCTION("""COMPUTED_VALUE"""),9100)</f>
        <v>9100</v>
      </c>
      <c r="E1020" s="2">
        <f ca="1">IFERROR(__xludf.DUMMYFUNCTION("""COMPUTED_VALUE"""),9250)</f>
        <v>9250</v>
      </c>
      <c r="F1020" s="2">
        <f ca="1">IFERROR(__xludf.DUMMYFUNCTION("""COMPUTED_VALUE"""),22877300)</f>
        <v>22877300</v>
      </c>
    </row>
    <row r="1021" spans="1:6">
      <c r="A1021" s="1">
        <f ca="1">IFERROR(__xludf.DUMMYFUNCTION("""COMPUTED_VALUE"""),43550.625)</f>
        <v>43550.625</v>
      </c>
      <c r="B1021" s="2">
        <f ca="1">IFERROR(__xludf.DUMMYFUNCTION("""COMPUTED_VALUE"""),9375)</f>
        <v>9375</v>
      </c>
      <c r="C1021" s="2">
        <f ca="1">IFERROR(__xludf.DUMMYFUNCTION("""COMPUTED_VALUE"""),9400)</f>
        <v>9400</v>
      </c>
      <c r="D1021" s="2">
        <f ca="1">IFERROR(__xludf.DUMMYFUNCTION("""COMPUTED_VALUE"""),9325)</f>
        <v>9325</v>
      </c>
      <c r="E1021" s="2">
        <f ca="1">IFERROR(__xludf.DUMMYFUNCTION("""COMPUTED_VALUE"""),9375)</f>
        <v>9375</v>
      </c>
      <c r="F1021" s="2">
        <f ca="1">IFERROR(__xludf.DUMMYFUNCTION("""COMPUTED_VALUE"""),4621000)</f>
        <v>4621000</v>
      </c>
    </row>
    <row r="1022" spans="1:6">
      <c r="A1022" s="1">
        <f ca="1">IFERROR(__xludf.DUMMYFUNCTION("""COMPUTED_VALUE"""),43551.625)</f>
        <v>43551.625</v>
      </c>
      <c r="B1022" s="2">
        <f ca="1">IFERROR(__xludf.DUMMYFUNCTION("""COMPUTED_VALUE"""),9150)</f>
        <v>9150</v>
      </c>
      <c r="C1022" s="2">
        <f ca="1">IFERROR(__xludf.DUMMYFUNCTION("""COMPUTED_VALUE"""),9375)</f>
        <v>9375</v>
      </c>
      <c r="D1022" s="2">
        <f ca="1">IFERROR(__xludf.DUMMYFUNCTION("""COMPUTED_VALUE"""),9150)</f>
        <v>9150</v>
      </c>
      <c r="E1022" s="2">
        <f ca="1">IFERROR(__xludf.DUMMYFUNCTION("""COMPUTED_VALUE"""),9375)</f>
        <v>9375</v>
      </c>
      <c r="F1022" s="2">
        <f ca="1">IFERROR(__xludf.DUMMYFUNCTION("""COMPUTED_VALUE"""),8399000)</f>
        <v>8399000</v>
      </c>
    </row>
    <row r="1023" spans="1:6">
      <c r="A1023" s="1">
        <f ca="1">IFERROR(__xludf.DUMMYFUNCTION("""COMPUTED_VALUE"""),43552.625)</f>
        <v>43552.625</v>
      </c>
      <c r="B1023" s="2">
        <f ca="1">IFERROR(__xludf.DUMMYFUNCTION("""COMPUTED_VALUE"""),9425)</f>
        <v>9425</v>
      </c>
      <c r="C1023" s="2">
        <f ca="1">IFERROR(__xludf.DUMMYFUNCTION("""COMPUTED_VALUE"""),9450)</f>
        <v>9450</v>
      </c>
      <c r="D1023" s="2">
        <f ca="1">IFERROR(__xludf.DUMMYFUNCTION("""COMPUTED_VALUE"""),9350)</f>
        <v>9350</v>
      </c>
      <c r="E1023" s="2">
        <f ca="1">IFERROR(__xludf.DUMMYFUNCTION("""COMPUTED_VALUE"""),9450)</f>
        <v>9450</v>
      </c>
      <c r="F1023" s="2">
        <f ca="1">IFERROR(__xludf.DUMMYFUNCTION("""COMPUTED_VALUE"""),15563800)</f>
        <v>15563800</v>
      </c>
    </row>
    <row r="1024" spans="1:6">
      <c r="A1024" s="1">
        <f ca="1">IFERROR(__xludf.DUMMYFUNCTION("""COMPUTED_VALUE"""),43553.625)</f>
        <v>43553.625</v>
      </c>
      <c r="B1024" s="2">
        <f ca="1">IFERROR(__xludf.DUMMYFUNCTION("""COMPUTED_VALUE"""),9375)</f>
        <v>9375</v>
      </c>
      <c r="C1024" s="2">
        <f ca="1">IFERROR(__xludf.DUMMYFUNCTION("""COMPUTED_VALUE"""),9450)</f>
        <v>9450</v>
      </c>
      <c r="D1024" s="2">
        <f ca="1">IFERROR(__xludf.DUMMYFUNCTION("""COMPUTED_VALUE"""),9375)</f>
        <v>9375</v>
      </c>
      <c r="E1024" s="2">
        <f ca="1">IFERROR(__xludf.DUMMYFUNCTION("""COMPUTED_VALUE"""),9400)</f>
        <v>9400</v>
      </c>
      <c r="F1024" s="2">
        <f ca="1">IFERROR(__xludf.DUMMYFUNCTION("""COMPUTED_VALUE"""),15399900)</f>
        <v>15399900</v>
      </c>
    </row>
    <row r="1025" spans="1:6">
      <c r="A1025" s="1">
        <f ca="1">IFERROR(__xludf.DUMMYFUNCTION("""COMPUTED_VALUE"""),43556.625)</f>
        <v>43556.625</v>
      </c>
      <c r="B1025" s="2">
        <f ca="1">IFERROR(__xludf.DUMMYFUNCTION("""COMPUTED_VALUE"""),9425)</f>
        <v>9425</v>
      </c>
      <c r="C1025" s="2">
        <f ca="1">IFERROR(__xludf.DUMMYFUNCTION("""COMPUTED_VALUE"""),9500)</f>
        <v>9500</v>
      </c>
      <c r="D1025" s="2">
        <f ca="1">IFERROR(__xludf.DUMMYFUNCTION("""COMPUTED_VALUE"""),9400)</f>
        <v>9400</v>
      </c>
      <c r="E1025" s="2">
        <f ca="1">IFERROR(__xludf.DUMMYFUNCTION("""COMPUTED_VALUE"""),9400)</f>
        <v>9400</v>
      </c>
      <c r="F1025" s="2">
        <f ca="1">IFERROR(__xludf.DUMMYFUNCTION("""COMPUTED_VALUE"""),7399300)</f>
        <v>7399300</v>
      </c>
    </row>
    <row r="1026" spans="1:6">
      <c r="A1026" s="1">
        <f ca="1">IFERROR(__xludf.DUMMYFUNCTION("""COMPUTED_VALUE"""),43557.625)</f>
        <v>43557.625</v>
      </c>
      <c r="B1026" s="2">
        <f ca="1">IFERROR(__xludf.DUMMYFUNCTION("""COMPUTED_VALUE"""),9500)</f>
        <v>9500</v>
      </c>
      <c r="C1026" s="2">
        <f ca="1">IFERROR(__xludf.DUMMYFUNCTION("""COMPUTED_VALUE"""),9525)</f>
        <v>9525</v>
      </c>
      <c r="D1026" s="2">
        <f ca="1">IFERROR(__xludf.DUMMYFUNCTION("""COMPUTED_VALUE"""),9400)</f>
        <v>9400</v>
      </c>
      <c r="E1026" s="2">
        <f ca="1">IFERROR(__xludf.DUMMYFUNCTION("""COMPUTED_VALUE"""),9425)</f>
        <v>9425</v>
      </c>
      <c r="F1026" s="2">
        <f ca="1">IFERROR(__xludf.DUMMYFUNCTION("""COMPUTED_VALUE"""),14761200)</f>
        <v>14761200</v>
      </c>
    </row>
    <row r="1027" spans="1:6">
      <c r="A1027" s="1">
        <f ca="1">IFERROR(__xludf.DUMMYFUNCTION("""COMPUTED_VALUE"""),43559.625)</f>
        <v>43559.625</v>
      </c>
      <c r="B1027" s="2">
        <f ca="1">IFERROR(__xludf.DUMMYFUNCTION("""COMPUTED_VALUE"""),9525)</f>
        <v>9525</v>
      </c>
      <c r="C1027" s="2">
        <f ca="1">IFERROR(__xludf.DUMMYFUNCTION("""COMPUTED_VALUE"""),9725)</f>
        <v>9725</v>
      </c>
      <c r="D1027" s="2">
        <f ca="1">IFERROR(__xludf.DUMMYFUNCTION("""COMPUTED_VALUE"""),9525)</f>
        <v>9525</v>
      </c>
      <c r="E1027" s="2">
        <f ca="1">IFERROR(__xludf.DUMMYFUNCTION("""COMPUTED_VALUE"""),9700)</f>
        <v>9700</v>
      </c>
      <c r="F1027" s="2">
        <f ca="1">IFERROR(__xludf.DUMMYFUNCTION("""COMPUTED_VALUE"""),27614700)</f>
        <v>27614700</v>
      </c>
    </row>
    <row r="1028" spans="1:6">
      <c r="A1028" s="1">
        <f ca="1">IFERROR(__xludf.DUMMYFUNCTION("""COMPUTED_VALUE"""),43560.625)</f>
        <v>43560.625</v>
      </c>
      <c r="B1028" s="2">
        <f ca="1">IFERROR(__xludf.DUMMYFUNCTION("""COMPUTED_VALUE"""),9750)</f>
        <v>9750</v>
      </c>
      <c r="C1028" s="2">
        <f ca="1">IFERROR(__xludf.DUMMYFUNCTION("""COMPUTED_VALUE"""),9850)</f>
        <v>9850</v>
      </c>
      <c r="D1028" s="2">
        <f ca="1">IFERROR(__xludf.DUMMYFUNCTION("""COMPUTED_VALUE"""),9625)</f>
        <v>9625</v>
      </c>
      <c r="E1028" s="2">
        <f ca="1">IFERROR(__xludf.DUMMYFUNCTION("""COMPUTED_VALUE"""),9625)</f>
        <v>9625</v>
      </c>
      <c r="F1028" s="2">
        <f ca="1">IFERROR(__xludf.DUMMYFUNCTION("""COMPUTED_VALUE"""),8046400)</f>
        <v>8046400</v>
      </c>
    </row>
    <row r="1029" spans="1:6">
      <c r="A1029" s="1">
        <f ca="1">IFERROR(__xludf.DUMMYFUNCTION("""COMPUTED_VALUE"""),43563.625)</f>
        <v>43563.625</v>
      </c>
      <c r="B1029" s="2">
        <f ca="1">IFERROR(__xludf.DUMMYFUNCTION("""COMPUTED_VALUE"""),9600)</f>
        <v>9600</v>
      </c>
      <c r="C1029" s="2">
        <f ca="1">IFERROR(__xludf.DUMMYFUNCTION("""COMPUTED_VALUE"""),9650)</f>
        <v>9650</v>
      </c>
      <c r="D1029" s="2">
        <f ca="1">IFERROR(__xludf.DUMMYFUNCTION("""COMPUTED_VALUE"""),9425)</f>
        <v>9425</v>
      </c>
      <c r="E1029" s="2">
        <f ca="1">IFERROR(__xludf.DUMMYFUNCTION("""COMPUTED_VALUE"""),9550)</f>
        <v>9550</v>
      </c>
      <c r="F1029" s="2">
        <f ca="1">IFERROR(__xludf.DUMMYFUNCTION("""COMPUTED_VALUE"""),14482600)</f>
        <v>14482600</v>
      </c>
    </row>
    <row r="1030" spans="1:6">
      <c r="A1030" s="1">
        <f ca="1">IFERROR(__xludf.DUMMYFUNCTION("""COMPUTED_VALUE"""),43564.625)</f>
        <v>43564.625</v>
      </c>
      <c r="B1030" s="2">
        <f ca="1">IFERROR(__xludf.DUMMYFUNCTION("""COMPUTED_VALUE"""),9650)</f>
        <v>9650</v>
      </c>
      <c r="C1030" s="2">
        <f ca="1">IFERROR(__xludf.DUMMYFUNCTION("""COMPUTED_VALUE"""),9700)</f>
        <v>9700</v>
      </c>
      <c r="D1030" s="2">
        <f ca="1">IFERROR(__xludf.DUMMYFUNCTION("""COMPUTED_VALUE"""),9550)</f>
        <v>9550</v>
      </c>
      <c r="E1030" s="2">
        <f ca="1">IFERROR(__xludf.DUMMYFUNCTION("""COMPUTED_VALUE"""),9675)</f>
        <v>9675</v>
      </c>
      <c r="F1030" s="2">
        <f ca="1">IFERROR(__xludf.DUMMYFUNCTION("""COMPUTED_VALUE"""),10027100)</f>
        <v>10027100</v>
      </c>
    </row>
    <row r="1031" spans="1:6">
      <c r="A1031" s="1">
        <f ca="1">IFERROR(__xludf.DUMMYFUNCTION("""COMPUTED_VALUE"""),43565.625)</f>
        <v>43565.625</v>
      </c>
      <c r="B1031" s="2">
        <f ca="1">IFERROR(__xludf.DUMMYFUNCTION("""COMPUTED_VALUE"""),9675)</f>
        <v>9675</v>
      </c>
      <c r="C1031" s="2">
        <f ca="1">IFERROR(__xludf.DUMMYFUNCTION("""COMPUTED_VALUE"""),9750)</f>
        <v>9750</v>
      </c>
      <c r="D1031" s="2">
        <f ca="1">IFERROR(__xludf.DUMMYFUNCTION("""COMPUTED_VALUE"""),9600)</f>
        <v>9600</v>
      </c>
      <c r="E1031" s="2">
        <f ca="1">IFERROR(__xludf.DUMMYFUNCTION("""COMPUTED_VALUE"""),9750)</f>
        <v>9750</v>
      </c>
      <c r="F1031" s="2">
        <f ca="1">IFERROR(__xludf.DUMMYFUNCTION("""COMPUTED_VALUE"""),11678200)</f>
        <v>11678200</v>
      </c>
    </row>
    <row r="1032" spans="1:6">
      <c r="A1032" s="1">
        <f ca="1">IFERROR(__xludf.DUMMYFUNCTION("""COMPUTED_VALUE"""),43566.625)</f>
        <v>43566.625</v>
      </c>
      <c r="B1032" s="2">
        <f ca="1">IFERROR(__xludf.DUMMYFUNCTION("""COMPUTED_VALUE"""),9800)</f>
        <v>9800</v>
      </c>
      <c r="C1032" s="2">
        <f ca="1">IFERROR(__xludf.DUMMYFUNCTION("""COMPUTED_VALUE"""),9800)</f>
        <v>9800</v>
      </c>
      <c r="D1032" s="2">
        <f ca="1">IFERROR(__xludf.DUMMYFUNCTION("""COMPUTED_VALUE"""),9500)</f>
        <v>9500</v>
      </c>
      <c r="E1032" s="2">
        <f ca="1">IFERROR(__xludf.DUMMYFUNCTION("""COMPUTED_VALUE"""),9650)</f>
        <v>9650</v>
      </c>
      <c r="F1032" s="2">
        <f ca="1">IFERROR(__xludf.DUMMYFUNCTION("""COMPUTED_VALUE"""),19035600)</f>
        <v>19035600</v>
      </c>
    </row>
    <row r="1033" spans="1:6">
      <c r="A1033" s="1">
        <f ca="1">IFERROR(__xludf.DUMMYFUNCTION("""COMPUTED_VALUE"""),43567.625)</f>
        <v>43567.625</v>
      </c>
      <c r="B1033" s="2">
        <f ca="1">IFERROR(__xludf.DUMMYFUNCTION("""COMPUTED_VALUE"""),9550)</f>
        <v>9550</v>
      </c>
      <c r="C1033" s="2">
        <f ca="1">IFERROR(__xludf.DUMMYFUNCTION("""COMPUTED_VALUE"""),9675)</f>
        <v>9675</v>
      </c>
      <c r="D1033" s="2">
        <f ca="1">IFERROR(__xludf.DUMMYFUNCTION("""COMPUTED_VALUE"""),9500)</f>
        <v>9500</v>
      </c>
      <c r="E1033" s="2">
        <f ca="1">IFERROR(__xludf.DUMMYFUNCTION("""COMPUTED_VALUE"""),9650)</f>
        <v>9650</v>
      </c>
      <c r="F1033" s="2">
        <f ca="1">IFERROR(__xludf.DUMMYFUNCTION("""COMPUTED_VALUE"""),16194200)</f>
        <v>16194200</v>
      </c>
    </row>
    <row r="1034" spans="1:6">
      <c r="A1034" s="1">
        <f ca="1">IFERROR(__xludf.DUMMYFUNCTION("""COMPUTED_VALUE"""),43570.625)</f>
        <v>43570.625</v>
      </c>
      <c r="B1034" s="2">
        <f ca="1">IFERROR(__xludf.DUMMYFUNCTION("""COMPUTED_VALUE"""),9650)</f>
        <v>9650</v>
      </c>
      <c r="C1034" s="2">
        <f ca="1">IFERROR(__xludf.DUMMYFUNCTION("""COMPUTED_VALUE"""),9700)</f>
        <v>9700</v>
      </c>
      <c r="D1034" s="2">
        <f ca="1">IFERROR(__xludf.DUMMYFUNCTION("""COMPUTED_VALUE"""),9625)</f>
        <v>9625</v>
      </c>
      <c r="E1034" s="2">
        <f ca="1">IFERROR(__xludf.DUMMYFUNCTION("""COMPUTED_VALUE"""),9650)</f>
        <v>9650</v>
      </c>
      <c r="F1034" s="2">
        <f ca="1">IFERROR(__xludf.DUMMYFUNCTION("""COMPUTED_VALUE"""),11410600)</f>
        <v>11410600</v>
      </c>
    </row>
    <row r="1035" spans="1:6">
      <c r="A1035" s="1">
        <f ca="1">IFERROR(__xludf.DUMMYFUNCTION("""COMPUTED_VALUE"""),43571.625)</f>
        <v>43571.625</v>
      </c>
      <c r="B1035" s="2">
        <f ca="1">IFERROR(__xludf.DUMMYFUNCTION("""COMPUTED_VALUE"""),9650)</f>
        <v>9650</v>
      </c>
      <c r="C1035" s="2">
        <f ca="1">IFERROR(__xludf.DUMMYFUNCTION("""COMPUTED_VALUE"""),9750)</f>
        <v>9750</v>
      </c>
      <c r="D1035" s="2">
        <f ca="1">IFERROR(__xludf.DUMMYFUNCTION("""COMPUTED_VALUE"""),9650)</f>
        <v>9650</v>
      </c>
      <c r="E1035" s="2">
        <f ca="1">IFERROR(__xludf.DUMMYFUNCTION("""COMPUTED_VALUE"""),9700)</f>
        <v>9700</v>
      </c>
      <c r="F1035" s="2">
        <f ca="1">IFERROR(__xludf.DUMMYFUNCTION("""COMPUTED_VALUE"""),21640500)</f>
        <v>21640500</v>
      </c>
    </row>
    <row r="1036" spans="1:6">
      <c r="A1036" s="1">
        <f ca="1">IFERROR(__xludf.DUMMYFUNCTION("""COMPUTED_VALUE"""),43573.625)</f>
        <v>43573.625</v>
      </c>
      <c r="B1036" s="2">
        <f ca="1">IFERROR(__xludf.DUMMYFUNCTION("""COMPUTED_VALUE"""),9925)</f>
        <v>9925</v>
      </c>
      <c r="C1036" s="2">
        <f ca="1">IFERROR(__xludf.DUMMYFUNCTION("""COMPUTED_VALUE"""),10250)</f>
        <v>10250</v>
      </c>
      <c r="D1036" s="2">
        <f ca="1">IFERROR(__xludf.DUMMYFUNCTION("""COMPUTED_VALUE"""),9750)</f>
        <v>9750</v>
      </c>
      <c r="E1036" s="2">
        <f ca="1">IFERROR(__xludf.DUMMYFUNCTION("""COMPUTED_VALUE"""),9850)</f>
        <v>9850</v>
      </c>
      <c r="F1036" s="2">
        <f ca="1">IFERROR(__xludf.DUMMYFUNCTION("""COMPUTED_VALUE"""),45250500)</f>
        <v>45250500</v>
      </c>
    </row>
    <row r="1037" spans="1:6">
      <c r="A1037" s="1">
        <f ca="1">IFERROR(__xludf.DUMMYFUNCTION("""COMPUTED_VALUE"""),43577.625)</f>
        <v>43577.625</v>
      </c>
      <c r="B1037" s="2">
        <f ca="1">IFERROR(__xludf.DUMMYFUNCTION("""COMPUTED_VALUE"""),9825)</f>
        <v>9825</v>
      </c>
      <c r="C1037" s="2">
        <f ca="1">IFERROR(__xludf.DUMMYFUNCTION("""COMPUTED_VALUE"""),9825)</f>
        <v>9825</v>
      </c>
      <c r="D1037" s="2">
        <f ca="1">IFERROR(__xludf.DUMMYFUNCTION("""COMPUTED_VALUE"""),9625)</f>
        <v>9625</v>
      </c>
      <c r="E1037" s="2">
        <f ca="1">IFERROR(__xludf.DUMMYFUNCTION("""COMPUTED_VALUE"""),9675)</f>
        <v>9675</v>
      </c>
      <c r="F1037" s="2">
        <f ca="1">IFERROR(__xludf.DUMMYFUNCTION("""COMPUTED_VALUE"""),19359500)</f>
        <v>19359500</v>
      </c>
    </row>
    <row r="1038" spans="1:6">
      <c r="A1038" s="1">
        <f ca="1">IFERROR(__xludf.DUMMYFUNCTION("""COMPUTED_VALUE"""),43578.625)</f>
        <v>43578.625</v>
      </c>
      <c r="B1038" s="2">
        <f ca="1">IFERROR(__xludf.DUMMYFUNCTION("""COMPUTED_VALUE"""),9600)</f>
        <v>9600</v>
      </c>
      <c r="C1038" s="2">
        <f ca="1">IFERROR(__xludf.DUMMYFUNCTION("""COMPUTED_VALUE"""),9825)</f>
        <v>9825</v>
      </c>
      <c r="D1038" s="2">
        <f ca="1">IFERROR(__xludf.DUMMYFUNCTION("""COMPUTED_VALUE"""),9600)</f>
        <v>9600</v>
      </c>
      <c r="E1038" s="2">
        <f ca="1">IFERROR(__xludf.DUMMYFUNCTION("""COMPUTED_VALUE"""),9800)</f>
        <v>9800</v>
      </c>
      <c r="F1038" s="2">
        <f ca="1">IFERROR(__xludf.DUMMYFUNCTION("""COMPUTED_VALUE"""),12582600)</f>
        <v>12582600</v>
      </c>
    </row>
    <row r="1039" spans="1:6">
      <c r="A1039" s="1">
        <f ca="1">IFERROR(__xludf.DUMMYFUNCTION("""COMPUTED_VALUE"""),43579.625)</f>
        <v>43579.625</v>
      </c>
      <c r="B1039" s="2">
        <f ca="1">IFERROR(__xludf.DUMMYFUNCTION("""COMPUTED_VALUE"""),9900)</f>
        <v>9900</v>
      </c>
      <c r="C1039" s="2">
        <f ca="1">IFERROR(__xludf.DUMMYFUNCTION("""COMPUTED_VALUE"""),9925)</f>
        <v>9925</v>
      </c>
      <c r="D1039" s="2">
        <f ca="1">IFERROR(__xludf.DUMMYFUNCTION("""COMPUTED_VALUE"""),9775)</f>
        <v>9775</v>
      </c>
      <c r="E1039" s="2">
        <f ca="1">IFERROR(__xludf.DUMMYFUNCTION("""COMPUTED_VALUE"""),9800)</f>
        <v>9800</v>
      </c>
      <c r="F1039" s="2">
        <f ca="1">IFERROR(__xludf.DUMMYFUNCTION("""COMPUTED_VALUE"""),11306400)</f>
        <v>11306400</v>
      </c>
    </row>
    <row r="1040" spans="1:6">
      <c r="A1040" s="1">
        <f ca="1">IFERROR(__xludf.DUMMYFUNCTION("""COMPUTED_VALUE"""),43580.625)</f>
        <v>43580.625</v>
      </c>
      <c r="B1040" s="2">
        <f ca="1">IFERROR(__xludf.DUMMYFUNCTION("""COMPUTED_VALUE"""),9700)</f>
        <v>9700</v>
      </c>
      <c r="C1040" s="2">
        <f ca="1">IFERROR(__xludf.DUMMYFUNCTION("""COMPUTED_VALUE"""),9725)</f>
        <v>9725</v>
      </c>
      <c r="D1040" s="2">
        <f ca="1">IFERROR(__xludf.DUMMYFUNCTION("""COMPUTED_VALUE"""),9550)</f>
        <v>9550</v>
      </c>
      <c r="E1040" s="2">
        <f ca="1">IFERROR(__xludf.DUMMYFUNCTION("""COMPUTED_VALUE"""),9600)</f>
        <v>9600</v>
      </c>
      <c r="F1040" s="2">
        <f ca="1">IFERROR(__xludf.DUMMYFUNCTION("""COMPUTED_VALUE"""),30639100)</f>
        <v>30639100</v>
      </c>
    </row>
    <row r="1041" spans="1:6">
      <c r="A1041" s="1">
        <f ca="1">IFERROR(__xludf.DUMMYFUNCTION("""COMPUTED_VALUE"""),43581.625)</f>
        <v>43581.625</v>
      </c>
      <c r="B1041" s="2">
        <f ca="1">IFERROR(__xludf.DUMMYFUNCTION("""COMPUTED_VALUE"""),9625)</f>
        <v>9625</v>
      </c>
      <c r="C1041" s="2">
        <f ca="1">IFERROR(__xludf.DUMMYFUNCTION("""COMPUTED_VALUE"""),9650)</f>
        <v>9650</v>
      </c>
      <c r="D1041" s="2">
        <f ca="1">IFERROR(__xludf.DUMMYFUNCTION("""COMPUTED_VALUE"""),9500)</f>
        <v>9500</v>
      </c>
      <c r="E1041" s="2">
        <f ca="1">IFERROR(__xludf.DUMMYFUNCTION("""COMPUTED_VALUE"""),9650)</f>
        <v>9650</v>
      </c>
      <c r="F1041" s="2">
        <f ca="1">IFERROR(__xludf.DUMMYFUNCTION("""COMPUTED_VALUE"""),31360400)</f>
        <v>31360400</v>
      </c>
    </row>
    <row r="1042" spans="1:6">
      <c r="A1042" s="1">
        <f ca="1">IFERROR(__xludf.DUMMYFUNCTION("""COMPUTED_VALUE"""),43584.625)</f>
        <v>43584.625</v>
      </c>
      <c r="B1042" s="2">
        <f ca="1">IFERROR(__xludf.DUMMYFUNCTION("""COMPUTED_VALUE"""),9725)</f>
        <v>9725</v>
      </c>
      <c r="C1042" s="2">
        <f ca="1">IFERROR(__xludf.DUMMYFUNCTION("""COMPUTED_VALUE"""),9725)</f>
        <v>9725</v>
      </c>
      <c r="D1042" s="2">
        <f ca="1">IFERROR(__xludf.DUMMYFUNCTION("""COMPUTED_VALUE"""),9550)</f>
        <v>9550</v>
      </c>
      <c r="E1042" s="2">
        <f ca="1">IFERROR(__xludf.DUMMYFUNCTION("""COMPUTED_VALUE"""),9625)</f>
        <v>9625</v>
      </c>
      <c r="F1042" s="2">
        <f ca="1">IFERROR(__xludf.DUMMYFUNCTION("""COMPUTED_VALUE"""),13182200)</f>
        <v>13182200</v>
      </c>
    </row>
    <row r="1043" spans="1:6">
      <c r="A1043" s="1">
        <f ca="1">IFERROR(__xludf.DUMMYFUNCTION("""COMPUTED_VALUE"""),43585.625)</f>
        <v>43585.625</v>
      </c>
      <c r="B1043" s="2">
        <f ca="1">IFERROR(__xludf.DUMMYFUNCTION("""COMPUTED_VALUE"""),9625)</f>
        <v>9625</v>
      </c>
      <c r="C1043" s="2">
        <f ca="1">IFERROR(__xludf.DUMMYFUNCTION("""COMPUTED_VALUE"""),9700)</f>
        <v>9700</v>
      </c>
      <c r="D1043" s="2">
        <f ca="1">IFERROR(__xludf.DUMMYFUNCTION("""COMPUTED_VALUE"""),9525)</f>
        <v>9525</v>
      </c>
      <c r="E1043" s="2">
        <f ca="1">IFERROR(__xludf.DUMMYFUNCTION("""COMPUTED_VALUE"""),9600)</f>
        <v>9600</v>
      </c>
      <c r="F1043" s="2">
        <f ca="1">IFERROR(__xludf.DUMMYFUNCTION("""COMPUTED_VALUE"""),23381400)</f>
        <v>23381400</v>
      </c>
    </row>
    <row r="1044" spans="1:6">
      <c r="A1044" s="1">
        <f ca="1">IFERROR(__xludf.DUMMYFUNCTION("""COMPUTED_VALUE"""),43587.625)</f>
        <v>43587.625</v>
      </c>
      <c r="B1044" s="2">
        <f ca="1">IFERROR(__xludf.DUMMYFUNCTION("""COMPUTED_VALUE"""),9525)</f>
        <v>9525</v>
      </c>
      <c r="C1044" s="2">
        <f ca="1">IFERROR(__xludf.DUMMYFUNCTION("""COMPUTED_VALUE"""),9575)</f>
        <v>9575</v>
      </c>
      <c r="D1044" s="2">
        <f ca="1">IFERROR(__xludf.DUMMYFUNCTION("""COMPUTED_VALUE"""),9300)</f>
        <v>9300</v>
      </c>
      <c r="E1044" s="2">
        <f ca="1">IFERROR(__xludf.DUMMYFUNCTION("""COMPUTED_VALUE"""),9425)</f>
        <v>9425</v>
      </c>
      <c r="F1044" s="2">
        <f ca="1">IFERROR(__xludf.DUMMYFUNCTION("""COMPUTED_VALUE"""),30037100)</f>
        <v>30037100</v>
      </c>
    </row>
    <row r="1045" spans="1:6">
      <c r="A1045" s="1">
        <f ca="1">IFERROR(__xludf.DUMMYFUNCTION("""COMPUTED_VALUE"""),43588.625)</f>
        <v>43588.625</v>
      </c>
      <c r="B1045" s="2">
        <f ca="1">IFERROR(__xludf.DUMMYFUNCTION("""COMPUTED_VALUE"""),9400)</f>
        <v>9400</v>
      </c>
      <c r="C1045" s="2">
        <f ca="1">IFERROR(__xludf.DUMMYFUNCTION("""COMPUTED_VALUE"""),9400)</f>
        <v>9400</v>
      </c>
      <c r="D1045" s="2">
        <f ca="1">IFERROR(__xludf.DUMMYFUNCTION("""COMPUTED_VALUE"""),9175)</f>
        <v>9175</v>
      </c>
      <c r="E1045" s="2">
        <f ca="1">IFERROR(__xludf.DUMMYFUNCTION("""COMPUTED_VALUE"""),9250)</f>
        <v>9250</v>
      </c>
      <c r="F1045" s="2">
        <f ca="1">IFERROR(__xludf.DUMMYFUNCTION("""COMPUTED_VALUE"""),29596100)</f>
        <v>29596100</v>
      </c>
    </row>
    <row r="1046" spans="1:6">
      <c r="A1046" s="1">
        <f ca="1">IFERROR(__xludf.DUMMYFUNCTION("""COMPUTED_VALUE"""),43591.625)</f>
        <v>43591.625</v>
      </c>
      <c r="B1046" s="2">
        <f ca="1">IFERROR(__xludf.DUMMYFUNCTION("""COMPUTED_VALUE"""),9100)</f>
        <v>9100</v>
      </c>
      <c r="C1046" s="2">
        <f ca="1">IFERROR(__xludf.DUMMYFUNCTION("""COMPUTED_VALUE"""),9125)</f>
        <v>9125</v>
      </c>
      <c r="D1046" s="2">
        <f ca="1">IFERROR(__xludf.DUMMYFUNCTION("""COMPUTED_VALUE"""),8750)</f>
        <v>8750</v>
      </c>
      <c r="E1046" s="2">
        <f ca="1">IFERROR(__xludf.DUMMYFUNCTION("""COMPUTED_VALUE"""),8875)</f>
        <v>8875</v>
      </c>
      <c r="F1046" s="2">
        <f ca="1">IFERROR(__xludf.DUMMYFUNCTION("""COMPUTED_VALUE"""),27776100)</f>
        <v>27776100</v>
      </c>
    </row>
    <row r="1047" spans="1:6">
      <c r="A1047" s="1">
        <f ca="1">IFERROR(__xludf.DUMMYFUNCTION("""COMPUTED_VALUE"""),43592.625)</f>
        <v>43592.625</v>
      </c>
      <c r="B1047" s="2">
        <f ca="1">IFERROR(__xludf.DUMMYFUNCTION("""COMPUTED_VALUE"""),8875)</f>
        <v>8875</v>
      </c>
      <c r="C1047" s="2">
        <f ca="1">IFERROR(__xludf.DUMMYFUNCTION("""COMPUTED_VALUE"""),9050)</f>
        <v>9050</v>
      </c>
      <c r="D1047" s="2">
        <f ca="1">IFERROR(__xludf.DUMMYFUNCTION("""COMPUTED_VALUE"""),8750)</f>
        <v>8750</v>
      </c>
      <c r="E1047" s="2">
        <f ca="1">IFERROR(__xludf.DUMMYFUNCTION("""COMPUTED_VALUE"""),8950)</f>
        <v>8950</v>
      </c>
      <c r="F1047" s="2">
        <f ca="1">IFERROR(__xludf.DUMMYFUNCTION("""COMPUTED_VALUE"""),30955000)</f>
        <v>30955000</v>
      </c>
    </row>
    <row r="1048" spans="1:6">
      <c r="A1048" s="1">
        <f ca="1">IFERROR(__xludf.DUMMYFUNCTION("""COMPUTED_VALUE"""),43593.625)</f>
        <v>43593.625</v>
      </c>
      <c r="B1048" s="2">
        <f ca="1">IFERROR(__xludf.DUMMYFUNCTION("""COMPUTED_VALUE"""),8775)</f>
        <v>8775</v>
      </c>
      <c r="C1048" s="2">
        <f ca="1">IFERROR(__xludf.DUMMYFUNCTION("""COMPUTED_VALUE"""),8850)</f>
        <v>8850</v>
      </c>
      <c r="D1048" s="2">
        <f ca="1">IFERROR(__xludf.DUMMYFUNCTION("""COMPUTED_VALUE"""),8700)</f>
        <v>8700</v>
      </c>
      <c r="E1048" s="2">
        <f ca="1">IFERROR(__xludf.DUMMYFUNCTION("""COMPUTED_VALUE"""),8750)</f>
        <v>8750</v>
      </c>
      <c r="F1048" s="2">
        <f ca="1">IFERROR(__xludf.DUMMYFUNCTION("""COMPUTED_VALUE"""),20841200)</f>
        <v>20841200</v>
      </c>
    </row>
    <row r="1049" spans="1:6">
      <c r="A1049" s="1">
        <f ca="1">IFERROR(__xludf.DUMMYFUNCTION("""COMPUTED_VALUE"""),43594.625)</f>
        <v>43594.625</v>
      </c>
      <c r="B1049" s="2">
        <f ca="1">IFERROR(__xludf.DUMMYFUNCTION("""COMPUTED_VALUE"""),8600)</f>
        <v>8600</v>
      </c>
      <c r="C1049" s="2">
        <f ca="1">IFERROR(__xludf.DUMMYFUNCTION("""COMPUTED_VALUE"""),8675)</f>
        <v>8675</v>
      </c>
      <c r="D1049" s="2">
        <f ca="1">IFERROR(__xludf.DUMMYFUNCTION("""COMPUTED_VALUE"""),8550)</f>
        <v>8550</v>
      </c>
      <c r="E1049" s="2">
        <f ca="1">IFERROR(__xludf.DUMMYFUNCTION("""COMPUTED_VALUE"""),8575)</f>
        <v>8575</v>
      </c>
      <c r="F1049" s="2">
        <f ca="1">IFERROR(__xludf.DUMMYFUNCTION("""COMPUTED_VALUE"""),34914900)</f>
        <v>34914900</v>
      </c>
    </row>
    <row r="1050" spans="1:6">
      <c r="A1050" s="1">
        <f ca="1">IFERROR(__xludf.DUMMYFUNCTION("""COMPUTED_VALUE"""),43595.625)</f>
        <v>43595.625</v>
      </c>
      <c r="B1050" s="2">
        <f ca="1">IFERROR(__xludf.DUMMYFUNCTION("""COMPUTED_VALUE"""),8650)</f>
        <v>8650</v>
      </c>
      <c r="C1050" s="2">
        <f ca="1">IFERROR(__xludf.DUMMYFUNCTION("""COMPUTED_VALUE"""),8825)</f>
        <v>8825</v>
      </c>
      <c r="D1050" s="2">
        <f ca="1">IFERROR(__xludf.DUMMYFUNCTION("""COMPUTED_VALUE"""),8575)</f>
        <v>8575</v>
      </c>
      <c r="E1050" s="2">
        <f ca="1">IFERROR(__xludf.DUMMYFUNCTION("""COMPUTED_VALUE"""),8600)</f>
        <v>8600</v>
      </c>
      <c r="F1050" s="2">
        <f ca="1">IFERROR(__xludf.DUMMYFUNCTION("""COMPUTED_VALUE"""),22575600)</f>
        <v>22575600</v>
      </c>
    </row>
    <row r="1051" spans="1:6">
      <c r="A1051" s="1">
        <f ca="1">IFERROR(__xludf.DUMMYFUNCTION("""COMPUTED_VALUE"""),43598.625)</f>
        <v>43598.625</v>
      </c>
      <c r="B1051" s="2">
        <f ca="1">IFERROR(__xludf.DUMMYFUNCTION("""COMPUTED_VALUE"""),8600)</f>
        <v>8600</v>
      </c>
      <c r="C1051" s="2">
        <f ca="1">IFERROR(__xludf.DUMMYFUNCTION("""COMPUTED_VALUE"""),8675)</f>
        <v>8675</v>
      </c>
      <c r="D1051" s="2">
        <f ca="1">IFERROR(__xludf.DUMMYFUNCTION("""COMPUTED_VALUE"""),8500)</f>
        <v>8500</v>
      </c>
      <c r="E1051" s="2">
        <f ca="1">IFERROR(__xludf.DUMMYFUNCTION("""COMPUTED_VALUE"""),8500)</f>
        <v>8500</v>
      </c>
      <c r="F1051" s="2">
        <f ca="1">IFERROR(__xludf.DUMMYFUNCTION("""COMPUTED_VALUE"""),10355000)</f>
        <v>10355000</v>
      </c>
    </row>
    <row r="1052" spans="1:6">
      <c r="A1052" s="1">
        <f ca="1">IFERROR(__xludf.DUMMYFUNCTION("""COMPUTED_VALUE"""),43599.625)</f>
        <v>43599.625</v>
      </c>
      <c r="B1052" s="2">
        <f ca="1">IFERROR(__xludf.DUMMYFUNCTION("""COMPUTED_VALUE"""),8450)</f>
        <v>8450</v>
      </c>
      <c r="C1052" s="2">
        <f ca="1">IFERROR(__xludf.DUMMYFUNCTION("""COMPUTED_VALUE"""),8550)</f>
        <v>8550</v>
      </c>
      <c r="D1052" s="2">
        <f ca="1">IFERROR(__xludf.DUMMYFUNCTION("""COMPUTED_VALUE"""),8250)</f>
        <v>8250</v>
      </c>
      <c r="E1052" s="2">
        <f ca="1">IFERROR(__xludf.DUMMYFUNCTION("""COMPUTED_VALUE"""),8450)</f>
        <v>8450</v>
      </c>
      <c r="F1052" s="2">
        <f ca="1">IFERROR(__xludf.DUMMYFUNCTION("""COMPUTED_VALUE"""),34222700)</f>
        <v>34222700</v>
      </c>
    </row>
    <row r="1053" spans="1:6">
      <c r="A1053" s="1">
        <f ca="1">IFERROR(__xludf.DUMMYFUNCTION("""COMPUTED_VALUE"""),43600.625)</f>
        <v>43600.625</v>
      </c>
      <c r="B1053" s="2">
        <f ca="1">IFERROR(__xludf.DUMMYFUNCTION("""COMPUTED_VALUE"""),8475)</f>
        <v>8475</v>
      </c>
      <c r="C1053" s="2">
        <f ca="1">IFERROR(__xludf.DUMMYFUNCTION("""COMPUTED_VALUE"""),8475)</f>
        <v>8475</v>
      </c>
      <c r="D1053" s="2">
        <f ca="1">IFERROR(__xludf.DUMMYFUNCTION("""COMPUTED_VALUE"""),8125)</f>
        <v>8125</v>
      </c>
      <c r="E1053" s="2">
        <f ca="1">IFERROR(__xludf.DUMMYFUNCTION("""COMPUTED_VALUE"""),8225)</f>
        <v>8225</v>
      </c>
      <c r="F1053" s="2">
        <f ca="1">IFERROR(__xludf.DUMMYFUNCTION("""COMPUTED_VALUE"""),45353000)</f>
        <v>45353000</v>
      </c>
    </row>
    <row r="1054" spans="1:6">
      <c r="A1054" s="1">
        <f ca="1">IFERROR(__xludf.DUMMYFUNCTION("""COMPUTED_VALUE"""),43601.625)</f>
        <v>43601.625</v>
      </c>
      <c r="B1054" s="2">
        <f ca="1">IFERROR(__xludf.DUMMYFUNCTION("""COMPUTED_VALUE"""),8200)</f>
        <v>8200</v>
      </c>
      <c r="C1054" s="2">
        <f ca="1">IFERROR(__xludf.DUMMYFUNCTION("""COMPUTED_VALUE"""),8350)</f>
        <v>8350</v>
      </c>
      <c r="D1054" s="2">
        <f ca="1">IFERROR(__xludf.DUMMYFUNCTION("""COMPUTED_VALUE"""),8075)</f>
        <v>8075</v>
      </c>
      <c r="E1054" s="2">
        <f ca="1">IFERROR(__xludf.DUMMYFUNCTION("""COMPUTED_VALUE"""),8175)</f>
        <v>8175</v>
      </c>
      <c r="F1054" s="2">
        <f ca="1">IFERROR(__xludf.DUMMYFUNCTION("""COMPUTED_VALUE"""),18224200)</f>
        <v>18224200</v>
      </c>
    </row>
    <row r="1055" spans="1:6">
      <c r="A1055" s="1">
        <f ca="1">IFERROR(__xludf.DUMMYFUNCTION("""COMPUTED_VALUE"""),43602.625)</f>
        <v>43602.625</v>
      </c>
      <c r="B1055" s="2">
        <f ca="1">IFERROR(__xludf.DUMMYFUNCTION("""COMPUTED_VALUE"""),8475)</f>
        <v>8475</v>
      </c>
      <c r="C1055" s="2">
        <f ca="1">IFERROR(__xludf.DUMMYFUNCTION("""COMPUTED_VALUE"""),8475)</f>
        <v>8475</v>
      </c>
      <c r="D1055" s="2">
        <f ca="1">IFERROR(__xludf.DUMMYFUNCTION("""COMPUTED_VALUE"""),8050)</f>
        <v>8050</v>
      </c>
      <c r="E1055" s="2">
        <f ca="1">IFERROR(__xludf.DUMMYFUNCTION("""COMPUTED_VALUE"""),8100)</f>
        <v>8100</v>
      </c>
      <c r="F1055" s="2">
        <f ca="1">IFERROR(__xludf.DUMMYFUNCTION("""COMPUTED_VALUE"""),30723600)</f>
        <v>30723600</v>
      </c>
    </row>
    <row r="1056" spans="1:6">
      <c r="A1056" s="1">
        <f ca="1">IFERROR(__xludf.DUMMYFUNCTION("""COMPUTED_VALUE"""),43605.625)</f>
        <v>43605.625</v>
      </c>
      <c r="B1056" s="2">
        <f ca="1">IFERROR(__xludf.DUMMYFUNCTION("""COMPUTED_VALUE"""),8100)</f>
        <v>8100</v>
      </c>
      <c r="C1056" s="2">
        <f ca="1">IFERROR(__xludf.DUMMYFUNCTION("""COMPUTED_VALUE"""),8450)</f>
        <v>8450</v>
      </c>
      <c r="D1056" s="2">
        <f ca="1">IFERROR(__xludf.DUMMYFUNCTION("""COMPUTED_VALUE"""),7825)</f>
        <v>7825</v>
      </c>
      <c r="E1056" s="2">
        <f ca="1">IFERROR(__xludf.DUMMYFUNCTION("""COMPUTED_VALUE"""),8425)</f>
        <v>8425</v>
      </c>
      <c r="F1056" s="2">
        <f ca="1">IFERROR(__xludf.DUMMYFUNCTION("""COMPUTED_VALUE"""),21827500)</f>
        <v>21827500</v>
      </c>
    </row>
    <row r="1057" spans="1:6">
      <c r="A1057" s="1">
        <f ca="1">IFERROR(__xludf.DUMMYFUNCTION("""COMPUTED_VALUE"""),43606.625)</f>
        <v>43606.625</v>
      </c>
      <c r="B1057" s="2">
        <f ca="1">IFERROR(__xludf.DUMMYFUNCTION("""COMPUTED_VALUE"""),8450)</f>
        <v>8450</v>
      </c>
      <c r="C1057" s="2">
        <f ca="1">IFERROR(__xludf.DUMMYFUNCTION("""COMPUTED_VALUE"""),8600)</f>
        <v>8600</v>
      </c>
      <c r="D1057" s="2">
        <f ca="1">IFERROR(__xludf.DUMMYFUNCTION("""COMPUTED_VALUE"""),8375)</f>
        <v>8375</v>
      </c>
      <c r="E1057" s="2">
        <f ca="1">IFERROR(__xludf.DUMMYFUNCTION("""COMPUTED_VALUE"""),8600)</f>
        <v>8600</v>
      </c>
      <c r="F1057" s="2">
        <f ca="1">IFERROR(__xludf.DUMMYFUNCTION("""COMPUTED_VALUE"""),39155400)</f>
        <v>39155400</v>
      </c>
    </row>
    <row r="1058" spans="1:6">
      <c r="A1058" s="1">
        <f ca="1">IFERROR(__xludf.DUMMYFUNCTION("""COMPUTED_VALUE"""),43607.625)</f>
        <v>43607.625</v>
      </c>
      <c r="B1058" s="2">
        <f ca="1">IFERROR(__xludf.DUMMYFUNCTION("""COMPUTED_VALUE"""),8300)</f>
        <v>8300</v>
      </c>
      <c r="C1058" s="2">
        <f ca="1">IFERROR(__xludf.DUMMYFUNCTION("""COMPUTED_VALUE"""),8475)</f>
        <v>8475</v>
      </c>
      <c r="D1058" s="2">
        <f ca="1">IFERROR(__xludf.DUMMYFUNCTION("""COMPUTED_VALUE"""),8275)</f>
        <v>8275</v>
      </c>
      <c r="E1058" s="2">
        <f ca="1">IFERROR(__xludf.DUMMYFUNCTION("""COMPUTED_VALUE"""),8300)</f>
        <v>8300</v>
      </c>
      <c r="F1058" s="2">
        <f ca="1">IFERROR(__xludf.DUMMYFUNCTION("""COMPUTED_VALUE"""),20428500)</f>
        <v>20428500</v>
      </c>
    </row>
    <row r="1059" spans="1:6">
      <c r="A1059" s="1">
        <f ca="1">IFERROR(__xludf.DUMMYFUNCTION("""COMPUTED_VALUE"""),43608.625)</f>
        <v>43608.625</v>
      </c>
      <c r="B1059" s="2">
        <f ca="1">IFERROR(__xludf.DUMMYFUNCTION("""COMPUTED_VALUE"""),8275)</f>
        <v>8275</v>
      </c>
      <c r="C1059" s="2">
        <f ca="1">IFERROR(__xludf.DUMMYFUNCTION("""COMPUTED_VALUE"""),8600)</f>
        <v>8600</v>
      </c>
      <c r="D1059" s="2">
        <f ca="1">IFERROR(__xludf.DUMMYFUNCTION("""COMPUTED_VALUE"""),8275)</f>
        <v>8275</v>
      </c>
      <c r="E1059" s="2">
        <f ca="1">IFERROR(__xludf.DUMMYFUNCTION("""COMPUTED_VALUE"""),8500)</f>
        <v>8500</v>
      </c>
      <c r="F1059" s="2">
        <f ca="1">IFERROR(__xludf.DUMMYFUNCTION("""COMPUTED_VALUE"""),21607800)</f>
        <v>21607800</v>
      </c>
    </row>
    <row r="1060" spans="1:6">
      <c r="A1060" s="1">
        <f ca="1">IFERROR(__xludf.DUMMYFUNCTION("""COMPUTED_VALUE"""),43609.625)</f>
        <v>43609.625</v>
      </c>
      <c r="B1060" s="2">
        <f ca="1">IFERROR(__xludf.DUMMYFUNCTION("""COMPUTED_VALUE"""),8475)</f>
        <v>8475</v>
      </c>
      <c r="C1060" s="2">
        <f ca="1">IFERROR(__xludf.DUMMYFUNCTION("""COMPUTED_VALUE"""),8800)</f>
        <v>8800</v>
      </c>
      <c r="D1060" s="2">
        <f ca="1">IFERROR(__xludf.DUMMYFUNCTION("""COMPUTED_VALUE"""),8475)</f>
        <v>8475</v>
      </c>
      <c r="E1060" s="2">
        <f ca="1">IFERROR(__xludf.DUMMYFUNCTION("""COMPUTED_VALUE"""),8650)</f>
        <v>8650</v>
      </c>
      <c r="F1060" s="2">
        <f ca="1">IFERROR(__xludf.DUMMYFUNCTION("""COMPUTED_VALUE"""),24187400)</f>
        <v>24187400</v>
      </c>
    </row>
    <row r="1061" spans="1:6">
      <c r="A1061" s="1">
        <f ca="1">IFERROR(__xludf.DUMMYFUNCTION("""COMPUTED_VALUE"""),43612.625)</f>
        <v>43612.625</v>
      </c>
      <c r="B1061" s="2">
        <f ca="1">IFERROR(__xludf.DUMMYFUNCTION("""COMPUTED_VALUE"""),8650)</f>
        <v>8650</v>
      </c>
      <c r="C1061" s="2">
        <f ca="1">IFERROR(__xludf.DUMMYFUNCTION("""COMPUTED_VALUE"""),8825)</f>
        <v>8825</v>
      </c>
      <c r="D1061" s="2">
        <f ca="1">IFERROR(__xludf.DUMMYFUNCTION("""COMPUTED_VALUE"""),8650)</f>
        <v>8650</v>
      </c>
      <c r="E1061" s="2">
        <f ca="1">IFERROR(__xludf.DUMMYFUNCTION("""COMPUTED_VALUE"""),8700)</f>
        <v>8700</v>
      </c>
      <c r="F1061" s="2">
        <f ca="1">IFERROR(__xludf.DUMMYFUNCTION("""COMPUTED_VALUE"""),16123400)</f>
        <v>16123400</v>
      </c>
    </row>
    <row r="1062" spans="1:6">
      <c r="A1062" s="1">
        <f ca="1">IFERROR(__xludf.DUMMYFUNCTION("""COMPUTED_VALUE"""),43613.625)</f>
        <v>43613.625</v>
      </c>
      <c r="B1062" s="2">
        <f ca="1">IFERROR(__xludf.DUMMYFUNCTION("""COMPUTED_VALUE"""),8650)</f>
        <v>8650</v>
      </c>
      <c r="C1062" s="2">
        <f ca="1">IFERROR(__xludf.DUMMYFUNCTION("""COMPUTED_VALUE"""),8650)</f>
        <v>8650</v>
      </c>
      <c r="D1062" s="2">
        <f ca="1">IFERROR(__xludf.DUMMYFUNCTION("""COMPUTED_VALUE"""),8100)</f>
        <v>8100</v>
      </c>
      <c r="E1062" s="2">
        <f ca="1">IFERROR(__xludf.DUMMYFUNCTION("""COMPUTED_VALUE"""),8150)</f>
        <v>8150</v>
      </c>
      <c r="F1062" s="2">
        <f ca="1">IFERROR(__xludf.DUMMYFUNCTION("""COMPUTED_VALUE"""),111256000)</f>
        <v>111256000</v>
      </c>
    </row>
    <row r="1063" spans="1:6">
      <c r="A1063" s="1">
        <f ca="1">IFERROR(__xludf.DUMMYFUNCTION("""COMPUTED_VALUE"""),43614.625)</f>
        <v>43614.625</v>
      </c>
      <c r="B1063" s="2">
        <f ca="1">IFERROR(__xludf.DUMMYFUNCTION("""COMPUTED_VALUE"""),8150)</f>
        <v>8150</v>
      </c>
      <c r="C1063" s="2">
        <f ca="1">IFERROR(__xludf.DUMMYFUNCTION("""COMPUTED_VALUE"""),8225)</f>
        <v>8225</v>
      </c>
      <c r="D1063" s="2">
        <f ca="1">IFERROR(__xludf.DUMMYFUNCTION("""COMPUTED_VALUE"""),8025)</f>
        <v>8025</v>
      </c>
      <c r="E1063" s="2">
        <f ca="1">IFERROR(__xludf.DUMMYFUNCTION("""COMPUTED_VALUE"""),8150)</f>
        <v>8150</v>
      </c>
      <c r="F1063" s="2">
        <f ca="1">IFERROR(__xludf.DUMMYFUNCTION("""COMPUTED_VALUE"""),39146400)</f>
        <v>39146400</v>
      </c>
    </row>
    <row r="1064" spans="1:6">
      <c r="A1064" s="1">
        <f ca="1">IFERROR(__xludf.DUMMYFUNCTION("""COMPUTED_VALUE"""),43616.625)</f>
        <v>43616.625</v>
      </c>
      <c r="B1064" s="2">
        <f ca="1">IFERROR(__xludf.DUMMYFUNCTION("""COMPUTED_VALUE"""),8200)</f>
        <v>8200</v>
      </c>
      <c r="C1064" s="2">
        <f ca="1">IFERROR(__xludf.DUMMYFUNCTION("""COMPUTED_VALUE"""),8425)</f>
        <v>8425</v>
      </c>
      <c r="D1064" s="2">
        <f ca="1">IFERROR(__xludf.DUMMYFUNCTION("""COMPUTED_VALUE"""),8200)</f>
        <v>8200</v>
      </c>
      <c r="E1064" s="2">
        <f ca="1">IFERROR(__xludf.DUMMYFUNCTION("""COMPUTED_VALUE"""),8400)</f>
        <v>8400</v>
      </c>
      <c r="F1064" s="2">
        <f ca="1">IFERROR(__xludf.DUMMYFUNCTION("""COMPUTED_VALUE"""),44580400)</f>
        <v>44580400</v>
      </c>
    </row>
    <row r="1065" spans="1:6">
      <c r="A1065" s="1">
        <f ca="1">IFERROR(__xludf.DUMMYFUNCTION("""COMPUTED_VALUE"""),43626.625)</f>
        <v>43626.625</v>
      </c>
      <c r="B1065" s="2">
        <f ca="1">IFERROR(__xludf.DUMMYFUNCTION("""COMPUTED_VALUE"""),8575)</f>
        <v>8575</v>
      </c>
      <c r="C1065" s="2">
        <f ca="1">IFERROR(__xludf.DUMMYFUNCTION("""COMPUTED_VALUE"""),8725)</f>
        <v>8725</v>
      </c>
      <c r="D1065" s="2">
        <f ca="1">IFERROR(__xludf.DUMMYFUNCTION("""COMPUTED_VALUE"""),8550)</f>
        <v>8550</v>
      </c>
      <c r="E1065" s="2">
        <f ca="1">IFERROR(__xludf.DUMMYFUNCTION("""COMPUTED_VALUE"""),8675)</f>
        <v>8675</v>
      </c>
      <c r="F1065" s="2">
        <f ca="1">IFERROR(__xludf.DUMMYFUNCTION("""COMPUTED_VALUE"""),50837600)</f>
        <v>50837600</v>
      </c>
    </row>
    <row r="1066" spans="1:6">
      <c r="A1066" s="1">
        <f ca="1">IFERROR(__xludf.DUMMYFUNCTION("""COMPUTED_VALUE"""),43627.625)</f>
        <v>43627.625</v>
      </c>
      <c r="B1066" s="2">
        <f ca="1">IFERROR(__xludf.DUMMYFUNCTION("""COMPUTED_VALUE"""),8600)</f>
        <v>8600</v>
      </c>
      <c r="C1066" s="2">
        <f ca="1">IFERROR(__xludf.DUMMYFUNCTION("""COMPUTED_VALUE"""),8675)</f>
        <v>8675</v>
      </c>
      <c r="D1066" s="2">
        <f ca="1">IFERROR(__xludf.DUMMYFUNCTION("""COMPUTED_VALUE"""),8475)</f>
        <v>8475</v>
      </c>
      <c r="E1066" s="2">
        <f ca="1">IFERROR(__xludf.DUMMYFUNCTION("""COMPUTED_VALUE"""),8575)</f>
        <v>8575</v>
      </c>
      <c r="F1066" s="2">
        <f ca="1">IFERROR(__xludf.DUMMYFUNCTION("""COMPUTED_VALUE"""),22439900)</f>
        <v>22439900</v>
      </c>
    </row>
    <row r="1067" spans="1:6">
      <c r="A1067" s="1">
        <f ca="1">IFERROR(__xludf.DUMMYFUNCTION("""COMPUTED_VALUE"""),43628.625)</f>
        <v>43628.625</v>
      </c>
      <c r="B1067" s="2">
        <f ca="1">IFERROR(__xludf.DUMMYFUNCTION("""COMPUTED_VALUE"""),8550)</f>
        <v>8550</v>
      </c>
      <c r="C1067" s="2">
        <f ca="1">IFERROR(__xludf.DUMMYFUNCTION("""COMPUTED_VALUE"""),8650)</f>
        <v>8650</v>
      </c>
      <c r="D1067" s="2">
        <f ca="1">IFERROR(__xludf.DUMMYFUNCTION("""COMPUTED_VALUE"""),8525)</f>
        <v>8525</v>
      </c>
      <c r="E1067" s="2">
        <f ca="1">IFERROR(__xludf.DUMMYFUNCTION("""COMPUTED_VALUE"""),8600)</f>
        <v>8600</v>
      </c>
      <c r="F1067" s="2">
        <f ca="1">IFERROR(__xludf.DUMMYFUNCTION("""COMPUTED_VALUE"""),19614500)</f>
        <v>19614500</v>
      </c>
    </row>
    <row r="1068" spans="1:6">
      <c r="A1068" s="1">
        <f ca="1">IFERROR(__xludf.DUMMYFUNCTION("""COMPUTED_VALUE"""),43629.625)</f>
        <v>43629.625</v>
      </c>
      <c r="B1068" s="2">
        <f ca="1">IFERROR(__xludf.DUMMYFUNCTION("""COMPUTED_VALUE"""),8600)</f>
        <v>8600</v>
      </c>
      <c r="C1068" s="2">
        <f ca="1">IFERROR(__xludf.DUMMYFUNCTION("""COMPUTED_VALUE"""),8675)</f>
        <v>8675</v>
      </c>
      <c r="D1068" s="2">
        <f ca="1">IFERROR(__xludf.DUMMYFUNCTION("""COMPUTED_VALUE"""),8525)</f>
        <v>8525</v>
      </c>
      <c r="E1068" s="2">
        <f ca="1">IFERROR(__xludf.DUMMYFUNCTION("""COMPUTED_VALUE"""),8650)</f>
        <v>8650</v>
      </c>
      <c r="F1068" s="2">
        <f ca="1">IFERROR(__xludf.DUMMYFUNCTION("""COMPUTED_VALUE"""),27200700)</f>
        <v>27200700</v>
      </c>
    </row>
    <row r="1069" spans="1:6">
      <c r="A1069" s="1">
        <f ca="1">IFERROR(__xludf.DUMMYFUNCTION("""COMPUTED_VALUE"""),43630.625)</f>
        <v>43630.625</v>
      </c>
      <c r="B1069" s="2">
        <f ca="1">IFERROR(__xludf.DUMMYFUNCTION("""COMPUTED_VALUE"""),8600)</f>
        <v>8600</v>
      </c>
      <c r="C1069" s="2">
        <f ca="1">IFERROR(__xludf.DUMMYFUNCTION("""COMPUTED_VALUE"""),8650)</f>
        <v>8650</v>
      </c>
      <c r="D1069" s="2">
        <f ca="1">IFERROR(__xludf.DUMMYFUNCTION("""COMPUTED_VALUE"""),8450)</f>
        <v>8450</v>
      </c>
      <c r="E1069" s="2">
        <f ca="1">IFERROR(__xludf.DUMMYFUNCTION("""COMPUTED_VALUE"""),8500)</f>
        <v>8500</v>
      </c>
      <c r="F1069" s="2">
        <f ca="1">IFERROR(__xludf.DUMMYFUNCTION("""COMPUTED_VALUE"""),20197300)</f>
        <v>20197300</v>
      </c>
    </row>
    <row r="1070" spans="1:6">
      <c r="A1070" s="1">
        <f ca="1">IFERROR(__xludf.DUMMYFUNCTION("""COMPUTED_VALUE"""),43633.625)</f>
        <v>43633.625</v>
      </c>
      <c r="B1070" s="2">
        <f ca="1">IFERROR(__xludf.DUMMYFUNCTION("""COMPUTED_VALUE"""),8500)</f>
        <v>8500</v>
      </c>
      <c r="C1070" s="2">
        <f ca="1">IFERROR(__xludf.DUMMYFUNCTION("""COMPUTED_VALUE"""),8525)</f>
        <v>8525</v>
      </c>
      <c r="D1070" s="2">
        <f ca="1">IFERROR(__xludf.DUMMYFUNCTION("""COMPUTED_VALUE"""),8425)</f>
        <v>8425</v>
      </c>
      <c r="E1070" s="2">
        <f ca="1">IFERROR(__xludf.DUMMYFUNCTION("""COMPUTED_VALUE"""),8450)</f>
        <v>8450</v>
      </c>
      <c r="F1070" s="2">
        <f ca="1">IFERROR(__xludf.DUMMYFUNCTION("""COMPUTED_VALUE"""),10977900)</f>
        <v>10977900</v>
      </c>
    </row>
    <row r="1071" spans="1:6">
      <c r="A1071" s="1">
        <f ca="1">IFERROR(__xludf.DUMMYFUNCTION("""COMPUTED_VALUE"""),43634.625)</f>
        <v>43634.625</v>
      </c>
      <c r="B1071" s="2">
        <f ca="1">IFERROR(__xludf.DUMMYFUNCTION("""COMPUTED_VALUE"""),8500)</f>
        <v>8500</v>
      </c>
      <c r="C1071" s="2">
        <f ca="1">IFERROR(__xludf.DUMMYFUNCTION("""COMPUTED_VALUE"""),8750)</f>
        <v>8750</v>
      </c>
      <c r="D1071" s="2">
        <f ca="1">IFERROR(__xludf.DUMMYFUNCTION("""COMPUTED_VALUE"""),8450)</f>
        <v>8450</v>
      </c>
      <c r="E1071" s="2">
        <f ca="1">IFERROR(__xludf.DUMMYFUNCTION("""COMPUTED_VALUE"""),8725)</f>
        <v>8725</v>
      </c>
      <c r="F1071" s="2">
        <f ca="1">IFERROR(__xludf.DUMMYFUNCTION("""COMPUTED_VALUE"""),31353100)</f>
        <v>31353100</v>
      </c>
    </row>
    <row r="1072" spans="1:6">
      <c r="A1072" s="1">
        <f ca="1">IFERROR(__xludf.DUMMYFUNCTION("""COMPUTED_VALUE"""),43635.625)</f>
        <v>43635.625</v>
      </c>
      <c r="B1072" s="2">
        <f ca="1">IFERROR(__xludf.DUMMYFUNCTION("""COMPUTED_VALUE"""),8825)</f>
        <v>8825</v>
      </c>
      <c r="C1072" s="2">
        <f ca="1">IFERROR(__xludf.DUMMYFUNCTION("""COMPUTED_VALUE"""),9025)</f>
        <v>9025</v>
      </c>
      <c r="D1072" s="2">
        <f ca="1">IFERROR(__xludf.DUMMYFUNCTION("""COMPUTED_VALUE"""),8825)</f>
        <v>8825</v>
      </c>
      <c r="E1072" s="2">
        <f ca="1">IFERROR(__xludf.DUMMYFUNCTION("""COMPUTED_VALUE"""),8900)</f>
        <v>8900</v>
      </c>
      <c r="F1072" s="2">
        <f ca="1">IFERROR(__xludf.DUMMYFUNCTION("""COMPUTED_VALUE"""),39873300)</f>
        <v>39873300</v>
      </c>
    </row>
    <row r="1073" spans="1:6">
      <c r="A1073" s="1">
        <f ca="1">IFERROR(__xludf.DUMMYFUNCTION("""COMPUTED_VALUE"""),43636.625)</f>
        <v>43636.625</v>
      </c>
      <c r="B1073" s="2">
        <f ca="1">IFERROR(__xludf.DUMMYFUNCTION("""COMPUTED_VALUE"""),9000)</f>
        <v>9000</v>
      </c>
      <c r="C1073" s="2">
        <f ca="1">IFERROR(__xludf.DUMMYFUNCTION("""COMPUTED_VALUE"""),9000)</f>
        <v>9000</v>
      </c>
      <c r="D1073" s="2">
        <f ca="1">IFERROR(__xludf.DUMMYFUNCTION("""COMPUTED_VALUE"""),8725)</f>
        <v>8725</v>
      </c>
      <c r="E1073" s="2">
        <f ca="1">IFERROR(__xludf.DUMMYFUNCTION("""COMPUTED_VALUE"""),8800)</f>
        <v>8800</v>
      </c>
      <c r="F1073" s="2">
        <f ca="1">IFERROR(__xludf.DUMMYFUNCTION("""COMPUTED_VALUE"""),27201100)</f>
        <v>27201100</v>
      </c>
    </row>
    <row r="1074" spans="1:6">
      <c r="A1074" s="1">
        <f ca="1">IFERROR(__xludf.DUMMYFUNCTION("""COMPUTED_VALUE"""),43637.625)</f>
        <v>43637.625</v>
      </c>
      <c r="B1074" s="2">
        <f ca="1">IFERROR(__xludf.DUMMYFUNCTION("""COMPUTED_VALUE"""),8875)</f>
        <v>8875</v>
      </c>
      <c r="C1074" s="2">
        <f ca="1">IFERROR(__xludf.DUMMYFUNCTION("""COMPUTED_VALUE"""),8900)</f>
        <v>8900</v>
      </c>
      <c r="D1074" s="2">
        <f ca="1">IFERROR(__xludf.DUMMYFUNCTION("""COMPUTED_VALUE"""),8800)</f>
        <v>8800</v>
      </c>
      <c r="E1074" s="2">
        <f ca="1">IFERROR(__xludf.DUMMYFUNCTION("""COMPUTED_VALUE"""),8850)</f>
        <v>8850</v>
      </c>
      <c r="F1074" s="2">
        <f ca="1">IFERROR(__xludf.DUMMYFUNCTION("""COMPUTED_VALUE"""),25762800)</f>
        <v>25762800</v>
      </c>
    </row>
    <row r="1075" spans="1:6">
      <c r="A1075" s="1">
        <f ca="1">IFERROR(__xludf.DUMMYFUNCTION("""COMPUTED_VALUE"""),43640.625)</f>
        <v>43640.625</v>
      </c>
      <c r="B1075" s="2">
        <f ca="1">IFERROR(__xludf.DUMMYFUNCTION("""COMPUTED_VALUE"""),8900)</f>
        <v>8900</v>
      </c>
      <c r="C1075" s="2">
        <f ca="1">IFERROR(__xludf.DUMMYFUNCTION("""COMPUTED_VALUE"""),8975)</f>
        <v>8975</v>
      </c>
      <c r="D1075" s="2">
        <f ca="1">IFERROR(__xludf.DUMMYFUNCTION("""COMPUTED_VALUE"""),8800)</f>
        <v>8800</v>
      </c>
      <c r="E1075" s="2">
        <f ca="1">IFERROR(__xludf.DUMMYFUNCTION("""COMPUTED_VALUE"""),8875)</f>
        <v>8875</v>
      </c>
      <c r="F1075" s="2">
        <f ca="1">IFERROR(__xludf.DUMMYFUNCTION("""COMPUTED_VALUE"""),16048900)</f>
        <v>16048900</v>
      </c>
    </row>
    <row r="1076" spans="1:6">
      <c r="A1076" s="1">
        <f ca="1">IFERROR(__xludf.DUMMYFUNCTION("""COMPUTED_VALUE"""),43641.625)</f>
        <v>43641.625</v>
      </c>
      <c r="B1076" s="2">
        <f ca="1">IFERROR(__xludf.DUMMYFUNCTION("""COMPUTED_VALUE"""),8950)</f>
        <v>8950</v>
      </c>
      <c r="C1076" s="2">
        <f ca="1">IFERROR(__xludf.DUMMYFUNCTION("""COMPUTED_VALUE"""),8975)</f>
        <v>8975</v>
      </c>
      <c r="D1076" s="2">
        <f ca="1">IFERROR(__xludf.DUMMYFUNCTION("""COMPUTED_VALUE"""),8900)</f>
        <v>8900</v>
      </c>
      <c r="E1076" s="2">
        <f ca="1">IFERROR(__xludf.DUMMYFUNCTION("""COMPUTED_VALUE"""),8925)</f>
        <v>8925</v>
      </c>
      <c r="F1076" s="2">
        <f ca="1">IFERROR(__xludf.DUMMYFUNCTION("""COMPUTED_VALUE"""),9168800)</f>
        <v>9168800</v>
      </c>
    </row>
    <row r="1077" spans="1:6">
      <c r="A1077" s="1">
        <f ca="1">IFERROR(__xludf.DUMMYFUNCTION("""COMPUTED_VALUE"""),43642.625)</f>
        <v>43642.625</v>
      </c>
      <c r="B1077" s="2">
        <f ca="1">IFERROR(__xludf.DUMMYFUNCTION("""COMPUTED_VALUE"""),8925)</f>
        <v>8925</v>
      </c>
      <c r="C1077" s="2">
        <f ca="1">IFERROR(__xludf.DUMMYFUNCTION("""COMPUTED_VALUE"""),8950)</f>
        <v>8950</v>
      </c>
      <c r="D1077" s="2">
        <f ca="1">IFERROR(__xludf.DUMMYFUNCTION("""COMPUTED_VALUE"""),8850)</f>
        <v>8850</v>
      </c>
      <c r="E1077" s="2">
        <f ca="1">IFERROR(__xludf.DUMMYFUNCTION("""COMPUTED_VALUE"""),8850)</f>
        <v>8850</v>
      </c>
      <c r="F1077" s="2">
        <f ca="1">IFERROR(__xludf.DUMMYFUNCTION("""COMPUTED_VALUE"""),14435600)</f>
        <v>14435600</v>
      </c>
    </row>
    <row r="1078" spans="1:6">
      <c r="A1078" s="1">
        <f ca="1">IFERROR(__xludf.DUMMYFUNCTION("""COMPUTED_VALUE"""),43643.625)</f>
        <v>43643.625</v>
      </c>
      <c r="B1078" s="2">
        <f ca="1">IFERROR(__xludf.DUMMYFUNCTION("""COMPUTED_VALUE"""),8950)</f>
        <v>8950</v>
      </c>
      <c r="C1078" s="2">
        <f ca="1">IFERROR(__xludf.DUMMYFUNCTION("""COMPUTED_VALUE"""),8950)</f>
        <v>8950</v>
      </c>
      <c r="D1078" s="2">
        <f ca="1">IFERROR(__xludf.DUMMYFUNCTION("""COMPUTED_VALUE"""),8875)</f>
        <v>8875</v>
      </c>
      <c r="E1078" s="2">
        <f ca="1">IFERROR(__xludf.DUMMYFUNCTION("""COMPUTED_VALUE"""),8900)</f>
        <v>8900</v>
      </c>
      <c r="F1078" s="2">
        <f ca="1">IFERROR(__xludf.DUMMYFUNCTION("""COMPUTED_VALUE"""),9097400)</f>
        <v>9097400</v>
      </c>
    </row>
    <row r="1079" spans="1:6">
      <c r="A1079" s="1">
        <f ca="1">IFERROR(__xludf.DUMMYFUNCTION("""COMPUTED_VALUE"""),43644.625)</f>
        <v>43644.625</v>
      </c>
      <c r="B1079" s="2">
        <f ca="1">IFERROR(__xludf.DUMMYFUNCTION("""COMPUTED_VALUE"""),8925)</f>
        <v>8925</v>
      </c>
      <c r="C1079" s="2">
        <f ca="1">IFERROR(__xludf.DUMMYFUNCTION("""COMPUTED_VALUE"""),9225)</f>
        <v>9225</v>
      </c>
      <c r="D1079" s="2">
        <f ca="1">IFERROR(__xludf.DUMMYFUNCTION("""COMPUTED_VALUE"""),8900)</f>
        <v>8900</v>
      </c>
      <c r="E1079" s="2">
        <f ca="1">IFERROR(__xludf.DUMMYFUNCTION("""COMPUTED_VALUE"""),9200)</f>
        <v>9200</v>
      </c>
      <c r="F1079" s="2">
        <f ca="1">IFERROR(__xludf.DUMMYFUNCTION("""COMPUTED_VALUE"""),40920300)</f>
        <v>40920300</v>
      </c>
    </row>
    <row r="1080" spans="1:6">
      <c r="A1080" s="1">
        <f ca="1">IFERROR(__xludf.DUMMYFUNCTION("""COMPUTED_VALUE"""),43647.625)</f>
        <v>43647.625</v>
      </c>
      <c r="B1080" s="2">
        <f ca="1">IFERROR(__xludf.DUMMYFUNCTION("""COMPUTED_VALUE"""),9300)</f>
        <v>9300</v>
      </c>
      <c r="C1080" s="2">
        <f ca="1">IFERROR(__xludf.DUMMYFUNCTION("""COMPUTED_VALUE"""),9450)</f>
        <v>9450</v>
      </c>
      <c r="D1080" s="2">
        <f ca="1">IFERROR(__xludf.DUMMYFUNCTION("""COMPUTED_VALUE"""),9300)</f>
        <v>9300</v>
      </c>
      <c r="E1080" s="2">
        <f ca="1">IFERROR(__xludf.DUMMYFUNCTION("""COMPUTED_VALUE"""),9375)</f>
        <v>9375</v>
      </c>
      <c r="F1080" s="2">
        <f ca="1">IFERROR(__xludf.DUMMYFUNCTION("""COMPUTED_VALUE"""),28253300)</f>
        <v>28253300</v>
      </c>
    </row>
    <row r="1081" spans="1:6">
      <c r="A1081" s="1">
        <f ca="1">IFERROR(__xludf.DUMMYFUNCTION("""COMPUTED_VALUE"""),43648.625)</f>
        <v>43648.625</v>
      </c>
      <c r="B1081" s="2">
        <f ca="1">IFERROR(__xludf.DUMMYFUNCTION("""COMPUTED_VALUE"""),9350)</f>
        <v>9350</v>
      </c>
      <c r="C1081" s="2">
        <f ca="1">IFERROR(__xludf.DUMMYFUNCTION("""COMPUTED_VALUE"""),9375)</f>
        <v>9375</v>
      </c>
      <c r="D1081" s="2">
        <f ca="1">IFERROR(__xludf.DUMMYFUNCTION("""COMPUTED_VALUE"""),9275)</f>
        <v>9275</v>
      </c>
      <c r="E1081" s="2">
        <f ca="1">IFERROR(__xludf.DUMMYFUNCTION("""COMPUTED_VALUE"""),9350)</f>
        <v>9350</v>
      </c>
      <c r="F1081" s="2">
        <f ca="1">IFERROR(__xludf.DUMMYFUNCTION("""COMPUTED_VALUE"""),16533900)</f>
        <v>16533900</v>
      </c>
    </row>
    <row r="1082" spans="1:6">
      <c r="A1082" s="1">
        <f ca="1">IFERROR(__xludf.DUMMYFUNCTION("""COMPUTED_VALUE"""),43649.625)</f>
        <v>43649.625</v>
      </c>
      <c r="B1082" s="2">
        <f ca="1">IFERROR(__xludf.DUMMYFUNCTION("""COMPUTED_VALUE"""),9350)</f>
        <v>9350</v>
      </c>
      <c r="C1082" s="2">
        <f ca="1">IFERROR(__xludf.DUMMYFUNCTION("""COMPUTED_VALUE"""),9350)</f>
        <v>9350</v>
      </c>
      <c r="D1082" s="2">
        <f ca="1">IFERROR(__xludf.DUMMYFUNCTION("""COMPUTED_VALUE"""),9250)</f>
        <v>9250</v>
      </c>
      <c r="E1082" s="2">
        <f ca="1">IFERROR(__xludf.DUMMYFUNCTION("""COMPUTED_VALUE"""),9325)</f>
        <v>9325</v>
      </c>
      <c r="F1082" s="2">
        <f ca="1">IFERROR(__xludf.DUMMYFUNCTION("""COMPUTED_VALUE"""),17274500)</f>
        <v>17274500</v>
      </c>
    </row>
    <row r="1083" spans="1:6">
      <c r="A1083" s="1">
        <f ca="1">IFERROR(__xludf.DUMMYFUNCTION("""COMPUTED_VALUE"""),43650.625)</f>
        <v>43650.625</v>
      </c>
      <c r="B1083" s="2">
        <f ca="1">IFERROR(__xludf.DUMMYFUNCTION("""COMPUTED_VALUE"""),9325)</f>
        <v>9325</v>
      </c>
      <c r="C1083" s="2">
        <f ca="1">IFERROR(__xludf.DUMMYFUNCTION("""COMPUTED_VALUE"""),9400)</f>
        <v>9400</v>
      </c>
      <c r="D1083" s="2">
        <f ca="1">IFERROR(__xludf.DUMMYFUNCTION("""COMPUTED_VALUE"""),9300)</f>
        <v>9300</v>
      </c>
      <c r="E1083" s="2">
        <f ca="1">IFERROR(__xludf.DUMMYFUNCTION("""COMPUTED_VALUE"""),9375)</f>
        <v>9375</v>
      </c>
      <c r="F1083" s="2">
        <f ca="1">IFERROR(__xludf.DUMMYFUNCTION("""COMPUTED_VALUE"""),12135200)</f>
        <v>12135200</v>
      </c>
    </row>
    <row r="1084" spans="1:6">
      <c r="A1084" s="1">
        <f ca="1">IFERROR(__xludf.DUMMYFUNCTION("""COMPUTED_VALUE"""),43651.625)</f>
        <v>43651.625</v>
      </c>
      <c r="B1084" s="2">
        <f ca="1">IFERROR(__xludf.DUMMYFUNCTION("""COMPUTED_VALUE"""),9275)</f>
        <v>9275</v>
      </c>
      <c r="C1084" s="2">
        <f ca="1">IFERROR(__xludf.DUMMYFUNCTION("""COMPUTED_VALUE"""),9325)</f>
        <v>9325</v>
      </c>
      <c r="D1084" s="2">
        <f ca="1">IFERROR(__xludf.DUMMYFUNCTION("""COMPUTED_VALUE"""),9100)</f>
        <v>9100</v>
      </c>
      <c r="E1084" s="2">
        <f ca="1">IFERROR(__xludf.DUMMYFUNCTION("""COMPUTED_VALUE"""),9200)</f>
        <v>9200</v>
      </c>
      <c r="F1084" s="2">
        <f ca="1">IFERROR(__xludf.DUMMYFUNCTION("""COMPUTED_VALUE"""),20009900)</f>
        <v>20009900</v>
      </c>
    </row>
    <row r="1085" spans="1:6">
      <c r="A1085" s="1">
        <f ca="1">IFERROR(__xludf.DUMMYFUNCTION("""COMPUTED_VALUE"""),43654.625)</f>
        <v>43654.625</v>
      </c>
      <c r="B1085" s="2">
        <f ca="1">IFERROR(__xludf.DUMMYFUNCTION("""COMPUTED_VALUE"""),9075)</f>
        <v>9075</v>
      </c>
      <c r="C1085" s="2">
        <f ca="1">IFERROR(__xludf.DUMMYFUNCTION("""COMPUTED_VALUE"""),9175)</f>
        <v>9175</v>
      </c>
      <c r="D1085" s="2">
        <f ca="1">IFERROR(__xludf.DUMMYFUNCTION("""COMPUTED_VALUE"""),8950)</f>
        <v>8950</v>
      </c>
      <c r="E1085" s="2">
        <f ca="1">IFERROR(__xludf.DUMMYFUNCTION("""COMPUTED_VALUE"""),8975)</f>
        <v>8975</v>
      </c>
      <c r="F1085" s="2">
        <f ca="1">IFERROR(__xludf.DUMMYFUNCTION("""COMPUTED_VALUE"""),19518600)</f>
        <v>19518600</v>
      </c>
    </row>
    <row r="1086" spans="1:6">
      <c r="A1086" s="1">
        <f ca="1">IFERROR(__xludf.DUMMYFUNCTION("""COMPUTED_VALUE"""),43655.625)</f>
        <v>43655.625</v>
      </c>
      <c r="B1086" s="2">
        <f ca="1">IFERROR(__xludf.DUMMYFUNCTION("""COMPUTED_VALUE"""),8975)</f>
        <v>8975</v>
      </c>
      <c r="C1086" s="2">
        <f ca="1">IFERROR(__xludf.DUMMYFUNCTION("""COMPUTED_VALUE"""),9175)</f>
        <v>9175</v>
      </c>
      <c r="D1086" s="2">
        <f ca="1">IFERROR(__xludf.DUMMYFUNCTION("""COMPUTED_VALUE"""),8975)</f>
        <v>8975</v>
      </c>
      <c r="E1086" s="2">
        <f ca="1">IFERROR(__xludf.DUMMYFUNCTION("""COMPUTED_VALUE"""),9150)</f>
        <v>9150</v>
      </c>
      <c r="F1086" s="2">
        <f ca="1">IFERROR(__xludf.DUMMYFUNCTION("""COMPUTED_VALUE"""),10946000)</f>
        <v>10946000</v>
      </c>
    </row>
    <row r="1087" spans="1:6">
      <c r="A1087" s="1">
        <f ca="1">IFERROR(__xludf.DUMMYFUNCTION("""COMPUTED_VALUE"""),43656.625)</f>
        <v>43656.625</v>
      </c>
      <c r="B1087" s="2">
        <f ca="1">IFERROR(__xludf.DUMMYFUNCTION("""COMPUTED_VALUE"""),9125)</f>
        <v>9125</v>
      </c>
      <c r="C1087" s="2">
        <f ca="1">IFERROR(__xludf.DUMMYFUNCTION("""COMPUTED_VALUE"""),9250)</f>
        <v>9250</v>
      </c>
      <c r="D1087" s="2">
        <f ca="1">IFERROR(__xludf.DUMMYFUNCTION("""COMPUTED_VALUE"""),9125)</f>
        <v>9125</v>
      </c>
      <c r="E1087" s="2">
        <f ca="1">IFERROR(__xludf.DUMMYFUNCTION("""COMPUTED_VALUE"""),9150)</f>
        <v>9150</v>
      </c>
      <c r="F1087" s="2">
        <f ca="1">IFERROR(__xludf.DUMMYFUNCTION("""COMPUTED_VALUE"""),17066000)</f>
        <v>17066000</v>
      </c>
    </row>
    <row r="1088" spans="1:6">
      <c r="A1088" s="1">
        <f ca="1">IFERROR(__xludf.DUMMYFUNCTION("""COMPUTED_VALUE"""),43657.625)</f>
        <v>43657.625</v>
      </c>
      <c r="B1088" s="2">
        <f ca="1">IFERROR(__xludf.DUMMYFUNCTION("""COMPUTED_VALUE"""),9200)</f>
        <v>9200</v>
      </c>
      <c r="C1088" s="2">
        <f ca="1">IFERROR(__xludf.DUMMYFUNCTION("""COMPUTED_VALUE"""),9275)</f>
        <v>9275</v>
      </c>
      <c r="D1088" s="2">
        <f ca="1">IFERROR(__xludf.DUMMYFUNCTION("""COMPUTED_VALUE"""),9150)</f>
        <v>9150</v>
      </c>
      <c r="E1088" s="2">
        <f ca="1">IFERROR(__xludf.DUMMYFUNCTION("""COMPUTED_VALUE"""),9250)</f>
        <v>9250</v>
      </c>
      <c r="F1088" s="2">
        <f ca="1">IFERROR(__xludf.DUMMYFUNCTION("""COMPUTED_VALUE"""),13737600)</f>
        <v>13737600</v>
      </c>
    </row>
    <row r="1089" spans="1:6">
      <c r="A1089" s="1">
        <f ca="1">IFERROR(__xludf.DUMMYFUNCTION("""COMPUTED_VALUE"""),43658.625)</f>
        <v>43658.625</v>
      </c>
      <c r="B1089" s="2">
        <f ca="1">IFERROR(__xludf.DUMMYFUNCTION("""COMPUTED_VALUE"""),9200)</f>
        <v>9200</v>
      </c>
      <c r="C1089" s="2">
        <f ca="1">IFERROR(__xludf.DUMMYFUNCTION("""COMPUTED_VALUE"""),9250)</f>
        <v>9250</v>
      </c>
      <c r="D1089" s="2">
        <f ca="1">IFERROR(__xludf.DUMMYFUNCTION("""COMPUTED_VALUE"""),9150)</f>
        <v>9150</v>
      </c>
      <c r="E1089" s="2">
        <f ca="1">IFERROR(__xludf.DUMMYFUNCTION("""COMPUTED_VALUE"""),9200)</f>
        <v>9200</v>
      </c>
      <c r="F1089" s="2">
        <f ca="1">IFERROR(__xludf.DUMMYFUNCTION("""COMPUTED_VALUE"""),13536800)</f>
        <v>13536800</v>
      </c>
    </row>
    <row r="1090" spans="1:6">
      <c r="A1090" s="1">
        <f ca="1">IFERROR(__xludf.DUMMYFUNCTION("""COMPUTED_VALUE"""),43661.625)</f>
        <v>43661.625</v>
      </c>
      <c r="B1090" s="2">
        <f ca="1">IFERROR(__xludf.DUMMYFUNCTION("""COMPUTED_VALUE"""),9250)</f>
        <v>9250</v>
      </c>
      <c r="C1090" s="2">
        <f ca="1">IFERROR(__xludf.DUMMYFUNCTION("""COMPUTED_VALUE"""),9325)</f>
        <v>9325</v>
      </c>
      <c r="D1090" s="2">
        <f ca="1">IFERROR(__xludf.DUMMYFUNCTION("""COMPUTED_VALUE"""),9175)</f>
        <v>9175</v>
      </c>
      <c r="E1090" s="2">
        <f ca="1">IFERROR(__xludf.DUMMYFUNCTION("""COMPUTED_VALUE"""),9175)</f>
        <v>9175</v>
      </c>
      <c r="F1090" s="2">
        <f ca="1">IFERROR(__xludf.DUMMYFUNCTION("""COMPUTED_VALUE"""),19504100)</f>
        <v>19504100</v>
      </c>
    </row>
    <row r="1091" spans="1:6">
      <c r="A1091" s="1">
        <f ca="1">IFERROR(__xludf.DUMMYFUNCTION("""COMPUTED_VALUE"""),43662.625)</f>
        <v>43662.625</v>
      </c>
      <c r="B1091" s="2">
        <f ca="1">IFERROR(__xludf.DUMMYFUNCTION("""COMPUTED_VALUE"""),9175)</f>
        <v>9175</v>
      </c>
      <c r="C1091" s="2">
        <f ca="1">IFERROR(__xludf.DUMMYFUNCTION("""COMPUTED_VALUE"""),9200)</f>
        <v>9200</v>
      </c>
      <c r="D1091" s="2">
        <f ca="1">IFERROR(__xludf.DUMMYFUNCTION("""COMPUTED_VALUE"""),9050)</f>
        <v>9050</v>
      </c>
      <c r="E1091" s="2">
        <f ca="1">IFERROR(__xludf.DUMMYFUNCTION("""COMPUTED_VALUE"""),9075)</f>
        <v>9075</v>
      </c>
      <c r="F1091" s="2">
        <f ca="1">IFERROR(__xludf.DUMMYFUNCTION("""COMPUTED_VALUE"""),17234600)</f>
        <v>17234600</v>
      </c>
    </row>
    <row r="1092" spans="1:6">
      <c r="A1092" s="1">
        <f ca="1">IFERROR(__xludf.DUMMYFUNCTION("""COMPUTED_VALUE"""),43663.625)</f>
        <v>43663.625</v>
      </c>
      <c r="B1092" s="2">
        <f ca="1">IFERROR(__xludf.DUMMYFUNCTION("""COMPUTED_VALUE"""),8975)</f>
        <v>8975</v>
      </c>
      <c r="C1092" s="2">
        <f ca="1">IFERROR(__xludf.DUMMYFUNCTION("""COMPUTED_VALUE"""),9075)</f>
        <v>9075</v>
      </c>
      <c r="D1092" s="2">
        <f ca="1">IFERROR(__xludf.DUMMYFUNCTION("""COMPUTED_VALUE"""),8975)</f>
        <v>8975</v>
      </c>
      <c r="E1092" s="2">
        <f ca="1">IFERROR(__xludf.DUMMYFUNCTION("""COMPUTED_VALUE"""),9050)</f>
        <v>9050</v>
      </c>
      <c r="F1092" s="2">
        <f ca="1">IFERROR(__xludf.DUMMYFUNCTION("""COMPUTED_VALUE"""),10632400)</f>
        <v>10632400</v>
      </c>
    </row>
    <row r="1093" spans="1:6">
      <c r="A1093" s="1">
        <f ca="1">IFERROR(__xludf.DUMMYFUNCTION("""COMPUTED_VALUE"""),43664.625)</f>
        <v>43664.625</v>
      </c>
      <c r="B1093" s="2">
        <f ca="1">IFERROR(__xludf.DUMMYFUNCTION("""COMPUTED_VALUE"""),9050)</f>
        <v>9050</v>
      </c>
      <c r="C1093" s="2">
        <f ca="1">IFERROR(__xludf.DUMMYFUNCTION("""COMPUTED_VALUE"""),9075)</f>
        <v>9075</v>
      </c>
      <c r="D1093" s="2">
        <f ca="1">IFERROR(__xludf.DUMMYFUNCTION("""COMPUTED_VALUE"""),8850)</f>
        <v>8850</v>
      </c>
      <c r="E1093" s="2">
        <f ca="1">IFERROR(__xludf.DUMMYFUNCTION("""COMPUTED_VALUE"""),8875)</f>
        <v>8875</v>
      </c>
      <c r="F1093" s="2">
        <f ca="1">IFERROR(__xludf.DUMMYFUNCTION("""COMPUTED_VALUE"""),19831800)</f>
        <v>19831800</v>
      </c>
    </row>
    <row r="1094" spans="1:6">
      <c r="A1094" s="1">
        <f ca="1">IFERROR(__xludf.DUMMYFUNCTION("""COMPUTED_VALUE"""),43665.625)</f>
        <v>43665.625</v>
      </c>
      <c r="B1094" s="2">
        <f ca="1">IFERROR(__xludf.DUMMYFUNCTION("""COMPUTED_VALUE"""),8875)</f>
        <v>8875</v>
      </c>
      <c r="C1094" s="2">
        <f ca="1">IFERROR(__xludf.DUMMYFUNCTION("""COMPUTED_VALUE"""),8975)</f>
        <v>8975</v>
      </c>
      <c r="D1094" s="2">
        <f ca="1">IFERROR(__xludf.DUMMYFUNCTION("""COMPUTED_VALUE"""),8850)</f>
        <v>8850</v>
      </c>
      <c r="E1094" s="2">
        <f ca="1">IFERROR(__xludf.DUMMYFUNCTION("""COMPUTED_VALUE"""),8900)</f>
        <v>8900</v>
      </c>
      <c r="F1094" s="2">
        <f ca="1">IFERROR(__xludf.DUMMYFUNCTION("""COMPUTED_VALUE"""),14732800)</f>
        <v>14732800</v>
      </c>
    </row>
    <row r="1095" spans="1:6">
      <c r="A1095" s="1">
        <f ca="1">IFERROR(__xludf.DUMMYFUNCTION("""COMPUTED_VALUE"""),43668.625)</f>
        <v>43668.625</v>
      </c>
      <c r="B1095" s="2">
        <f ca="1">IFERROR(__xludf.DUMMYFUNCTION("""COMPUTED_VALUE"""),8875)</f>
        <v>8875</v>
      </c>
      <c r="C1095" s="2">
        <f ca="1">IFERROR(__xludf.DUMMYFUNCTION("""COMPUTED_VALUE"""),8950)</f>
        <v>8950</v>
      </c>
      <c r="D1095" s="2">
        <f ca="1">IFERROR(__xludf.DUMMYFUNCTION("""COMPUTED_VALUE"""),8775)</f>
        <v>8775</v>
      </c>
      <c r="E1095" s="2">
        <f ca="1">IFERROR(__xludf.DUMMYFUNCTION("""COMPUTED_VALUE"""),8850)</f>
        <v>8850</v>
      </c>
      <c r="F1095" s="2">
        <f ca="1">IFERROR(__xludf.DUMMYFUNCTION("""COMPUTED_VALUE"""),14621800)</f>
        <v>14621800</v>
      </c>
    </row>
    <row r="1096" spans="1:6">
      <c r="A1096" s="1">
        <f ca="1">IFERROR(__xludf.DUMMYFUNCTION("""COMPUTED_VALUE"""),43669.625)</f>
        <v>43669.625</v>
      </c>
      <c r="B1096" s="2">
        <f ca="1">IFERROR(__xludf.DUMMYFUNCTION("""COMPUTED_VALUE"""),8900)</f>
        <v>8900</v>
      </c>
      <c r="C1096" s="2">
        <f ca="1">IFERROR(__xludf.DUMMYFUNCTION("""COMPUTED_VALUE"""),8925)</f>
        <v>8925</v>
      </c>
      <c r="D1096" s="2">
        <f ca="1">IFERROR(__xludf.DUMMYFUNCTION("""COMPUTED_VALUE"""),8625)</f>
        <v>8625</v>
      </c>
      <c r="E1096" s="2">
        <f ca="1">IFERROR(__xludf.DUMMYFUNCTION("""COMPUTED_VALUE"""),8625)</f>
        <v>8625</v>
      </c>
      <c r="F1096" s="2">
        <f ca="1">IFERROR(__xludf.DUMMYFUNCTION("""COMPUTED_VALUE"""),41237800)</f>
        <v>41237800</v>
      </c>
    </row>
    <row r="1097" spans="1:6">
      <c r="A1097" s="1">
        <f ca="1">IFERROR(__xludf.DUMMYFUNCTION("""COMPUTED_VALUE"""),43670.625)</f>
        <v>43670.625</v>
      </c>
      <c r="B1097" s="2">
        <f ca="1">IFERROR(__xludf.DUMMYFUNCTION("""COMPUTED_VALUE"""),8550)</f>
        <v>8550</v>
      </c>
      <c r="C1097" s="2">
        <f ca="1">IFERROR(__xludf.DUMMYFUNCTION("""COMPUTED_VALUE"""),8575)</f>
        <v>8575</v>
      </c>
      <c r="D1097" s="2">
        <f ca="1">IFERROR(__xludf.DUMMYFUNCTION("""COMPUTED_VALUE"""),8425)</f>
        <v>8425</v>
      </c>
      <c r="E1097" s="2">
        <f ca="1">IFERROR(__xludf.DUMMYFUNCTION("""COMPUTED_VALUE"""),8425)</f>
        <v>8425</v>
      </c>
      <c r="F1097" s="2">
        <f ca="1">IFERROR(__xludf.DUMMYFUNCTION("""COMPUTED_VALUE"""),43410800)</f>
        <v>43410800</v>
      </c>
    </row>
    <row r="1098" spans="1:6">
      <c r="A1098" s="1">
        <f ca="1">IFERROR(__xludf.DUMMYFUNCTION("""COMPUTED_VALUE"""),43671.625)</f>
        <v>43671.625</v>
      </c>
      <c r="B1098" s="2">
        <f ca="1">IFERROR(__xludf.DUMMYFUNCTION("""COMPUTED_VALUE"""),8425)</f>
        <v>8425</v>
      </c>
      <c r="C1098" s="2">
        <f ca="1">IFERROR(__xludf.DUMMYFUNCTION("""COMPUTED_VALUE"""),8525)</f>
        <v>8525</v>
      </c>
      <c r="D1098" s="2">
        <f ca="1">IFERROR(__xludf.DUMMYFUNCTION("""COMPUTED_VALUE"""),8425)</f>
        <v>8425</v>
      </c>
      <c r="E1098" s="2">
        <f ca="1">IFERROR(__xludf.DUMMYFUNCTION("""COMPUTED_VALUE"""),8500)</f>
        <v>8500</v>
      </c>
      <c r="F1098" s="2">
        <f ca="1">IFERROR(__xludf.DUMMYFUNCTION("""COMPUTED_VALUE"""),32339300)</f>
        <v>32339300</v>
      </c>
    </row>
    <row r="1099" spans="1:6">
      <c r="A1099" s="1">
        <f ca="1">IFERROR(__xludf.DUMMYFUNCTION("""COMPUTED_VALUE"""),43672.625)</f>
        <v>43672.625</v>
      </c>
      <c r="B1099" s="2">
        <f ca="1">IFERROR(__xludf.DUMMYFUNCTION("""COMPUTED_VALUE"""),8450)</f>
        <v>8450</v>
      </c>
      <c r="C1099" s="2">
        <f ca="1">IFERROR(__xludf.DUMMYFUNCTION("""COMPUTED_VALUE"""),8475)</f>
        <v>8475</v>
      </c>
      <c r="D1099" s="2">
        <f ca="1">IFERROR(__xludf.DUMMYFUNCTION("""COMPUTED_VALUE"""),8400)</f>
        <v>8400</v>
      </c>
      <c r="E1099" s="2">
        <f ca="1">IFERROR(__xludf.DUMMYFUNCTION("""COMPUTED_VALUE"""),8425)</f>
        <v>8425</v>
      </c>
      <c r="F1099" s="2">
        <f ca="1">IFERROR(__xludf.DUMMYFUNCTION("""COMPUTED_VALUE"""),19679000)</f>
        <v>19679000</v>
      </c>
    </row>
    <row r="1100" spans="1:6">
      <c r="A1100" s="1">
        <f ca="1">IFERROR(__xludf.DUMMYFUNCTION("""COMPUTED_VALUE"""),43675.625)</f>
        <v>43675.625</v>
      </c>
      <c r="B1100" s="2">
        <f ca="1">IFERROR(__xludf.DUMMYFUNCTION("""COMPUTED_VALUE"""),8400)</f>
        <v>8400</v>
      </c>
      <c r="C1100" s="2">
        <f ca="1">IFERROR(__xludf.DUMMYFUNCTION("""COMPUTED_VALUE"""),8450)</f>
        <v>8450</v>
      </c>
      <c r="D1100" s="2">
        <f ca="1">IFERROR(__xludf.DUMMYFUNCTION("""COMPUTED_VALUE"""),8300)</f>
        <v>8300</v>
      </c>
      <c r="E1100" s="2">
        <f ca="1">IFERROR(__xludf.DUMMYFUNCTION("""COMPUTED_VALUE"""),8350)</f>
        <v>8350</v>
      </c>
      <c r="F1100" s="2">
        <f ca="1">IFERROR(__xludf.DUMMYFUNCTION("""COMPUTED_VALUE"""),20147300)</f>
        <v>20147300</v>
      </c>
    </row>
    <row r="1101" spans="1:6">
      <c r="A1101" s="1">
        <f ca="1">IFERROR(__xludf.DUMMYFUNCTION("""COMPUTED_VALUE"""),43676.625)</f>
        <v>43676.625</v>
      </c>
      <c r="B1101" s="2">
        <f ca="1">IFERROR(__xludf.DUMMYFUNCTION("""COMPUTED_VALUE"""),8300)</f>
        <v>8300</v>
      </c>
      <c r="C1101" s="2">
        <f ca="1">IFERROR(__xludf.DUMMYFUNCTION("""COMPUTED_VALUE"""),8375)</f>
        <v>8375</v>
      </c>
      <c r="D1101" s="2">
        <f ca="1">IFERROR(__xludf.DUMMYFUNCTION("""COMPUTED_VALUE"""),8225)</f>
        <v>8225</v>
      </c>
      <c r="E1101" s="2">
        <f ca="1">IFERROR(__xludf.DUMMYFUNCTION("""COMPUTED_VALUE"""),8350)</f>
        <v>8350</v>
      </c>
      <c r="F1101" s="2">
        <f ca="1">IFERROR(__xludf.DUMMYFUNCTION("""COMPUTED_VALUE"""),27278400)</f>
        <v>27278400</v>
      </c>
    </row>
    <row r="1102" spans="1:6">
      <c r="A1102" s="1">
        <f ca="1">IFERROR(__xludf.DUMMYFUNCTION("""COMPUTED_VALUE"""),43677.625)</f>
        <v>43677.625</v>
      </c>
      <c r="B1102" s="2">
        <f ca="1">IFERROR(__xludf.DUMMYFUNCTION("""COMPUTED_VALUE"""),8400)</f>
        <v>8400</v>
      </c>
      <c r="C1102" s="2">
        <f ca="1">IFERROR(__xludf.DUMMYFUNCTION("""COMPUTED_VALUE"""),8500)</f>
        <v>8500</v>
      </c>
      <c r="D1102" s="2">
        <f ca="1">IFERROR(__xludf.DUMMYFUNCTION("""COMPUTED_VALUE"""),8275)</f>
        <v>8275</v>
      </c>
      <c r="E1102" s="2">
        <f ca="1">IFERROR(__xludf.DUMMYFUNCTION("""COMPUTED_VALUE"""),8475)</f>
        <v>8475</v>
      </c>
      <c r="F1102" s="2">
        <f ca="1">IFERROR(__xludf.DUMMYFUNCTION("""COMPUTED_VALUE"""),21853200)</f>
        <v>21853200</v>
      </c>
    </row>
    <row r="1103" spans="1:6">
      <c r="A1103" s="1">
        <f ca="1">IFERROR(__xludf.DUMMYFUNCTION("""COMPUTED_VALUE"""),43678.625)</f>
        <v>43678.625</v>
      </c>
      <c r="B1103" s="2">
        <f ca="1">IFERROR(__xludf.DUMMYFUNCTION("""COMPUTED_VALUE"""),8450)</f>
        <v>8450</v>
      </c>
      <c r="C1103" s="2">
        <f ca="1">IFERROR(__xludf.DUMMYFUNCTION("""COMPUTED_VALUE"""),8450)</f>
        <v>8450</v>
      </c>
      <c r="D1103" s="2">
        <f ca="1">IFERROR(__xludf.DUMMYFUNCTION("""COMPUTED_VALUE"""),8250)</f>
        <v>8250</v>
      </c>
      <c r="E1103" s="2">
        <f ca="1">IFERROR(__xludf.DUMMYFUNCTION("""COMPUTED_VALUE"""),8250)</f>
        <v>8250</v>
      </c>
      <c r="F1103" s="2">
        <f ca="1">IFERROR(__xludf.DUMMYFUNCTION("""COMPUTED_VALUE"""),32360000)</f>
        <v>32360000</v>
      </c>
    </row>
    <row r="1104" spans="1:6">
      <c r="A1104" s="1">
        <f ca="1">IFERROR(__xludf.DUMMYFUNCTION("""COMPUTED_VALUE"""),43679.625)</f>
        <v>43679.625</v>
      </c>
      <c r="B1104" s="2">
        <f ca="1">IFERROR(__xludf.DUMMYFUNCTION("""COMPUTED_VALUE"""),8175)</f>
        <v>8175</v>
      </c>
      <c r="C1104" s="2">
        <f ca="1">IFERROR(__xludf.DUMMYFUNCTION("""COMPUTED_VALUE"""),8175)</f>
        <v>8175</v>
      </c>
      <c r="D1104" s="2">
        <f ca="1">IFERROR(__xludf.DUMMYFUNCTION("""COMPUTED_VALUE"""),8025)</f>
        <v>8025</v>
      </c>
      <c r="E1104" s="2">
        <f ca="1">IFERROR(__xludf.DUMMYFUNCTION("""COMPUTED_VALUE"""),8100)</f>
        <v>8100</v>
      </c>
      <c r="F1104" s="2">
        <f ca="1">IFERROR(__xludf.DUMMYFUNCTION("""COMPUTED_VALUE"""),39389500)</f>
        <v>39389500</v>
      </c>
    </row>
    <row r="1105" spans="1:6">
      <c r="A1105" s="1">
        <f ca="1">IFERROR(__xludf.DUMMYFUNCTION("""COMPUTED_VALUE"""),43682.625)</f>
        <v>43682.625</v>
      </c>
      <c r="B1105" s="2">
        <f ca="1">IFERROR(__xludf.DUMMYFUNCTION("""COMPUTED_VALUE"""),8025)</f>
        <v>8025</v>
      </c>
      <c r="C1105" s="2">
        <f ca="1">IFERROR(__xludf.DUMMYFUNCTION("""COMPUTED_VALUE"""),8050)</f>
        <v>8050</v>
      </c>
      <c r="D1105" s="2">
        <f ca="1">IFERROR(__xludf.DUMMYFUNCTION("""COMPUTED_VALUE"""),7900)</f>
        <v>7900</v>
      </c>
      <c r="E1105" s="2">
        <f ca="1">IFERROR(__xludf.DUMMYFUNCTION("""COMPUTED_VALUE"""),7925)</f>
        <v>7925</v>
      </c>
      <c r="F1105" s="2">
        <f ca="1">IFERROR(__xludf.DUMMYFUNCTION("""COMPUTED_VALUE"""),30645700)</f>
        <v>30645700</v>
      </c>
    </row>
    <row r="1106" spans="1:6">
      <c r="A1106" s="1">
        <f ca="1">IFERROR(__xludf.DUMMYFUNCTION("""COMPUTED_VALUE"""),43683.625)</f>
        <v>43683.625</v>
      </c>
      <c r="B1106" s="2">
        <f ca="1">IFERROR(__xludf.DUMMYFUNCTION("""COMPUTED_VALUE"""),7800)</f>
        <v>7800</v>
      </c>
      <c r="C1106" s="2">
        <f ca="1">IFERROR(__xludf.DUMMYFUNCTION("""COMPUTED_VALUE"""),7950)</f>
        <v>7950</v>
      </c>
      <c r="D1106" s="2">
        <f ca="1">IFERROR(__xludf.DUMMYFUNCTION("""COMPUTED_VALUE"""),7550)</f>
        <v>7550</v>
      </c>
      <c r="E1106" s="2">
        <f ca="1">IFERROR(__xludf.DUMMYFUNCTION("""COMPUTED_VALUE"""),7825)</f>
        <v>7825</v>
      </c>
      <c r="F1106" s="2">
        <f ca="1">IFERROR(__xludf.DUMMYFUNCTION("""COMPUTED_VALUE"""),34999600)</f>
        <v>34999600</v>
      </c>
    </row>
    <row r="1107" spans="1:6">
      <c r="A1107" s="1">
        <f ca="1">IFERROR(__xludf.DUMMYFUNCTION("""COMPUTED_VALUE"""),43684.625)</f>
        <v>43684.625</v>
      </c>
      <c r="B1107" s="2">
        <f ca="1">IFERROR(__xludf.DUMMYFUNCTION("""COMPUTED_VALUE"""),7900)</f>
        <v>7900</v>
      </c>
      <c r="C1107" s="2">
        <f ca="1">IFERROR(__xludf.DUMMYFUNCTION("""COMPUTED_VALUE"""),8000)</f>
        <v>8000</v>
      </c>
      <c r="D1107" s="2">
        <f ca="1">IFERROR(__xludf.DUMMYFUNCTION("""COMPUTED_VALUE"""),7825)</f>
        <v>7825</v>
      </c>
      <c r="E1107" s="2">
        <f ca="1">IFERROR(__xludf.DUMMYFUNCTION("""COMPUTED_VALUE"""),7875)</f>
        <v>7875</v>
      </c>
      <c r="F1107" s="2">
        <f ca="1">IFERROR(__xludf.DUMMYFUNCTION("""COMPUTED_VALUE"""),28251500)</f>
        <v>28251500</v>
      </c>
    </row>
    <row r="1108" spans="1:6">
      <c r="A1108" s="1">
        <f ca="1">IFERROR(__xludf.DUMMYFUNCTION("""COMPUTED_VALUE"""),43685.625)</f>
        <v>43685.625</v>
      </c>
      <c r="B1108" s="2">
        <f ca="1">IFERROR(__xludf.DUMMYFUNCTION("""COMPUTED_VALUE"""),7900)</f>
        <v>7900</v>
      </c>
      <c r="C1108" s="2">
        <f ca="1">IFERROR(__xludf.DUMMYFUNCTION("""COMPUTED_VALUE"""),8150)</f>
        <v>8150</v>
      </c>
      <c r="D1108" s="2">
        <f ca="1">IFERROR(__xludf.DUMMYFUNCTION("""COMPUTED_VALUE"""),7875)</f>
        <v>7875</v>
      </c>
      <c r="E1108" s="2">
        <f ca="1">IFERROR(__xludf.DUMMYFUNCTION("""COMPUTED_VALUE"""),8125)</f>
        <v>8125</v>
      </c>
      <c r="F1108" s="2">
        <f ca="1">IFERROR(__xludf.DUMMYFUNCTION("""COMPUTED_VALUE"""),26336600)</f>
        <v>26336600</v>
      </c>
    </row>
    <row r="1109" spans="1:6">
      <c r="A1109" s="1">
        <f ca="1">IFERROR(__xludf.DUMMYFUNCTION("""COMPUTED_VALUE"""),43686.625)</f>
        <v>43686.625</v>
      </c>
      <c r="B1109" s="2">
        <f ca="1">IFERROR(__xludf.DUMMYFUNCTION("""COMPUTED_VALUE"""),8150)</f>
        <v>8150</v>
      </c>
      <c r="C1109" s="2">
        <f ca="1">IFERROR(__xludf.DUMMYFUNCTION("""COMPUTED_VALUE"""),8175)</f>
        <v>8175</v>
      </c>
      <c r="D1109" s="2">
        <f ca="1">IFERROR(__xludf.DUMMYFUNCTION("""COMPUTED_VALUE"""),7925)</f>
        <v>7925</v>
      </c>
      <c r="E1109" s="2">
        <f ca="1">IFERROR(__xludf.DUMMYFUNCTION("""COMPUTED_VALUE"""),7925)</f>
        <v>7925</v>
      </c>
      <c r="F1109" s="2">
        <f ca="1">IFERROR(__xludf.DUMMYFUNCTION("""COMPUTED_VALUE"""),20603300)</f>
        <v>20603300</v>
      </c>
    </row>
    <row r="1110" spans="1:6">
      <c r="A1110" s="1">
        <f ca="1">IFERROR(__xludf.DUMMYFUNCTION("""COMPUTED_VALUE"""),43689.625)</f>
        <v>43689.625</v>
      </c>
      <c r="B1110" s="2">
        <f ca="1">IFERROR(__xludf.DUMMYFUNCTION("""COMPUTED_VALUE"""),7950)</f>
        <v>7950</v>
      </c>
      <c r="C1110" s="2">
        <f ca="1">IFERROR(__xludf.DUMMYFUNCTION("""COMPUTED_VALUE"""),8000)</f>
        <v>8000</v>
      </c>
      <c r="D1110" s="2">
        <f ca="1">IFERROR(__xludf.DUMMYFUNCTION("""COMPUTED_VALUE"""),7800)</f>
        <v>7800</v>
      </c>
      <c r="E1110" s="2">
        <f ca="1">IFERROR(__xludf.DUMMYFUNCTION("""COMPUTED_VALUE"""),7925)</f>
        <v>7925</v>
      </c>
      <c r="F1110" s="2">
        <f ca="1">IFERROR(__xludf.DUMMYFUNCTION("""COMPUTED_VALUE"""),13145000)</f>
        <v>13145000</v>
      </c>
    </row>
    <row r="1111" spans="1:6">
      <c r="A1111" s="1">
        <f ca="1">IFERROR(__xludf.DUMMYFUNCTION("""COMPUTED_VALUE"""),43690.625)</f>
        <v>43690.625</v>
      </c>
      <c r="B1111" s="2">
        <f ca="1">IFERROR(__xludf.DUMMYFUNCTION("""COMPUTED_VALUE"""),7875)</f>
        <v>7875</v>
      </c>
      <c r="C1111" s="2">
        <f ca="1">IFERROR(__xludf.DUMMYFUNCTION("""COMPUTED_VALUE"""),7900)</f>
        <v>7900</v>
      </c>
      <c r="D1111" s="2">
        <f ca="1">IFERROR(__xludf.DUMMYFUNCTION("""COMPUTED_VALUE"""),7825)</f>
        <v>7825</v>
      </c>
      <c r="E1111" s="2">
        <f ca="1">IFERROR(__xludf.DUMMYFUNCTION("""COMPUTED_VALUE"""),7900)</f>
        <v>7900</v>
      </c>
      <c r="F1111" s="2">
        <f ca="1">IFERROR(__xludf.DUMMYFUNCTION("""COMPUTED_VALUE"""),18109100)</f>
        <v>18109100</v>
      </c>
    </row>
    <row r="1112" spans="1:6">
      <c r="A1112" s="1">
        <f ca="1">IFERROR(__xludf.DUMMYFUNCTION("""COMPUTED_VALUE"""),43691.625)</f>
        <v>43691.625</v>
      </c>
      <c r="B1112" s="2">
        <f ca="1">IFERROR(__xludf.DUMMYFUNCTION("""COMPUTED_VALUE"""),8000)</f>
        <v>8000</v>
      </c>
      <c r="C1112" s="2">
        <f ca="1">IFERROR(__xludf.DUMMYFUNCTION("""COMPUTED_VALUE"""),8125)</f>
        <v>8125</v>
      </c>
      <c r="D1112" s="2">
        <f ca="1">IFERROR(__xludf.DUMMYFUNCTION("""COMPUTED_VALUE"""),7950)</f>
        <v>7950</v>
      </c>
      <c r="E1112" s="2">
        <f ca="1">IFERROR(__xludf.DUMMYFUNCTION("""COMPUTED_VALUE"""),8100)</f>
        <v>8100</v>
      </c>
      <c r="F1112" s="2">
        <f ca="1">IFERROR(__xludf.DUMMYFUNCTION("""COMPUTED_VALUE"""),26547000)</f>
        <v>26547000</v>
      </c>
    </row>
    <row r="1113" spans="1:6">
      <c r="A1113" s="1">
        <f ca="1">IFERROR(__xludf.DUMMYFUNCTION("""COMPUTED_VALUE"""),43692.625)</f>
        <v>43692.625</v>
      </c>
      <c r="B1113" s="2">
        <f ca="1">IFERROR(__xludf.DUMMYFUNCTION("""COMPUTED_VALUE"""),7900)</f>
        <v>7900</v>
      </c>
      <c r="C1113" s="2">
        <f ca="1">IFERROR(__xludf.DUMMYFUNCTION("""COMPUTED_VALUE"""),8025)</f>
        <v>8025</v>
      </c>
      <c r="D1113" s="2">
        <f ca="1">IFERROR(__xludf.DUMMYFUNCTION("""COMPUTED_VALUE"""),7850)</f>
        <v>7850</v>
      </c>
      <c r="E1113" s="2">
        <f ca="1">IFERROR(__xludf.DUMMYFUNCTION("""COMPUTED_VALUE"""),8025)</f>
        <v>8025</v>
      </c>
      <c r="F1113" s="2">
        <f ca="1">IFERROR(__xludf.DUMMYFUNCTION("""COMPUTED_VALUE"""),17055000)</f>
        <v>17055000</v>
      </c>
    </row>
    <row r="1114" spans="1:6">
      <c r="A1114" s="1">
        <f ca="1">IFERROR(__xludf.DUMMYFUNCTION("""COMPUTED_VALUE"""),43693.625)</f>
        <v>43693.625</v>
      </c>
      <c r="B1114" s="2">
        <f ca="1">IFERROR(__xludf.DUMMYFUNCTION("""COMPUTED_VALUE"""),8025)</f>
        <v>8025</v>
      </c>
      <c r="C1114" s="2">
        <f ca="1">IFERROR(__xludf.DUMMYFUNCTION("""COMPUTED_VALUE"""),8100)</f>
        <v>8100</v>
      </c>
      <c r="D1114" s="2">
        <f ca="1">IFERROR(__xludf.DUMMYFUNCTION("""COMPUTED_VALUE"""),7900)</f>
        <v>7900</v>
      </c>
      <c r="E1114" s="2">
        <f ca="1">IFERROR(__xludf.DUMMYFUNCTION("""COMPUTED_VALUE"""),7925)</f>
        <v>7925</v>
      </c>
      <c r="F1114" s="2">
        <f ca="1">IFERROR(__xludf.DUMMYFUNCTION("""COMPUTED_VALUE"""),12853900)</f>
        <v>12853900</v>
      </c>
    </row>
    <row r="1115" spans="1:6">
      <c r="A1115" s="1">
        <f ca="1">IFERROR(__xludf.DUMMYFUNCTION("""COMPUTED_VALUE"""),43696.625)</f>
        <v>43696.625</v>
      </c>
      <c r="B1115" s="2">
        <f ca="1">IFERROR(__xludf.DUMMYFUNCTION("""COMPUTED_VALUE"""),8000)</f>
        <v>8000</v>
      </c>
      <c r="C1115" s="2">
        <f ca="1">IFERROR(__xludf.DUMMYFUNCTION("""COMPUTED_VALUE"""),8025)</f>
        <v>8025</v>
      </c>
      <c r="D1115" s="2">
        <f ca="1">IFERROR(__xludf.DUMMYFUNCTION("""COMPUTED_VALUE"""),7825)</f>
        <v>7825</v>
      </c>
      <c r="E1115" s="2">
        <f ca="1">IFERROR(__xludf.DUMMYFUNCTION("""COMPUTED_VALUE"""),7875)</f>
        <v>7875</v>
      </c>
      <c r="F1115" s="2">
        <f ca="1">IFERROR(__xludf.DUMMYFUNCTION("""COMPUTED_VALUE"""),10523700)</f>
        <v>10523700</v>
      </c>
    </row>
    <row r="1116" spans="1:6">
      <c r="A1116" s="1">
        <f ca="1">IFERROR(__xludf.DUMMYFUNCTION("""COMPUTED_VALUE"""),43697.625)</f>
        <v>43697.625</v>
      </c>
      <c r="B1116" s="2">
        <f ca="1">IFERROR(__xludf.DUMMYFUNCTION("""COMPUTED_VALUE"""),7925)</f>
        <v>7925</v>
      </c>
      <c r="C1116" s="2">
        <f ca="1">IFERROR(__xludf.DUMMYFUNCTION("""COMPUTED_VALUE"""),7925)</f>
        <v>7925</v>
      </c>
      <c r="D1116" s="2">
        <f ca="1">IFERROR(__xludf.DUMMYFUNCTION("""COMPUTED_VALUE"""),7725)</f>
        <v>7725</v>
      </c>
      <c r="E1116" s="2">
        <f ca="1">IFERROR(__xludf.DUMMYFUNCTION("""COMPUTED_VALUE"""),7750)</f>
        <v>7750</v>
      </c>
      <c r="F1116" s="2">
        <f ca="1">IFERROR(__xludf.DUMMYFUNCTION("""COMPUTED_VALUE"""),17175900)</f>
        <v>17175900</v>
      </c>
    </row>
    <row r="1117" spans="1:6">
      <c r="A1117" s="1">
        <f ca="1">IFERROR(__xludf.DUMMYFUNCTION("""COMPUTED_VALUE"""),43698.625)</f>
        <v>43698.625</v>
      </c>
      <c r="B1117" s="2">
        <f ca="1">IFERROR(__xludf.DUMMYFUNCTION("""COMPUTED_VALUE"""),7700)</f>
        <v>7700</v>
      </c>
      <c r="C1117" s="2">
        <f ca="1">IFERROR(__xludf.DUMMYFUNCTION("""COMPUTED_VALUE"""),7775)</f>
        <v>7775</v>
      </c>
      <c r="D1117" s="2">
        <f ca="1">IFERROR(__xludf.DUMMYFUNCTION("""COMPUTED_VALUE"""),7575)</f>
        <v>7575</v>
      </c>
      <c r="E1117" s="2">
        <f ca="1">IFERROR(__xludf.DUMMYFUNCTION("""COMPUTED_VALUE"""),7575)</f>
        <v>7575</v>
      </c>
      <c r="F1117" s="2">
        <f ca="1">IFERROR(__xludf.DUMMYFUNCTION("""COMPUTED_VALUE"""),18106500)</f>
        <v>18106500</v>
      </c>
    </row>
    <row r="1118" spans="1:6">
      <c r="A1118" s="1">
        <f ca="1">IFERROR(__xludf.DUMMYFUNCTION("""COMPUTED_VALUE"""),43699.625)</f>
        <v>43699.625</v>
      </c>
      <c r="B1118" s="2">
        <f ca="1">IFERROR(__xludf.DUMMYFUNCTION("""COMPUTED_VALUE"""),7625)</f>
        <v>7625</v>
      </c>
      <c r="C1118" s="2">
        <f ca="1">IFERROR(__xludf.DUMMYFUNCTION("""COMPUTED_VALUE"""),7725)</f>
        <v>7725</v>
      </c>
      <c r="D1118" s="2">
        <f ca="1">IFERROR(__xludf.DUMMYFUNCTION("""COMPUTED_VALUE"""),7475)</f>
        <v>7475</v>
      </c>
      <c r="E1118" s="2">
        <f ca="1">IFERROR(__xludf.DUMMYFUNCTION("""COMPUTED_VALUE"""),7600)</f>
        <v>7600</v>
      </c>
      <c r="F1118" s="2">
        <f ca="1">IFERROR(__xludf.DUMMYFUNCTION("""COMPUTED_VALUE"""),31284300)</f>
        <v>31284300</v>
      </c>
    </row>
    <row r="1119" spans="1:6">
      <c r="A1119" s="1">
        <f ca="1">IFERROR(__xludf.DUMMYFUNCTION("""COMPUTED_VALUE"""),43700.625)</f>
        <v>43700.625</v>
      </c>
      <c r="B1119" s="2">
        <f ca="1">IFERROR(__xludf.DUMMYFUNCTION("""COMPUTED_VALUE"""),7600)</f>
        <v>7600</v>
      </c>
      <c r="C1119" s="2">
        <f ca="1">IFERROR(__xludf.DUMMYFUNCTION("""COMPUTED_VALUE"""),7650)</f>
        <v>7650</v>
      </c>
      <c r="D1119" s="2">
        <f ca="1">IFERROR(__xludf.DUMMYFUNCTION("""COMPUTED_VALUE"""),7450)</f>
        <v>7450</v>
      </c>
      <c r="E1119" s="2">
        <f ca="1">IFERROR(__xludf.DUMMYFUNCTION("""COMPUTED_VALUE"""),7625)</f>
        <v>7625</v>
      </c>
      <c r="F1119" s="2">
        <f ca="1">IFERROR(__xludf.DUMMYFUNCTION("""COMPUTED_VALUE"""),17746100)</f>
        <v>17746100</v>
      </c>
    </row>
    <row r="1120" spans="1:6">
      <c r="A1120" s="1">
        <f ca="1">IFERROR(__xludf.DUMMYFUNCTION("""COMPUTED_VALUE"""),43703.625)</f>
        <v>43703.625</v>
      </c>
      <c r="B1120" s="2">
        <f ca="1">IFERROR(__xludf.DUMMYFUNCTION("""COMPUTED_VALUE"""),7475)</f>
        <v>7475</v>
      </c>
      <c r="C1120" s="2">
        <f ca="1">IFERROR(__xludf.DUMMYFUNCTION("""COMPUTED_VALUE"""),7525)</f>
        <v>7525</v>
      </c>
      <c r="D1120" s="2">
        <f ca="1">IFERROR(__xludf.DUMMYFUNCTION("""COMPUTED_VALUE"""),7375)</f>
        <v>7375</v>
      </c>
      <c r="E1120" s="2">
        <f ca="1">IFERROR(__xludf.DUMMYFUNCTION("""COMPUTED_VALUE"""),7500)</f>
        <v>7500</v>
      </c>
      <c r="F1120" s="2">
        <f ca="1">IFERROR(__xludf.DUMMYFUNCTION("""COMPUTED_VALUE"""),15136900)</f>
        <v>15136900</v>
      </c>
    </row>
    <row r="1121" spans="1:6">
      <c r="A1121" s="1">
        <f ca="1">IFERROR(__xludf.DUMMYFUNCTION("""COMPUTED_VALUE"""),43704.625)</f>
        <v>43704.625</v>
      </c>
      <c r="B1121" s="2">
        <f ca="1">IFERROR(__xludf.DUMMYFUNCTION("""COMPUTED_VALUE"""),7450)</f>
        <v>7450</v>
      </c>
      <c r="C1121" s="2">
        <f ca="1">IFERROR(__xludf.DUMMYFUNCTION("""COMPUTED_VALUE"""),7625)</f>
        <v>7625</v>
      </c>
      <c r="D1121" s="2">
        <f ca="1">IFERROR(__xludf.DUMMYFUNCTION("""COMPUTED_VALUE"""),7450)</f>
        <v>7450</v>
      </c>
      <c r="E1121" s="2">
        <f ca="1">IFERROR(__xludf.DUMMYFUNCTION("""COMPUTED_VALUE"""),7575)</f>
        <v>7575</v>
      </c>
      <c r="F1121" s="2">
        <f ca="1">IFERROR(__xludf.DUMMYFUNCTION("""COMPUTED_VALUE"""),23383200)</f>
        <v>23383200</v>
      </c>
    </row>
    <row r="1122" spans="1:6">
      <c r="A1122" s="1">
        <f ca="1">IFERROR(__xludf.DUMMYFUNCTION("""COMPUTED_VALUE"""),43705.625)</f>
        <v>43705.625</v>
      </c>
      <c r="B1122" s="2">
        <f ca="1">IFERROR(__xludf.DUMMYFUNCTION("""COMPUTED_VALUE"""),7600)</f>
        <v>7600</v>
      </c>
      <c r="C1122" s="2">
        <f ca="1">IFERROR(__xludf.DUMMYFUNCTION("""COMPUTED_VALUE"""),7625)</f>
        <v>7625</v>
      </c>
      <c r="D1122" s="2">
        <f ca="1">IFERROR(__xludf.DUMMYFUNCTION("""COMPUTED_VALUE"""),7525)</f>
        <v>7525</v>
      </c>
      <c r="E1122" s="2">
        <f ca="1">IFERROR(__xludf.DUMMYFUNCTION("""COMPUTED_VALUE"""),7600)</f>
        <v>7600</v>
      </c>
      <c r="F1122" s="2">
        <f ca="1">IFERROR(__xludf.DUMMYFUNCTION("""COMPUTED_VALUE"""),14951300)</f>
        <v>14951300</v>
      </c>
    </row>
    <row r="1123" spans="1:6">
      <c r="A1123" s="1">
        <f ca="1">IFERROR(__xludf.DUMMYFUNCTION("""COMPUTED_VALUE"""),43706.625)</f>
        <v>43706.625</v>
      </c>
      <c r="B1123" s="2">
        <f ca="1">IFERROR(__xludf.DUMMYFUNCTION("""COMPUTED_VALUE"""),7625)</f>
        <v>7625</v>
      </c>
      <c r="C1123" s="2">
        <f ca="1">IFERROR(__xludf.DUMMYFUNCTION("""COMPUTED_VALUE"""),7625)</f>
        <v>7625</v>
      </c>
      <c r="D1123" s="2">
        <f ca="1">IFERROR(__xludf.DUMMYFUNCTION("""COMPUTED_VALUE"""),7500)</f>
        <v>7500</v>
      </c>
      <c r="E1123" s="2">
        <f ca="1">IFERROR(__xludf.DUMMYFUNCTION("""COMPUTED_VALUE"""),7525)</f>
        <v>7525</v>
      </c>
      <c r="F1123" s="2">
        <f ca="1">IFERROR(__xludf.DUMMYFUNCTION("""COMPUTED_VALUE"""),21357900)</f>
        <v>21357900</v>
      </c>
    </row>
    <row r="1124" spans="1:6">
      <c r="A1124" s="1">
        <f ca="1">IFERROR(__xludf.DUMMYFUNCTION("""COMPUTED_VALUE"""),43707.625)</f>
        <v>43707.625</v>
      </c>
      <c r="B1124" s="2">
        <f ca="1">IFERROR(__xludf.DUMMYFUNCTION("""COMPUTED_VALUE"""),7575)</f>
        <v>7575</v>
      </c>
      <c r="C1124" s="2">
        <f ca="1">IFERROR(__xludf.DUMMYFUNCTION("""COMPUTED_VALUE"""),7700)</f>
        <v>7700</v>
      </c>
      <c r="D1124" s="2">
        <f ca="1">IFERROR(__xludf.DUMMYFUNCTION("""COMPUTED_VALUE"""),7575)</f>
        <v>7575</v>
      </c>
      <c r="E1124" s="2">
        <f ca="1">IFERROR(__xludf.DUMMYFUNCTION("""COMPUTED_VALUE"""),7700)</f>
        <v>7700</v>
      </c>
      <c r="F1124" s="2">
        <f ca="1">IFERROR(__xludf.DUMMYFUNCTION("""COMPUTED_VALUE"""),18235500)</f>
        <v>18235500</v>
      </c>
    </row>
    <row r="1125" spans="1:6">
      <c r="A1125" s="1">
        <f ca="1">IFERROR(__xludf.DUMMYFUNCTION("""COMPUTED_VALUE"""),43710.625)</f>
        <v>43710.625</v>
      </c>
      <c r="B1125" s="2">
        <f ca="1">IFERROR(__xludf.DUMMYFUNCTION("""COMPUTED_VALUE"""),7675)</f>
        <v>7675</v>
      </c>
      <c r="C1125" s="2">
        <f ca="1">IFERROR(__xludf.DUMMYFUNCTION("""COMPUTED_VALUE"""),7725)</f>
        <v>7725</v>
      </c>
      <c r="D1125" s="2">
        <f ca="1">IFERROR(__xludf.DUMMYFUNCTION("""COMPUTED_VALUE"""),7625)</f>
        <v>7625</v>
      </c>
      <c r="E1125" s="2">
        <f ca="1">IFERROR(__xludf.DUMMYFUNCTION("""COMPUTED_VALUE"""),7625)</f>
        <v>7625</v>
      </c>
      <c r="F1125" s="2">
        <f ca="1">IFERROR(__xludf.DUMMYFUNCTION("""COMPUTED_VALUE"""),10082000)</f>
        <v>10082000</v>
      </c>
    </row>
    <row r="1126" spans="1:6">
      <c r="A1126" s="1">
        <f ca="1">IFERROR(__xludf.DUMMYFUNCTION("""COMPUTED_VALUE"""),43711.625)</f>
        <v>43711.625</v>
      </c>
      <c r="B1126" s="2">
        <f ca="1">IFERROR(__xludf.DUMMYFUNCTION("""COMPUTED_VALUE"""),7650)</f>
        <v>7650</v>
      </c>
      <c r="C1126" s="2">
        <f ca="1">IFERROR(__xludf.DUMMYFUNCTION("""COMPUTED_VALUE"""),7675)</f>
        <v>7675</v>
      </c>
      <c r="D1126" s="2">
        <f ca="1">IFERROR(__xludf.DUMMYFUNCTION("""COMPUTED_VALUE"""),7325)</f>
        <v>7325</v>
      </c>
      <c r="E1126" s="2">
        <f ca="1">IFERROR(__xludf.DUMMYFUNCTION("""COMPUTED_VALUE"""),7450)</f>
        <v>7450</v>
      </c>
      <c r="F1126" s="2">
        <f ca="1">IFERROR(__xludf.DUMMYFUNCTION("""COMPUTED_VALUE"""),17408900)</f>
        <v>17408900</v>
      </c>
    </row>
    <row r="1127" spans="1:6">
      <c r="A1127" s="1">
        <f ca="1">IFERROR(__xludf.DUMMYFUNCTION("""COMPUTED_VALUE"""),43712.625)</f>
        <v>43712.625</v>
      </c>
      <c r="B1127" s="2">
        <f ca="1">IFERROR(__xludf.DUMMYFUNCTION("""COMPUTED_VALUE"""),7500)</f>
        <v>7500</v>
      </c>
      <c r="C1127" s="2">
        <f ca="1">IFERROR(__xludf.DUMMYFUNCTION("""COMPUTED_VALUE"""),7500)</f>
        <v>7500</v>
      </c>
      <c r="D1127" s="2">
        <f ca="1">IFERROR(__xludf.DUMMYFUNCTION("""COMPUTED_VALUE"""),7325)</f>
        <v>7325</v>
      </c>
      <c r="E1127" s="2">
        <f ca="1">IFERROR(__xludf.DUMMYFUNCTION("""COMPUTED_VALUE"""),7425)</f>
        <v>7425</v>
      </c>
      <c r="F1127" s="2">
        <f ca="1">IFERROR(__xludf.DUMMYFUNCTION("""COMPUTED_VALUE"""),24546300)</f>
        <v>24546300</v>
      </c>
    </row>
    <row r="1128" spans="1:6">
      <c r="A1128" s="1">
        <f ca="1">IFERROR(__xludf.DUMMYFUNCTION("""COMPUTED_VALUE"""),43713.625)</f>
        <v>43713.625</v>
      </c>
      <c r="B1128" s="2">
        <f ca="1">IFERROR(__xludf.DUMMYFUNCTION("""COMPUTED_VALUE"""),7500)</f>
        <v>7500</v>
      </c>
      <c r="C1128" s="2">
        <f ca="1">IFERROR(__xludf.DUMMYFUNCTION("""COMPUTED_VALUE"""),7575)</f>
        <v>7575</v>
      </c>
      <c r="D1128" s="2">
        <f ca="1">IFERROR(__xludf.DUMMYFUNCTION("""COMPUTED_VALUE"""),7450)</f>
        <v>7450</v>
      </c>
      <c r="E1128" s="2">
        <f ca="1">IFERROR(__xludf.DUMMYFUNCTION("""COMPUTED_VALUE"""),7525)</f>
        <v>7525</v>
      </c>
      <c r="F1128" s="2">
        <f ca="1">IFERROR(__xludf.DUMMYFUNCTION("""COMPUTED_VALUE"""),15745800)</f>
        <v>15745800</v>
      </c>
    </row>
    <row r="1129" spans="1:6">
      <c r="A1129" s="1">
        <f ca="1">IFERROR(__xludf.DUMMYFUNCTION("""COMPUTED_VALUE"""),43714.625)</f>
        <v>43714.625</v>
      </c>
      <c r="B1129" s="2">
        <f ca="1">IFERROR(__xludf.DUMMYFUNCTION("""COMPUTED_VALUE"""),7600)</f>
        <v>7600</v>
      </c>
      <c r="C1129" s="2">
        <f ca="1">IFERROR(__xludf.DUMMYFUNCTION("""COMPUTED_VALUE"""),7650)</f>
        <v>7650</v>
      </c>
      <c r="D1129" s="2">
        <f ca="1">IFERROR(__xludf.DUMMYFUNCTION("""COMPUTED_VALUE"""),7550)</f>
        <v>7550</v>
      </c>
      <c r="E1129" s="2">
        <f ca="1">IFERROR(__xludf.DUMMYFUNCTION("""COMPUTED_VALUE"""),7600)</f>
        <v>7600</v>
      </c>
      <c r="F1129" s="2">
        <f ca="1">IFERROR(__xludf.DUMMYFUNCTION("""COMPUTED_VALUE"""),18847700)</f>
        <v>18847700</v>
      </c>
    </row>
    <row r="1130" spans="1:6">
      <c r="A1130" s="1">
        <f ca="1">IFERROR(__xludf.DUMMYFUNCTION("""COMPUTED_VALUE"""),43717.625)</f>
        <v>43717.625</v>
      </c>
      <c r="B1130" s="2">
        <f ca="1">IFERROR(__xludf.DUMMYFUNCTION("""COMPUTED_VALUE"""),7600)</f>
        <v>7600</v>
      </c>
      <c r="C1130" s="2">
        <f ca="1">IFERROR(__xludf.DUMMYFUNCTION("""COMPUTED_VALUE"""),7625)</f>
        <v>7625</v>
      </c>
      <c r="D1130" s="2">
        <f ca="1">IFERROR(__xludf.DUMMYFUNCTION("""COMPUTED_VALUE"""),7500)</f>
        <v>7500</v>
      </c>
      <c r="E1130" s="2">
        <f ca="1">IFERROR(__xludf.DUMMYFUNCTION("""COMPUTED_VALUE"""),7550)</f>
        <v>7550</v>
      </c>
      <c r="F1130" s="2">
        <f ca="1">IFERROR(__xludf.DUMMYFUNCTION("""COMPUTED_VALUE"""),12673300)</f>
        <v>12673300</v>
      </c>
    </row>
    <row r="1131" spans="1:6">
      <c r="A1131" s="1">
        <f ca="1">IFERROR(__xludf.DUMMYFUNCTION("""COMPUTED_VALUE"""),43718.625)</f>
        <v>43718.625</v>
      </c>
      <c r="B1131" s="2">
        <f ca="1">IFERROR(__xludf.DUMMYFUNCTION("""COMPUTED_VALUE"""),7550)</f>
        <v>7550</v>
      </c>
      <c r="C1131" s="2">
        <f ca="1">IFERROR(__xludf.DUMMYFUNCTION("""COMPUTED_VALUE"""),7775)</f>
        <v>7775</v>
      </c>
      <c r="D1131" s="2">
        <f ca="1">IFERROR(__xludf.DUMMYFUNCTION("""COMPUTED_VALUE"""),7550)</f>
        <v>7550</v>
      </c>
      <c r="E1131" s="2">
        <f ca="1">IFERROR(__xludf.DUMMYFUNCTION("""COMPUTED_VALUE"""),7750)</f>
        <v>7750</v>
      </c>
      <c r="F1131" s="2">
        <f ca="1">IFERROR(__xludf.DUMMYFUNCTION("""COMPUTED_VALUE"""),19704800)</f>
        <v>19704800</v>
      </c>
    </row>
    <row r="1132" spans="1:6">
      <c r="A1132" s="1">
        <f ca="1">IFERROR(__xludf.DUMMYFUNCTION("""COMPUTED_VALUE"""),43719.625)</f>
        <v>43719.625</v>
      </c>
      <c r="B1132" s="2">
        <f ca="1">IFERROR(__xludf.DUMMYFUNCTION("""COMPUTED_VALUE"""),7750)</f>
        <v>7750</v>
      </c>
      <c r="C1132" s="2">
        <f ca="1">IFERROR(__xludf.DUMMYFUNCTION("""COMPUTED_VALUE"""),8000)</f>
        <v>8000</v>
      </c>
      <c r="D1132" s="2">
        <f ca="1">IFERROR(__xludf.DUMMYFUNCTION("""COMPUTED_VALUE"""),7750)</f>
        <v>7750</v>
      </c>
      <c r="E1132" s="2">
        <f ca="1">IFERROR(__xludf.DUMMYFUNCTION("""COMPUTED_VALUE"""),8000)</f>
        <v>8000</v>
      </c>
      <c r="F1132" s="2">
        <f ca="1">IFERROR(__xludf.DUMMYFUNCTION("""COMPUTED_VALUE"""),29592000)</f>
        <v>29592000</v>
      </c>
    </row>
    <row r="1133" spans="1:6">
      <c r="A1133" s="1">
        <f ca="1">IFERROR(__xludf.DUMMYFUNCTION("""COMPUTED_VALUE"""),43720.625)</f>
        <v>43720.625</v>
      </c>
      <c r="B1133" s="2">
        <f ca="1">IFERROR(__xludf.DUMMYFUNCTION("""COMPUTED_VALUE"""),8100)</f>
        <v>8100</v>
      </c>
      <c r="C1133" s="2">
        <f ca="1">IFERROR(__xludf.DUMMYFUNCTION("""COMPUTED_VALUE"""),8125)</f>
        <v>8125</v>
      </c>
      <c r="D1133" s="2">
        <f ca="1">IFERROR(__xludf.DUMMYFUNCTION("""COMPUTED_VALUE"""),7850)</f>
        <v>7850</v>
      </c>
      <c r="E1133" s="2">
        <f ca="1">IFERROR(__xludf.DUMMYFUNCTION("""COMPUTED_VALUE"""),7875)</f>
        <v>7875</v>
      </c>
      <c r="F1133" s="2">
        <f ca="1">IFERROR(__xludf.DUMMYFUNCTION("""COMPUTED_VALUE"""),24032800)</f>
        <v>24032800</v>
      </c>
    </row>
    <row r="1134" spans="1:6">
      <c r="A1134" s="1">
        <f ca="1">IFERROR(__xludf.DUMMYFUNCTION("""COMPUTED_VALUE"""),43721.625)</f>
        <v>43721.625</v>
      </c>
      <c r="B1134" s="2">
        <f ca="1">IFERROR(__xludf.DUMMYFUNCTION("""COMPUTED_VALUE"""),7950)</f>
        <v>7950</v>
      </c>
      <c r="C1134" s="2">
        <f ca="1">IFERROR(__xludf.DUMMYFUNCTION("""COMPUTED_VALUE"""),7975)</f>
        <v>7975</v>
      </c>
      <c r="D1134" s="2">
        <f ca="1">IFERROR(__xludf.DUMMYFUNCTION("""COMPUTED_VALUE"""),7825)</f>
        <v>7825</v>
      </c>
      <c r="E1134" s="2">
        <f ca="1">IFERROR(__xludf.DUMMYFUNCTION("""COMPUTED_VALUE"""),7850)</f>
        <v>7850</v>
      </c>
      <c r="F1134" s="2">
        <f ca="1">IFERROR(__xludf.DUMMYFUNCTION("""COMPUTED_VALUE"""),8865000)</f>
        <v>8865000</v>
      </c>
    </row>
    <row r="1135" spans="1:6">
      <c r="A1135" s="1">
        <f ca="1">IFERROR(__xludf.DUMMYFUNCTION("""COMPUTED_VALUE"""),43724.625)</f>
        <v>43724.625</v>
      </c>
      <c r="B1135" s="2">
        <f ca="1">IFERROR(__xludf.DUMMYFUNCTION("""COMPUTED_VALUE"""),7750)</f>
        <v>7750</v>
      </c>
      <c r="C1135" s="2">
        <f ca="1">IFERROR(__xludf.DUMMYFUNCTION("""COMPUTED_VALUE"""),7800)</f>
        <v>7800</v>
      </c>
      <c r="D1135" s="2">
        <f ca="1">IFERROR(__xludf.DUMMYFUNCTION("""COMPUTED_VALUE"""),7575)</f>
        <v>7575</v>
      </c>
      <c r="E1135" s="2">
        <f ca="1">IFERROR(__xludf.DUMMYFUNCTION("""COMPUTED_VALUE"""),7675)</f>
        <v>7675</v>
      </c>
      <c r="F1135" s="2">
        <f ca="1">IFERROR(__xludf.DUMMYFUNCTION("""COMPUTED_VALUE"""),17741600)</f>
        <v>17741600</v>
      </c>
    </row>
    <row r="1136" spans="1:6">
      <c r="A1136" s="1">
        <f ca="1">IFERROR(__xludf.DUMMYFUNCTION("""COMPUTED_VALUE"""),43725.625)</f>
        <v>43725.625</v>
      </c>
      <c r="B1136" s="2">
        <f ca="1">IFERROR(__xludf.DUMMYFUNCTION("""COMPUTED_VALUE"""),7575)</f>
        <v>7575</v>
      </c>
      <c r="C1136" s="2">
        <f ca="1">IFERROR(__xludf.DUMMYFUNCTION("""COMPUTED_VALUE"""),7775)</f>
        <v>7775</v>
      </c>
      <c r="D1136" s="2">
        <f ca="1">IFERROR(__xludf.DUMMYFUNCTION("""COMPUTED_VALUE"""),7575)</f>
        <v>7575</v>
      </c>
      <c r="E1136" s="2">
        <f ca="1">IFERROR(__xludf.DUMMYFUNCTION("""COMPUTED_VALUE"""),7750)</f>
        <v>7750</v>
      </c>
      <c r="F1136" s="2">
        <f ca="1">IFERROR(__xludf.DUMMYFUNCTION("""COMPUTED_VALUE"""),14487400)</f>
        <v>14487400</v>
      </c>
    </row>
    <row r="1137" spans="1:6">
      <c r="A1137" s="1">
        <f ca="1">IFERROR(__xludf.DUMMYFUNCTION("""COMPUTED_VALUE"""),43726.625)</f>
        <v>43726.625</v>
      </c>
      <c r="B1137" s="2">
        <f ca="1">IFERROR(__xludf.DUMMYFUNCTION("""COMPUTED_VALUE"""),7800)</f>
        <v>7800</v>
      </c>
      <c r="C1137" s="2">
        <f ca="1">IFERROR(__xludf.DUMMYFUNCTION("""COMPUTED_VALUE"""),7900)</f>
        <v>7900</v>
      </c>
      <c r="D1137" s="2">
        <f ca="1">IFERROR(__xludf.DUMMYFUNCTION("""COMPUTED_VALUE"""),7775)</f>
        <v>7775</v>
      </c>
      <c r="E1137" s="2">
        <f ca="1">IFERROR(__xludf.DUMMYFUNCTION("""COMPUTED_VALUE"""),7900)</f>
        <v>7900</v>
      </c>
      <c r="F1137" s="2">
        <f ca="1">IFERROR(__xludf.DUMMYFUNCTION("""COMPUTED_VALUE"""),12259200)</f>
        <v>12259200</v>
      </c>
    </row>
    <row r="1138" spans="1:6">
      <c r="A1138" s="1">
        <f ca="1">IFERROR(__xludf.DUMMYFUNCTION("""COMPUTED_VALUE"""),43727.625)</f>
        <v>43727.625</v>
      </c>
      <c r="B1138" s="2">
        <f ca="1">IFERROR(__xludf.DUMMYFUNCTION("""COMPUTED_VALUE"""),7950)</f>
        <v>7950</v>
      </c>
      <c r="C1138" s="2">
        <f ca="1">IFERROR(__xludf.DUMMYFUNCTION("""COMPUTED_VALUE"""),7950)</f>
        <v>7950</v>
      </c>
      <c r="D1138" s="2">
        <f ca="1">IFERROR(__xludf.DUMMYFUNCTION("""COMPUTED_VALUE"""),7775)</f>
        <v>7775</v>
      </c>
      <c r="E1138" s="2">
        <f ca="1">IFERROR(__xludf.DUMMYFUNCTION("""COMPUTED_VALUE"""),7775)</f>
        <v>7775</v>
      </c>
      <c r="F1138" s="2">
        <f ca="1">IFERROR(__xludf.DUMMYFUNCTION("""COMPUTED_VALUE"""),12585300)</f>
        <v>12585300</v>
      </c>
    </row>
    <row r="1139" spans="1:6">
      <c r="A1139" s="1">
        <f ca="1">IFERROR(__xludf.DUMMYFUNCTION("""COMPUTED_VALUE"""),43728.625)</f>
        <v>43728.625</v>
      </c>
      <c r="B1139" s="2">
        <f ca="1">IFERROR(__xludf.DUMMYFUNCTION("""COMPUTED_VALUE"""),7725)</f>
        <v>7725</v>
      </c>
      <c r="C1139" s="2">
        <f ca="1">IFERROR(__xludf.DUMMYFUNCTION("""COMPUTED_VALUE"""),7775)</f>
        <v>7775</v>
      </c>
      <c r="D1139" s="2">
        <f ca="1">IFERROR(__xludf.DUMMYFUNCTION("""COMPUTED_VALUE"""),7625)</f>
        <v>7625</v>
      </c>
      <c r="E1139" s="2">
        <f ca="1">IFERROR(__xludf.DUMMYFUNCTION("""COMPUTED_VALUE"""),7650)</f>
        <v>7650</v>
      </c>
      <c r="F1139" s="2">
        <f ca="1">IFERROR(__xludf.DUMMYFUNCTION("""COMPUTED_VALUE"""),26528300)</f>
        <v>26528300</v>
      </c>
    </row>
    <row r="1140" spans="1:6">
      <c r="A1140" s="1">
        <f ca="1">IFERROR(__xludf.DUMMYFUNCTION("""COMPUTED_VALUE"""),43731.625)</f>
        <v>43731.625</v>
      </c>
      <c r="B1140" s="2">
        <f ca="1">IFERROR(__xludf.DUMMYFUNCTION("""COMPUTED_VALUE"""),7600)</f>
        <v>7600</v>
      </c>
      <c r="C1140" s="2">
        <f ca="1">IFERROR(__xludf.DUMMYFUNCTION("""COMPUTED_VALUE"""),7650)</f>
        <v>7650</v>
      </c>
      <c r="D1140" s="2">
        <f ca="1">IFERROR(__xludf.DUMMYFUNCTION("""COMPUTED_VALUE"""),7525)</f>
        <v>7525</v>
      </c>
      <c r="E1140" s="2">
        <f ca="1">IFERROR(__xludf.DUMMYFUNCTION("""COMPUTED_VALUE"""),7575)</f>
        <v>7575</v>
      </c>
      <c r="F1140" s="2">
        <f ca="1">IFERROR(__xludf.DUMMYFUNCTION("""COMPUTED_VALUE"""),17117900)</f>
        <v>17117900</v>
      </c>
    </row>
    <row r="1141" spans="1:6">
      <c r="A1141" s="1">
        <f ca="1">IFERROR(__xludf.DUMMYFUNCTION("""COMPUTED_VALUE"""),43732.625)</f>
        <v>43732.625</v>
      </c>
      <c r="B1141" s="2">
        <f ca="1">IFERROR(__xludf.DUMMYFUNCTION("""COMPUTED_VALUE"""),7575)</f>
        <v>7575</v>
      </c>
      <c r="C1141" s="2">
        <f ca="1">IFERROR(__xludf.DUMMYFUNCTION("""COMPUTED_VALUE"""),7575)</f>
        <v>7575</v>
      </c>
      <c r="D1141" s="2">
        <f ca="1">IFERROR(__xludf.DUMMYFUNCTION("""COMPUTED_VALUE"""),7400)</f>
        <v>7400</v>
      </c>
      <c r="E1141" s="2">
        <f ca="1">IFERROR(__xludf.DUMMYFUNCTION("""COMPUTED_VALUE"""),7450)</f>
        <v>7450</v>
      </c>
      <c r="F1141" s="2">
        <f ca="1">IFERROR(__xludf.DUMMYFUNCTION("""COMPUTED_VALUE"""),19436800)</f>
        <v>19436800</v>
      </c>
    </row>
    <row r="1142" spans="1:6">
      <c r="A1142" s="1">
        <f ca="1">IFERROR(__xludf.DUMMYFUNCTION("""COMPUTED_VALUE"""),43733.625)</f>
        <v>43733.625</v>
      </c>
      <c r="B1142" s="2">
        <f ca="1">IFERROR(__xludf.DUMMYFUNCTION("""COMPUTED_VALUE"""),7400)</f>
        <v>7400</v>
      </c>
      <c r="C1142" s="2">
        <f ca="1">IFERROR(__xludf.DUMMYFUNCTION("""COMPUTED_VALUE"""),7525)</f>
        <v>7525</v>
      </c>
      <c r="D1142" s="2">
        <f ca="1">IFERROR(__xludf.DUMMYFUNCTION("""COMPUTED_VALUE"""),7350)</f>
        <v>7350</v>
      </c>
      <c r="E1142" s="2">
        <f ca="1">IFERROR(__xludf.DUMMYFUNCTION("""COMPUTED_VALUE"""),7475)</f>
        <v>7475</v>
      </c>
      <c r="F1142" s="2">
        <f ca="1">IFERROR(__xludf.DUMMYFUNCTION("""COMPUTED_VALUE"""),13450100)</f>
        <v>13450100</v>
      </c>
    </row>
    <row r="1143" spans="1:6">
      <c r="A1143" s="1">
        <f ca="1">IFERROR(__xludf.DUMMYFUNCTION("""COMPUTED_VALUE"""),43734.625)</f>
        <v>43734.625</v>
      </c>
      <c r="B1143" s="2">
        <f ca="1">IFERROR(__xludf.DUMMYFUNCTION("""COMPUTED_VALUE"""),7525)</f>
        <v>7525</v>
      </c>
      <c r="C1143" s="2">
        <f ca="1">IFERROR(__xludf.DUMMYFUNCTION("""COMPUTED_VALUE"""),7650)</f>
        <v>7650</v>
      </c>
      <c r="D1143" s="2">
        <f ca="1">IFERROR(__xludf.DUMMYFUNCTION("""COMPUTED_VALUE"""),7500)</f>
        <v>7500</v>
      </c>
      <c r="E1143" s="2">
        <f ca="1">IFERROR(__xludf.DUMMYFUNCTION("""COMPUTED_VALUE"""),7550)</f>
        <v>7550</v>
      </c>
      <c r="F1143" s="2">
        <f ca="1">IFERROR(__xludf.DUMMYFUNCTION("""COMPUTED_VALUE"""),15307500)</f>
        <v>15307500</v>
      </c>
    </row>
    <row r="1144" spans="1:6">
      <c r="A1144" s="1">
        <f ca="1">IFERROR(__xludf.DUMMYFUNCTION("""COMPUTED_VALUE"""),43735.625)</f>
        <v>43735.625</v>
      </c>
      <c r="B1144" s="2">
        <f ca="1">IFERROR(__xludf.DUMMYFUNCTION("""COMPUTED_VALUE"""),7525)</f>
        <v>7525</v>
      </c>
      <c r="C1144" s="2">
        <f ca="1">IFERROR(__xludf.DUMMYFUNCTION("""COMPUTED_VALUE"""),7550)</f>
        <v>7550</v>
      </c>
      <c r="D1144" s="2">
        <f ca="1">IFERROR(__xludf.DUMMYFUNCTION("""COMPUTED_VALUE"""),7425)</f>
        <v>7425</v>
      </c>
      <c r="E1144" s="2">
        <f ca="1">IFERROR(__xludf.DUMMYFUNCTION("""COMPUTED_VALUE"""),7425)</f>
        <v>7425</v>
      </c>
      <c r="F1144" s="2">
        <f ca="1">IFERROR(__xludf.DUMMYFUNCTION("""COMPUTED_VALUE"""),15464200)</f>
        <v>15464200</v>
      </c>
    </row>
    <row r="1145" spans="1:6">
      <c r="A1145" s="1">
        <f ca="1">IFERROR(__xludf.DUMMYFUNCTION("""COMPUTED_VALUE"""),43738.625)</f>
        <v>43738.625</v>
      </c>
      <c r="B1145" s="2">
        <f ca="1">IFERROR(__xludf.DUMMYFUNCTION("""COMPUTED_VALUE"""),7375)</f>
        <v>7375</v>
      </c>
      <c r="C1145" s="2">
        <f ca="1">IFERROR(__xludf.DUMMYFUNCTION("""COMPUTED_VALUE"""),7400)</f>
        <v>7400</v>
      </c>
      <c r="D1145" s="2">
        <f ca="1">IFERROR(__xludf.DUMMYFUNCTION("""COMPUTED_VALUE"""),7150)</f>
        <v>7150</v>
      </c>
      <c r="E1145" s="2">
        <f ca="1">IFERROR(__xludf.DUMMYFUNCTION("""COMPUTED_VALUE"""),7350)</f>
        <v>7350</v>
      </c>
      <c r="F1145" s="2">
        <f ca="1">IFERROR(__xludf.DUMMYFUNCTION("""COMPUTED_VALUE"""),40040900)</f>
        <v>40040900</v>
      </c>
    </row>
    <row r="1146" spans="1:6">
      <c r="A1146" s="1">
        <f ca="1">IFERROR(__xludf.DUMMYFUNCTION("""COMPUTED_VALUE"""),43739.625)</f>
        <v>43739.625</v>
      </c>
      <c r="B1146" s="2">
        <f ca="1">IFERROR(__xludf.DUMMYFUNCTION("""COMPUTED_VALUE"""),7325)</f>
        <v>7325</v>
      </c>
      <c r="C1146" s="2">
        <f ca="1">IFERROR(__xludf.DUMMYFUNCTION("""COMPUTED_VALUE"""),7400)</f>
        <v>7400</v>
      </c>
      <c r="D1146" s="2">
        <f ca="1">IFERROR(__xludf.DUMMYFUNCTION("""COMPUTED_VALUE"""),7250)</f>
        <v>7250</v>
      </c>
      <c r="E1146" s="2">
        <f ca="1">IFERROR(__xludf.DUMMYFUNCTION("""COMPUTED_VALUE"""),7275)</f>
        <v>7275</v>
      </c>
      <c r="F1146" s="2">
        <f ca="1">IFERROR(__xludf.DUMMYFUNCTION("""COMPUTED_VALUE"""),16094400)</f>
        <v>16094400</v>
      </c>
    </row>
    <row r="1147" spans="1:6">
      <c r="A1147" s="1">
        <f ca="1">IFERROR(__xludf.DUMMYFUNCTION("""COMPUTED_VALUE"""),43740.625)</f>
        <v>43740.625</v>
      </c>
      <c r="B1147" s="2">
        <f ca="1">IFERROR(__xludf.DUMMYFUNCTION("""COMPUTED_VALUE"""),7225)</f>
        <v>7225</v>
      </c>
      <c r="C1147" s="2">
        <f ca="1">IFERROR(__xludf.DUMMYFUNCTION("""COMPUTED_VALUE"""),7300)</f>
        <v>7300</v>
      </c>
      <c r="D1147" s="2">
        <f ca="1">IFERROR(__xludf.DUMMYFUNCTION("""COMPUTED_VALUE"""),6900)</f>
        <v>6900</v>
      </c>
      <c r="E1147" s="2">
        <f ca="1">IFERROR(__xludf.DUMMYFUNCTION("""COMPUTED_VALUE"""),6925)</f>
        <v>6925</v>
      </c>
      <c r="F1147" s="2">
        <f ca="1">IFERROR(__xludf.DUMMYFUNCTION("""COMPUTED_VALUE"""),36566000)</f>
        <v>36566000</v>
      </c>
    </row>
    <row r="1148" spans="1:6">
      <c r="A1148" s="1">
        <f ca="1">IFERROR(__xludf.DUMMYFUNCTION("""COMPUTED_VALUE"""),43741.625)</f>
        <v>43741.625</v>
      </c>
      <c r="B1148" s="2">
        <f ca="1">IFERROR(__xludf.DUMMYFUNCTION("""COMPUTED_VALUE"""),6850)</f>
        <v>6850</v>
      </c>
      <c r="C1148" s="2">
        <f ca="1">IFERROR(__xludf.DUMMYFUNCTION("""COMPUTED_VALUE"""),7000)</f>
        <v>7000</v>
      </c>
      <c r="D1148" s="2">
        <f ca="1">IFERROR(__xludf.DUMMYFUNCTION("""COMPUTED_VALUE"""),6800)</f>
        <v>6800</v>
      </c>
      <c r="E1148" s="2">
        <f ca="1">IFERROR(__xludf.DUMMYFUNCTION("""COMPUTED_VALUE"""),6900)</f>
        <v>6900</v>
      </c>
      <c r="F1148" s="2">
        <f ca="1">IFERROR(__xludf.DUMMYFUNCTION("""COMPUTED_VALUE"""),21279400)</f>
        <v>21279400</v>
      </c>
    </row>
    <row r="1149" spans="1:6">
      <c r="A1149" s="1">
        <f ca="1">IFERROR(__xludf.DUMMYFUNCTION("""COMPUTED_VALUE"""),43742.625)</f>
        <v>43742.625</v>
      </c>
      <c r="B1149" s="2">
        <f ca="1">IFERROR(__xludf.DUMMYFUNCTION("""COMPUTED_VALUE"""),6900)</f>
        <v>6900</v>
      </c>
      <c r="C1149" s="2">
        <f ca="1">IFERROR(__xludf.DUMMYFUNCTION("""COMPUTED_VALUE"""),7000)</f>
        <v>7000</v>
      </c>
      <c r="D1149" s="2">
        <f ca="1">IFERROR(__xludf.DUMMYFUNCTION("""COMPUTED_VALUE"""),6850)</f>
        <v>6850</v>
      </c>
      <c r="E1149" s="2">
        <f ca="1">IFERROR(__xludf.DUMMYFUNCTION("""COMPUTED_VALUE"""),6875)</f>
        <v>6875</v>
      </c>
      <c r="F1149" s="2">
        <f ca="1">IFERROR(__xludf.DUMMYFUNCTION("""COMPUTED_VALUE"""),13284600)</f>
        <v>13284600</v>
      </c>
    </row>
    <row r="1150" spans="1:6">
      <c r="A1150" s="1">
        <f ca="1">IFERROR(__xludf.DUMMYFUNCTION("""COMPUTED_VALUE"""),43745.625)</f>
        <v>43745.625</v>
      </c>
      <c r="B1150" s="2">
        <f ca="1">IFERROR(__xludf.DUMMYFUNCTION("""COMPUTED_VALUE"""),6925)</f>
        <v>6925</v>
      </c>
      <c r="C1150" s="2">
        <f ca="1">IFERROR(__xludf.DUMMYFUNCTION("""COMPUTED_VALUE"""),6950)</f>
        <v>6950</v>
      </c>
      <c r="D1150" s="2">
        <f ca="1">IFERROR(__xludf.DUMMYFUNCTION("""COMPUTED_VALUE"""),6650)</f>
        <v>6650</v>
      </c>
      <c r="E1150" s="2">
        <f ca="1">IFERROR(__xludf.DUMMYFUNCTION("""COMPUTED_VALUE"""),6675)</f>
        <v>6675</v>
      </c>
      <c r="F1150" s="2">
        <f ca="1">IFERROR(__xludf.DUMMYFUNCTION("""COMPUTED_VALUE"""),21803000)</f>
        <v>21803000</v>
      </c>
    </row>
    <row r="1151" spans="1:6">
      <c r="A1151" s="1">
        <f ca="1">IFERROR(__xludf.DUMMYFUNCTION("""COMPUTED_VALUE"""),43746.625)</f>
        <v>43746.625</v>
      </c>
      <c r="B1151" s="2">
        <f ca="1">IFERROR(__xludf.DUMMYFUNCTION("""COMPUTED_VALUE"""),6750)</f>
        <v>6750</v>
      </c>
      <c r="C1151" s="2">
        <f ca="1">IFERROR(__xludf.DUMMYFUNCTION("""COMPUTED_VALUE"""),6825)</f>
        <v>6825</v>
      </c>
      <c r="D1151" s="2">
        <f ca="1">IFERROR(__xludf.DUMMYFUNCTION("""COMPUTED_VALUE"""),6700)</f>
        <v>6700</v>
      </c>
      <c r="E1151" s="2">
        <f ca="1">IFERROR(__xludf.DUMMYFUNCTION("""COMPUTED_VALUE"""),6825)</f>
        <v>6825</v>
      </c>
      <c r="F1151" s="2">
        <f ca="1">IFERROR(__xludf.DUMMYFUNCTION("""COMPUTED_VALUE"""),20956400)</f>
        <v>20956400</v>
      </c>
    </row>
    <row r="1152" spans="1:6">
      <c r="A1152" s="1">
        <f ca="1">IFERROR(__xludf.DUMMYFUNCTION("""COMPUTED_VALUE"""),43747.625)</f>
        <v>43747.625</v>
      </c>
      <c r="B1152" s="2">
        <f ca="1">IFERROR(__xludf.DUMMYFUNCTION("""COMPUTED_VALUE"""),6800)</f>
        <v>6800</v>
      </c>
      <c r="C1152" s="2">
        <f ca="1">IFERROR(__xludf.DUMMYFUNCTION("""COMPUTED_VALUE"""),6800)</f>
        <v>6800</v>
      </c>
      <c r="D1152" s="2">
        <f ca="1">IFERROR(__xludf.DUMMYFUNCTION("""COMPUTED_VALUE"""),6725)</f>
        <v>6725</v>
      </c>
      <c r="E1152" s="2">
        <f ca="1">IFERROR(__xludf.DUMMYFUNCTION("""COMPUTED_VALUE"""),6750)</f>
        <v>6750</v>
      </c>
      <c r="F1152" s="2">
        <f ca="1">IFERROR(__xludf.DUMMYFUNCTION("""COMPUTED_VALUE"""),12618700)</f>
        <v>12618700</v>
      </c>
    </row>
    <row r="1153" spans="1:6">
      <c r="A1153" s="1">
        <f ca="1">IFERROR(__xludf.DUMMYFUNCTION("""COMPUTED_VALUE"""),43748.625)</f>
        <v>43748.625</v>
      </c>
      <c r="B1153" s="2">
        <f ca="1">IFERROR(__xludf.DUMMYFUNCTION("""COMPUTED_VALUE"""),6750)</f>
        <v>6750</v>
      </c>
      <c r="C1153" s="2">
        <f ca="1">IFERROR(__xludf.DUMMYFUNCTION("""COMPUTED_VALUE"""),6850)</f>
        <v>6850</v>
      </c>
      <c r="D1153" s="2">
        <f ca="1">IFERROR(__xludf.DUMMYFUNCTION("""COMPUTED_VALUE"""),6725)</f>
        <v>6725</v>
      </c>
      <c r="E1153" s="2">
        <f ca="1">IFERROR(__xludf.DUMMYFUNCTION("""COMPUTED_VALUE"""),6750)</f>
        <v>6750</v>
      </c>
      <c r="F1153" s="2">
        <f ca="1">IFERROR(__xludf.DUMMYFUNCTION("""COMPUTED_VALUE"""),11644200)</f>
        <v>11644200</v>
      </c>
    </row>
    <row r="1154" spans="1:6">
      <c r="A1154" s="1">
        <f ca="1">IFERROR(__xludf.DUMMYFUNCTION("""COMPUTED_VALUE"""),43749.625)</f>
        <v>43749.625</v>
      </c>
      <c r="B1154" s="2">
        <f ca="1">IFERROR(__xludf.DUMMYFUNCTION("""COMPUTED_VALUE"""),6800)</f>
        <v>6800</v>
      </c>
      <c r="C1154" s="2">
        <f ca="1">IFERROR(__xludf.DUMMYFUNCTION("""COMPUTED_VALUE"""),7000)</f>
        <v>7000</v>
      </c>
      <c r="D1154" s="2">
        <f ca="1">IFERROR(__xludf.DUMMYFUNCTION("""COMPUTED_VALUE"""),6800)</f>
        <v>6800</v>
      </c>
      <c r="E1154" s="2">
        <f ca="1">IFERROR(__xludf.DUMMYFUNCTION("""COMPUTED_VALUE"""),6975)</f>
        <v>6975</v>
      </c>
      <c r="F1154" s="2">
        <f ca="1">IFERROR(__xludf.DUMMYFUNCTION("""COMPUTED_VALUE"""),16613000)</f>
        <v>16613000</v>
      </c>
    </row>
    <row r="1155" spans="1:6">
      <c r="A1155" s="1">
        <f ca="1">IFERROR(__xludf.DUMMYFUNCTION("""COMPUTED_VALUE"""),43752.625)</f>
        <v>43752.625</v>
      </c>
      <c r="B1155" s="2">
        <f ca="1">IFERROR(__xludf.DUMMYFUNCTION("""COMPUTED_VALUE"""),7075)</f>
        <v>7075</v>
      </c>
      <c r="C1155" s="2">
        <f ca="1">IFERROR(__xludf.DUMMYFUNCTION("""COMPUTED_VALUE"""),7075)</f>
        <v>7075</v>
      </c>
      <c r="D1155" s="2">
        <f ca="1">IFERROR(__xludf.DUMMYFUNCTION("""COMPUTED_VALUE"""),6900)</f>
        <v>6900</v>
      </c>
      <c r="E1155" s="2">
        <f ca="1">IFERROR(__xludf.DUMMYFUNCTION("""COMPUTED_VALUE"""),6925)</f>
        <v>6925</v>
      </c>
      <c r="F1155" s="2">
        <f ca="1">IFERROR(__xludf.DUMMYFUNCTION("""COMPUTED_VALUE"""),25566200)</f>
        <v>25566200</v>
      </c>
    </row>
    <row r="1156" spans="1:6">
      <c r="A1156" s="1">
        <f ca="1">IFERROR(__xludf.DUMMYFUNCTION("""COMPUTED_VALUE"""),43753.625)</f>
        <v>43753.625</v>
      </c>
      <c r="B1156" s="2">
        <f ca="1">IFERROR(__xludf.DUMMYFUNCTION("""COMPUTED_VALUE"""),6950)</f>
        <v>6950</v>
      </c>
      <c r="C1156" s="2">
        <f ca="1">IFERROR(__xludf.DUMMYFUNCTION("""COMPUTED_VALUE"""),7200)</f>
        <v>7200</v>
      </c>
      <c r="D1156" s="2">
        <f ca="1">IFERROR(__xludf.DUMMYFUNCTION("""COMPUTED_VALUE"""),6825)</f>
        <v>6825</v>
      </c>
      <c r="E1156" s="2">
        <f ca="1">IFERROR(__xludf.DUMMYFUNCTION("""COMPUTED_VALUE"""),7150)</f>
        <v>7150</v>
      </c>
      <c r="F1156" s="2">
        <f ca="1">IFERROR(__xludf.DUMMYFUNCTION("""COMPUTED_VALUE"""),34400700)</f>
        <v>34400700</v>
      </c>
    </row>
    <row r="1157" spans="1:6">
      <c r="A1157" s="1">
        <f ca="1">IFERROR(__xludf.DUMMYFUNCTION("""COMPUTED_VALUE"""),43754.625)</f>
        <v>43754.625</v>
      </c>
      <c r="B1157" s="2">
        <f ca="1">IFERROR(__xludf.DUMMYFUNCTION("""COMPUTED_VALUE"""),7200)</f>
        <v>7200</v>
      </c>
      <c r="C1157" s="2">
        <f ca="1">IFERROR(__xludf.DUMMYFUNCTION("""COMPUTED_VALUE"""),7250)</f>
        <v>7250</v>
      </c>
      <c r="D1157" s="2">
        <f ca="1">IFERROR(__xludf.DUMMYFUNCTION("""COMPUTED_VALUE"""),7050)</f>
        <v>7050</v>
      </c>
      <c r="E1157" s="2">
        <f ca="1">IFERROR(__xludf.DUMMYFUNCTION("""COMPUTED_VALUE"""),7250)</f>
        <v>7250</v>
      </c>
      <c r="F1157" s="2">
        <f ca="1">IFERROR(__xludf.DUMMYFUNCTION("""COMPUTED_VALUE"""),32741300)</f>
        <v>32741300</v>
      </c>
    </row>
    <row r="1158" spans="1:6">
      <c r="A1158" s="1">
        <f ca="1">IFERROR(__xludf.DUMMYFUNCTION("""COMPUTED_VALUE"""),43755.625)</f>
        <v>43755.625</v>
      </c>
      <c r="B1158" s="2">
        <f ca="1">IFERROR(__xludf.DUMMYFUNCTION("""COMPUTED_VALUE"""),7250)</f>
        <v>7250</v>
      </c>
      <c r="C1158" s="2">
        <f ca="1">IFERROR(__xludf.DUMMYFUNCTION("""COMPUTED_VALUE"""),7400)</f>
        <v>7400</v>
      </c>
      <c r="D1158" s="2">
        <f ca="1">IFERROR(__xludf.DUMMYFUNCTION("""COMPUTED_VALUE"""),7225)</f>
        <v>7225</v>
      </c>
      <c r="E1158" s="2">
        <f ca="1">IFERROR(__xludf.DUMMYFUNCTION("""COMPUTED_VALUE"""),7375)</f>
        <v>7375</v>
      </c>
      <c r="F1158" s="2">
        <f ca="1">IFERROR(__xludf.DUMMYFUNCTION("""COMPUTED_VALUE"""),30782000)</f>
        <v>30782000</v>
      </c>
    </row>
    <row r="1159" spans="1:6">
      <c r="A1159" s="1">
        <f ca="1">IFERROR(__xludf.DUMMYFUNCTION("""COMPUTED_VALUE"""),43756.625)</f>
        <v>43756.625</v>
      </c>
      <c r="B1159" s="2">
        <f ca="1">IFERROR(__xludf.DUMMYFUNCTION("""COMPUTED_VALUE"""),7350)</f>
        <v>7350</v>
      </c>
      <c r="C1159" s="2">
        <f ca="1">IFERROR(__xludf.DUMMYFUNCTION("""COMPUTED_VALUE"""),7500)</f>
        <v>7500</v>
      </c>
      <c r="D1159" s="2">
        <f ca="1">IFERROR(__xludf.DUMMYFUNCTION("""COMPUTED_VALUE"""),7350)</f>
        <v>7350</v>
      </c>
      <c r="E1159" s="2">
        <f ca="1">IFERROR(__xludf.DUMMYFUNCTION("""COMPUTED_VALUE"""),7475)</f>
        <v>7475</v>
      </c>
      <c r="F1159" s="2">
        <f ca="1">IFERROR(__xludf.DUMMYFUNCTION("""COMPUTED_VALUE"""),19085900)</f>
        <v>19085900</v>
      </c>
    </row>
    <row r="1160" spans="1:6">
      <c r="A1160" s="1">
        <f ca="1">IFERROR(__xludf.DUMMYFUNCTION("""COMPUTED_VALUE"""),43759.625)</f>
        <v>43759.625</v>
      </c>
      <c r="B1160" s="2">
        <f ca="1">IFERROR(__xludf.DUMMYFUNCTION("""COMPUTED_VALUE"""),7475)</f>
        <v>7475</v>
      </c>
      <c r="C1160" s="2">
        <f ca="1">IFERROR(__xludf.DUMMYFUNCTION("""COMPUTED_VALUE"""),7500)</f>
        <v>7500</v>
      </c>
      <c r="D1160" s="2">
        <f ca="1">IFERROR(__xludf.DUMMYFUNCTION("""COMPUTED_VALUE"""),7325)</f>
        <v>7325</v>
      </c>
      <c r="E1160" s="2">
        <f ca="1">IFERROR(__xludf.DUMMYFUNCTION("""COMPUTED_VALUE"""),7375)</f>
        <v>7375</v>
      </c>
      <c r="F1160" s="2">
        <f ca="1">IFERROR(__xludf.DUMMYFUNCTION("""COMPUTED_VALUE"""),18696000)</f>
        <v>18696000</v>
      </c>
    </row>
    <row r="1161" spans="1:6">
      <c r="A1161" s="1">
        <f ca="1">IFERROR(__xludf.DUMMYFUNCTION("""COMPUTED_VALUE"""),43760.625)</f>
        <v>43760.625</v>
      </c>
      <c r="B1161" s="2">
        <f ca="1">IFERROR(__xludf.DUMMYFUNCTION("""COMPUTED_VALUE"""),7425)</f>
        <v>7425</v>
      </c>
      <c r="C1161" s="2">
        <f ca="1">IFERROR(__xludf.DUMMYFUNCTION("""COMPUTED_VALUE"""),7475)</f>
        <v>7475</v>
      </c>
      <c r="D1161" s="2">
        <f ca="1">IFERROR(__xludf.DUMMYFUNCTION("""COMPUTED_VALUE"""),7200)</f>
        <v>7200</v>
      </c>
      <c r="E1161" s="2">
        <f ca="1">IFERROR(__xludf.DUMMYFUNCTION("""COMPUTED_VALUE"""),7325)</f>
        <v>7325</v>
      </c>
      <c r="F1161" s="2">
        <f ca="1">IFERROR(__xludf.DUMMYFUNCTION("""COMPUTED_VALUE"""),22153600)</f>
        <v>22153600</v>
      </c>
    </row>
    <row r="1162" spans="1:6">
      <c r="A1162" s="1">
        <f ca="1">IFERROR(__xludf.DUMMYFUNCTION("""COMPUTED_VALUE"""),43761.625)</f>
        <v>43761.625</v>
      </c>
      <c r="B1162" s="2">
        <f ca="1">IFERROR(__xludf.DUMMYFUNCTION("""COMPUTED_VALUE"""),7300)</f>
        <v>7300</v>
      </c>
      <c r="C1162" s="2">
        <f ca="1">IFERROR(__xludf.DUMMYFUNCTION("""COMPUTED_VALUE"""),7550)</f>
        <v>7550</v>
      </c>
      <c r="D1162" s="2">
        <f ca="1">IFERROR(__xludf.DUMMYFUNCTION("""COMPUTED_VALUE"""),7225)</f>
        <v>7225</v>
      </c>
      <c r="E1162" s="2">
        <f ca="1">IFERROR(__xludf.DUMMYFUNCTION("""COMPUTED_VALUE"""),7550)</f>
        <v>7550</v>
      </c>
      <c r="F1162" s="2">
        <f ca="1">IFERROR(__xludf.DUMMYFUNCTION("""COMPUTED_VALUE"""),32835200)</f>
        <v>32835200</v>
      </c>
    </row>
    <row r="1163" spans="1:6">
      <c r="A1163" s="1">
        <f ca="1">IFERROR(__xludf.DUMMYFUNCTION("""COMPUTED_VALUE"""),43762.625)</f>
        <v>43762.625</v>
      </c>
      <c r="B1163" s="2">
        <f ca="1">IFERROR(__xludf.DUMMYFUNCTION("""COMPUTED_VALUE"""),7600)</f>
        <v>7600</v>
      </c>
      <c r="C1163" s="2">
        <f ca="1">IFERROR(__xludf.DUMMYFUNCTION("""COMPUTED_VALUE"""),8075)</f>
        <v>8075</v>
      </c>
      <c r="D1163" s="2">
        <f ca="1">IFERROR(__xludf.DUMMYFUNCTION("""COMPUTED_VALUE"""),7600)</f>
        <v>7600</v>
      </c>
      <c r="E1163" s="2">
        <f ca="1">IFERROR(__xludf.DUMMYFUNCTION("""COMPUTED_VALUE"""),7900)</f>
        <v>7900</v>
      </c>
      <c r="F1163" s="2">
        <f ca="1">IFERROR(__xludf.DUMMYFUNCTION("""COMPUTED_VALUE"""),74989000)</f>
        <v>74989000</v>
      </c>
    </row>
    <row r="1164" spans="1:6">
      <c r="A1164" s="1">
        <f ca="1">IFERROR(__xludf.DUMMYFUNCTION("""COMPUTED_VALUE"""),43763.625)</f>
        <v>43763.625</v>
      </c>
      <c r="B1164" s="2">
        <f ca="1">IFERROR(__xludf.DUMMYFUNCTION("""COMPUTED_VALUE"""),7925)</f>
        <v>7925</v>
      </c>
      <c r="C1164" s="2">
        <f ca="1">IFERROR(__xludf.DUMMYFUNCTION("""COMPUTED_VALUE"""),7975)</f>
        <v>7975</v>
      </c>
      <c r="D1164" s="2">
        <f ca="1">IFERROR(__xludf.DUMMYFUNCTION("""COMPUTED_VALUE"""),7725)</f>
        <v>7725</v>
      </c>
      <c r="E1164" s="2">
        <f ca="1">IFERROR(__xludf.DUMMYFUNCTION("""COMPUTED_VALUE"""),7825)</f>
        <v>7825</v>
      </c>
      <c r="F1164" s="2">
        <f ca="1">IFERROR(__xludf.DUMMYFUNCTION("""COMPUTED_VALUE"""),29312500)</f>
        <v>29312500</v>
      </c>
    </row>
    <row r="1165" spans="1:6">
      <c r="A1165" s="1">
        <f ca="1">IFERROR(__xludf.DUMMYFUNCTION("""COMPUTED_VALUE"""),43766.625)</f>
        <v>43766.625</v>
      </c>
      <c r="B1165" s="2">
        <f ca="1">IFERROR(__xludf.DUMMYFUNCTION("""COMPUTED_VALUE"""),7850)</f>
        <v>7850</v>
      </c>
      <c r="C1165" s="2">
        <f ca="1">IFERROR(__xludf.DUMMYFUNCTION("""COMPUTED_VALUE"""),7875)</f>
        <v>7875</v>
      </c>
      <c r="D1165" s="2">
        <f ca="1">IFERROR(__xludf.DUMMYFUNCTION("""COMPUTED_VALUE"""),7725)</f>
        <v>7725</v>
      </c>
      <c r="E1165" s="2">
        <f ca="1">IFERROR(__xludf.DUMMYFUNCTION("""COMPUTED_VALUE"""),7775)</f>
        <v>7775</v>
      </c>
      <c r="F1165" s="2">
        <f ca="1">IFERROR(__xludf.DUMMYFUNCTION("""COMPUTED_VALUE"""),10614600)</f>
        <v>10614600</v>
      </c>
    </row>
    <row r="1166" spans="1:6">
      <c r="A1166" s="1">
        <f ca="1">IFERROR(__xludf.DUMMYFUNCTION("""COMPUTED_VALUE"""),43767.625)</f>
        <v>43767.625</v>
      </c>
      <c r="B1166" s="2">
        <f ca="1">IFERROR(__xludf.DUMMYFUNCTION("""COMPUTED_VALUE"""),7775)</f>
        <v>7775</v>
      </c>
      <c r="C1166" s="2">
        <f ca="1">IFERROR(__xludf.DUMMYFUNCTION("""COMPUTED_VALUE"""),7825)</f>
        <v>7825</v>
      </c>
      <c r="D1166" s="2">
        <f ca="1">IFERROR(__xludf.DUMMYFUNCTION("""COMPUTED_VALUE"""),7650)</f>
        <v>7650</v>
      </c>
      <c r="E1166" s="2">
        <f ca="1">IFERROR(__xludf.DUMMYFUNCTION("""COMPUTED_VALUE"""),7725)</f>
        <v>7725</v>
      </c>
      <c r="F1166" s="2">
        <f ca="1">IFERROR(__xludf.DUMMYFUNCTION("""COMPUTED_VALUE"""),24458300)</f>
        <v>24458300</v>
      </c>
    </row>
    <row r="1167" spans="1:6">
      <c r="A1167" s="1">
        <f ca="1">IFERROR(__xludf.DUMMYFUNCTION("""COMPUTED_VALUE"""),43768.625)</f>
        <v>43768.625</v>
      </c>
      <c r="B1167" s="2">
        <f ca="1">IFERROR(__xludf.DUMMYFUNCTION("""COMPUTED_VALUE"""),7750)</f>
        <v>7750</v>
      </c>
      <c r="C1167" s="2">
        <f ca="1">IFERROR(__xludf.DUMMYFUNCTION("""COMPUTED_VALUE"""),7850)</f>
        <v>7850</v>
      </c>
      <c r="D1167" s="2">
        <f ca="1">IFERROR(__xludf.DUMMYFUNCTION("""COMPUTED_VALUE"""),7625)</f>
        <v>7625</v>
      </c>
      <c r="E1167" s="2">
        <f ca="1">IFERROR(__xludf.DUMMYFUNCTION("""COMPUTED_VALUE"""),7750)</f>
        <v>7750</v>
      </c>
      <c r="F1167" s="2">
        <f ca="1">IFERROR(__xludf.DUMMYFUNCTION("""COMPUTED_VALUE"""),23345600)</f>
        <v>23345600</v>
      </c>
    </row>
    <row r="1168" spans="1:6">
      <c r="A1168" s="1">
        <f ca="1">IFERROR(__xludf.DUMMYFUNCTION("""COMPUTED_VALUE"""),43769.625)</f>
        <v>43769.625</v>
      </c>
      <c r="B1168" s="2">
        <f ca="1">IFERROR(__xludf.DUMMYFUNCTION("""COMPUTED_VALUE"""),7700)</f>
        <v>7700</v>
      </c>
      <c r="C1168" s="2">
        <f ca="1">IFERROR(__xludf.DUMMYFUNCTION("""COMPUTED_VALUE"""),7775)</f>
        <v>7775</v>
      </c>
      <c r="D1168" s="2">
        <f ca="1">IFERROR(__xludf.DUMMYFUNCTION("""COMPUTED_VALUE"""),7600)</f>
        <v>7600</v>
      </c>
      <c r="E1168" s="2">
        <f ca="1">IFERROR(__xludf.DUMMYFUNCTION("""COMPUTED_VALUE"""),7675)</f>
        <v>7675</v>
      </c>
      <c r="F1168" s="2">
        <f ca="1">IFERROR(__xludf.DUMMYFUNCTION("""COMPUTED_VALUE"""),14369000)</f>
        <v>14369000</v>
      </c>
    </row>
    <row r="1169" spans="1:6">
      <c r="A1169" s="1">
        <f ca="1">IFERROR(__xludf.DUMMYFUNCTION("""COMPUTED_VALUE"""),43770.625)</f>
        <v>43770.625</v>
      </c>
      <c r="B1169" s="2">
        <f ca="1">IFERROR(__xludf.DUMMYFUNCTION("""COMPUTED_VALUE"""),7725)</f>
        <v>7725</v>
      </c>
      <c r="C1169" s="2">
        <f ca="1">IFERROR(__xludf.DUMMYFUNCTION("""COMPUTED_VALUE"""),7725)</f>
        <v>7725</v>
      </c>
      <c r="D1169" s="2">
        <f ca="1">IFERROR(__xludf.DUMMYFUNCTION("""COMPUTED_VALUE"""),7625)</f>
        <v>7625</v>
      </c>
      <c r="E1169" s="2">
        <f ca="1">IFERROR(__xludf.DUMMYFUNCTION("""COMPUTED_VALUE"""),7675)</f>
        <v>7675</v>
      </c>
      <c r="F1169" s="2">
        <f ca="1">IFERROR(__xludf.DUMMYFUNCTION("""COMPUTED_VALUE"""),9648100)</f>
        <v>9648100</v>
      </c>
    </row>
    <row r="1170" spans="1:6">
      <c r="A1170" s="1">
        <f ca="1">IFERROR(__xludf.DUMMYFUNCTION("""COMPUTED_VALUE"""),43773.625)</f>
        <v>43773.625</v>
      </c>
      <c r="B1170" s="2">
        <f ca="1">IFERROR(__xludf.DUMMYFUNCTION("""COMPUTED_VALUE"""),7675)</f>
        <v>7675</v>
      </c>
      <c r="C1170" s="2">
        <f ca="1">IFERROR(__xludf.DUMMYFUNCTION("""COMPUTED_VALUE"""),7750)</f>
        <v>7750</v>
      </c>
      <c r="D1170" s="2">
        <f ca="1">IFERROR(__xludf.DUMMYFUNCTION("""COMPUTED_VALUE"""),7625)</f>
        <v>7625</v>
      </c>
      <c r="E1170" s="2">
        <f ca="1">IFERROR(__xludf.DUMMYFUNCTION("""COMPUTED_VALUE"""),7625)</f>
        <v>7625</v>
      </c>
      <c r="F1170" s="2">
        <f ca="1">IFERROR(__xludf.DUMMYFUNCTION("""COMPUTED_VALUE"""),16764200)</f>
        <v>16764200</v>
      </c>
    </row>
    <row r="1171" spans="1:6">
      <c r="A1171" s="1">
        <f ca="1">IFERROR(__xludf.DUMMYFUNCTION("""COMPUTED_VALUE"""),43774.625)</f>
        <v>43774.625</v>
      </c>
      <c r="B1171" s="2">
        <f ca="1">IFERROR(__xludf.DUMMYFUNCTION("""COMPUTED_VALUE"""),7600)</f>
        <v>7600</v>
      </c>
      <c r="C1171" s="2">
        <f ca="1">IFERROR(__xludf.DUMMYFUNCTION("""COMPUTED_VALUE"""),7800)</f>
        <v>7800</v>
      </c>
      <c r="D1171" s="2">
        <f ca="1">IFERROR(__xludf.DUMMYFUNCTION("""COMPUTED_VALUE"""),7575)</f>
        <v>7575</v>
      </c>
      <c r="E1171" s="2">
        <f ca="1">IFERROR(__xludf.DUMMYFUNCTION("""COMPUTED_VALUE"""),7725)</f>
        <v>7725</v>
      </c>
      <c r="F1171" s="2">
        <f ca="1">IFERROR(__xludf.DUMMYFUNCTION("""COMPUTED_VALUE"""),50649200)</f>
        <v>50649200</v>
      </c>
    </row>
    <row r="1172" spans="1:6">
      <c r="A1172" s="1">
        <f ca="1">IFERROR(__xludf.DUMMYFUNCTION("""COMPUTED_VALUE"""),43775.625)</f>
        <v>43775.625</v>
      </c>
      <c r="B1172" s="2">
        <f ca="1">IFERROR(__xludf.DUMMYFUNCTION("""COMPUTED_VALUE"""),7775)</f>
        <v>7775</v>
      </c>
      <c r="C1172" s="2">
        <f ca="1">IFERROR(__xludf.DUMMYFUNCTION("""COMPUTED_VALUE"""),7775)</f>
        <v>7775</v>
      </c>
      <c r="D1172" s="2">
        <f ca="1">IFERROR(__xludf.DUMMYFUNCTION("""COMPUTED_VALUE"""),7450)</f>
        <v>7450</v>
      </c>
      <c r="E1172" s="2">
        <f ca="1">IFERROR(__xludf.DUMMYFUNCTION("""COMPUTED_VALUE"""),7500)</f>
        <v>7500</v>
      </c>
      <c r="F1172" s="2">
        <f ca="1">IFERROR(__xludf.DUMMYFUNCTION("""COMPUTED_VALUE"""),36779800)</f>
        <v>36779800</v>
      </c>
    </row>
    <row r="1173" spans="1:6">
      <c r="A1173" s="1">
        <f ca="1">IFERROR(__xludf.DUMMYFUNCTION("""COMPUTED_VALUE"""),43776.625)</f>
        <v>43776.625</v>
      </c>
      <c r="B1173" s="2">
        <f ca="1">IFERROR(__xludf.DUMMYFUNCTION("""COMPUTED_VALUE"""),7500)</f>
        <v>7500</v>
      </c>
      <c r="C1173" s="2">
        <f ca="1">IFERROR(__xludf.DUMMYFUNCTION("""COMPUTED_VALUE"""),7600)</f>
        <v>7600</v>
      </c>
      <c r="D1173" s="2">
        <f ca="1">IFERROR(__xludf.DUMMYFUNCTION("""COMPUTED_VALUE"""),7275)</f>
        <v>7275</v>
      </c>
      <c r="E1173" s="2">
        <f ca="1">IFERROR(__xludf.DUMMYFUNCTION("""COMPUTED_VALUE"""),7600)</f>
        <v>7600</v>
      </c>
      <c r="F1173" s="2">
        <f ca="1">IFERROR(__xludf.DUMMYFUNCTION("""COMPUTED_VALUE"""),23978200)</f>
        <v>23978200</v>
      </c>
    </row>
    <row r="1174" spans="1:6">
      <c r="A1174" s="1">
        <f ca="1">IFERROR(__xludf.DUMMYFUNCTION("""COMPUTED_VALUE"""),43777.625)</f>
        <v>43777.625</v>
      </c>
      <c r="B1174" s="2">
        <f ca="1">IFERROR(__xludf.DUMMYFUNCTION("""COMPUTED_VALUE"""),7650)</f>
        <v>7650</v>
      </c>
      <c r="C1174" s="2">
        <f ca="1">IFERROR(__xludf.DUMMYFUNCTION("""COMPUTED_VALUE"""),7700)</f>
        <v>7700</v>
      </c>
      <c r="D1174" s="2">
        <f ca="1">IFERROR(__xludf.DUMMYFUNCTION("""COMPUTED_VALUE"""),7500)</f>
        <v>7500</v>
      </c>
      <c r="E1174" s="2">
        <f ca="1">IFERROR(__xludf.DUMMYFUNCTION("""COMPUTED_VALUE"""),7675)</f>
        <v>7675</v>
      </c>
      <c r="F1174" s="2">
        <f ca="1">IFERROR(__xludf.DUMMYFUNCTION("""COMPUTED_VALUE"""),17187700)</f>
        <v>17187700</v>
      </c>
    </row>
    <row r="1175" spans="1:6">
      <c r="A1175" s="1">
        <f ca="1">IFERROR(__xludf.DUMMYFUNCTION("""COMPUTED_VALUE"""),43780.625)</f>
        <v>43780.625</v>
      </c>
      <c r="B1175" s="2">
        <f ca="1">IFERROR(__xludf.DUMMYFUNCTION("""COMPUTED_VALUE"""),7600)</f>
        <v>7600</v>
      </c>
      <c r="C1175" s="2">
        <f ca="1">IFERROR(__xludf.DUMMYFUNCTION("""COMPUTED_VALUE"""),7650)</f>
        <v>7650</v>
      </c>
      <c r="D1175" s="2">
        <f ca="1">IFERROR(__xludf.DUMMYFUNCTION("""COMPUTED_VALUE"""),7500)</f>
        <v>7500</v>
      </c>
      <c r="E1175" s="2">
        <f ca="1">IFERROR(__xludf.DUMMYFUNCTION("""COMPUTED_VALUE"""),7550)</f>
        <v>7550</v>
      </c>
      <c r="F1175" s="2">
        <f ca="1">IFERROR(__xludf.DUMMYFUNCTION("""COMPUTED_VALUE"""),14847900)</f>
        <v>14847900</v>
      </c>
    </row>
    <row r="1176" spans="1:6">
      <c r="A1176" s="1">
        <f ca="1">IFERROR(__xludf.DUMMYFUNCTION("""COMPUTED_VALUE"""),43781.625)</f>
        <v>43781.625</v>
      </c>
      <c r="B1176" s="2">
        <f ca="1">IFERROR(__xludf.DUMMYFUNCTION("""COMPUTED_VALUE"""),7500)</f>
        <v>7500</v>
      </c>
      <c r="C1176" s="2">
        <f ca="1">IFERROR(__xludf.DUMMYFUNCTION("""COMPUTED_VALUE"""),7600)</f>
        <v>7600</v>
      </c>
      <c r="D1176" s="2">
        <f ca="1">IFERROR(__xludf.DUMMYFUNCTION("""COMPUTED_VALUE"""),7450)</f>
        <v>7450</v>
      </c>
      <c r="E1176" s="2">
        <f ca="1">IFERROR(__xludf.DUMMYFUNCTION("""COMPUTED_VALUE"""),7600)</f>
        <v>7600</v>
      </c>
      <c r="F1176" s="2">
        <f ca="1">IFERROR(__xludf.DUMMYFUNCTION("""COMPUTED_VALUE"""),21638600)</f>
        <v>21638600</v>
      </c>
    </row>
    <row r="1177" spans="1:6">
      <c r="A1177" s="1">
        <f ca="1">IFERROR(__xludf.DUMMYFUNCTION("""COMPUTED_VALUE"""),43782.625)</f>
        <v>43782.625</v>
      </c>
      <c r="B1177" s="2">
        <f ca="1">IFERROR(__xludf.DUMMYFUNCTION("""COMPUTED_VALUE"""),7600)</f>
        <v>7600</v>
      </c>
      <c r="C1177" s="2">
        <f ca="1">IFERROR(__xludf.DUMMYFUNCTION("""COMPUTED_VALUE"""),7600)</f>
        <v>7600</v>
      </c>
      <c r="D1177" s="2">
        <f ca="1">IFERROR(__xludf.DUMMYFUNCTION("""COMPUTED_VALUE"""),7350)</f>
        <v>7350</v>
      </c>
      <c r="E1177" s="2">
        <f ca="1">IFERROR(__xludf.DUMMYFUNCTION("""COMPUTED_VALUE"""),7350)</f>
        <v>7350</v>
      </c>
      <c r="F1177" s="2">
        <f ca="1">IFERROR(__xludf.DUMMYFUNCTION("""COMPUTED_VALUE"""),23806500)</f>
        <v>23806500</v>
      </c>
    </row>
    <row r="1178" spans="1:6">
      <c r="A1178" s="1">
        <f ca="1">IFERROR(__xludf.DUMMYFUNCTION("""COMPUTED_VALUE"""),43783.625)</f>
        <v>43783.625</v>
      </c>
      <c r="B1178" s="2">
        <f ca="1">IFERROR(__xludf.DUMMYFUNCTION("""COMPUTED_VALUE"""),7375)</f>
        <v>7375</v>
      </c>
      <c r="C1178" s="2">
        <f ca="1">IFERROR(__xludf.DUMMYFUNCTION("""COMPUTED_VALUE"""),7425)</f>
        <v>7425</v>
      </c>
      <c r="D1178" s="2">
        <f ca="1">IFERROR(__xludf.DUMMYFUNCTION("""COMPUTED_VALUE"""),7175)</f>
        <v>7175</v>
      </c>
      <c r="E1178" s="2">
        <f ca="1">IFERROR(__xludf.DUMMYFUNCTION("""COMPUTED_VALUE"""),7300)</f>
        <v>7300</v>
      </c>
      <c r="F1178" s="2">
        <f ca="1">IFERROR(__xludf.DUMMYFUNCTION("""COMPUTED_VALUE"""),29587800)</f>
        <v>29587800</v>
      </c>
    </row>
    <row r="1179" spans="1:6">
      <c r="A1179" s="1">
        <f ca="1">IFERROR(__xludf.DUMMYFUNCTION("""COMPUTED_VALUE"""),43784.625)</f>
        <v>43784.625</v>
      </c>
      <c r="B1179" s="2">
        <f ca="1">IFERROR(__xludf.DUMMYFUNCTION("""COMPUTED_VALUE"""),7350)</f>
        <v>7350</v>
      </c>
      <c r="C1179" s="2">
        <f ca="1">IFERROR(__xludf.DUMMYFUNCTION("""COMPUTED_VALUE"""),7550)</f>
        <v>7550</v>
      </c>
      <c r="D1179" s="2">
        <f ca="1">IFERROR(__xludf.DUMMYFUNCTION("""COMPUTED_VALUE"""),7300)</f>
        <v>7300</v>
      </c>
      <c r="E1179" s="2">
        <f ca="1">IFERROR(__xludf.DUMMYFUNCTION("""COMPUTED_VALUE"""),7450)</f>
        <v>7450</v>
      </c>
      <c r="F1179" s="2">
        <f ca="1">IFERROR(__xludf.DUMMYFUNCTION("""COMPUTED_VALUE"""),17105700)</f>
        <v>17105700</v>
      </c>
    </row>
    <row r="1180" spans="1:6">
      <c r="A1180" s="1">
        <f ca="1">IFERROR(__xludf.DUMMYFUNCTION("""COMPUTED_VALUE"""),43787.625)</f>
        <v>43787.625</v>
      </c>
      <c r="B1180" s="2">
        <f ca="1">IFERROR(__xludf.DUMMYFUNCTION("""COMPUTED_VALUE"""),7475)</f>
        <v>7475</v>
      </c>
      <c r="C1180" s="2">
        <f ca="1">IFERROR(__xludf.DUMMYFUNCTION("""COMPUTED_VALUE"""),7525)</f>
        <v>7525</v>
      </c>
      <c r="D1180" s="2">
        <f ca="1">IFERROR(__xludf.DUMMYFUNCTION("""COMPUTED_VALUE"""),7350)</f>
        <v>7350</v>
      </c>
      <c r="E1180" s="2">
        <f ca="1">IFERROR(__xludf.DUMMYFUNCTION("""COMPUTED_VALUE"""),7425)</f>
        <v>7425</v>
      </c>
      <c r="F1180" s="2">
        <f ca="1">IFERROR(__xludf.DUMMYFUNCTION("""COMPUTED_VALUE"""),20819600)</f>
        <v>20819600</v>
      </c>
    </row>
    <row r="1181" spans="1:6">
      <c r="A1181" s="1">
        <f ca="1">IFERROR(__xludf.DUMMYFUNCTION("""COMPUTED_VALUE"""),43788.625)</f>
        <v>43788.625</v>
      </c>
      <c r="B1181" s="2">
        <f ca="1">IFERROR(__xludf.DUMMYFUNCTION("""COMPUTED_VALUE"""),7475)</f>
        <v>7475</v>
      </c>
      <c r="C1181" s="2">
        <f ca="1">IFERROR(__xludf.DUMMYFUNCTION("""COMPUTED_VALUE"""),7600)</f>
        <v>7600</v>
      </c>
      <c r="D1181" s="2">
        <f ca="1">IFERROR(__xludf.DUMMYFUNCTION("""COMPUTED_VALUE"""),7375)</f>
        <v>7375</v>
      </c>
      <c r="E1181" s="2">
        <f ca="1">IFERROR(__xludf.DUMMYFUNCTION("""COMPUTED_VALUE"""),7600)</f>
        <v>7600</v>
      </c>
      <c r="F1181" s="2">
        <f ca="1">IFERROR(__xludf.DUMMYFUNCTION("""COMPUTED_VALUE"""),21053100)</f>
        <v>21053100</v>
      </c>
    </row>
    <row r="1182" spans="1:6">
      <c r="A1182" s="1">
        <f ca="1">IFERROR(__xludf.DUMMYFUNCTION("""COMPUTED_VALUE"""),43789.625)</f>
        <v>43789.625</v>
      </c>
      <c r="B1182" s="2">
        <f ca="1">IFERROR(__xludf.DUMMYFUNCTION("""COMPUTED_VALUE"""),7600)</f>
        <v>7600</v>
      </c>
      <c r="C1182" s="2">
        <f ca="1">IFERROR(__xludf.DUMMYFUNCTION("""COMPUTED_VALUE"""),7675)</f>
        <v>7675</v>
      </c>
      <c r="D1182" s="2">
        <f ca="1">IFERROR(__xludf.DUMMYFUNCTION("""COMPUTED_VALUE"""),7500)</f>
        <v>7500</v>
      </c>
      <c r="E1182" s="2">
        <f ca="1">IFERROR(__xludf.DUMMYFUNCTION("""COMPUTED_VALUE"""),7650)</f>
        <v>7650</v>
      </c>
      <c r="F1182" s="2">
        <f ca="1">IFERROR(__xludf.DUMMYFUNCTION("""COMPUTED_VALUE"""),24155500)</f>
        <v>24155500</v>
      </c>
    </row>
    <row r="1183" spans="1:6">
      <c r="A1183" s="1">
        <f ca="1">IFERROR(__xludf.DUMMYFUNCTION("""COMPUTED_VALUE"""),43790.625)</f>
        <v>43790.625</v>
      </c>
      <c r="B1183" s="2">
        <f ca="1">IFERROR(__xludf.DUMMYFUNCTION("""COMPUTED_VALUE"""),7625)</f>
        <v>7625</v>
      </c>
      <c r="C1183" s="2">
        <f ca="1">IFERROR(__xludf.DUMMYFUNCTION("""COMPUTED_VALUE"""),7725)</f>
        <v>7725</v>
      </c>
      <c r="D1183" s="2">
        <f ca="1">IFERROR(__xludf.DUMMYFUNCTION("""COMPUTED_VALUE"""),7525)</f>
        <v>7525</v>
      </c>
      <c r="E1183" s="2">
        <f ca="1">IFERROR(__xludf.DUMMYFUNCTION("""COMPUTED_VALUE"""),7700)</f>
        <v>7700</v>
      </c>
      <c r="F1183" s="2">
        <f ca="1">IFERROR(__xludf.DUMMYFUNCTION("""COMPUTED_VALUE"""),21039900)</f>
        <v>21039900</v>
      </c>
    </row>
    <row r="1184" spans="1:6">
      <c r="A1184" s="1">
        <f ca="1">IFERROR(__xludf.DUMMYFUNCTION("""COMPUTED_VALUE"""),43791.625)</f>
        <v>43791.625</v>
      </c>
      <c r="B1184" s="2">
        <f ca="1">IFERROR(__xludf.DUMMYFUNCTION("""COMPUTED_VALUE"""),7700)</f>
        <v>7700</v>
      </c>
      <c r="C1184" s="2">
        <f ca="1">IFERROR(__xludf.DUMMYFUNCTION("""COMPUTED_VALUE"""),7700)</f>
        <v>7700</v>
      </c>
      <c r="D1184" s="2">
        <f ca="1">IFERROR(__xludf.DUMMYFUNCTION("""COMPUTED_VALUE"""),7625)</f>
        <v>7625</v>
      </c>
      <c r="E1184" s="2">
        <f ca="1">IFERROR(__xludf.DUMMYFUNCTION("""COMPUTED_VALUE"""),7650)</f>
        <v>7650</v>
      </c>
      <c r="F1184" s="2">
        <f ca="1">IFERROR(__xludf.DUMMYFUNCTION("""COMPUTED_VALUE"""),10623500)</f>
        <v>10623500</v>
      </c>
    </row>
    <row r="1185" spans="1:6">
      <c r="A1185" s="1">
        <f ca="1">IFERROR(__xludf.DUMMYFUNCTION("""COMPUTED_VALUE"""),43794.625)</f>
        <v>43794.625</v>
      </c>
      <c r="B1185" s="2">
        <f ca="1">IFERROR(__xludf.DUMMYFUNCTION("""COMPUTED_VALUE"""),7625)</f>
        <v>7625</v>
      </c>
      <c r="C1185" s="2">
        <f ca="1">IFERROR(__xludf.DUMMYFUNCTION("""COMPUTED_VALUE"""),7650)</f>
        <v>7650</v>
      </c>
      <c r="D1185" s="2">
        <f ca="1">IFERROR(__xludf.DUMMYFUNCTION("""COMPUTED_VALUE"""),7475)</f>
        <v>7475</v>
      </c>
      <c r="E1185" s="2">
        <f ca="1">IFERROR(__xludf.DUMMYFUNCTION("""COMPUTED_VALUE"""),7500)</f>
        <v>7500</v>
      </c>
      <c r="F1185" s="2">
        <f ca="1">IFERROR(__xludf.DUMMYFUNCTION("""COMPUTED_VALUE"""),12589300)</f>
        <v>12589300</v>
      </c>
    </row>
    <row r="1186" spans="1:6">
      <c r="A1186" s="1">
        <f ca="1">IFERROR(__xludf.DUMMYFUNCTION("""COMPUTED_VALUE"""),43795.625)</f>
        <v>43795.625</v>
      </c>
      <c r="B1186" s="2">
        <f ca="1">IFERROR(__xludf.DUMMYFUNCTION("""COMPUTED_VALUE"""),7525)</f>
        <v>7525</v>
      </c>
      <c r="C1186" s="2">
        <f ca="1">IFERROR(__xludf.DUMMYFUNCTION("""COMPUTED_VALUE"""),7575)</f>
        <v>7575</v>
      </c>
      <c r="D1186" s="2">
        <f ca="1">IFERROR(__xludf.DUMMYFUNCTION("""COMPUTED_VALUE"""),7425)</f>
        <v>7425</v>
      </c>
      <c r="E1186" s="2">
        <f ca="1">IFERROR(__xludf.DUMMYFUNCTION("""COMPUTED_VALUE"""),7500)</f>
        <v>7500</v>
      </c>
      <c r="F1186" s="2">
        <f ca="1">IFERROR(__xludf.DUMMYFUNCTION("""COMPUTED_VALUE"""),36921400)</f>
        <v>36921400</v>
      </c>
    </row>
    <row r="1187" spans="1:6">
      <c r="A1187" s="1">
        <f ca="1">IFERROR(__xludf.DUMMYFUNCTION("""COMPUTED_VALUE"""),43796.625)</f>
        <v>43796.625</v>
      </c>
      <c r="B1187" s="2">
        <f ca="1">IFERROR(__xludf.DUMMYFUNCTION("""COMPUTED_VALUE"""),7450)</f>
        <v>7450</v>
      </c>
      <c r="C1187" s="2">
        <f ca="1">IFERROR(__xludf.DUMMYFUNCTION("""COMPUTED_VALUE"""),7575)</f>
        <v>7575</v>
      </c>
      <c r="D1187" s="2">
        <f ca="1">IFERROR(__xludf.DUMMYFUNCTION("""COMPUTED_VALUE"""),7425)</f>
        <v>7425</v>
      </c>
      <c r="E1187" s="2">
        <f ca="1">IFERROR(__xludf.DUMMYFUNCTION("""COMPUTED_VALUE"""),7475)</f>
        <v>7475</v>
      </c>
      <c r="F1187" s="2">
        <f ca="1">IFERROR(__xludf.DUMMYFUNCTION("""COMPUTED_VALUE"""),12384900)</f>
        <v>12384900</v>
      </c>
    </row>
    <row r="1188" spans="1:6">
      <c r="A1188" s="1">
        <f ca="1">IFERROR(__xludf.DUMMYFUNCTION("""COMPUTED_VALUE"""),43797.625)</f>
        <v>43797.625</v>
      </c>
      <c r="B1188" s="2">
        <f ca="1">IFERROR(__xludf.DUMMYFUNCTION("""COMPUTED_VALUE"""),7475)</f>
        <v>7475</v>
      </c>
      <c r="C1188" s="2">
        <f ca="1">IFERROR(__xludf.DUMMYFUNCTION("""COMPUTED_VALUE"""),7575)</f>
        <v>7575</v>
      </c>
      <c r="D1188" s="2">
        <f ca="1">IFERROR(__xludf.DUMMYFUNCTION("""COMPUTED_VALUE"""),7350)</f>
        <v>7350</v>
      </c>
      <c r="E1188" s="2">
        <f ca="1">IFERROR(__xludf.DUMMYFUNCTION("""COMPUTED_VALUE"""),7400)</f>
        <v>7400</v>
      </c>
      <c r="F1188" s="2">
        <f ca="1">IFERROR(__xludf.DUMMYFUNCTION("""COMPUTED_VALUE"""),10990500)</f>
        <v>10990500</v>
      </c>
    </row>
    <row r="1189" spans="1:6">
      <c r="A1189" s="1">
        <f ca="1">IFERROR(__xludf.DUMMYFUNCTION("""COMPUTED_VALUE"""),43798.625)</f>
        <v>43798.625</v>
      </c>
      <c r="B1189" s="2">
        <f ca="1">IFERROR(__xludf.DUMMYFUNCTION("""COMPUTED_VALUE"""),7400)</f>
        <v>7400</v>
      </c>
      <c r="C1189" s="2">
        <f ca="1">IFERROR(__xludf.DUMMYFUNCTION("""COMPUTED_VALUE"""),7525)</f>
        <v>7525</v>
      </c>
      <c r="D1189" s="2">
        <f ca="1">IFERROR(__xludf.DUMMYFUNCTION("""COMPUTED_VALUE"""),7325)</f>
        <v>7325</v>
      </c>
      <c r="E1189" s="2">
        <f ca="1">IFERROR(__xludf.DUMMYFUNCTION("""COMPUTED_VALUE"""),7500)</f>
        <v>7500</v>
      </c>
      <c r="F1189" s="2">
        <f ca="1">IFERROR(__xludf.DUMMYFUNCTION("""COMPUTED_VALUE"""),10171700)</f>
        <v>10171700</v>
      </c>
    </row>
    <row r="1190" spans="1:6">
      <c r="A1190" s="1">
        <f ca="1">IFERROR(__xludf.DUMMYFUNCTION("""COMPUTED_VALUE"""),43801.625)</f>
        <v>43801.625</v>
      </c>
      <c r="B1190" s="2">
        <f ca="1">IFERROR(__xludf.DUMMYFUNCTION("""COMPUTED_VALUE"""),7450)</f>
        <v>7450</v>
      </c>
      <c r="C1190" s="2">
        <f ca="1">IFERROR(__xludf.DUMMYFUNCTION("""COMPUTED_VALUE"""),7700)</f>
        <v>7700</v>
      </c>
      <c r="D1190" s="2">
        <f ca="1">IFERROR(__xludf.DUMMYFUNCTION("""COMPUTED_VALUE"""),7450)</f>
        <v>7450</v>
      </c>
      <c r="E1190" s="2">
        <f ca="1">IFERROR(__xludf.DUMMYFUNCTION("""COMPUTED_VALUE"""),7550)</f>
        <v>7550</v>
      </c>
      <c r="F1190" s="2">
        <f ca="1">IFERROR(__xludf.DUMMYFUNCTION("""COMPUTED_VALUE"""),32330100)</f>
        <v>32330100</v>
      </c>
    </row>
    <row r="1191" spans="1:6">
      <c r="A1191" s="1">
        <f ca="1">IFERROR(__xludf.DUMMYFUNCTION("""COMPUTED_VALUE"""),43802.625)</f>
        <v>43802.625</v>
      </c>
      <c r="B1191" s="2">
        <f ca="1">IFERROR(__xludf.DUMMYFUNCTION("""COMPUTED_VALUE"""),7525)</f>
        <v>7525</v>
      </c>
      <c r="C1191" s="2">
        <f ca="1">IFERROR(__xludf.DUMMYFUNCTION("""COMPUTED_VALUE"""),7650)</f>
        <v>7650</v>
      </c>
      <c r="D1191" s="2">
        <f ca="1">IFERROR(__xludf.DUMMYFUNCTION("""COMPUTED_VALUE"""),7475)</f>
        <v>7475</v>
      </c>
      <c r="E1191" s="2">
        <f ca="1">IFERROR(__xludf.DUMMYFUNCTION("""COMPUTED_VALUE"""),7550)</f>
        <v>7550</v>
      </c>
      <c r="F1191" s="2">
        <f ca="1">IFERROR(__xludf.DUMMYFUNCTION("""COMPUTED_VALUE"""),20822500)</f>
        <v>20822500</v>
      </c>
    </row>
    <row r="1192" spans="1:6">
      <c r="A1192" s="1">
        <f ca="1">IFERROR(__xludf.DUMMYFUNCTION("""COMPUTED_VALUE"""),43803.625)</f>
        <v>43803.625</v>
      </c>
      <c r="B1192" s="2">
        <f ca="1">IFERROR(__xludf.DUMMYFUNCTION("""COMPUTED_VALUE"""),7500)</f>
        <v>7500</v>
      </c>
      <c r="C1192" s="2">
        <f ca="1">IFERROR(__xludf.DUMMYFUNCTION("""COMPUTED_VALUE"""),7550)</f>
        <v>7550</v>
      </c>
      <c r="D1192" s="2">
        <f ca="1">IFERROR(__xludf.DUMMYFUNCTION("""COMPUTED_VALUE"""),7425)</f>
        <v>7425</v>
      </c>
      <c r="E1192" s="2">
        <f ca="1">IFERROR(__xludf.DUMMYFUNCTION("""COMPUTED_VALUE"""),7425)</f>
        <v>7425</v>
      </c>
      <c r="F1192" s="2">
        <f ca="1">IFERROR(__xludf.DUMMYFUNCTION("""COMPUTED_VALUE"""),21098400)</f>
        <v>21098400</v>
      </c>
    </row>
    <row r="1193" spans="1:6">
      <c r="A1193" s="1">
        <f ca="1">IFERROR(__xludf.DUMMYFUNCTION("""COMPUTED_VALUE"""),43804.625)</f>
        <v>43804.625</v>
      </c>
      <c r="B1193" s="2">
        <f ca="1">IFERROR(__xludf.DUMMYFUNCTION("""COMPUTED_VALUE"""),7450)</f>
        <v>7450</v>
      </c>
      <c r="C1193" s="2">
        <f ca="1">IFERROR(__xludf.DUMMYFUNCTION("""COMPUTED_VALUE"""),7525)</f>
        <v>7525</v>
      </c>
      <c r="D1193" s="2">
        <f ca="1">IFERROR(__xludf.DUMMYFUNCTION("""COMPUTED_VALUE"""),7425)</f>
        <v>7425</v>
      </c>
      <c r="E1193" s="2">
        <f ca="1">IFERROR(__xludf.DUMMYFUNCTION("""COMPUTED_VALUE"""),7450)</f>
        <v>7450</v>
      </c>
      <c r="F1193" s="2">
        <f ca="1">IFERROR(__xludf.DUMMYFUNCTION("""COMPUTED_VALUE"""),26992900)</f>
        <v>26992900</v>
      </c>
    </row>
    <row r="1194" spans="1:6">
      <c r="A1194" s="1">
        <f ca="1">IFERROR(__xludf.DUMMYFUNCTION("""COMPUTED_VALUE"""),43805.625)</f>
        <v>43805.625</v>
      </c>
      <c r="B1194" s="2">
        <f ca="1">IFERROR(__xludf.DUMMYFUNCTION("""COMPUTED_VALUE"""),7500)</f>
        <v>7500</v>
      </c>
      <c r="C1194" s="2">
        <f ca="1">IFERROR(__xludf.DUMMYFUNCTION("""COMPUTED_VALUE"""),7625)</f>
        <v>7625</v>
      </c>
      <c r="D1194" s="2">
        <f ca="1">IFERROR(__xludf.DUMMYFUNCTION("""COMPUTED_VALUE"""),7475)</f>
        <v>7475</v>
      </c>
      <c r="E1194" s="2">
        <f ca="1">IFERROR(__xludf.DUMMYFUNCTION("""COMPUTED_VALUE"""),7575)</f>
        <v>7575</v>
      </c>
      <c r="F1194" s="2">
        <f ca="1">IFERROR(__xludf.DUMMYFUNCTION("""COMPUTED_VALUE"""),14772400)</f>
        <v>14772400</v>
      </c>
    </row>
    <row r="1195" spans="1:6">
      <c r="A1195" s="1">
        <f ca="1">IFERROR(__xludf.DUMMYFUNCTION("""COMPUTED_VALUE"""),43808.625)</f>
        <v>43808.625</v>
      </c>
      <c r="B1195" s="2">
        <f ca="1">IFERROR(__xludf.DUMMYFUNCTION("""COMPUTED_VALUE"""),7625)</f>
        <v>7625</v>
      </c>
      <c r="C1195" s="2">
        <f ca="1">IFERROR(__xludf.DUMMYFUNCTION("""COMPUTED_VALUE"""),7650)</f>
        <v>7650</v>
      </c>
      <c r="D1195" s="2">
        <f ca="1">IFERROR(__xludf.DUMMYFUNCTION("""COMPUTED_VALUE"""),7525)</f>
        <v>7525</v>
      </c>
      <c r="E1195" s="2">
        <f ca="1">IFERROR(__xludf.DUMMYFUNCTION("""COMPUTED_VALUE"""),7575)</f>
        <v>7575</v>
      </c>
      <c r="F1195" s="2">
        <f ca="1">IFERROR(__xludf.DUMMYFUNCTION("""COMPUTED_VALUE"""),18485300)</f>
        <v>18485300</v>
      </c>
    </row>
    <row r="1196" spans="1:6">
      <c r="A1196" s="1">
        <f ca="1">IFERROR(__xludf.DUMMYFUNCTION("""COMPUTED_VALUE"""),43809.625)</f>
        <v>43809.625</v>
      </c>
      <c r="B1196" s="2">
        <f ca="1">IFERROR(__xludf.DUMMYFUNCTION("""COMPUTED_VALUE"""),7575)</f>
        <v>7575</v>
      </c>
      <c r="C1196" s="2">
        <f ca="1">IFERROR(__xludf.DUMMYFUNCTION("""COMPUTED_VALUE"""),7650)</f>
        <v>7650</v>
      </c>
      <c r="D1196" s="2">
        <f ca="1">IFERROR(__xludf.DUMMYFUNCTION("""COMPUTED_VALUE"""),7525)</f>
        <v>7525</v>
      </c>
      <c r="E1196" s="2">
        <f ca="1">IFERROR(__xludf.DUMMYFUNCTION("""COMPUTED_VALUE"""),7600)</f>
        <v>7600</v>
      </c>
      <c r="F1196" s="2">
        <f ca="1">IFERROR(__xludf.DUMMYFUNCTION("""COMPUTED_VALUE"""),19190600)</f>
        <v>19190600</v>
      </c>
    </row>
    <row r="1197" spans="1:6">
      <c r="A1197" s="1">
        <f ca="1">IFERROR(__xludf.DUMMYFUNCTION("""COMPUTED_VALUE"""),43810.625)</f>
        <v>43810.625</v>
      </c>
      <c r="B1197" s="2">
        <f ca="1">IFERROR(__xludf.DUMMYFUNCTION("""COMPUTED_VALUE"""),7650)</f>
        <v>7650</v>
      </c>
      <c r="C1197" s="2">
        <f ca="1">IFERROR(__xludf.DUMMYFUNCTION("""COMPUTED_VALUE"""),7650)</f>
        <v>7650</v>
      </c>
      <c r="D1197" s="2">
        <f ca="1">IFERROR(__xludf.DUMMYFUNCTION("""COMPUTED_VALUE"""),7525)</f>
        <v>7525</v>
      </c>
      <c r="E1197" s="2">
        <f ca="1">IFERROR(__xludf.DUMMYFUNCTION("""COMPUTED_VALUE"""),7525)</f>
        <v>7525</v>
      </c>
      <c r="F1197" s="2">
        <f ca="1">IFERROR(__xludf.DUMMYFUNCTION("""COMPUTED_VALUE"""),15785900)</f>
        <v>15785900</v>
      </c>
    </row>
    <row r="1198" spans="1:6">
      <c r="A1198" s="1">
        <f ca="1">IFERROR(__xludf.DUMMYFUNCTION("""COMPUTED_VALUE"""),43811.625)</f>
        <v>43811.625</v>
      </c>
      <c r="B1198" s="2">
        <f ca="1">IFERROR(__xludf.DUMMYFUNCTION("""COMPUTED_VALUE"""),7550)</f>
        <v>7550</v>
      </c>
      <c r="C1198" s="2">
        <f ca="1">IFERROR(__xludf.DUMMYFUNCTION("""COMPUTED_VALUE"""),7675)</f>
        <v>7675</v>
      </c>
      <c r="D1198" s="2">
        <f ca="1">IFERROR(__xludf.DUMMYFUNCTION("""COMPUTED_VALUE"""),7525)</f>
        <v>7525</v>
      </c>
      <c r="E1198" s="2">
        <f ca="1">IFERROR(__xludf.DUMMYFUNCTION("""COMPUTED_VALUE"""),7525)</f>
        <v>7525</v>
      </c>
      <c r="F1198" s="2">
        <f ca="1">IFERROR(__xludf.DUMMYFUNCTION("""COMPUTED_VALUE"""),25435000)</f>
        <v>25435000</v>
      </c>
    </row>
    <row r="1199" spans="1:6">
      <c r="A1199" s="1">
        <f ca="1">IFERROR(__xludf.DUMMYFUNCTION("""COMPUTED_VALUE"""),43812.625)</f>
        <v>43812.625</v>
      </c>
      <c r="B1199" s="2">
        <f ca="1">IFERROR(__xludf.DUMMYFUNCTION("""COMPUTED_VALUE"""),7625)</f>
        <v>7625</v>
      </c>
      <c r="C1199" s="2">
        <f ca="1">IFERROR(__xludf.DUMMYFUNCTION("""COMPUTED_VALUE"""),7700)</f>
        <v>7700</v>
      </c>
      <c r="D1199" s="2">
        <f ca="1">IFERROR(__xludf.DUMMYFUNCTION("""COMPUTED_VALUE"""),7575)</f>
        <v>7575</v>
      </c>
      <c r="E1199" s="2">
        <f ca="1">IFERROR(__xludf.DUMMYFUNCTION("""COMPUTED_VALUE"""),7650)</f>
        <v>7650</v>
      </c>
      <c r="F1199" s="2">
        <f ca="1">IFERROR(__xludf.DUMMYFUNCTION("""COMPUTED_VALUE"""),24452000)</f>
        <v>24452000</v>
      </c>
    </row>
    <row r="1200" spans="1:6">
      <c r="A1200" s="1">
        <f ca="1">IFERROR(__xludf.DUMMYFUNCTION("""COMPUTED_VALUE"""),43815.625)</f>
        <v>43815.625</v>
      </c>
      <c r="B1200" s="2">
        <f ca="1">IFERROR(__xludf.DUMMYFUNCTION("""COMPUTED_VALUE"""),7650)</f>
        <v>7650</v>
      </c>
      <c r="C1200" s="2">
        <f ca="1">IFERROR(__xludf.DUMMYFUNCTION("""COMPUTED_VALUE"""),7750)</f>
        <v>7750</v>
      </c>
      <c r="D1200" s="2">
        <f ca="1">IFERROR(__xludf.DUMMYFUNCTION("""COMPUTED_VALUE"""),7600)</f>
        <v>7600</v>
      </c>
      <c r="E1200" s="2">
        <f ca="1">IFERROR(__xludf.DUMMYFUNCTION("""COMPUTED_VALUE"""),7700)</f>
        <v>7700</v>
      </c>
      <c r="F1200" s="2">
        <f ca="1">IFERROR(__xludf.DUMMYFUNCTION("""COMPUTED_VALUE"""),29977800)</f>
        <v>29977800</v>
      </c>
    </row>
    <row r="1201" spans="1:6">
      <c r="A1201" s="1">
        <f ca="1">IFERROR(__xludf.DUMMYFUNCTION("""COMPUTED_VALUE"""),43816.625)</f>
        <v>43816.625</v>
      </c>
      <c r="B1201" s="2">
        <f ca="1">IFERROR(__xludf.DUMMYFUNCTION("""COMPUTED_VALUE"""),7700)</f>
        <v>7700</v>
      </c>
      <c r="C1201" s="2">
        <f ca="1">IFERROR(__xludf.DUMMYFUNCTION("""COMPUTED_VALUE"""),7725)</f>
        <v>7725</v>
      </c>
      <c r="D1201" s="2">
        <f ca="1">IFERROR(__xludf.DUMMYFUNCTION("""COMPUTED_VALUE"""),7650)</f>
        <v>7650</v>
      </c>
      <c r="E1201" s="2">
        <f ca="1">IFERROR(__xludf.DUMMYFUNCTION("""COMPUTED_VALUE"""),7700)</f>
        <v>7700</v>
      </c>
      <c r="F1201" s="2">
        <f ca="1">IFERROR(__xludf.DUMMYFUNCTION("""COMPUTED_VALUE"""),22594100)</f>
        <v>22594100</v>
      </c>
    </row>
    <row r="1202" spans="1:6">
      <c r="A1202" s="1">
        <f ca="1">IFERROR(__xludf.DUMMYFUNCTION("""COMPUTED_VALUE"""),43817.625)</f>
        <v>43817.625</v>
      </c>
      <c r="B1202" s="2">
        <f ca="1">IFERROR(__xludf.DUMMYFUNCTION("""COMPUTED_VALUE"""),7700)</f>
        <v>7700</v>
      </c>
      <c r="C1202" s="2">
        <f ca="1">IFERROR(__xludf.DUMMYFUNCTION("""COMPUTED_VALUE"""),7850)</f>
        <v>7850</v>
      </c>
      <c r="D1202" s="2">
        <f ca="1">IFERROR(__xludf.DUMMYFUNCTION("""COMPUTED_VALUE"""),7650)</f>
        <v>7650</v>
      </c>
      <c r="E1202" s="2">
        <f ca="1">IFERROR(__xludf.DUMMYFUNCTION("""COMPUTED_VALUE"""),7825)</f>
        <v>7825</v>
      </c>
      <c r="F1202" s="2">
        <f ca="1">IFERROR(__xludf.DUMMYFUNCTION("""COMPUTED_VALUE"""),42197000)</f>
        <v>42197000</v>
      </c>
    </row>
    <row r="1203" spans="1:6">
      <c r="A1203" s="1">
        <f ca="1">IFERROR(__xludf.DUMMYFUNCTION("""COMPUTED_VALUE"""),43818.625)</f>
        <v>43818.625</v>
      </c>
      <c r="B1203" s="2">
        <f ca="1">IFERROR(__xludf.DUMMYFUNCTION("""COMPUTED_VALUE"""),7825)</f>
        <v>7825</v>
      </c>
      <c r="C1203" s="2">
        <f ca="1">IFERROR(__xludf.DUMMYFUNCTION("""COMPUTED_VALUE"""),7850)</f>
        <v>7850</v>
      </c>
      <c r="D1203" s="2">
        <f ca="1">IFERROR(__xludf.DUMMYFUNCTION("""COMPUTED_VALUE"""),7750)</f>
        <v>7750</v>
      </c>
      <c r="E1203" s="2">
        <f ca="1">IFERROR(__xludf.DUMMYFUNCTION("""COMPUTED_VALUE"""),7825)</f>
        <v>7825</v>
      </c>
      <c r="F1203" s="2">
        <f ca="1">IFERROR(__xludf.DUMMYFUNCTION("""COMPUTED_VALUE"""),19300400)</f>
        <v>19300400</v>
      </c>
    </row>
    <row r="1204" spans="1:6">
      <c r="A1204" s="1">
        <f ca="1">IFERROR(__xludf.DUMMYFUNCTION("""COMPUTED_VALUE"""),43819.625)</f>
        <v>43819.625</v>
      </c>
      <c r="B1204" s="2">
        <f ca="1">IFERROR(__xludf.DUMMYFUNCTION("""COMPUTED_VALUE"""),7825)</f>
        <v>7825</v>
      </c>
      <c r="C1204" s="2">
        <f ca="1">IFERROR(__xludf.DUMMYFUNCTION("""COMPUTED_VALUE"""),7825)</f>
        <v>7825</v>
      </c>
      <c r="D1204" s="2">
        <f ca="1">IFERROR(__xludf.DUMMYFUNCTION("""COMPUTED_VALUE"""),7750)</f>
        <v>7750</v>
      </c>
      <c r="E1204" s="2">
        <f ca="1">IFERROR(__xludf.DUMMYFUNCTION("""COMPUTED_VALUE"""),7800)</f>
        <v>7800</v>
      </c>
      <c r="F1204" s="2">
        <f ca="1">IFERROR(__xludf.DUMMYFUNCTION("""COMPUTED_VALUE"""),18861800)</f>
        <v>18861800</v>
      </c>
    </row>
    <row r="1205" spans="1:6">
      <c r="A1205" s="1">
        <f ca="1">IFERROR(__xludf.DUMMYFUNCTION("""COMPUTED_VALUE"""),43822.625)</f>
        <v>43822.625</v>
      </c>
      <c r="B1205" s="2">
        <f ca="1">IFERROR(__xludf.DUMMYFUNCTION("""COMPUTED_VALUE"""),7850)</f>
        <v>7850</v>
      </c>
      <c r="C1205" s="2">
        <f ca="1">IFERROR(__xludf.DUMMYFUNCTION("""COMPUTED_VALUE"""),7925)</f>
        <v>7925</v>
      </c>
      <c r="D1205" s="2">
        <f ca="1">IFERROR(__xludf.DUMMYFUNCTION("""COMPUTED_VALUE"""),7800)</f>
        <v>7800</v>
      </c>
      <c r="E1205" s="2">
        <f ca="1">IFERROR(__xludf.DUMMYFUNCTION("""COMPUTED_VALUE"""),7925)</f>
        <v>7925</v>
      </c>
      <c r="F1205" s="2">
        <f ca="1">IFERROR(__xludf.DUMMYFUNCTION("""COMPUTED_VALUE"""),22917200)</f>
        <v>22917200</v>
      </c>
    </row>
    <row r="1206" spans="1:6">
      <c r="A1206" s="1">
        <f ca="1">IFERROR(__xludf.DUMMYFUNCTION("""COMPUTED_VALUE"""),43825.625)</f>
        <v>43825.625</v>
      </c>
      <c r="B1206" s="2">
        <f ca="1">IFERROR(__xludf.DUMMYFUNCTION("""COMPUTED_VALUE"""),7950)</f>
        <v>7950</v>
      </c>
      <c r="C1206" s="2">
        <f ca="1">IFERROR(__xludf.DUMMYFUNCTION("""COMPUTED_VALUE"""),8000)</f>
        <v>8000</v>
      </c>
      <c r="D1206" s="2">
        <f ca="1">IFERROR(__xludf.DUMMYFUNCTION("""COMPUTED_VALUE"""),7925)</f>
        <v>7925</v>
      </c>
      <c r="E1206" s="2">
        <f ca="1">IFERROR(__xludf.DUMMYFUNCTION("""COMPUTED_VALUE"""),7950)</f>
        <v>7950</v>
      </c>
      <c r="F1206" s="2">
        <f ca="1">IFERROR(__xludf.DUMMYFUNCTION("""COMPUTED_VALUE"""),17654600)</f>
        <v>17654600</v>
      </c>
    </row>
    <row r="1207" spans="1:6">
      <c r="A1207" s="1">
        <f ca="1">IFERROR(__xludf.DUMMYFUNCTION("""COMPUTED_VALUE"""),43826.625)</f>
        <v>43826.625</v>
      </c>
      <c r="B1207" s="2">
        <f ca="1">IFERROR(__xludf.DUMMYFUNCTION("""COMPUTED_VALUE"""),7950)</f>
        <v>7950</v>
      </c>
      <c r="C1207" s="2">
        <f ca="1">IFERROR(__xludf.DUMMYFUNCTION("""COMPUTED_VALUE"""),7975)</f>
        <v>7975</v>
      </c>
      <c r="D1207" s="2">
        <f ca="1">IFERROR(__xludf.DUMMYFUNCTION("""COMPUTED_VALUE"""),7850)</f>
        <v>7850</v>
      </c>
      <c r="E1207" s="2">
        <f ca="1">IFERROR(__xludf.DUMMYFUNCTION("""COMPUTED_VALUE"""),7925)</f>
        <v>7925</v>
      </c>
      <c r="F1207" s="2">
        <f ca="1">IFERROR(__xludf.DUMMYFUNCTION("""COMPUTED_VALUE"""),9685700)</f>
        <v>9685700</v>
      </c>
    </row>
    <row r="1208" spans="1:6">
      <c r="A1208" s="1">
        <f ca="1">IFERROR(__xludf.DUMMYFUNCTION("""COMPUTED_VALUE"""),43829.625)</f>
        <v>43829.625</v>
      </c>
      <c r="B1208" s="2">
        <f ca="1">IFERROR(__xludf.DUMMYFUNCTION("""COMPUTED_VALUE"""),7950)</f>
        <v>7950</v>
      </c>
      <c r="C1208" s="2">
        <f ca="1">IFERROR(__xludf.DUMMYFUNCTION("""COMPUTED_VALUE"""),7975)</f>
        <v>7975</v>
      </c>
      <c r="D1208" s="2">
        <f ca="1">IFERROR(__xludf.DUMMYFUNCTION("""COMPUTED_VALUE"""),7800)</f>
        <v>7800</v>
      </c>
      <c r="E1208" s="2">
        <f ca="1">IFERROR(__xludf.DUMMYFUNCTION("""COMPUTED_VALUE"""),7850)</f>
        <v>7850</v>
      </c>
      <c r="F1208" s="2">
        <f ca="1">IFERROR(__xludf.DUMMYFUNCTION("""COMPUTED_VALUE"""),17802300)</f>
        <v>17802300</v>
      </c>
    </row>
    <row r="1209" spans="1:6">
      <c r="A1209" s="1">
        <f ca="1">IFERROR(__xludf.DUMMYFUNCTION("""COMPUTED_VALUE"""),43832.625)</f>
        <v>43832.625</v>
      </c>
      <c r="B1209" s="2">
        <f ca="1">IFERROR(__xludf.DUMMYFUNCTION("""COMPUTED_VALUE"""),7875)</f>
        <v>7875</v>
      </c>
      <c r="C1209" s="2">
        <f ca="1">IFERROR(__xludf.DUMMYFUNCTION("""COMPUTED_VALUE"""),7875)</f>
        <v>7875</v>
      </c>
      <c r="D1209" s="2">
        <f ca="1">IFERROR(__xludf.DUMMYFUNCTION("""COMPUTED_VALUE"""),7775)</f>
        <v>7775</v>
      </c>
      <c r="E1209" s="2">
        <f ca="1">IFERROR(__xludf.DUMMYFUNCTION("""COMPUTED_VALUE"""),7775)</f>
        <v>7775</v>
      </c>
      <c r="F1209" s="2">
        <f ca="1">IFERROR(__xludf.DUMMYFUNCTION("""COMPUTED_VALUE"""),9301300)</f>
        <v>9301300</v>
      </c>
    </row>
    <row r="1210" spans="1:6">
      <c r="A1210" s="1">
        <f ca="1">IFERROR(__xludf.DUMMYFUNCTION("""COMPUTED_VALUE"""),43833.625)</f>
        <v>43833.625</v>
      </c>
      <c r="B1210" s="2">
        <f ca="1">IFERROR(__xludf.DUMMYFUNCTION("""COMPUTED_VALUE"""),7800)</f>
        <v>7800</v>
      </c>
      <c r="C1210" s="2">
        <f ca="1">IFERROR(__xludf.DUMMYFUNCTION("""COMPUTED_VALUE"""),7875)</f>
        <v>7875</v>
      </c>
      <c r="D1210" s="2">
        <f ca="1">IFERROR(__xludf.DUMMYFUNCTION("""COMPUTED_VALUE"""),7650)</f>
        <v>7650</v>
      </c>
      <c r="E1210" s="2">
        <f ca="1">IFERROR(__xludf.DUMMYFUNCTION("""COMPUTED_VALUE"""),7800)</f>
        <v>7800</v>
      </c>
      <c r="F1210" s="2">
        <f ca="1">IFERROR(__xludf.DUMMYFUNCTION("""COMPUTED_VALUE"""),16125700)</f>
        <v>16125700</v>
      </c>
    </row>
    <row r="1211" spans="1:6">
      <c r="A1211" s="1">
        <f ca="1">IFERROR(__xludf.DUMMYFUNCTION("""COMPUTED_VALUE"""),43836.625)</f>
        <v>43836.625</v>
      </c>
      <c r="B1211" s="2">
        <f ca="1">IFERROR(__xludf.DUMMYFUNCTION("""COMPUTED_VALUE"""),7750)</f>
        <v>7750</v>
      </c>
      <c r="C1211" s="2">
        <f ca="1">IFERROR(__xludf.DUMMYFUNCTION("""COMPUTED_VALUE"""),7750)</f>
        <v>7750</v>
      </c>
      <c r="D1211" s="2">
        <f ca="1">IFERROR(__xludf.DUMMYFUNCTION("""COMPUTED_VALUE"""),7600)</f>
        <v>7600</v>
      </c>
      <c r="E1211" s="2">
        <f ca="1">IFERROR(__xludf.DUMMYFUNCTION("""COMPUTED_VALUE"""),7625)</f>
        <v>7625</v>
      </c>
      <c r="F1211" s="2">
        <f ca="1">IFERROR(__xludf.DUMMYFUNCTION("""COMPUTED_VALUE"""),13124600)</f>
        <v>13124600</v>
      </c>
    </row>
    <row r="1212" spans="1:6">
      <c r="A1212" s="1">
        <f ca="1">IFERROR(__xludf.DUMMYFUNCTION("""COMPUTED_VALUE"""),43837.625)</f>
        <v>43837.625</v>
      </c>
      <c r="B1212" s="2">
        <f ca="1">IFERROR(__xludf.DUMMYFUNCTION("""COMPUTED_VALUE"""),7675)</f>
        <v>7675</v>
      </c>
      <c r="C1212" s="2">
        <f ca="1">IFERROR(__xludf.DUMMYFUNCTION("""COMPUTED_VALUE"""),7700)</f>
        <v>7700</v>
      </c>
      <c r="D1212" s="2">
        <f ca="1">IFERROR(__xludf.DUMMYFUNCTION("""COMPUTED_VALUE"""),7525)</f>
        <v>7525</v>
      </c>
      <c r="E1212" s="2">
        <f ca="1">IFERROR(__xludf.DUMMYFUNCTION("""COMPUTED_VALUE"""),7550)</f>
        <v>7550</v>
      </c>
      <c r="F1212" s="2">
        <f ca="1">IFERROR(__xludf.DUMMYFUNCTION("""COMPUTED_VALUE"""),19024900)</f>
        <v>19024900</v>
      </c>
    </row>
    <row r="1213" spans="1:6">
      <c r="A1213" s="1">
        <f ca="1">IFERROR(__xludf.DUMMYFUNCTION("""COMPUTED_VALUE"""),43838.625)</f>
        <v>43838.625</v>
      </c>
      <c r="B1213" s="2">
        <f ca="1">IFERROR(__xludf.DUMMYFUNCTION("""COMPUTED_VALUE"""),7500)</f>
        <v>7500</v>
      </c>
      <c r="C1213" s="2">
        <f ca="1">IFERROR(__xludf.DUMMYFUNCTION("""COMPUTED_VALUE"""),7525)</f>
        <v>7525</v>
      </c>
      <c r="D1213" s="2">
        <f ca="1">IFERROR(__xludf.DUMMYFUNCTION("""COMPUTED_VALUE"""),7400)</f>
        <v>7400</v>
      </c>
      <c r="E1213" s="2">
        <f ca="1">IFERROR(__xludf.DUMMYFUNCTION("""COMPUTED_VALUE"""),7425)</f>
        <v>7425</v>
      </c>
      <c r="F1213" s="2">
        <f ca="1">IFERROR(__xludf.DUMMYFUNCTION("""COMPUTED_VALUE"""),20463400)</f>
        <v>20463400</v>
      </c>
    </row>
    <row r="1214" spans="1:6">
      <c r="A1214" s="1">
        <f ca="1">IFERROR(__xludf.DUMMYFUNCTION("""COMPUTED_VALUE"""),43839.625)</f>
        <v>43839.625</v>
      </c>
      <c r="B1214" s="2">
        <f ca="1">IFERROR(__xludf.DUMMYFUNCTION("""COMPUTED_VALUE"""),7500)</f>
        <v>7500</v>
      </c>
      <c r="C1214" s="2">
        <f ca="1">IFERROR(__xludf.DUMMYFUNCTION("""COMPUTED_VALUE"""),7700)</f>
        <v>7700</v>
      </c>
      <c r="D1214" s="2">
        <f ca="1">IFERROR(__xludf.DUMMYFUNCTION("""COMPUTED_VALUE"""),7500)</f>
        <v>7500</v>
      </c>
      <c r="E1214" s="2">
        <f ca="1">IFERROR(__xludf.DUMMYFUNCTION("""COMPUTED_VALUE"""),7700)</f>
        <v>7700</v>
      </c>
      <c r="F1214" s="2">
        <f ca="1">IFERROR(__xludf.DUMMYFUNCTION("""COMPUTED_VALUE"""),21885300)</f>
        <v>21885300</v>
      </c>
    </row>
    <row r="1215" spans="1:6">
      <c r="A1215" s="1">
        <f ca="1">IFERROR(__xludf.DUMMYFUNCTION("""COMPUTED_VALUE"""),43840.625)</f>
        <v>43840.625</v>
      </c>
      <c r="B1215" s="2">
        <f ca="1">IFERROR(__xludf.DUMMYFUNCTION("""COMPUTED_VALUE"""),7700)</f>
        <v>7700</v>
      </c>
      <c r="C1215" s="2">
        <f ca="1">IFERROR(__xludf.DUMMYFUNCTION("""COMPUTED_VALUE"""),7825)</f>
        <v>7825</v>
      </c>
      <c r="D1215" s="2">
        <f ca="1">IFERROR(__xludf.DUMMYFUNCTION("""COMPUTED_VALUE"""),7675)</f>
        <v>7675</v>
      </c>
      <c r="E1215" s="2">
        <f ca="1">IFERROR(__xludf.DUMMYFUNCTION("""COMPUTED_VALUE"""),7725)</f>
        <v>7725</v>
      </c>
      <c r="F1215" s="2">
        <f ca="1">IFERROR(__xludf.DUMMYFUNCTION("""COMPUTED_VALUE"""),20992500)</f>
        <v>20992500</v>
      </c>
    </row>
    <row r="1216" spans="1:6">
      <c r="A1216" s="1">
        <f ca="1">IFERROR(__xludf.DUMMYFUNCTION("""COMPUTED_VALUE"""),43843.625)</f>
        <v>43843.625</v>
      </c>
      <c r="B1216" s="2">
        <f ca="1">IFERROR(__xludf.DUMMYFUNCTION("""COMPUTED_VALUE"""),7750)</f>
        <v>7750</v>
      </c>
      <c r="C1216" s="2">
        <f ca="1">IFERROR(__xludf.DUMMYFUNCTION("""COMPUTED_VALUE"""),7800)</f>
        <v>7800</v>
      </c>
      <c r="D1216" s="2">
        <f ca="1">IFERROR(__xludf.DUMMYFUNCTION("""COMPUTED_VALUE"""),7700)</f>
        <v>7700</v>
      </c>
      <c r="E1216" s="2">
        <f ca="1">IFERROR(__xludf.DUMMYFUNCTION("""COMPUTED_VALUE"""),7775)</f>
        <v>7775</v>
      </c>
      <c r="F1216" s="2">
        <f ca="1">IFERROR(__xludf.DUMMYFUNCTION("""COMPUTED_VALUE"""),12358300)</f>
        <v>12358300</v>
      </c>
    </row>
    <row r="1217" spans="1:6">
      <c r="A1217" s="1">
        <f ca="1">IFERROR(__xludf.DUMMYFUNCTION("""COMPUTED_VALUE"""),43844.625)</f>
        <v>43844.625</v>
      </c>
      <c r="B1217" s="2">
        <f ca="1">IFERROR(__xludf.DUMMYFUNCTION("""COMPUTED_VALUE"""),7825)</f>
        <v>7825</v>
      </c>
      <c r="C1217" s="2">
        <f ca="1">IFERROR(__xludf.DUMMYFUNCTION("""COMPUTED_VALUE"""),7850)</f>
        <v>7850</v>
      </c>
      <c r="D1217" s="2">
        <f ca="1">IFERROR(__xludf.DUMMYFUNCTION("""COMPUTED_VALUE"""),7725)</f>
        <v>7725</v>
      </c>
      <c r="E1217" s="2">
        <f ca="1">IFERROR(__xludf.DUMMYFUNCTION("""COMPUTED_VALUE"""),7850)</f>
        <v>7850</v>
      </c>
      <c r="F1217" s="2">
        <f ca="1">IFERROR(__xludf.DUMMYFUNCTION("""COMPUTED_VALUE"""),20143400)</f>
        <v>20143400</v>
      </c>
    </row>
    <row r="1218" spans="1:6">
      <c r="A1218" s="1">
        <f ca="1">IFERROR(__xludf.DUMMYFUNCTION("""COMPUTED_VALUE"""),43845.625)</f>
        <v>43845.625</v>
      </c>
      <c r="B1218" s="2">
        <f ca="1">IFERROR(__xludf.DUMMYFUNCTION("""COMPUTED_VALUE"""),7800)</f>
        <v>7800</v>
      </c>
      <c r="C1218" s="2">
        <f ca="1">IFERROR(__xludf.DUMMYFUNCTION("""COMPUTED_VALUE"""),7875)</f>
        <v>7875</v>
      </c>
      <c r="D1218" s="2">
        <f ca="1">IFERROR(__xludf.DUMMYFUNCTION("""COMPUTED_VALUE"""),7650)</f>
        <v>7650</v>
      </c>
      <c r="E1218" s="2">
        <f ca="1">IFERROR(__xludf.DUMMYFUNCTION("""COMPUTED_VALUE"""),7675)</f>
        <v>7675</v>
      </c>
      <c r="F1218" s="2">
        <f ca="1">IFERROR(__xludf.DUMMYFUNCTION("""COMPUTED_VALUE"""),17684900)</f>
        <v>17684900</v>
      </c>
    </row>
    <row r="1219" spans="1:6">
      <c r="A1219" s="1">
        <f ca="1">IFERROR(__xludf.DUMMYFUNCTION("""COMPUTED_VALUE"""),43846.625)</f>
        <v>43846.625</v>
      </c>
      <c r="B1219" s="2">
        <f ca="1">IFERROR(__xludf.DUMMYFUNCTION("""COMPUTED_VALUE"""),7675)</f>
        <v>7675</v>
      </c>
      <c r="C1219" s="2">
        <f ca="1">IFERROR(__xludf.DUMMYFUNCTION("""COMPUTED_VALUE"""),7775)</f>
        <v>7775</v>
      </c>
      <c r="D1219" s="2">
        <f ca="1">IFERROR(__xludf.DUMMYFUNCTION("""COMPUTED_VALUE"""),7625)</f>
        <v>7625</v>
      </c>
      <c r="E1219" s="2">
        <f ca="1">IFERROR(__xludf.DUMMYFUNCTION("""COMPUTED_VALUE"""),7700)</f>
        <v>7700</v>
      </c>
      <c r="F1219" s="2">
        <f ca="1">IFERROR(__xludf.DUMMYFUNCTION("""COMPUTED_VALUE"""),19013700)</f>
        <v>19013700</v>
      </c>
    </row>
    <row r="1220" spans="1:6">
      <c r="A1220" s="1">
        <f ca="1">IFERROR(__xludf.DUMMYFUNCTION("""COMPUTED_VALUE"""),43847.625)</f>
        <v>43847.625</v>
      </c>
      <c r="B1220" s="2">
        <f ca="1">IFERROR(__xludf.DUMMYFUNCTION("""COMPUTED_VALUE"""),7700)</f>
        <v>7700</v>
      </c>
      <c r="C1220" s="2">
        <f ca="1">IFERROR(__xludf.DUMMYFUNCTION("""COMPUTED_VALUE"""),7775)</f>
        <v>7775</v>
      </c>
      <c r="D1220" s="2">
        <f ca="1">IFERROR(__xludf.DUMMYFUNCTION("""COMPUTED_VALUE"""),7675)</f>
        <v>7675</v>
      </c>
      <c r="E1220" s="2">
        <f ca="1">IFERROR(__xludf.DUMMYFUNCTION("""COMPUTED_VALUE"""),7775)</f>
        <v>7775</v>
      </c>
      <c r="F1220" s="2">
        <f ca="1">IFERROR(__xludf.DUMMYFUNCTION("""COMPUTED_VALUE"""),16815000)</f>
        <v>16815000</v>
      </c>
    </row>
    <row r="1221" spans="1:6">
      <c r="A1221" s="1">
        <f ca="1">IFERROR(__xludf.DUMMYFUNCTION("""COMPUTED_VALUE"""),43850.625)</f>
        <v>43850.625</v>
      </c>
      <c r="B1221" s="2">
        <f ca="1">IFERROR(__xludf.DUMMYFUNCTION("""COMPUTED_VALUE"""),7725)</f>
        <v>7725</v>
      </c>
      <c r="C1221" s="2">
        <f ca="1">IFERROR(__xludf.DUMMYFUNCTION("""COMPUTED_VALUE"""),7800)</f>
        <v>7800</v>
      </c>
      <c r="D1221" s="2">
        <f ca="1">IFERROR(__xludf.DUMMYFUNCTION("""COMPUTED_VALUE"""),7525)</f>
        <v>7525</v>
      </c>
      <c r="E1221" s="2">
        <f ca="1">IFERROR(__xludf.DUMMYFUNCTION("""COMPUTED_VALUE"""),7550)</f>
        <v>7550</v>
      </c>
      <c r="F1221" s="2">
        <f ca="1">IFERROR(__xludf.DUMMYFUNCTION("""COMPUTED_VALUE"""),17592300)</f>
        <v>17592300</v>
      </c>
    </row>
    <row r="1222" spans="1:6">
      <c r="A1222" s="1">
        <f ca="1">IFERROR(__xludf.DUMMYFUNCTION("""COMPUTED_VALUE"""),43851.625)</f>
        <v>43851.625</v>
      </c>
      <c r="B1222" s="2">
        <f ca="1">IFERROR(__xludf.DUMMYFUNCTION("""COMPUTED_VALUE"""),7575)</f>
        <v>7575</v>
      </c>
      <c r="C1222" s="2">
        <f ca="1">IFERROR(__xludf.DUMMYFUNCTION("""COMPUTED_VALUE"""),7650)</f>
        <v>7650</v>
      </c>
      <c r="D1222" s="2">
        <f ca="1">IFERROR(__xludf.DUMMYFUNCTION("""COMPUTED_VALUE"""),7500)</f>
        <v>7500</v>
      </c>
      <c r="E1222" s="2">
        <f ca="1">IFERROR(__xludf.DUMMYFUNCTION("""COMPUTED_VALUE"""),7575)</f>
        <v>7575</v>
      </c>
      <c r="F1222" s="2">
        <f ca="1">IFERROR(__xludf.DUMMYFUNCTION("""COMPUTED_VALUE"""),16451800)</f>
        <v>16451800</v>
      </c>
    </row>
    <row r="1223" spans="1:6">
      <c r="A1223" s="1">
        <f ca="1">IFERROR(__xludf.DUMMYFUNCTION("""COMPUTED_VALUE"""),43852.625)</f>
        <v>43852.625</v>
      </c>
      <c r="B1223" s="2">
        <f ca="1">IFERROR(__xludf.DUMMYFUNCTION("""COMPUTED_VALUE"""),7625)</f>
        <v>7625</v>
      </c>
      <c r="C1223" s="2">
        <f ca="1">IFERROR(__xludf.DUMMYFUNCTION("""COMPUTED_VALUE"""),7700)</f>
        <v>7700</v>
      </c>
      <c r="D1223" s="2">
        <f ca="1">IFERROR(__xludf.DUMMYFUNCTION("""COMPUTED_VALUE"""),7575)</f>
        <v>7575</v>
      </c>
      <c r="E1223" s="2">
        <f ca="1">IFERROR(__xludf.DUMMYFUNCTION("""COMPUTED_VALUE"""),7625)</f>
        <v>7625</v>
      </c>
      <c r="F1223" s="2">
        <f ca="1">IFERROR(__xludf.DUMMYFUNCTION("""COMPUTED_VALUE"""),22245200)</f>
        <v>22245200</v>
      </c>
    </row>
    <row r="1224" spans="1:6">
      <c r="A1224" s="1">
        <f ca="1">IFERROR(__xludf.DUMMYFUNCTION("""COMPUTED_VALUE"""),43853.625)</f>
        <v>43853.625</v>
      </c>
      <c r="B1224" s="2">
        <f ca="1">IFERROR(__xludf.DUMMYFUNCTION("""COMPUTED_VALUE"""),7625)</f>
        <v>7625</v>
      </c>
      <c r="C1224" s="2">
        <f ca="1">IFERROR(__xludf.DUMMYFUNCTION("""COMPUTED_VALUE"""),7725)</f>
        <v>7725</v>
      </c>
      <c r="D1224" s="2">
        <f ca="1">IFERROR(__xludf.DUMMYFUNCTION("""COMPUTED_VALUE"""),7550)</f>
        <v>7550</v>
      </c>
      <c r="E1224" s="2">
        <f ca="1">IFERROR(__xludf.DUMMYFUNCTION("""COMPUTED_VALUE"""),7650)</f>
        <v>7650</v>
      </c>
      <c r="F1224" s="2">
        <f ca="1">IFERROR(__xludf.DUMMYFUNCTION("""COMPUTED_VALUE"""),22077700)</f>
        <v>22077700</v>
      </c>
    </row>
    <row r="1225" spans="1:6">
      <c r="A1225" s="1">
        <f ca="1">IFERROR(__xludf.DUMMYFUNCTION("""COMPUTED_VALUE"""),43854.625)</f>
        <v>43854.625</v>
      </c>
      <c r="B1225" s="2">
        <f ca="1">IFERROR(__xludf.DUMMYFUNCTION("""COMPUTED_VALUE"""),7600)</f>
        <v>7600</v>
      </c>
      <c r="C1225" s="2">
        <f ca="1">IFERROR(__xludf.DUMMYFUNCTION("""COMPUTED_VALUE"""),7775)</f>
        <v>7775</v>
      </c>
      <c r="D1225" s="2">
        <f ca="1">IFERROR(__xludf.DUMMYFUNCTION("""COMPUTED_VALUE"""),7600)</f>
        <v>7600</v>
      </c>
      <c r="E1225" s="2">
        <f ca="1">IFERROR(__xludf.DUMMYFUNCTION("""COMPUTED_VALUE"""),7700)</f>
        <v>7700</v>
      </c>
      <c r="F1225" s="2">
        <f ca="1">IFERROR(__xludf.DUMMYFUNCTION("""COMPUTED_VALUE"""),17851000)</f>
        <v>17851000</v>
      </c>
    </row>
    <row r="1226" spans="1:6">
      <c r="A1226" s="1">
        <f ca="1">IFERROR(__xludf.DUMMYFUNCTION("""COMPUTED_VALUE"""),43857.625)</f>
        <v>43857.625</v>
      </c>
      <c r="B1226" s="2">
        <f ca="1">IFERROR(__xludf.DUMMYFUNCTION("""COMPUTED_VALUE"""),7700)</f>
        <v>7700</v>
      </c>
      <c r="C1226" s="2">
        <f ca="1">IFERROR(__xludf.DUMMYFUNCTION("""COMPUTED_VALUE"""),7700)</f>
        <v>7700</v>
      </c>
      <c r="D1226" s="2">
        <f ca="1">IFERROR(__xludf.DUMMYFUNCTION("""COMPUTED_VALUE"""),7450)</f>
        <v>7450</v>
      </c>
      <c r="E1226" s="2">
        <f ca="1">IFERROR(__xludf.DUMMYFUNCTION("""COMPUTED_VALUE"""),7450)</f>
        <v>7450</v>
      </c>
      <c r="F1226" s="2">
        <f ca="1">IFERROR(__xludf.DUMMYFUNCTION("""COMPUTED_VALUE"""),14189800)</f>
        <v>14189800</v>
      </c>
    </row>
    <row r="1227" spans="1:6">
      <c r="A1227" s="1">
        <f ca="1">IFERROR(__xludf.DUMMYFUNCTION("""COMPUTED_VALUE"""),43858.625)</f>
        <v>43858.625</v>
      </c>
      <c r="B1227" s="2">
        <f ca="1">IFERROR(__xludf.DUMMYFUNCTION("""COMPUTED_VALUE"""),7400)</f>
        <v>7400</v>
      </c>
      <c r="C1227" s="2">
        <f ca="1">IFERROR(__xludf.DUMMYFUNCTION("""COMPUTED_VALUE"""),7475)</f>
        <v>7475</v>
      </c>
      <c r="D1227" s="2">
        <f ca="1">IFERROR(__xludf.DUMMYFUNCTION("""COMPUTED_VALUE"""),7300)</f>
        <v>7300</v>
      </c>
      <c r="E1227" s="2">
        <f ca="1">IFERROR(__xludf.DUMMYFUNCTION("""COMPUTED_VALUE"""),7475)</f>
        <v>7475</v>
      </c>
      <c r="F1227" s="2">
        <f ca="1">IFERROR(__xludf.DUMMYFUNCTION("""COMPUTED_VALUE"""),21492500)</f>
        <v>21492500</v>
      </c>
    </row>
    <row r="1228" spans="1:6">
      <c r="A1228" s="1">
        <f ca="1">IFERROR(__xludf.DUMMYFUNCTION("""COMPUTED_VALUE"""),43859.625)</f>
        <v>43859.625</v>
      </c>
      <c r="B1228" s="2">
        <f ca="1">IFERROR(__xludf.DUMMYFUNCTION("""COMPUTED_VALUE"""),7475)</f>
        <v>7475</v>
      </c>
      <c r="C1228" s="2">
        <f ca="1">IFERROR(__xludf.DUMMYFUNCTION("""COMPUTED_VALUE"""),7525)</f>
        <v>7525</v>
      </c>
      <c r="D1228" s="2">
        <f ca="1">IFERROR(__xludf.DUMMYFUNCTION("""COMPUTED_VALUE"""),7350)</f>
        <v>7350</v>
      </c>
      <c r="E1228" s="2">
        <f ca="1">IFERROR(__xludf.DUMMYFUNCTION("""COMPUTED_VALUE"""),7350)</f>
        <v>7350</v>
      </c>
      <c r="F1228" s="2">
        <f ca="1">IFERROR(__xludf.DUMMYFUNCTION("""COMPUTED_VALUE"""),16751900)</f>
        <v>16751900</v>
      </c>
    </row>
    <row r="1229" spans="1:6">
      <c r="A1229" s="1">
        <f ca="1">IFERROR(__xludf.DUMMYFUNCTION("""COMPUTED_VALUE"""),43860.625)</f>
        <v>43860.625</v>
      </c>
      <c r="B1229" s="2">
        <f ca="1">IFERROR(__xludf.DUMMYFUNCTION("""COMPUTED_VALUE"""),7350)</f>
        <v>7350</v>
      </c>
      <c r="C1229" s="2">
        <f ca="1">IFERROR(__xludf.DUMMYFUNCTION("""COMPUTED_VALUE"""),7425)</f>
        <v>7425</v>
      </c>
      <c r="D1229" s="2">
        <f ca="1">IFERROR(__xludf.DUMMYFUNCTION("""COMPUTED_VALUE"""),7250)</f>
        <v>7250</v>
      </c>
      <c r="E1229" s="2">
        <f ca="1">IFERROR(__xludf.DUMMYFUNCTION("""COMPUTED_VALUE"""),7250)</f>
        <v>7250</v>
      </c>
      <c r="F1229" s="2">
        <f ca="1">IFERROR(__xludf.DUMMYFUNCTION("""COMPUTED_VALUE"""),13452000)</f>
        <v>13452000</v>
      </c>
    </row>
    <row r="1230" spans="1:6">
      <c r="A1230" s="1">
        <f ca="1">IFERROR(__xludf.DUMMYFUNCTION("""COMPUTED_VALUE"""),43861.625)</f>
        <v>43861.625</v>
      </c>
      <c r="B1230" s="2">
        <f ca="1">IFERROR(__xludf.DUMMYFUNCTION("""COMPUTED_VALUE"""),7300)</f>
        <v>7300</v>
      </c>
      <c r="C1230" s="2">
        <f ca="1">IFERROR(__xludf.DUMMYFUNCTION("""COMPUTED_VALUE"""),7300)</f>
        <v>7300</v>
      </c>
      <c r="D1230" s="2">
        <f ca="1">IFERROR(__xludf.DUMMYFUNCTION("""COMPUTED_VALUE"""),7100)</f>
        <v>7100</v>
      </c>
      <c r="E1230" s="2">
        <f ca="1">IFERROR(__xludf.DUMMYFUNCTION("""COMPUTED_VALUE"""),7200)</f>
        <v>7200</v>
      </c>
      <c r="F1230" s="2">
        <f ca="1">IFERROR(__xludf.DUMMYFUNCTION("""COMPUTED_VALUE"""),27097500)</f>
        <v>27097500</v>
      </c>
    </row>
    <row r="1231" spans="1:6">
      <c r="A1231" s="1">
        <f ca="1">IFERROR(__xludf.DUMMYFUNCTION("""COMPUTED_VALUE"""),43864.625)</f>
        <v>43864.625</v>
      </c>
      <c r="B1231" s="2">
        <f ca="1">IFERROR(__xludf.DUMMYFUNCTION("""COMPUTED_VALUE"""),7100)</f>
        <v>7100</v>
      </c>
      <c r="C1231" s="2">
        <f ca="1">IFERROR(__xludf.DUMMYFUNCTION("""COMPUTED_VALUE"""),7300)</f>
        <v>7300</v>
      </c>
      <c r="D1231" s="2">
        <f ca="1">IFERROR(__xludf.DUMMYFUNCTION("""COMPUTED_VALUE"""),7075)</f>
        <v>7075</v>
      </c>
      <c r="E1231" s="2">
        <f ca="1">IFERROR(__xludf.DUMMYFUNCTION("""COMPUTED_VALUE"""),7125)</f>
        <v>7125</v>
      </c>
      <c r="F1231" s="2">
        <f ca="1">IFERROR(__xludf.DUMMYFUNCTION("""COMPUTED_VALUE"""),20150200)</f>
        <v>20150200</v>
      </c>
    </row>
    <row r="1232" spans="1:6">
      <c r="A1232" s="1">
        <f ca="1">IFERROR(__xludf.DUMMYFUNCTION("""COMPUTED_VALUE"""),43865.625)</f>
        <v>43865.625</v>
      </c>
      <c r="B1232" s="2">
        <f ca="1">IFERROR(__xludf.DUMMYFUNCTION("""COMPUTED_VALUE"""),7225)</f>
        <v>7225</v>
      </c>
      <c r="C1232" s="2">
        <f ca="1">IFERROR(__xludf.DUMMYFUNCTION("""COMPUTED_VALUE"""),7375)</f>
        <v>7375</v>
      </c>
      <c r="D1232" s="2">
        <f ca="1">IFERROR(__xludf.DUMMYFUNCTION("""COMPUTED_VALUE"""),7175)</f>
        <v>7175</v>
      </c>
      <c r="E1232" s="2">
        <f ca="1">IFERROR(__xludf.DUMMYFUNCTION("""COMPUTED_VALUE"""),7350)</f>
        <v>7350</v>
      </c>
      <c r="F1232" s="2">
        <f ca="1">IFERROR(__xludf.DUMMYFUNCTION("""COMPUTED_VALUE"""),19660000)</f>
        <v>19660000</v>
      </c>
    </row>
    <row r="1233" spans="1:6">
      <c r="A1233" s="1">
        <f ca="1">IFERROR(__xludf.DUMMYFUNCTION("""COMPUTED_VALUE"""),43866.625)</f>
        <v>43866.625</v>
      </c>
      <c r="B1233" s="2">
        <f ca="1">IFERROR(__xludf.DUMMYFUNCTION("""COMPUTED_VALUE"""),7350)</f>
        <v>7350</v>
      </c>
      <c r="C1233" s="2">
        <f ca="1">IFERROR(__xludf.DUMMYFUNCTION("""COMPUTED_VALUE"""),7425)</f>
        <v>7425</v>
      </c>
      <c r="D1233" s="2">
        <f ca="1">IFERROR(__xludf.DUMMYFUNCTION("""COMPUTED_VALUE"""),7250)</f>
        <v>7250</v>
      </c>
      <c r="E1233" s="2">
        <f ca="1">IFERROR(__xludf.DUMMYFUNCTION("""COMPUTED_VALUE"""),7425)</f>
        <v>7425</v>
      </c>
      <c r="F1233" s="2">
        <f ca="1">IFERROR(__xludf.DUMMYFUNCTION("""COMPUTED_VALUE"""),16080700)</f>
        <v>16080700</v>
      </c>
    </row>
    <row r="1234" spans="1:6">
      <c r="A1234" s="1">
        <f ca="1">IFERROR(__xludf.DUMMYFUNCTION("""COMPUTED_VALUE"""),43867.625)</f>
        <v>43867.625</v>
      </c>
      <c r="B1234" s="2">
        <f ca="1">IFERROR(__xludf.DUMMYFUNCTION("""COMPUTED_VALUE"""),7500)</f>
        <v>7500</v>
      </c>
      <c r="C1234" s="2">
        <f ca="1">IFERROR(__xludf.DUMMYFUNCTION("""COMPUTED_VALUE"""),7525)</f>
        <v>7525</v>
      </c>
      <c r="D1234" s="2">
        <f ca="1">IFERROR(__xludf.DUMMYFUNCTION("""COMPUTED_VALUE"""),7350)</f>
        <v>7350</v>
      </c>
      <c r="E1234" s="2">
        <f ca="1">IFERROR(__xludf.DUMMYFUNCTION("""COMPUTED_VALUE"""),7350)</f>
        <v>7350</v>
      </c>
      <c r="F1234" s="2">
        <f ca="1">IFERROR(__xludf.DUMMYFUNCTION("""COMPUTED_VALUE"""),16798500)</f>
        <v>16798500</v>
      </c>
    </row>
    <row r="1235" spans="1:6">
      <c r="A1235" s="1">
        <f ca="1">IFERROR(__xludf.DUMMYFUNCTION("""COMPUTED_VALUE"""),43868.625)</f>
        <v>43868.625</v>
      </c>
      <c r="B1235" s="2">
        <f ca="1">IFERROR(__xludf.DUMMYFUNCTION("""COMPUTED_VALUE"""),7400)</f>
        <v>7400</v>
      </c>
      <c r="C1235" s="2">
        <f ca="1">IFERROR(__xludf.DUMMYFUNCTION("""COMPUTED_VALUE"""),7400)</f>
        <v>7400</v>
      </c>
      <c r="D1235" s="2">
        <f ca="1">IFERROR(__xludf.DUMMYFUNCTION("""COMPUTED_VALUE"""),7350)</f>
        <v>7350</v>
      </c>
      <c r="E1235" s="2">
        <f ca="1">IFERROR(__xludf.DUMMYFUNCTION("""COMPUTED_VALUE"""),7350)</f>
        <v>7350</v>
      </c>
      <c r="F1235" s="2">
        <f ca="1">IFERROR(__xludf.DUMMYFUNCTION("""COMPUTED_VALUE"""),19617100)</f>
        <v>19617100</v>
      </c>
    </row>
    <row r="1236" spans="1:6">
      <c r="A1236" s="1">
        <f ca="1">IFERROR(__xludf.DUMMYFUNCTION("""COMPUTED_VALUE"""),43871.625)</f>
        <v>43871.625</v>
      </c>
      <c r="B1236" s="2">
        <f ca="1">IFERROR(__xludf.DUMMYFUNCTION("""COMPUTED_VALUE"""),7325)</f>
        <v>7325</v>
      </c>
      <c r="C1236" s="2">
        <f ca="1">IFERROR(__xludf.DUMMYFUNCTION("""COMPUTED_VALUE"""),7325)</f>
        <v>7325</v>
      </c>
      <c r="D1236" s="2">
        <f ca="1">IFERROR(__xludf.DUMMYFUNCTION("""COMPUTED_VALUE"""),7225)</f>
        <v>7225</v>
      </c>
      <c r="E1236" s="2">
        <f ca="1">IFERROR(__xludf.DUMMYFUNCTION("""COMPUTED_VALUE"""),7325)</f>
        <v>7325</v>
      </c>
      <c r="F1236" s="2">
        <f ca="1">IFERROR(__xludf.DUMMYFUNCTION("""COMPUTED_VALUE"""),12079300)</f>
        <v>12079300</v>
      </c>
    </row>
    <row r="1237" spans="1:6">
      <c r="A1237" s="1">
        <f ca="1">IFERROR(__xludf.DUMMYFUNCTION("""COMPUTED_VALUE"""),43872.625)</f>
        <v>43872.625</v>
      </c>
      <c r="B1237" s="2">
        <f ca="1">IFERROR(__xludf.DUMMYFUNCTION("""COMPUTED_VALUE"""),7300)</f>
        <v>7300</v>
      </c>
      <c r="C1237" s="2">
        <f ca="1">IFERROR(__xludf.DUMMYFUNCTION("""COMPUTED_VALUE"""),7375)</f>
        <v>7375</v>
      </c>
      <c r="D1237" s="2">
        <f ca="1">IFERROR(__xludf.DUMMYFUNCTION("""COMPUTED_VALUE"""),7275)</f>
        <v>7275</v>
      </c>
      <c r="E1237" s="2">
        <f ca="1">IFERROR(__xludf.DUMMYFUNCTION("""COMPUTED_VALUE"""),7300)</f>
        <v>7300</v>
      </c>
      <c r="F1237" s="2">
        <f ca="1">IFERROR(__xludf.DUMMYFUNCTION("""COMPUTED_VALUE"""),8656900)</f>
        <v>8656900</v>
      </c>
    </row>
    <row r="1238" spans="1:6">
      <c r="A1238" s="1">
        <f ca="1">IFERROR(__xludf.DUMMYFUNCTION("""COMPUTED_VALUE"""),43873.625)</f>
        <v>43873.625</v>
      </c>
      <c r="B1238" s="2">
        <f ca="1">IFERROR(__xludf.DUMMYFUNCTION("""COMPUTED_VALUE"""),7300)</f>
        <v>7300</v>
      </c>
      <c r="C1238" s="2">
        <f ca="1">IFERROR(__xludf.DUMMYFUNCTION("""COMPUTED_VALUE"""),7375)</f>
        <v>7375</v>
      </c>
      <c r="D1238" s="2">
        <f ca="1">IFERROR(__xludf.DUMMYFUNCTION("""COMPUTED_VALUE"""),7275)</f>
        <v>7275</v>
      </c>
      <c r="E1238" s="2">
        <f ca="1">IFERROR(__xludf.DUMMYFUNCTION("""COMPUTED_VALUE"""),7275)</f>
        <v>7275</v>
      </c>
      <c r="F1238" s="2">
        <f ca="1">IFERROR(__xludf.DUMMYFUNCTION("""COMPUTED_VALUE"""),11259100)</f>
        <v>11259100</v>
      </c>
    </row>
    <row r="1239" spans="1:6">
      <c r="A1239" s="1">
        <f ca="1">IFERROR(__xludf.DUMMYFUNCTION("""COMPUTED_VALUE"""),43874.625)</f>
        <v>43874.625</v>
      </c>
      <c r="B1239" s="2">
        <f ca="1">IFERROR(__xludf.DUMMYFUNCTION("""COMPUTED_VALUE"""),7275)</f>
        <v>7275</v>
      </c>
      <c r="C1239" s="2">
        <f ca="1">IFERROR(__xludf.DUMMYFUNCTION("""COMPUTED_VALUE"""),7425)</f>
        <v>7425</v>
      </c>
      <c r="D1239" s="2">
        <f ca="1">IFERROR(__xludf.DUMMYFUNCTION("""COMPUTED_VALUE"""),7275)</f>
        <v>7275</v>
      </c>
      <c r="E1239" s="2">
        <f ca="1">IFERROR(__xludf.DUMMYFUNCTION("""COMPUTED_VALUE"""),7400)</f>
        <v>7400</v>
      </c>
      <c r="F1239" s="2">
        <f ca="1">IFERROR(__xludf.DUMMYFUNCTION("""COMPUTED_VALUE"""),20515700)</f>
        <v>20515700</v>
      </c>
    </row>
    <row r="1240" spans="1:6">
      <c r="A1240" s="1">
        <f ca="1">IFERROR(__xludf.DUMMYFUNCTION("""COMPUTED_VALUE"""),43875.625)</f>
        <v>43875.625</v>
      </c>
      <c r="B1240" s="2">
        <f ca="1">IFERROR(__xludf.DUMMYFUNCTION("""COMPUTED_VALUE"""),7375)</f>
        <v>7375</v>
      </c>
      <c r="C1240" s="2">
        <f ca="1">IFERROR(__xludf.DUMMYFUNCTION("""COMPUTED_VALUE"""),7600)</f>
        <v>7600</v>
      </c>
      <c r="D1240" s="2">
        <f ca="1">IFERROR(__xludf.DUMMYFUNCTION("""COMPUTED_VALUE"""),7325)</f>
        <v>7325</v>
      </c>
      <c r="E1240" s="2">
        <f ca="1">IFERROR(__xludf.DUMMYFUNCTION("""COMPUTED_VALUE"""),7525)</f>
        <v>7525</v>
      </c>
      <c r="F1240" s="2">
        <f ca="1">IFERROR(__xludf.DUMMYFUNCTION("""COMPUTED_VALUE"""),25732900)</f>
        <v>25732900</v>
      </c>
    </row>
    <row r="1241" spans="1:6">
      <c r="A1241" s="1">
        <f ca="1">IFERROR(__xludf.DUMMYFUNCTION("""COMPUTED_VALUE"""),43878.625)</f>
        <v>43878.625</v>
      </c>
      <c r="B1241" s="2">
        <f ca="1">IFERROR(__xludf.DUMMYFUNCTION("""COMPUTED_VALUE"""),7600)</f>
        <v>7600</v>
      </c>
      <c r="C1241" s="2">
        <f ca="1">IFERROR(__xludf.DUMMYFUNCTION("""COMPUTED_VALUE"""),7650)</f>
        <v>7650</v>
      </c>
      <c r="D1241" s="2">
        <f ca="1">IFERROR(__xludf.DUMMYFUNCTION("""COMPUTED_VALUE"""),7525)</f>
        <v>7525</v>
      </c>
      <c r="E1241" s="2">
        <f ca="1">IFERROR(__xludf.DUMMYFUNCTION("""COMPUTED_VALUE"""),7625)</f>
        <v>7625</v>
      </c>
      <c r="F1241" s="2">
        <f ca="1">IFERROR(__xludf.DUMMYFUNCTION("""COMPUTED_VALUE"""),14490000)</f>
        <v>14490000</v>
      </c>
    </row>
    <row r="1242" spans="1:6">
      <c r="A1242" s="1">
        <f ca="1">IFERROR(__xludf.DUMMYFUNCTION("""COMPUTED_VALUE"""),43879.625)</f>
        <v>43879.625</v>
      </c>
      <c r="B1242" s="2">
        <f ca="1">IFERROR(__xludf.DUMMYFUNCTION("""COMPUTED_VALUE"""),7650)</f>
        <v>7650</v>
      </c>
      <c r="C1242" s="2">
        <f ca="1">IFERROR(__xludf.DUMMYFUNCTION("""COMPUTED_VALUE"""),7750)</f>
        <v>7750</v>
      </c>
      <c r="D1242" s="2">
        <f ca="1">IFERROR(__xludf.DUMMYFUNCTION("""COMPUTED_VALUE"""),7600)</f>
        <v>7600</v>
      </c>
      <c r="E1242" s="2">
        <f ca="1">IFERROR(__xludf.DUMMYFUNCTION("""COMPUTED_VALUE"""),7700)</f>
        <v>7700</v>
      </c>
      <c r="F1242" s="2">
        <f ca="1">IFERROR(__xludf.DUMMYFUNCTION("""COMPUTED_VALUE"""),23322900)</f>
        <v>23322900</v>
      </c>
    </row>
    <row r="1243" spans="1:6">
      <c r="A1243" s="1">
        <f ca="1">IFERROR(__xludf.DUMMYFUNCTION("""COMPUTED_VALUE"""),43880.625)</f>
        <v>43880.625</v>
      </c>
      <c r="B1243" s="2">
        <f ca="1">IFERROR(__xludf.DUMMYFUNCTION("""COMPUTED_VALUE"""),7675)</f>
        <v>7675</v>
      </c>
      <c r="C1243" s="2">
        <f ca="1">IFERROR(__xludf.DUMMYFUNCTION("""COMPUTED_VALUE"""),7825)</f>
        <v>7825</v>
      </c>
      <c r="D1243" s="2">
        <f ca="1">IFERROR(__xludf.DUMMYFUNCTION("""COMPUTED_VALUE"""),7625)</f>
        <v>7625</v>
      </c>
      <c r="E1243" s="2">
        <f ca="1">IFERROR(__xludf.DUMMYFUNCTION("""COMPUTED_VALUE"""),7775)</f>
        <v>7775</v>
      </c>
      <c r="F1243" s="2">
        <f ca="1">IFERROR(__xludf.DUMMYFUNCTION("""COMPUTED_VALUE"""),25852300)</f>
        <v>25852300</v>
      </c>
    </row>
    <row r="1244" spans="1:6">
      <c r="A1244" s="1">
        <f ca="1">IFERROR(__xludf.DUMMYFUNCTION("""COMPUTED_VALUE"""),43881.625)</f>
        <v>43881.625</v>
      </c>
      <c r="B1244" s="2">
        <f ca="1">IFERROR(__xludf.DUMMYFUNCTION("""COMPUTED_VALUE"""),7800)</f>
        <v>7800</v>
      </c>
      <c r="C1244" s="2">
        <f ca="1">IFERROR(__xludf.DUMMYFUNCTION("""COMPUTED_VALUE"""),7950)</f>
        <v>7950</v>
      </c>
      <c r="D1244" s="2">
        <f ca="1">IFERROR(__xludf.DUMMYFUNCTION("""COMPUTED_VALUE"""),7800)</f>
        <v>7800</v>
      </c>
      <c r="E1244" s="2">
        <f ca="1">IFERROR(__xludf.DUMMYFUNCTION("""COMPUTED_VALUE"""),7925)</f>
        <v>7925</v>
      </c>
      <c r="F1244" s="2">
        <f ca="1">IFERROR(__xludf.DUMMYFUNCTION("""COMPUTED_VALUE"""),35928100)</f>
        <v>35928100</v>
      </c>
    </row>
    <row r="1245" spans="1:6">
      <c r="A1245" s="1">
        <f ca="1">IFERROR(__xludf.DUMMYFUNCTION("""COMPUTED_VALUE"""),43882.625)</f>
        <v>43882.625</v>
      </c>
      <c r="B1245" s="2">
        <f ca="1">IFERROR(__xludf.DUMMYFUNCTION("""COMPUTED_VALUE"""),7875)</f>
        <v>7875</v>
      </c>
      <c r="C1245" s="2">
        <f ca="1">IFERROR(__xludf.DUMMYFUNCTION("""COMPUTED_VALUE"""),7875)</f>
        <v>7875</v>
      </c>
      <c r="D1245" s="2">
        <f ca="1">IFERROR(__xludf.DUMMYFUNCTION("""COMPUTED_VALUE"""),7725)</f>
        <v>7725</v>
      </c>
      <c r="E1245" s="2">
        <f ca="1">IFERROR(__xludf.DUMMYFUNCTION("""COMPUTED_VALUE"""),7775)</f>
        <v>7775</v>
      </c>
      <c r="F1245" s="2">
        <f ca="1">IFERROR(__xludf.DUMMYFUNCTION("""COMPUTED_VALUE"""),47223000)</f>
        <v>47223000</v>
      </c>
    </row>
    <row r="1246" spans="1:6">
      <c r="A1246" s="1">
        <f ca="1">IFERROR(__xludf.DUMMYFUNCTION("""COMPUTED_VALUE"""),43885.625)</f>
        <v>43885.625</v>
      </c>
      <c r="B1246" s="2">
        <f ca="1">IFERROR(__xludf.DUMMYFUNCTION("""COMPUTED_VALUE"""),7600)</f>
        <v>7600</v>
      </c>
      <c r="C1246" s="2">
        <f ca="1">IFERROR(__xludf.DUMMYFUNCTION("""COMPUTED_VALUE"""),7700)</f>
        <v>7700</v>
      </c>
      <c r="D1246" s="2">
        <f ca="1">IFERROR(__xludf.DUMMYFUNCTION("""COMPUTED_VALUE"""),7475)</f>
        <v>7475</v>
      </c>
      <c r="E1246" s="2">
        <f ca="1">IFERROR(__xludf.DUMMYFUNCTION("""COMPUTED_VALUE"""),7575)</f>
        <v>7575</v>
      </c>
      <c r="F1246" s="2">
        <f ca="1">IFERROR(__xludf.DUMMYFUNCTION("""COMPUTED_VALUE"""),29756400)</f>
        <v>29756400</v>
      </c>
    </row>
    <row r="1247" spans="1:6">
      <c r="A1247" s="1">
        <f ca="1">IFERROR(__xludf.DUMMYFUNCTION("""COMPUTED_VALUE"""),43886.625)</f>
        <v>43886.625</v>
      </c>
      <c r="B1247" s="2">
        <f ca="1">IFERROR(__xludf.DUMMYFUNCTION("""COMPUTED_VALUE"""),7500)</f>
        <v>7500</v>
      </c>
      <c r="C1247" s="2">
        <f ca="1">IFERROR(__xludf.DUMMYFUNCTION("""COMPUTED_VALUE"""),7625)</f>
        <v>7625</v>
      </c>
      <c r="D1247" s="2">
        <f ca="1">IFERROR(__xludf.DUMMYFUNCTION("""COMPUTED_VALUE"""),7475)</f>
        <v>7475</v>
      </c>
      <c r="E1247" s="2">
        <f ca="1">IFERROR(__xludf.DUMMYFUNCTION("""COMPUTED_VALUE"""),7500)</f>
        <v>7500</v>
      </c>
      <c r="F1247" s="2">
        <f ca="1">IFERROR(__xludf.DUMMYFUNCTION("""COMPUTED_VALUE"""),16988100)</f>
        <v>16988100</v>
      </c>
    </row>
    <row r="1248" spans="1:6">
      <c r="A1248" s="1">
        <f ca="1">IFERROR(__xludf.DUMMYFUNCTION("""COMPUTED_VALUE"""),43887.625)</f>
        <v>43887.625</v>
      </c>
      <c r="B1248" s="2">
        <f ca="1">IFERROR(__xludf.DUMMYFUNCTION("""COMPUTED_VALUE"""),7400)</f>
        <v>7400</v>
      </c>
      <c r="C1248" s="2">
        <f ca="1">IFERROR(__xludf.DUMMYFUNCTION("""COMPUTED_VALUE"""),7425)</f>
        <v>7425</v>
      </c>
      <c r="D1248" s="2">
        <f ca="1">IFERROR(__xludf.DUMMYFUNCTION("""COMPUTED_VALUE"""),7300)</f>
        <v>7300</v>
      </c>
      <c r="E1248" s="2">
        <f ca="1">IFERROR(__xludf.DUMMYFUNCTION("""COMPUTED_VALUE"""),7300)</f>
        <v>7300</v>
      </c>
      <c r="F1248" s="2">
        <f ca="1">IFERROR(__xludf.DUMMYFUNCTION("""COMPUTED_VALUE"""),36227700)</f>
        <v>36227700</v>
      </c>
    </row>
    <row r="1249" spans="1:6">
      <c r="A1249" s="1">
        <f ca="1">IFERROR(__xludf.DUMMYFUNCTION("""COMPUTED_VALUE"""),43888.625)</f>
        <v>43888.625</v>
      </c>
      <c r="B1249" s="2">
        <f ca="1">IFERROR(__xludf.DUMMYFUNCTION("""COMPUTED_VALUE"""),7250)</f>
        <v>7250</v>
      </c>
      <c r="C1249" s="2">
        <f ca="1">IFERROR(__xludf.DUMMYFUNCTION("""COMPUTED_VALUE"""),7300)</f>
        <v>7300</v>
      </c>
      <c r="D1249" s="2">
        <f ca="1">IFERROR(__xludf.DUMMYFUNCTION("""COMPUTED_VALUE"""),6925)</f>
        <v>6925</v>
      </c>
      <c r="E1249" s="2">
        <f ca="1">IFERROR(__xludf.DUMMYFUNCTION("""COMPUTED_VALUE"""),7075)</f>
        <v>7075</v>
      </c>
      <c r="F1249" s="2">
        <f ca="1">IFERROR(__xludf.DUMMYFUNCTION("""COMPUTED_VALUE"""),29663200)</f>
        <v>29663200</v>
      </c>
    </row>
    <row r="1250" spans="1:6">
      <c r="A1250" s="1">
        <f ca="1">IFERROR(__xludf.DUMMYFUNCTION("""COMPUTED_VALUE"""),43889.625)</f>
        <v>43889.625</v>
      </c>
      <c r="B1250" s="2">
        <f ca="1">IFERROR(__xludf.DUMMYFUNCTION("""COMPUTED_VALUE"""),6800)</f>
        <v>6800</v>
      </c>
      <c r="C1250" s="2">
        <f ca="1">IFERROR(__xludf.DUMMYFUNCTION("""COMPUTED_VALUE"""),7025)</f>
        <v>7025</v>
      </c>
      <c r="D1250" s="2">
        <f ca="1">IFERROR(__xludf.DUMMYFUNCTION("""COMPUTED_VALUE"""),6675)</f>
        <v>6675</v>
      </c>
      <c r="E1250" s="2">
        <f ca="1">IFERROR(__xludf.DUMMYFUNCTION("""COMPUTED_VALUE"""),7025)</f>
        <v>7025</v>
      </c>
      <c r="F1250" s="2">
        <f ca="1">IFERROR(__xludf.DUMMYFUNCTION("""COMPUTED_VALUE"""),52147500)</f>
        <v>52147500</v>
      </c>
    </row>
    <row r="1251" spans="1:6">
      <c r="A1251" s="1">
        <f ca="1">IFERROR(__xludf.DUMMYFUNCTION("""COMPUTED_VALUE"""),43892.625)</f>
        <v>43892.625</v>
      </c>
      <c r="B1251" s="2">
        <f ca="1">IFERROR(__xludf.DUMMYFUNCTION("""COMPUTED_VALUE"""),6950)</f>
        <v>6950</v>
      </c>
      <c r="C1251" s="2">
        <f ca="1">IFERROR(__xludf.DUMMYFUNCTION("""COMPUTED_VALUE"""),6975)</f>
        <v>6975</v>
      </c>
      <c r="D1251" s="2">
        <f ca="1">IFERROR(__xludf.DUMMYFUNCTION("""COMPUTED_VALUE"""),6550)</f>
        <v>6550</v>
      </c>
      <c r="E1251" s="2">
        <f ca="1">IFERROR(__xludf.DUMMYFUNCTION("""COMPUTED_VALUE"""),6750)</f>
        <v>6750</v>
      </c>
      <c r="F1251" s="2">
        <f ca="1">IFERROR(__xludf.DUMMYFUNCTION("""COMPUTED_VALUE"""),41380000)</f>
        <v>41380000</v>
      </c>
    </row>
    <row r="1252" spans="1:6">
      <c r="A1252" s="1">
        <f ca="1">IFERROR(__xludf.DUMMYFUNCTION("""COMPUTED_VALUE"""),43893.625)</f>
        <v>43893.625</v>
      </c>
      <c r="B1252" s="2">
        <f ca="1">IFERROR(__xludf.DUMMYFUNCTION("""COMPUTED_VALUE"""),6850)</f>
        <v>6850</v>
      </c>
      <c r="C1252" s="2">
        <f ca="1">IFERROR(__xludf.DUMMYFUNCTION("""COMPUTED_VALUE"""),6950)</f>
        <v>6950</v>
      </c>
      <c r="D1252" s="2">
        <f ca="1">IFERROR(__xludf.DUMMYFUNCTION("""COMPUTED_VALUE"""),6700)</f>
        <v>6700</v>
      </c>
      <c r="E1252" s="2">
        <f ca="1">IFERROR(__xludf.DUMMYFUNCTION("""COMPUTED_VALUE"""),6800)</f>
        <v>6800</v>
      </c>
      <c r="F1252" s="2">
        <f ca="1">IFERROR(__xludf.DUMMYFUNCTION("""COMPUTED_VALUE"""),41705800)</f>
        <v>41705800</v>
      </c>
    </row>
    <row r="1253" spans="1:6">
      <c r="A1253" s="1">
        <f ca="1">IFERROR(__xludf.DUMMYFUNCTION("""COMPUTED_VALUE"""),43894.625)</f>
        <v>43894.625</v>
      </c>
      <c r="B1253" s="2">
        <f ca="1">IFERROR(__xludf.DUMMYFUNCTION("""COMPUTED_VALUE"""),6800)</f>
        <v>6800</v>
      </c>
      <c r="C1253" s="2">
        <f ca="1">IFERROR(__xludf.DUMMYFUNCTION("""COMPUTED_VALUE"""),7000)</f>
        <v>7000</v>
      </c>
      <c r="D1253" s="2">
        <f ca="1">IFERROR(__xludf.DUMMYFUNCTION("""COMPUTED_VALUE"""),6725)</f>
        <v>6725</v>
      </c>
      <c r="E1253" s="2">
        <f ca="1">IFERROR(__xludf.DUMMYFUNCTION("""COMPUTED_VALUE"""),6950)</f>
        <v>6950</v>
      </c>
      <c r="F1253" s="2">
        <f ca="1">IFERROR(__xludf.DUMMYFUNCTION("""COMPUTED_VALUE"""),38848200)</f>
        <v>38848200</v>
      </c>
    </row>
    <row r="1254" spans="1:6">
      <c r="A1254" s="1">
        <f ca="1">IFERROR(__xludf.DUMMYFUNCTION("""COMPUTED_VALUE"""),43895.625)</f>
        <v>43895.625</v>
      </c>
      <c r="B1254" s="2">
        <f ca="1">IFERROR(__xludf.DUMMYFUNCTION("""COMPUTED_VALUE"""),7000)</f>
        <v>7000</v>
      </c>
      <c r="C1254" s="2">
        <f ca="1">IFERROR(__xludf.DUMMYFUNCTION("""COMPUTED_VALUE"""),7050)</f>
        <v>7050</v>
      </c>
      <c r="D1254" s="2">
        <f ca="1">IFERROR(__xludf.DUMMYFUNCTION("""COMPUTED_VALUE"""),6750)</f>
        <v>6750</v>
      </c>
      <c r="E1254" s="2">
        <f ca="1">IFERROR(__xludf.DUMMYFUNCTION("""COMPUTED_VALUE"""),6825)</f>
        <v>6825</v>
      </c>
      <c r="F1254" s="2">
        <f ca="1">IFERROR(__xludf.DUMMYFUNCTION("""COMPUTED_VALUE"""),39130600)</f>
        <v>39130600</v>
      </c>
    </row>
    <row r="1255" spans="1:6">
      <c r="A1255" s="1">
        <f ca="1">IFERROR(__xludf.DUMMYFUNCTION("""COMPUTED_VALUE"""),43896.625)</f>
        <v>43896.625</v>
      </c>
      <c r="B1255" s="2">
        <f ca="1">IFERROR(__xludf.DUMMYFUNCTION("""COMPUTED_VALUE"""),6700)</f>
        <v>6700</v>
      </c>
      <c r="C1255" s="2">
        <f ca="1">IFERROR(__xludf.DUMMYFUNCTION("""COMPUTED_VALUE"""),6700)</f>
        <v>6700</v>
      </c>
      <c r="D1255" s="2">
        <f ca="1">IFERROR(__xludf.DUMMYFUNCTION("""COMPUTED_VALUE"""),6400)</f>
        <v>6400</v>
      </c>
      <c r="E1255" s="2">
        <f ca="1">IFERROR(__xludf.DUMMYFUNCTION("""COMPUTED_VALUE"""),6400)</f>
        <v>6400</v>
      </c>
      <c r="F1255" s="2">
        <f ca="1">IFERROR(__xludf.DUMMYFUNCTION("""COMPUTED_VALUE"""),42861300)</f>
        <v>42861300</v>
      </c>
    </row>
    <row r="1256" spans="1:6">
      <c r="A1256" s="1">
        <f ca="1">IFERROR(__xludf.DUMMYFUNCTION("""COMPUTED_VALUE"""),43899.625)</f>
        <v>43899.625</v>
      </c>
      <c r="B1256" s="2">
        <f ca="1">IFERROR(__xludf.DUMMYFUNCTION("""COMPUTED_VALUE"""),6025)</f>
        <v>6025</v>
      </c>
      <c r="C1256" s="2">
        <f ca="1">IFERROR(__xludf.DUMMYFUNCTION("""COMPUTED_VALUE"""),6125)</f>
        <v>6125</v>
      </c>
      <c r="D1256" s="2">
        <f ca="1">IFERROR(__xludf.DUMMYFUNCTION("""COMPUTED_VALUE"""),5600)</f>
        <v>5600</v>
      </c>
      <c r="E1256" s="2">
        <f ca="1">IFERROR(__xludf.DUMMYFUNCTION("""COMPUTED_VALUE"""),5650)</f>
        <v>5650</v>
      </c>
      <c r="F1256" s="2">
        <f ca="1">IFERROR(__xludf.DUMMYFUNCTION("""COMPUTED_VALUE"""),68061300)</f>
        <v>68061300</v>
      </c>
    </row>
    <row r="1257" spans="1:6">
      <c r="A1257" s="1">
        <f ca="1">IFERROR(__xludf.DUMMYFUNCTION("""COMPUTED_VALUE"""),43900.625)</f>
        <v>43900.625</v>
      </c>
      <c r="B1257" s="2">
        <f ca="1">IFERROR(__xludf.DUMMYFUNCTION("""COMPUTED_VALUE"""),5700)</f>
        <v>5700</v>
      </c>
      <c r="C1257" s="2">
        <f ca="1">IFERROR(__xludf.DUMMYFUNCTION("""COMPUTED_VALUE"""),5925)</f>
        <v>5925</v>
      </c>
      <c r="D1257" s="2">
        <f ca="1">IFERROR(__xludf.DUMMYFUNCTION("""COMPUTED_VALUE"""),5600)</f>
        <v>5600</v>
      </c>
      <c r="E1257" s="2">
        <f ca="1">IFERROR(__xludf.DUMMYFUNCTION("""COMPUTED_VALUE"""),5675)</f>
        <v>5675</v>
      </c>
      <c r="F1257" s="2">
        <f ca="1">IFERROR(__xludf.DUMMYFUNCTION("""COMPUTED_VALUE"""),82270300)</f>
        <v>82270300</v>
      </c>
    </row>
    <row r="1258" spans="1:6">
      <c r="A1258" s="1">
        <f ca="1">IFERROR(__xludf.DUMMYFUNCTION("""COMPUTED_VALUE"""),43901.625)</f>
        <v>43901.625</v>
      </c>
      <c r="B1258" s="2">
        <f ca="1">IFERROR(__xludf.DUMMYFUNCTION("""COMPUTED_VALUE"""),5675)</f>
        <v>5675</v>
      </c>
      <c r="C1258" s="2">
        <f ca="1">IFERROR(__xludf.DUMMYFUNCTION("""COMPUTED_VALUE"""),5725)</f>
        <v>5725</v>
      </c>
      <c r="D1258" s="2">
        <f ca="1">IFERROR(__xludf.DUMMYFUNCTION("""COMPUTED_VALUE"""),5275)</f>
        <v>5275</v>
      </c>
      <c r="E1258" s="2">
        <f ca="1">IFERROR(__xludf.DUMMYFUNCTION("""COMPUTED_VALUE"""),5525)</f>
        <v>5525</v>
      </c>
      <c r="F1258" s="2">
        <f ca="1">IFERROR(__xludf.DUMMYFUNCTION("""COMPUTED_VALUE"""),53293800)</f>
        <v>53293800</v>
      </c>
    </row>
    <row r="1259" spans="1:6">
      <c r="A1259" s="1">
        <f ca="1">IFERROR(__xludf.DUMMYFUNCTION("""COMPUTED_VALUE"""),43902.625)</f>
        <v>43902.625</v>
      </c>
      <c r="B1259" s="2">
        <f ca="1">IFERROR(__xludf.DUMMYFUNCTION("""COMPUTED_VALUE"""),5200)</f>
        <v>5200</v>
      </c>
      <c r="C1259" s="2">
        <f ca="1">IFERROR(__xludf.DUMMYFUNCTION("""COMPUTED_VALUE"""),5375)</f>
        <v>5375</v>
      </c>
      <c r="D1259" s="2">
        <f ca="1">IFERROR(__xludf.DUMMYFUNCTION("""COMPUTED_VALUE"""),5000)</f>
        <v>5000</v>
      </c>
      <c r="E1259" s="2">
        <f ca="1">IFERROR(__xludf.DUMMYFUNCTION("""COMPUTED_VALUE"""),5025)</f>
        <v>5025</v>
      </c>
      <c r="F1259" s="2">
        <f ca="1">IFERROR(__xludf.DUMMYFUNCTION("""COMPUTED_VALUE"""),67685900)</f>
        <v>67685900</v>
      </c>
    </row>
    <row r="1260" spans="1:6">
      <c r="A1260" s="1">
        <f ca="1">IFERROR(__xludf.DUMMYFUNCTION("""COMPUTED_VALUE"""),43903.625)</f>
        <v>43903.625</v>
      </c>
      <c r="B1260" s="2">
        <f ca="1">IFERROR(__xludf.DUMMYFUNCTION("""COMPUTED_VALUE"""),4950)</f>
        <v>4950</v>
      </c>
      <c r="C1260" s="2">
        <f ca="1">IFERROR(__xludf.DUMMYFUNCTION("""COMPUTED_VALUE"""),5325)</f>
        <v>5325</v>
      </c>
      <c r="D1260" s="2">
        <f ca="1">IFERROR(__xludf.DUMMYFUNCTION("""COMPUTED_VALUE"""),4680)</f>
        <v>4680</v>
      </c>
      <c r="E1260" s="2">
        <f ca="1">IFERROR(__xludf.DUMMYFUNCTION("""COMPUTED_VALUE"""),5200)</f>
        <v>5200</v>
      </c>
      <c r="F1260" s="2">
        <f ca="1">IFERROR(__xludf.DUMMYFUNCTION("""COMPUTED_VALUE"""),86584500)</f>
        <v>86584500</v>
      </c>
    </row>
    <row r="1261" spans="1:6">
      <c r="A1261" s="1">
        <f ca="1">IFERROR(__xludf.DUMMYFUNCTION("""COMPUTED_VALUE"""),43906.625)</f>
        <v>43906.625</v>
      </c>
      <c r="B1261" s="2">
        <f ca="1">IFERROR(__xludf.DUMMYFUNCTION("""COMPUTED_VALUE"""),5100)</f>
        <v>5100</v>
      </c>
      <c r="C1261" s="2">
        <f ca="1">IFERROR(__xludf.DUMMYFUNCTION("""COMPUTED_VALUE"""),5250)</f>
        <v>5250</v>
      </c>
      <c r="D1261" s="2">
        <f ca="1">IFERROR(__xludf.DUMMYFUNCTION("""COMPUTED_VALUE"""),4840)</f>
        <v>4840</v>
      </c>
      <c r="E1261" s="2">
        <f ca="1">IFERROR(__xludf.DUMMYFUNCTION("""COMPUTED_VALUE"""),4840)</f>
        <v>4840</v>
      </c>
      <c r="F1261" s="2">
        <f ca="1">IFERROR(__xludf.DUMMYFUNCTION("""COMPUTED_VALUE"""),49165000)</f>
        <v>49165000</v>
      </c>
    </row>
    <row r="1262" spans="1:6">
      <c r="A1262" s="1">
        <f ca="1">IFERROR(__xludf.DUMMYFUNCTION("""COMPUTED_VALUE"""),43907.625)</f>
        <v>43907.625</v>
      </c>
      <c r="B1262" s="2">
        <f ca="1">IFERROR(__xludf.DUMMYFUNCTION("""COMPUTED_VALUE"""),4830)</f>
        <v>4830</v>
      </c>
      <c r="C1262" s="2">
        <f ca="1">IFERROR(__xludf.DUMMYFUNCTION("""COMPUTED_VALUE"""),4840)</f>
        <v>4840</v>
      </c>
      <c r="D1262" s="2">
        <f ca="1">IFERROR(__xludf.DUMMYFUNCTION("""COMPUTED_VALUE"""),4510)</f>
        <v>4510</v>
      </c>
      <c r="E1262" s="2">
        <f ca="1">IFERROR(__xludf.DUMMYFUNCTION("""COMPUTED_VALUE"""),4510)</f>
        <v>4510</v>
      </c>
      <c r="F1262" s="2">
        <f ca="1">IFERROR(__xludf.DUMMYFUNCTION("""COMPUTED_VALUE"""),68571000)</f>
        <v>68571000</v>
      </c>
    </row>
    <row r="1263" spans="1:6">
      <c r="A1263" s="1">
        <f ca="1">IFERROR(__xludf.DUMMYFUNCTION("""COMPUTED_VALUE"""),43908.625)</f>
        <v>43908.625</v>
      </c>
      <c r="B1263" s="2">
        <f ca="1">IFERROR(__xludf.DUMMYFUNCTION("""COMPUTED_VALUE"""),4590)</f>
        <v>4590</v>
      </c>
      <c r="C1263" s="2">
        <f ca="1">IFERROR(__xludf.DUMMYFUNCTION("""COMPUTED_VALUE"""),4590)</f>
        <v>4590</v>
      </c>
      <c r="D1263" s="2">
        <f ca="1">IFERROR(__xludf.DUMMYFUNCTION("""COMPUTED_VALUE"""),4200)</f>
        <v>4200</v>
      </c>
      <c r="E1263" s="2">
        <f ca="1">IFERROR(__xludf.DUMMYFUNCTION("""COMPUTED_VALUE"""),4200)</f>
        <v>4200</v>
      </c>
      <c r="F1263" s="2">
        <f ca="1">IFERROR(__xludf.DUMMYFUNCTION("""COMPUTED_VALUE"""),72267200)</f>
        <v>72267200</v>
      </c>
    </row>
    <row r="1264" spans="1:6">
      <c r="A1264" s="1">
        <f ca="1">IFERROR(__xludf.DUMMYFUNCTION("""COMPUTED_VALUE"""),43909.625)</f>
        <v>43909.625</v>
      </c>
      <c r="B1264" s="2">
        <f ca="1">IFERROR(__xludf.DUMMYFUNCTION("""COMPUTED_VALUE"""),3920)</f>
        <v>3920</v>
      </c>
      <c r="C1264" s="2">
        <f ca="1">IFERROR(__xludf.DUMMYFUNCTION("""COMPUTED_VALUE"""),3950)</f>
        <v>3950</v>
      </c>
      <c r="D1264" s="2">
        <f ca="1">IFERROR(__xludf.DUMMYFUNCTION("""COMPUTED_VALUE"""),3910)</f>
        <v>3910</v>
      </c>
      <c r="E1264" s="2">
        <f ca="1">IFERROR(__xludf.DUMMYFUNCTION("""COMPUTED_VALUE"""),3910)</f>
        <v>3910</v>
      </c>
      <c r="F1264" s="2">
        <f ca="1">IFERROR(__xludf.DUMMYFUNCTION("""COMPUTED_VALUE"""),10953100)</f>
        <v>10953100</v>
      </c>
    </row>
    <row r="1265" spans="1:6">
      <c r="A1265" s="1">
        <f ca="1">IFERROR(__xludf.DUMMYFUNCTION("""COMPUTED_VALUE"""),43910.625)</f>
        <v>43910.625</v>
      </c>
      <c r="B1265" s="2">
        <f ca="1">IFERROR(__xludf.DUMMYFUNCTION("""COMPUTED_VALUE"""),3800)</f>
        <v>3800</v>
      </c>
      <c r="C1265" s="2">
        <f ca="1">IFERROR(__xludf.DUMMYFUNCTION("""COMPUTED_VALUE"""),3800)</f>
        <v>3800</v>
      </c>
      <c r="D1265" s="2">
        <f ca="1">IFERROR(__xludf.DUMMYFUNCTION("""COMPUTED_VALUE"""),3640)</f>
        <v>3640</v>
      </c>
      <c r="E1265" s="2">
        <f ca="1">IFERROR(__xludf.DUMMYFUNCTION("""COMPUTED_VALUE"""),3640)</f>
        <v>3640</v>
      </c>
      <c r="F1265" s="2">
        <f ca="1">IFERROR(__xludf.DUMMYFUNCTION("""COMPUTED_VALUE"""),175719600)</f>
        <v>175719600</v>
      </c>
    </row>
    <row r="1266" spans="1:6">
      <c r="A1266" s="1">
        <f ca="1">IFERROR(__xludf.DUMMYFUNCTION("""COMPUTED_VALUE"""),43913.625)</f>
        <v>43913.625</v>
      </c>
      <c r="B1266" s="2">
        <f ca="1">IFERROR(__xludf.DUMMYFUNCTION("""COMPUTED_VALUE"""),3530)</f>
        <v>3530</v>
      </c>
      <c r="C1266" s="2">
        <f ca="1">IFERROR(__xludf.DUMMYFUNCTION("""COMPUTED_VALUE"""),3530)</f>
        <v>3530</v>
      </c>
      <c r="D1266" s="2">
        <f ca="1">IFERROR(__xludf.DUMMYFUNCTION("""COMPUTED_VALUE"""),3390)</f>
        <v>3390</v>
      </c>
      <c r="E1266" s="2">
        <f ca="1">IFERROR(__xludf.DUMMYFUNCTION("""COMPUTED_VALUE"""),3390)</f>
        <v>3390</v>
      </c>
      <c r="F1266" s="2">
        <f ca="1">IFERROR(__xludf.DUMMYFUNCTION("""COMPUTED_VALUE"""),10574300)</f>
        <v>10574300</v>
      </c>
    </row>
    <row r="1267" spans="1:6">
      <c r="A1267" s="1">
        <f ca="1">IFERROR(__xludf.DUMMYFUNCTION("""COMPUTED_VALUE"""),43914.625)</f>
        <v>43914.625</v>
      </c>
      <c r="B1267" s="2">
        <f ca="1">IFERROR(__xludf.DUMMYFUNCTION("""COMPUTED_VALUE"""),3310)</f>
        <v>3310</v>
      </c>
      <c r="C1267" s="2">
        <f ca="1">IFERROR(__xludf.DUMMYFUNCTION("""COMPUTED_VALUE"""),3430)</f>
        <v>3430</v>
      </c>
      <c r="D1267" s="2">
        <f ca="1">IFERROR(__xludf.DUMMYFUNCTION("""COMPUTED_VALUE"""),3160)</f>
        <v>3160</v>
      </c>
      <c r="E1267" s="2">
        <f ca="1">IFERROR(__xludf.DUMMYFUNCTION("""COMPUTED_VALUE"""),3160)</f>
        <v>3160</v>
      </c>
      <c r="F1267" s="2">
        <f ca="1">IFERROR(__xludf.DUMMYFUNCTION("""COMPUTED_VALUE"""),132089300)</f>
        <v>132089300</v>
      </c>
    </row>
    <row r="1268" spans="1:6">
      <c r="A1268" s="1">
        <f ca="1">IFERROR(__xludf.DUMMYFUNCTION("""COMPUTED_VALUE"""),43916.625)</f>
        <v>43916.625</v>
      </c>
      <c r="B1268" s="2">
        <f ca="1">IFERROR(__xludf.DUMMYFUNCTION("""COMPUTED_VALUE"""),3160)</f>
        <v>3160</v>
      </c>
      <c r="C1268" s="2">
        <f ca="1">IFERROR(__xludf.DUMMYFUNCTION("""COMPUTED_VALUE"""),3690)</f>
        <v>3690</v>
      </c>
      <c r="D1268" s="2">
        <f ca="1">IFERROR(__xludf.DUMMYFUNCTION("""COMPUTED_VALUE"""),2970)</f>
        <v>2970</v>
      </c>
      <c r="E1268" s="2">
        <f ca="1">IFERROR(__xludf.DUMMYFUNCTION("""COMPUTED_VALUE"""),3590)</f>
        <v>3590</v>
      </c>
      <c r="F1268" s="2">
        <f ca="1">IFERROR(__xludf.DUMMYFUNCTION("""COMPUTED_VALUE"""),190756900)</f>
        <v>190756900</v>
      </c>
    </row>
    <row r="1269" spans="1:6">
      <c r="A1269" s="1">
        <f ca="1">IFERROR(__xludf.DUMMYFUNCTION("""COMPUTED_VALUE"""),43917.625)</f>
        <v>43917.625</v>
      </c>
      <c r="B1269" s="2">
        <f ca="1">IFERROR(__xludf.DUMMYFUNCTION("""COMPUTED_VALUE"""),3670)</f>
        <v>3670</v>
      </c>
      <c r="C1269" s="2">
        <f ca="1">IFERROR(__xludf.DUMMYFUNCTION("""COMPUTED_VALUE"""),4240)</f>
        <v>4240</v>
      </c>
      <c r="D1269" s="2">
        <f ca="1">IFERROR(__xludf.DUMMYFUNCTION("""COMPUTED_VALUE"""),3650)</f>
        <v>3650</v>
      </c>
      <c r="E1269" s="2">
        <f ca="1">IFERROR(__xludf.DUMMYFUNCTION("""COMPUTED_VALUE"""),3990)</f>
        <v>3990</v>
      </c>
      <c r="F1269" s="2">
        <f ca="1">IFERROR(__xludf.DUMMYFUNCTION("""COMPUTED_VALUE"""),164991800)</f>
        <v>164991800</v>
      </c>
    </row>
    <row r="1270" spans="1:6">
      <c r="A1270" s="1">
        <f ca="1">IFERROR(__xludf.DUMMYFUNCTION("""COMPUTED_VALUE"""),43920.625)</f>
        <v>43920.625</v>
      </c>
      <c r="B1270" s="2">
        <f ca="1">IFERROR(__xludf.DUMMYFUNCTION("""COMPUTED_VALUE"""),3960)</f>
        <v>3960</v>
      </c>
      <c r="C1270" s="2">
        <f ca="1">IFERROR(__xludf.DUMMYFUNCTION("""COMPUTED_VALUE"""),3960)</f>
        <v>3960</v>
      </c>
      <c r="D1270" s="2">
        <f ca="1">IFERROR(__xludf.DUMMYFUNCTION("""COMPUTED_VALUE"""),3720)</f>
        <v>3720</v>
      </c>
      <c r="E1270" s="2">
        <f ca="1">IFERROR(__xludf.DUMMYFUNCTION("""COMPUTED_VALUE"""),3720)</f>
        <v>3720</v>
      </c>
      <c r="F1270" s="2">
        <f ca="1">IFERROR(__xludf.DUMMYFUNCTION("""COMPUTED_VALUE"""),41072600)</f>
        <v>41072600</v>
      </c>
    </row>
    <row r="1271" spans="1:6">
      <c r="A1271" s="1">
        <f ca="1">IFERROR(__xludf.DUMMYFUNCTION("""COMPUTED_VALUE"""),43921.625)</f>
        <v>43921.625</v>
      </c>
      <c r="B1271" s="2">
        <f ca="1">IFERROR(__xludf.DUMMYFUNCTION("""COMPUTED_VALUE"""),3830)</f>
        <v>3830</v>
      </c>
      <c r="C1271" s="2">
        <f ca="1">IFERROR(__xludf.DUMMYFUNCTION("""COMPUTED_VALUE"""),4020)</f>
        <v>4020</v>
      </c>
      <c r="D1271" s="2">
        <f ca="1">IFERROR(__xludf.DUMMYFUNCTION("""COMPUTED_VALUE"""),3720)</f>
        <v>3720</v>
      </c>
      <c r="E1271" s="2">
        <f ca="1">IFERROR(__xludf.DUMMYFUNCTION("""COMPUTED_VALUE"""),3820)</f>
        <v>3820</v>
      </c>
      <c r="F1271" s="2">
        <f ca="1">IFERROR(__xludf.DUMMYFUNCTION("""COMPUTED_VALUE"""),99610200)</f>
        <v>99610200</v>
      </c>
    </row>
    <row r="1272" spans="1:6">
      <c r="A1272" s="1">
        <f ca="1">IFERROR(__xludf.DUMMYFUNCTION("""COMPUTED_VALUE"""),43922.625)</f>
        <v>43922.625</v>
      </c>
      <c r="B1272" s="2">
        <f ca="1">IFERROR(__xludf.DUMMYFUNCTION("""COMPUTED_VALUE"""),3830)</f>
        <v>3830</v>
      </c>
      <c r="C1272" s="2">
        <f ca="1">IFERROR(__xludf.DUMMYFUNCTION("""COMPUTED_VALUE"""),4000)</f>
        <v>4000</v>
      </c>
      <c r="D1272" s="2">
        <f ca="1">IFERROR(__xludf.DUMMYFUNCTION("""COMPUTED_VALUE"""),3670)</f>
        <v>3670</v>
      </c>
      <c r="E1272" s="2">
        <f ca="1">IFERROR(__xludf.DUMMYFUNCTION("""COMPUTED_VALUE"""),3680)</f>
        <v>3680</v>
      </c>
      <c r="F1272" s="2">
        <f ca="1">IFERROR(__xludf.DUMMYFUNCTION("""COMPUTED_VALUE"""),86485500)</f>
        <v>86485500</v>
      </c>
    </row>
    <row r="1273" spans="1:6">
      <c r="A1273" s="1">
        <f ca="1">IFERROR(__xludf.DUMMYFUNCTION("""COMPUTED_VALUE"""),43923.625)</f>
        <v>43923.625</v>
      </c>
      <c r="B1273" s="2">
        <f ca="1">IFERROR(__xludf.DUMMYFUNCTION("""COMPUTED_VALUE"""),3690)</f>
        <v>3690</v>
      </c>
      <c r="C1273" s="2">
        <f ca="1">IFERROR(__xludf.DUMMYFUNCTION("""COMPUTED_VALUE"""),3850)</f>
        <v>3850</v>
      </c>
      <c r="D1273" s="2">
        <f ca="1">IFERROR(__xludf.DUMMYFUNCTION("""COMPUTED_VALUE"""),3470)</f>
        <v>3470</v>
      </c>
      <c r="E1273" s="2">
        <f ca="1">IFERROR(__xludf.DUMMYFUNCTION("""COMPUTED_VALUE"""),3850)</f>
        <v>3850</v>
      </c>
      <c r="F1273" s="2">
        <f ca="1">IFERROR(__xludf.DUMMYFUNCTION("""COMPUTED_VALUE"""),58984400)</f>
        <v>58984400</v>
      </c>
    </row>
    <row r="1274" spans="1:6">
      <c r="A1274" s="1">
        <f ca="1">IFERROR(__xludf.DUMMYFUNCTION("""COMPUTED_VALUE"""),43924.625)</f>
        <v>43924.625</v>
      </c>
      <c r="B1274" s="2">
        <f ca="1">IFERROR(__xludf.DUMMYFUNCTION("""COMPUTED_VALUE"""),3880)</f>
        <v>3880</v>
      </c>
      <c r="C1274" s="2">
        <f ca="1">IFERROR(__xludf.DUMMYFUNCTION("""COMPUTED_VALUE"""),4040)</f>
        <v>4040</v>
      </c>
      <c r="D1274" s="2">
        <f ca="1">IFERROR(__xludf.DUMMYFUNCTION("""COMPUTED_VALUE"""),3840)</f>
        <v>3840</v>
      </c>
      <c r="E1274" s="2">
        <f ca="1">IFERROR(__xludf.DUMMYFUNCTION("""COMPUTED_VALUE"""),4010)</f>
        <v>4010</v>
      </c>
      <c r="F1274" s="2">
        <f ca="1">IFERROR(__xludf.DUMMYFUNCTION("""COMPUTED_VALUE"""),47584600)</f>
        <v>47584600</v>
      </c>
    </row>
    <row r="1275" spans="1:6">
      <c r="A1275" s="1">
        <f ca="1">IFERROR(__xludf.DUMMYFUNCTION("""COMPUTED_VALUE"""),43927.625)</f>
        <v>43927.625</v>
      </c>
      <c r="B1275" s="2">
        <f ca="1">IFERROR(__xludf.DUMMYFUNCTION("""COMPUTED_VALUE"""),4060)</f>
        <v>4060</v>
      </c>
      <c r="C1275" s="2">
        <f ca="1">IFERROR(__xludf.DUMMYFUNCTION("""COMPUTED_VALUE"""),4300)</f>
        <v>4300</v>
      </c>
      <c r="D1275" s="2">
        <f ca="1">IFERROR(__xludf.DUMMYFUNCTION("""COMPUTED_VALUE"""),4010)</f>
        <v>4010</v>
      </c>
      <c r="E1275" s="2">
        <f ca="1">IFERROR(__xludf.DUMMYFUNCTION("""COMPUTED_VALUE"""),4290)</f>
        <v>4290</v>
      </c>
      <c r="F1275" s="2">
        <f ca="1">IFERROR(__xludf.DUMMYFUNCTION("""COMPUTED_VALUE"""),61479800)</f>
        <v>61479800</v>
      </c>
    </row>
    <row r="1276" spans="1:6">
      <c r="A1276" s="1">
        <f ca="1">IFERROR(__xludf.DUMMYFUNCTION("""COMPUTED_VALUE"""),43928.625)</f>
        <v>43928.625</v>
      </c>
      <c r="B1276" s="2">
        <f ca="1">IFERROR(__xludf.DUMMYFUNCTION("""COMPUTED_VALUE"""),4490)</f>
        <v>4490</v>
      </c>
      <c r="C1276" s="2">
        <f ca="1">IFERROR(__xludf.DUMMYFUNCTION("""COMPUTED_VALUE"""),4650)</f>
        <v>4650</v>
      </c>
      <c r="D1276" s="2">
        <f ca="1">IFERROR(__xludf.DUMMYFUNCTION("""COMPUTED_VALUE"""),4120)</f>
        <v>4120</v>
      </c>
      <c r="E1276" s="2">
        <f ca="1">IFERROR(__xludf.DUMMYFUNCTION("""COMPUTED_VALUE"""),4310)</f>
        <v>4310</v>
      </c>
      <c r="F1276" s="2">
        <f ca="1">IFERROR(__xludf.DUMMYFUNCTION("""COMPUTED_VALUE"""),81628300)</f>
        <v>81628300</v>
      </c>
    </row>
    <row r="1277" spans="1:6">
      <c r="A1277" s="1">
        <f ca="1">IFERROR(__xludf.DUMMYFUNCTION("""COMPUTED_VALUE"""),43929.625)</f>
        <v>43929.625</v>
      </c>
      <c r="B1277" s="2">
        <f ca="1">IFERROR(__xludf.DUMMYFUNCTION("""COMPUTED_VALUE"""),4200)</f>
        <v>4200</v>
      </c>
      <c r="C1277" s="2">
        <f ca="1">IFERROR(__xludf.DUMMYFUNCTION("""COMPUTED_VALUE"""),4240)</f>
        <v>4240</v>
      </c>
      <c r="D1277" s="2">
        <f ca="1">IFERROR(__xludf.DUMMYFUNCTION("""COMPUTED_VALUE"""),4010)</f>
        <v>4010</v>
      </c>
      <c r="E1277" s="2">
        <f ca="1">IFERROR(__xludf.DUMMYFUNCTION("""COMPUTED_VALUE"""),4010)</f>
        <v>4010</v>
      </c>
      <c r="F1277" s="2">
        <f ca="1">IFERROR(__xludf.DUMMYFUNCTION("""COMPUTED_VALUE"""),61532700)</f>
        <v>61532700</v>
      </c>
    </row>
    <row r="1278" spans="1:6">
      <c r="A1278" s="1">
        <f ca="1">IFERROR(__xludf.DUMMYFUNCTION("""COMPUTED_VALUE"""),43930.625)</f>
        <v>43930.625</v>
      </c>
      <c r="B1278" s="2">
        <f ca="1">IFERROR(__xludf.DUMMYFUNCTION("""COMPUTED_VALUE"""),4100)</f>
        <v>4100</v>
      </c>
      <c r="C1278" s="2">
        <f ca="1">IFERROR(__xludf.DUMMYFUNCTION("""COMPUTED_VALUE"""),4150)</f>
        <v>4150</v>
      </c>
      <c r="D1278" s="2">
        <f ca="1">IFERROR(__xludf.DUMMYFUNCTION("""COMPUTED_VALUE"""),3870)</f>
        <v>3870</v>
      </c>
      <c r="E1278" s="2">
        <f ca="1">IFERROR(__xludf.DUMMYFUNCTION("""COMPUTED_VALUE"""),3990)</f>
        <v>3990</v>
      </c>
      <c r="F1278" s="2">
        <f ca="1">IFERROR(__xludf.DUMMYFUNCTION("""COMPUTED_VALUE"""),36659600)</f>
        <v>36659600</v>
      </c>
    </row>
    <row r="1279" spans="1:6">
      <c r="A1279" s="1">
        <f ca="1">IFERROR(__xludf.DUMMYFUNCTION("""COMPUTED_VALUE"""),43934.625)</f>
        <v>43934.625</v>
      </c>
      <c r="B1279" s="2">
        <f ca="1">IFERROR(__xludf.DUMMYFUNCTION("""COMPUTED_VALUE"""),4000)</f>
        <v>4000</v>
      </c>
      <c r="C1279" s="2">
        <f ca="1">IFERROR(__xludf.DUMMYFUNCTION("""COMPUTED_VALUE"""),4070)</f>
        <v>4070</v>
      </c>
      <c r="D1279" s="2">
        <f ca="1">IFERROR(__xludf.DUMMYFUNCTION("""COMPUTED_VALUE"""),3900)</f>
        <v>3900</v>
      </c>
      <c r="E1279" s="2">
        <f ca="1">IFERROR(__xludf.DUMMYFUNCTION("""COMPUTED_VALUE"""),3990)</f>
        <v>3990</v>
      </c>
      <c r="F1279" s="2">
        <f ca="1">IFERROR(__xludf.DUMMYFUNCTION("""COMPUTED_VALUE"""),20521300)</f>
        <v>20521300</v>
      </c>
    </row>
    <row r="1280" spans="1:6">
      <c r="A1280" s="1">
        <f ca="1">IFERROR(__xludf.DUMMYFUNCTION("""COMPUTED_VALUE"""),43935.625)</f>
        <v>43935.625</v>
      </c>
      <c r="B1280" s="2">
        <f ca="1">IFERROR(__xludf.DUMMYFUNCTION("""COMPUTED_VALUE"""),4000)</f>
        <v>4000</v>
      </c>
      <c r="C1280" s="2">
        <f ca="1">IFERROR(__xludf.DUMMYFUNCTION("""COMPUTED_VALUE"""),4190)</f>
        <v>4190</v>
      </c>
      <c r="D1280" s="2">
        <f ca="1">IFERROR(__xludf.DUMMYFUNCTION("""COMPUTED_VALUE"""),4000)</f>
        <v>4000</v>
      </c>
      <c r="E1280" s="2">
        <f ca="1">IFERROR(__xludf.DUMMYFUNCTION("""COMPUTED_VALUE"""),4150)</f>
        <v>4150</v>
      </c>
      <c r="F1280" s="2">
        <f ca="1">IFERROR(__xludf.DUMMYFUNCTION("""COMPUTED_VALUE"""),28841600)</f>
        <v>28841600</v>
      </c>
    </row>
    <row r="1281" spans="1:6">
      <c r="A1281" s="1">
        <f ca="1">IFERROR(__xludf.DUMMYFUNCTION("""COMPUTED_VALUE"""),43936.625)</f>
        <v>43936.625</v>
      </c>
      <c r="B1281" s="2">
        <f ca="1">IFERROR(__xludf.DUMMYFUNCTION("""COMPUTED_VALUE"""),4160)</f>
        <v>4160</v>
      </c>
      <c r="C1281" s="2">
        <f ca="1">IFERROR(__xludf.DUMMYFUNCTION("""COMPUTED_VALUE"""),4230)</f>
        <v>4230</v>
      </c>
      <c r="D1281" s="2">
        <f ca="1">IFERROR(__xludf.DUMMYFUNCTION("""COMPUTED_VALUE"""),3990)</f>
        <v>3990</v>
      </c>
      <c r="E1281" s="2">
        <f ca="1">IFERROR(__xludf.DUMMYFUNCTION("""COMPUTED_VALUE"""),4200)</f>
        <v>4200</v>
      </c>
      <c r="F1281" s="2">
        <f ca="1">IFERROR(__xludf.DUMMYFUNCTION("""COMPUTED_VALUE"""),37601800)</f>
        <v>37601800</v>
      </c>
    </row>
    <row r="1282" spans="1:6">
      <c r="A1282" s="1">
        <f ca="1">IFERROR(__xludf.DUMMYFUNCTION("""COMPUTED_VALUE"""),43937.625)</f>
        <v>43937.625</v>
      </c>
      <c r="B1282" s="2">
        <f ca="1">IFERROR(__xludf.DUMMYFUNCTION("""COMPUTED_VALUE"""),4100)</f>
        <v>4100</v>
      </c>
      <c r="C1282" s="2">
        <f ca="1">IFERROR(__xludf.DUMMYFUNCTION("""COMPUTED_VALUE"""),4100)</f>
        <v>4100</v>
      </c>
      <c r="D1282" s="2">
        <f ca="1">IFERROR(__xludf.DUMMYFUNCTION("""COMPUTED_VALUE"""),3950)</f>
        <v>3950</v>
      </c>
      <c r="E1282" s="2">
        <f ca="1">IFERROR(__xludf.DUMMYFUNCTION("""COMPUTED_VALUE"""),3980)</f>
        <v>3980</v>
      </c>
      <c r="F1282" s="2">
        <f ca="1">IFERROR(__xludf.DUMMYFUNCTION("""COMPUTED_VALUE"""),46381900)</f>
        <v>46381900</v>
      </c>
    </row>
    <row r="1283" spans="1:6">
      <c r="A1283" s="1">
        <f ca="1">IFERROR(__xludf.DUMMYFUNCTION("""COMPUTED_VALUE"""),43938.625)</f>
        <v>43938.625</v>
      </c>
      <c r="B1283" s="2">
        <f ca="1">IFERROR(__xludf.DUMMYFUNCTION("""COMPUTED_VALUE"""),4070)</f>
        <v>4070</v>
      </c>
      <c r="C1283" s="2">
        <f ca="1">IFERROR(__xludf.DUMMYFUNCTION("""COMPUTED_VALUE"""),4170)</f>
        <v>4170</v>
      </c>
      <c r="D1283" s="2">
        <f ca="1">IFERROR(__xludf.DUMMYFUNCTION("""COMPUTED_VALUE"""),4070)</f>
        <v>4070</v>
      </c>
      <c r="E1283" s="2">
        <f ca="1">IFERROR(__xludf.DUMMYFUNCTION("""COMPUTED_VALUE"""),4160)</f>
        <v>4160</v>
      </c>
      <c r="F1283" s="2">
        <f ca="1">IFERROR(__xludf.DUMMYFUNCTION("""COMPUTED_VALUE"""),44520700)</f>
        <v>44520700</v>
      </c>
    </row>
    <row r="1284" spans="1:6">
      <c r="A1284" s="1">
        <f ca="1">IFERROR(__xludf.DUMMYFUNCTION("""COMPUTED_VALUE"""),43941.625)</f>
        <v>43941.625</v>
      </c>
      <c r="B1284" s="2">
        <f ca="1">IFERROR(__xludf.DUMMYFUNCTION("""COMPUTED_VALUE"""),4170)</f>
        <v>4170</v>
      </c>
      <c r="C1284" s="2">
        <f ca="1">IFERROR(__xludf.DUMMYFUNCTION("""COMPUTED_VALUE"""),4240)</f>
        <v>4240</v>
      </c>
      <c r="D1284" s="2">
        <f ca="1">IFERROR(__xludf.DUMMYFUNCTION("""COMPUTED_VALUE"""),4070)</f>
        <v>4070</v>
      </c>
      <c r="E1284" s="2">
        <f ca="1">IFERROR(__xludf.DUMMYFUNCTION("""COMPUTED_VALUE"""),4100)</f>
        <v>4100</v>
      </c>
      <c r="F1284" s="2">
        <f ca="1">IFERROR(__xludf.DUMMYFUNCTION("""COMPUTED_VALUE"""),34882800)</f>
        <v>34882800</v>
      </c>
    </row>
    <row r="1285" spans="1:6">
      <c r="A1285" s="1">
        <f ca="1">IFERROR(__xludf.DUMMYFUNCTION("""COMPUTED_VALUE"""),43942.625)</f>
        <v>43942.625</v>
      </c>
      <c r="B1285" s="2">
        <f ca="1">IFERROR(__xludf.DUMMYFUNCTION("""COMPUTED_VALUE"""),4080)</f>
        <v>4080</v>
      </c>
      <c r="C1285" s="2">
        <f ca="1">IFERROR(__xludf.DUMMYFUNCTION("""COMPUTED_VALUE"""),4100)</f>
        <v>4100</v>
      </c>
      <c r="D1285" s="2">
        <f ca="1">IFERROR(__xludf.DUMMYFUNCTION("""COMPUTED_VALUE"""),3990)</f>
        <v>3990</v>
      </c>
      <c r="E1285" s="2">
        <f ca="1">IFERROR(__xludf.DUMMYFUNCTION("""COMPUTED_VALUE"""),4030)</f>
        <v>4030</v>
      </c>
      <c r="F1285" s="2">
        <f ca="1">IFERROR(__xludf.DUMMYFUNCTION("""COMPUTED_VALUE"""),20857600)</f>
        <v>20857600</v>
      </c>
    </row>
    <row r="1286" spans="1:6">
      <c r="A1286" s="1">
        <f ca="1">IFERROR(__xludf.DUMMYFUNCTION("""COMPUTED_VALUE"""),43943.625)</f>
        <v>43943.625</v>
      </c>
      <c r="B1286" s="2">
        <f ca="1">IFERROR(__xludf.DUMMYFUNCTION("""COMPUTED_VALUE"""),3970)</f>
        <v>3970</v>
      </c>
      <c r="C1286" s="2">
        <f ca="1">IFERROR(__xludf.DUMMYFUNCTION("""COMPUTED_VALUE"""),4070)</f>
        <v>4070</v>
      </c>
      <c r="D1286" s="2">
        <f ca="1">IFERROR(__xludf.DUMMYFUNCTION("""COMPUTED_VALUE"""),3900)</f>
        <v>3900</v>
      </c>
      <c r="E1286" s="2">
        <f ca="1">IFERROR(__xludf.DUMMYFUNCTION("""COMPUTED_VALUE"""),4020)</f>
        <v>4020</v>
      </c>
      <c r="F1286" s="2">
        <f ca="1">IFERROR(__xludf.DUMMYFUNCTION("""COMPUTED_VALUE"""),52828200)</f>
        <v>52828200</v>
      </c>
    </row>
    <row r="1287" spans="1:6">
      <c r="A1287" s="1">
        <f ca="1">IFERROR(__xludf.DUMMYFUNCTION("""COMPUTED_VALUE"""),43944.625)</f>
        <v>43944.625</v>
      </c>
      <c r="B1287" s="2">
        <f ca="1">IFERROR(__xludf.DUMMYFUNCTION("""COMPUTED_VALUE"""),4050)</f>
        <v>4050</v>
      </c>
      <c r="C1287" s="2">
        <f ca="1">IFERROR(__xludf.DUMMYFUNCTION("""COMPUTED_VALUE"""),4070)</f>
        <v>4070</v>
      </c>
      <c r="D1287" s="2">
        <f ca="1">IFERROR(__xludf.DUMMYFUNCTION("""COMPUTED_VALUE"""),3990)</f>
        <v>3990</v>
      </c>
      <c r="E1287" s="2">
        <f ca="1">IFERROR(__xludf.DUMMYFUNCTION("""COMPUTED_VALUE"""),4020)</f>
        <v>4020</v>
      </c>
      <c r="F1287" s="2">
        <f ca="1">IFERROR(__xludf.DUMMYFUNCTION("""COMPUTED_VALUE"""),38191400)</f>
        <v>38191400</v>
      </c>
    </row>
    <row r="1288" spans="1:6">
      <c r="A1288" s="1">
        <f ca="1">IFERROR(__xludf.DUMMYFUNCTION("""COMPUTED_VALUE"""),43945.625)</f>
        <v>43945.625</v>
      </c>
      <c r="B1288" s="2">
        <f ca="1">IFERROR(__xludf.DUMMYFUNCTION("""COMPUTED_VALUE"""),4020)</f>
        <v>4020</v>
      </c>
      <c r="C1288" s="2">
        <f ca="1">IFERROR(__xludf.DUMMYFUNCTION("""COMPUTED_VALUE"""),4020)</f>
        <v>4020</v>
      </c>
      <c r="D1288" s="2">
        <f ca="1">IFERROR(__xludf.DUMMYFUNCTION("""COMPUTED_VALUE"""),3780)</f>
        <v>3780</v>
      </c>
      <c r="E1288" s="2">
        <f ca="1">IFERROR(__xludf.DUMMYFUNCTION("""COMPUTED_VALUE"""),3800)</f>
        <v>3800</v>
      </c>
      <c r="F1288" s="2">
        <f ca="1">IFERROR(__xludf.DUMMYFUNCTION("""COMPUTED_VALUE"""),50322500)</f>
        <v>50322500</v>
      </c>
    </row>
    <row r="1289" spans="1:6">
      <c r="A1289" s="1">
        <f ca="1">IFERROR(__xludf.DUMMYFUNCTION("""COMPUTED_VALUE"""),43948.625)</f>
        <v>43948.625</v>
      </c>
      <c r="B1289" s="2">
        <f ca="1">IFERROR(__xludf.DUMMYFUNCTION("""COMPUTED_VALUE"""),3870)</f>
        <v>3870</v>
      </c>
      <c r="C1289" s="2">
        <f ca="1">IFERROR(__xludf.DUMMYFUNCTION("""COMPUTED_VALUE"""),3920)</f>
        <v>3920</v>
      </c>
      <c r="D1289" s="2">
        <f ca="1">IFERROR(__xludf.DUMMYFUNCTION("""COMPUTED_VALUE"""),3750)</f>
        <v>3750</v>
      </c>
      <c r="E1289" s="2">
        <f ca="1">IFERROR(__xludf.DUMMYFUNCTION("""COMPUTED_VALUE"""),3800)</f>
        <v>3800</v>
      </c>
      <c r="F1289" s="2">
        <f ca="1">IFERROR(__xludf.DUMMYFUNCTION("""COMPUTED_VALUE"""),34305100)</f>
        <v>34305100</v>
      </c>
    </row>
    <row r="1290" spans="1:6">
      <c r="A1290" s="1">
        <f ca="1">IFERROR(__xludf.DUMMYFUNCTION("""COMPUTED_VALUE"""),43949.625)</f>
        <v>43949.625</v>
      </c>
      <c r="B1290" s="2">
        <f ca="1">IFERROR(__xludf.DUMMYFUNCTION("""COMPUTED_VALUE"""),3820)</f>
        <v>3820</v>
      </c>
      <c r="C1290" s="2">
        <f ca="1">IFERROR(__xludf.DUMMYFUNCTION("""COMPUTED_VALUE"""),3830)</f>
        <v>3830</v>
      </c>
      <c r="D1290" s="2">
        <f ca="1">IFERROR(__xludf.DUMMYFUNCTION("""COMPUTED_VALUE"""),3750)</f>
        <v>3750</v>
      </c>
      <c r="E1290" s="2">
        <f ca="1">IFERROR(__xludf.DUMMYFUNCTION("""COMPUTED_VALUE"""),3820)</f>
        <v>3820</v>
      </c>
      <c r="F1290" s="2">
        <f ca="1">IFERROR(__xludf.DUMMYFUNCTION("""COMPUTED_VALUE"""),34998800)</f>
        <v>34998800</v>
      </c>
    </row>
    <row r="1291" spans="1:6">
      <c r="A1291" s="1">
        <f ca="1">IFERROR(__xludf.DUMMYFUNCTION("""COMPUTED_VALUE"""),43950.625)</f>
        <v>43950.625</v>
      </c>
      <c r="B1291" s="2">
        <f ca="1">IFERROR(__xludf.DUMMYFUNCTION("""COMPUTED_VALUE"""),3850)</f>
        <v>3850</v>
      </c>
      <c r="C1291" s="2">
        <f ca="1">IFERROR(__xludf.DUMMYFUNCTION("""COMPUTED_VALUE"""),3850)</f>
        <v>3850</v>
      </c>
      <c r="D1291" s="2">
        <f ca="1">IFERROR(__xludf.DUMMYFUNCTION("""COMPUTED_VALUE"""),3750)</f>
        <v>3750</v>
      </c>
      <c r="E1291" s="2">
        <f ca="1">IFERROR(__xludf.DUMMYFUNCTION("""COMPUTED_VALUE"""),3760)</f>
        <v>3760</v>
      </c>
      <c r="F1291" s="2">
        <f ca="1">IFERROR(__xludf.DUMMYFUNCTION("""COMPUTED_VALUE"""),32628800)</f>
        <v>32628800</v>
      </c>
    </row>
    <row r="1292" spans="1:6">
      <c r="A1292" s="1">
        <f ca="1">IFERROR(__xludf.DUMMYFUNCTION("""COMPUTED_VALUE"""),43951.625)</f>
        <v>43951.625</v>
      </c>
      <c r="B1292" s="2">
        <f ca="1">IFERROR(__xludf.DUMMYFUNCTION("""COMPUTED_VALUE"""),3820)</f>
        <v>3820</v>
      </c>
      <c r="C1292" s="2">
        <f ca="1">IFERROR(__xludf.DUMMYFUNCTION("""COMPUTED_VALUE"""),4100)</f>
        <v>4100</v>
      </c>
      <c r="D1292" s="2">
        <f ca="1">IFERROR(__xludf.DUMMYFUNCTION("""COMPUTED_VALUE"""),3800)</f>
        <v>3800</v>
      </c>
      <c r="E1292" s="2">
        <f ca="1">IFERROR(__xludf.DUMMYFUNCTION("""COMPUTED_VALUE"""),4100)</f>
        <v>4100</v>
      </c>
      <c r="F1292" s="2">
        <f ca="1">IFERROR(__xludf.DUMMYFUNCTION("""COMPUTED_VALUE"""),63194600)</f>
        <v>63194600</v>
      </c>
    </row>
    <row r="1293" spans="1:6">
      <c r="A1293" s="1">
        <f ca="1">IFERROR(__xludf.DUMMYFUNCTION("""COMPUTED_VALUE"""),43955.625)</f>
        <v>43955.625</v>
      </c>
      <c r="B1293" s="2">
        <f ca="1">IFERROR(__xludf.DUMMYFUNCTION("""COMPUTED_VALUE"""),4000)</f>
        <v>4000</v>
      </c>
      <c r="C1293" s="2">
        <f ca="1">IFERROR(__xludf.DUMMYFUNCTION("""COMPUTED_VALUE"""),4000)</f>
        <v>4000</v>
      </c>
      <c r="D1293" s="2">
        <f ca="1">IFERROR(__xludf.DUMMYFUNCTION("""COMPUTED_VALUE"""),3870)</f>
        <v>3870</v>
      </c>
      <c r="E1293" s="2">
        <f ca="1">IFERROR(__xludf.DUMMYFUNCTION("""COMPUTED_VALUE"""),3920)</f>
        <v>3920</v>
      </c>
      <c r="F1293" s="2">
        <f ca="1">IFERROR(__xludf.DUMMYFUNCTION("""COMPUTED_VALUE"""),33125800)</f>
        <v>33125800</v>
      </c>
    </row>
    <row r="1294" spans="1:6">
      <c r="A1294" s="1">
        <f ca="1">IFERROR(__xludf.DUMMYFUNCTION("""COMPUTED_VALUE"""),43956.625)</f>
        <v>43956.625</v>
      </c>
      <c r="B1294" s="2">
        <f ca="1">IFERROR(__xludf.DUMMYFUNCTION("""COMPUTED_VALUE"""),3960)</f>
        <v>3960</v>
      </c>
      <c r="C1294" s="2">
        <f ca="1">IFERROR(__xludf.DUMMYFUNCTION("""COMPUTED_VALUE"""),4030)</f>
        <v>4030</v>
      </c>
      <c r="D1294" s="2">
        <f ca="1">IFERROR(__xludf.DUMMYFUNCTION("""COMPUTED_VALUE"""),3780)</f>
        <v>3780</v>
      </c>
      <c r="E1294" s="2">
        <f ca="1">IFERROR(__xludf.DUMMYFUNCTION("""COMPUTED_VALUE"""),3840)</f>
        <v>3840</v>
      </c>
      <c r="F1294" s="2">
        <f ca="1">IFERROR(__xludf.DUMMYFUNCTION("""COMPUTED_VALUE"""),54280100)</f>
        <v>54280100</v>
      </c>
    </row>
    <row r="1295" spans="1:6">
      <c r="A1295" s="1">
        <f ca="1">IFERROR(__xludf.DUMMYFUNCTION("""COMPUTED_VALUE"""),43957.625)</f>
        <v>43957.625</v>
      </c>
      <c r="B1295" s="2">
        <f ca="1">IFERROR(__xludf.DUMMYFUNCTION("""COMPUTED_VALUE"""),3850)</f>
        <v>3850</v>
      </c>
      <c r="C1295" s="2">
        <f ca="1">IFERROR(__xludf.DUMMYFUNCTION("""COMPUTED_VALUE"""),3890)</f>
        <v>3890</v>
      </c>
      <c r="D1295" s="2">
        <f ca="1">IFERROR(__xludf.DUMMYFUNCTION("""COMPUTED_VALUE"""),3820)</f>
        <v>3820</v>
      </c>
      <c r="E1295" s="2">
        <f ca="1">IFERROR(__xludf.DUMMYFUNCTION("""COMPUTED_VALUE"""),3830)</f>
        <v>3830</v>
      </c>
      <c r="F1295" s="2">
        <f ca="1">IFERROR(__xludf.DUMMYFUNCTION("""COMPUTED_VALUE"""),41255900)</f>
        <v>41255900</v>
      </c>
    </row>
    <row r="1296" spans="1:6">
      <c r="A1296" s="1">
        <f ca="1">IFERROR(__xludf.DUMMYFUNCTION("""COMPUTED_VALUE"""),43959.625)</f>
        <v>43959.625</v>
      </c>
      <c r="B1296" s="2">
        <f ca="1">IFERROR(__xludf.DUMMYFUNCTION("""COMPUTED_VALUE"""),3850)</f>
        <v>3850</v>
      </c>
      <c r="C1296" s="2">
        <f ca="1">IFERROR(__xludf.DUMMYFUNCTION("""COMPUTED_VALUE"""),3870)</f>
        <v>3870</v>
      </c>
      <c r="D1296" s="2">
        <f ca="1">IFERROR(__xludf.DUMMYFUNCTION("""COMPUTED_VALUE"""),3790)</f>
        <v>3790</v>
      </c>
      <c r="E1296" s="2">
        <f ca="1">IFERROR(__xludf.DUMMYFUNCTION("""COMPUTED_VALUE"""),3800)</f>
        <v>3800</v>
      </c>
      <c r="F1296" s="2">
        <f ca="1">IFERROR(__xludf.DUMMYFUNCTION("""COMPUTED_VALUE"""),45523000)</f>
        <v>45523000</v>
      </c>
    </row>
    <row r="1297" spans="1:6">
      <c r="A1297" s="1">
        <f ca="1">IFERROR(__xludf.DUMMYFUNCTION("""COMPUTED_VALUE"""),43962.625)</f>
        <v>43962.625</v>
      </c>
      <c r="B1297" s="2">
        <f ca="1">IFERROR(__xludf.DUMMYFUNCTION("""COMPUTED_VALUE"""),3860)</f>
        <v>3860</v>
      </c>
      <c r="C1297" s="2">
        <f ca="1">IFERROR(__xludf.DUMMYFUNCTION("""COMPUTED_VALUE"""),3860)</f>
        <v>3860</v>
      </c>
      <c r="D1297" s="2">
        <f ca="1">IFERROR(__xludf.DUMMYFUNCTION("""COMPUTED_VALUE"""),3800)</f>
        <v>3800</v>
      </c>
      <c r="E1297" s="2">
        <f ca="1">IFERROR(__xludf.DUMMYFUNCTION("""COMPUTED_VALUE"""),3800)</f>
        <v>3800</v>
      </c>
      <c r="F1297" s="2">
        <f ca="1">IFERROR(__xludf.DUMMYFUNCTION("""COMPUTED_VALUE"""),40350800)</f>
        <v>40350800</v>
      </c>
    </row>
    <row r="1298" spans="1:6">
      <c r="A1298" s="1">
        <f ca="1">IFERROR(__xludf.DUMMYFUNCTION("""COMPUTED_VALUE"""),43963.625)</f>
        <v>43963.625</v>
      </c>
      <c r="B1298" s="2">
        <f ca="1">IFERROR(__xludf.DUMMYFUNCTION("""COMPUTED_VALUE"""),3820)</f>
        <v>3820</v>
      </c>
      <c r="C1298" s="2">
        <f ca="1">IFERROR(__xludf.DUMMYFUNCTION("""COMPUTED_VALUE"""),3820)</f>
        <v>3820</v>
      </c>
      <c r="D1298" s="2">
        <f ca="1">IFERROR(__xludf.DUMMYFUNCTION("""COMPUTED_VALUE"""),3650)</f>
        <v>3650</v>
      </c>
      <c r="E1298" s="2">
        <f ca="1">IFERROR(__xludf.DUMMYFUNCTION("""COMPUTED_VALUE"""),3660)</f>
        <v>3660</v>
      </c>
      <c r="F1298" s="2">
        <f ca="1">IFERROR(__xludf.DUMMYFUNCTION("""COMPUTED_VALUE"""),82388200)</f>
        <v>82388200</v>
      </c>
    </row>
    <row r="1299" spans="1:6">
      <c r="A1299" s="1">
        <f ca="1">IFERROR(__xludf.DUMMYFUNCTION("""COMPUTED_VALUE"""),43964.625)</f>
        <v>43964.625</v>
      </c>
      <c r="B1299" s="2">
        <f ca="1">IFERROR(__xludf.DUMMYFUNCTION("""COMPUTED_VALUE"""),3640)</f>
        <v>3640</v>
      </c>
      <c r="C1299" s="2">
        <f ca="1">IFERROR(__xludf.DUMMYFUNCTION("""COMPUTED_VALUE"""),3740)</f>
        <v>3740</v>
      </c>
      <c r="D1299" s="2">
        <f ca="1">IFERROR(__xludf.DUMMYFUNCTION("""COMPUTED_VALUE"""),3580)</f>
        <v>3580</v>
      </c>
      <c r="E1299" s="2">
        <f ca="1">IFERROR(__xludf.DUMMYFUNCTION("""COMPUTED_VALUE"""),3720)</f>
        <v>3720</v>
      </c>
      <c r="F1299" s="2">
        <f ca="1">IFERROR(__xludf.DUMMYFUNCTION("""COMPUTED_VALUE"""),39007300)</f>
        <v>39007300</v>
      </c>
    </row>
    <row r="1300" spans="1:6">
      <c r="A1300" s="1">
        <f ca="1">IFERROR(__xludf.DUMMYFUNCTION("""COMPUTED_VALUE"""),43965.625)</f>
        <v>43965.625</v>
      </c>
      <c r="B1300" s="2">
        <f ca="1">IFERROR(__xludf.DUMMYFUNCTION("""COMPUTED_VALUE"""),3670)</f>
        <v>3670</v>
      </c>
      <c r="C1300" s="2">
        <f ca="1">IFERROR(__xludf.DUMMYFUNCTION("""COMPUTED_VALUE"""),3740)</f>
        <v>3740</v>
      </c>
      <c r="D1300" s="2">
        <f ca="1">IFERROR(__xludf.DUMMYFUNCTION("""COMPUTED_VALUE"""),3510)</f>
        <v>3510</v>
      </c>
      <c r="E1300" s="2">
        <f ca="1">IFERROR(__xludf.DUMMYFUNCTION("""COMPUTED_VALUE"""),3540)</f>
        <v>3540</v>
      </c>
      <c r="F1300" s="2">
        <f ca="1">IFERROR(__xludf.DUMMYFUNCTION("""COMPUTED_VALUE"""),47306600)</f>
        <v>47306600</v>
      </c>
    </row>
    <row r="1301" spans="1:6">
      <c r="A1301" s="1">
        <f ca="1">IFERROR(__xludf.DUMMYFUNCTION("""COMPUTED_VALUE"""),43966.625)</f>
        <v>43966.625</v>
      </c>
      <c r="B1301" s="2">
        <f ca="1">IFERROR(__xludf.DUMMYFUNCTION("""COMPUTED_VALUE"""),3570)</f>
        <v>3570</v>
      </c>
      <c r="C1301" s="2">
        <f ca="1">IFERROR(__xludf.DUMMYFUNCTION("""COMPUTED_VALUE"""),3590)</f>
        <v>3590</v>
      </c>
      <c r="D1301" s="2">
        <f ca="1">IFERROR(__xludf.DUMMYFUNCTION("""COMPUTED_VALUE"""),3300)</f>
        <v>3300</v>
      </c>
      <c r="E1301" s="2">
        <f ca="1">IFERROR(__xludf.DUMMYFUNCTION("""COMPUTED_VALUE"""),3340)</f>
        <v>3340</v>
      </c>
      <c r="F1301" s="2">
        <f ca="1">IFERROR(__xludf.DUMMYFUNCTION("""COMPUTED_VALUE"""),86958200)</f>
        <v>86958200</v>
      </c>
    </row>
    <row r="1302" spans="1:6">
      <c r="A1302" s="1">
        <f ca="1">IFERROR(__xludf.DUMMYFUNCTION("""COMPUTED_VALUE"""),43969.625)</f>
        <v>43969.625</v>
      </c>
      <c r="B1302" s="2">
        <f ca="1">IFERROR(__xludf.DUMMYFUNCTION("""COMPUTED_VALUE"""),3380)</f>
        <v>3380</v>
      </c>
      <c r="C1302" s="2">
        <f ca="1">IFERROR(__xludf.DUMMYFUNCTION("""COMPUTED_VALUE"""),3410)</f>
        <v>3410</v>
      </c>
      <c r="D1302" s="2">
        <f ca="1">IFERROR(__xludf.DUMMYFUNCTION("""COMPUTED_VALUE"""),3270)</f>
        <v>3270</v>
      </c>
      <c r="E1302" s="2">
        <f ca="1">IFERROR(__xludf.DUMMYFUNCTION("""COMPUTED_VALUE"""),3330)</f>
        <v>3330</v>
      </c>
      <c r="F1302" s="2">
        <f ca="1">IFERROR(__xludf.DUMMYFUNCTION("""COMPUTED_VALUE"""),41810400)</f>
        <v>41810400</v>
      </c>
    </row>
    <row r="1303" spans="1:6">
      <c r="A1303" s="1">
        <f ca="1">IFERROR(__xludf.DUMMYFUNCTION("""COMPUTED_VALUE"""),43970.625)</f>
        <v>43970.625</v>
      </c>
      <c r="B1303" s="2">
        <f ca="1">IFERROR(__xludf.DUMMYFUNCTION("""COMPUTED_VALUE"""),3400)</f>
        <v>3400</v>
      </c>
      <c r="C1303" s="2">
        <f ca="1">IFERROR(__xludf.DUMMYFUNCTION("""COMPUTED_VALUE"""),3580)</f>
        <v>3580</v>
      </c>
      <c r="D1303" s="2">
        <f ca="1">IFERROR(__xludf.DUMMYFUNCTION("""COMPUTED_VALUE"""),3380)</f>
        <v>3380</v>
      </c>
      <c r="E1303" s="2">
        <f ca="1">IFERROR(__xludf.DUMMYFUNCTION("""COMPUTED_VALUE"""),3520)</f>
        <v>3520</v>
      </c>
      <c r="F1303" s="2">
        <f ca="1">IFERROR(__xludf.DUMMYFUNCTION("""COMPUTED_VALUE"""),77081500)</f>
        <v>77081500</v>
      </c>
    </row>
    <row r="1304" spans="1:6">
      <c r="A1304" s="1">
        <f ca="1">IFERROR(__xludf.DUMMYFUNCTION("""COMPUTED_VALUE"""),43971.625)</f>
        <v>43971.625</v>
      </c>
      <c r="B1304" s="2">
        <f ca="1">IFERROR(__xludf.DUMMYFUNCTION("""COMPUTED_VALUE"""),3570)</f>
        <v>3570</v>
      </c>
      <c r="C1304" s="2">
        <f ca="1">IFERROR(__xludf.DUMMYFUNCTION("""COMPUTED_VALUE"""),3640)</f>
        <v>3640</v>
      </c>
      <c r="D1304" s="2">
        <f ca="1">IFERROR(__xludf.DUMMYFUNCTION("""COMPUTED_VALUE"""),3420)</f>
        <v>3420</v>
      </c>
      <c r="E1304" s="2">
        <f ca="1">IFERROR(__xludf.DUMMYFUNCTION("""COMPUTED_VALUE"""),3600)</f>
        <v>3600</v>
      </c>
      <c r="F1304" s="2">
        <f ca="1">IFERROR(__xludf.DUMMYFUNCTION("""COMPUTED_VALUE"""),74301500)</f>
        <v>74301500</v>
      </c>
    </row>
    <row r="1305" spans="1:6">
      <c r="A1305" s="1">
        <f ca="1">IFERROR(__xludf.DUMMYFUNCTION("""COMPUTED_VALUE"""),43977.625)</f>
        <v>43977.625</v>
      </c>
      <c r="B1305" s="2">
        <f ca="1">IFERROR(__xludf.DUMMYFUNCTION("""COMPUTED_VALUE"""),3660)</f>
        <v>3660</v>
      </c>
      <c r="C1305" s="2">
        <f ca="1">IFERROR(__xludf.DUMMYFUNCTION("""COMPUTED_VALUE"""),3660)</f>
        <v>3660</v>
      </c>
      <c r="D1305" s="2">
        <f ca="1">IFERROR(__xludf.DUMMYFUNCTION("""COMPUTED_VALUE"""),3580)</f>
        <v>3580</v>
      </c>
      <c r="E1305" s="2">
        <f ca="1">IFERROR(__xludf.DUMMYFUNCTION("""COMPUTED_VALUE"""),3630)</f>
        <v>3630</v>
      </c>
      <c r="F1305" s="2">
        <f ca="1">IFERROR(__xludf.DUMMYFUNCTION("""COMPUTED_VALUE"""),44453400)</f>
        <v>44453400</v>
      </c>
    </row>
    <row r="1306" spans="1:6">
      <c r="A1306" s="1">
        <f ca="1">IFERROR(__xludf.DUMMYFUNCTION("""COMPUTED_VALUE"""),43978.625)</f>
        <v>43978.625</v>
      </c>
      <c r="B1306" s="2">
        <f ca="1">IFERROR(__xludf.DUMMYFUNCTION("""COMPUTED_VALUE"""),3640)</f>
        <v>3640</v>
      </c>
      <c r="C1306" s="2">
        <f ca="1">IFERROR(__xludf.DUMMYFUNCTION("""COMPUTED_VALUE"""),3700)</f>
        <v>3700</v>
      </c>
      <c r="D1306" s="2">
        <f ca="1">IFERROR(__xludf.DUMMYFUNCTION("""COMPUTED_VALUE"""),3580)</f>
        <v>3580</v>
      </c>
      <c r="E1306" s="2">
        <f ca="1">IFERROR(__xludf.DUMMYFUNCTION("""COMPUTED_VALUE"""),3630)</f>
        <v>3630</v>
      </c>
      <c r="F1306" s="2">
        <f ca="1">IFERROR(__xludf.DUMMYFUNCTION("""COMPUTED_VALUE"""),64238200)</f>
        <v>64238200</v>
      </c>
    </row>
    <row r="1307" spans="1:6">
      <c r="A1307" s="1">
        <f ca="1">IFERROR(__xludf.DUMMYFUNCTION("""COMPUTED_VALUE"""),43979.625)</f>
        <v>43979.625</v>
      </c>
      <c r="B1307" s="2">
        <f ca="1">IFERROR(__xludf.DUMMYFUNCTION("""COMPUTED_VALUE"""),3640)</f>
        <v>3640</v>
      </c>
      <c r="C1307" s="2">
        <f ca="1">IFERROR(__xludf.DUMMYFUNCTION("""COMPUTED_VALUE"""),3790)</f>
        <v>3790</v>
      </c>
      <c r="D1307" s="2">
        <f ca="1">IFERROR(__xludf.DUMMYFUNCTION("""COMPUTED_VALUE"""),3630)</f>
        <v>3630</v>
      </c>
      <c r="E1307" s="2">
        <f ca="1">IFERROR(__xludf.DUMMYFUNCTION("""COMPUTED_VALUE"""),3660)</f>
        <v>3660</v>
      </c>
      <c r="F1307" s="2">
        <f ca="1">IFERROR(__xludf.DUMMYFUNCTION("""COMPUTED_VALUE"""),116831000)</f>
        <v>116831000</v>
      </c>
    </row>
    <row r="1308" spans="1:6">
      <c r="A1308" s="1">
        <f ca="1">IFERROR(__xludf.DUMMYFUNCTION("""COMPUTED_VALUE"""),43980.625)</f>
        <v>43980.625</v>
      </c>
      <c r="B1308" s="2">
        <f ca="1">IFERROR(__xludf.DUMMYFUNCTION("""COMPUTED_VALUE"""),3660)</f>
        <v>3660</v>
      </c>
      <c r="C1308" s="2">
        <f ca="1">IFERROR(__xludf.DUMMYFUNCTION("""COMPUTED_VALUE"""),3860)</f>
        <v>3860</v>
      </c>
      <c r="D1308" s="2">
        <f ca="1">IFERROR(__xludf.DUMMYFUNCTION("""COMPUTED_VALUE"""),3590)</f>
        <v>3590</v>
      </c>
      <c r="E1308" s="2">
        <f ca="1">IFERROR(__xludf.DUMMYFUNCTION("""COMPUTED_VALUE"""),3830)</f>
        <v>3830</v>
      </c>
      <c r="F1308" s="2">
        <f ca="1">IFERROR(__xludf.DUMMYFUNCTION("""COMPUTED_VALUE"""),147057800)</f>
        <v>147057800</v>
      </c>
    </row>
    <row r="1309" spans="1:6">
      <c r="A1309" s="1">
        <f ca="1">IFERROR(__xludf.DUMMYFUNCTION("""COMPUTED_VALUE"""),43984.625)</f>
        <v>43984.625</v>
      </c>
      <c r="B1309" s="2">
        <f ca="1">IFERROR(__xludf.DUMMYFUNCTION("""COMPUTED_VALUE"""),3900)</f>
        <v>3900</v>
      </c>
      <c r="C1309" s="2">
        <f ca="1">IFERROR(__xludf.DUMMYFUNCTION("""COMPUTED_VALUE"""),4040)</f>
        <v>4040</v>
      </c>
      <c r="D1309" s="2">
        <f ca="1">IFERROR(__xludf.DUMMYFUNCTION("""COMPUTED_VALUE"""),3850)</f>
        <v>3850</v>
      </c>
      <c r="E1309" s="2">
        <f ca="1">IFERROR(__xludf.DUMMYFUNCTION("""COMPUTED_VALUE"""),3970)</f>
        <v>3970</v>
      </c>
      <c r="F1309" s="2">
        <f ca="1">IFERROR(__xludf.DUMMYFUNCTION("""COMPUTED_VALUE"""),131582200)</f>
        <v>131582200</v>
      </c>
    </row>
    <row r="1310" spans="1:6">
      <c r="A1310" s="1">
        <f ca="1">IFERROR(__xludf.DUMMYFUNCTION("""COMPUTED_VALUE"""),43985.625)</f>
        <v>43985.625</v>
      </c>
      <c r="B1310" s="2">
        <f ca="1">IFERROR(__xludf.DUMMYFUNCTION("""COMPUTED_VALUE"""),4020)</f>
        <v>4020</v>
      </c>
      <c r="C1310" s="2">
        <f ca="1">IFERROR(__xludf.DUMMYFUNCTION("""COMPUTED_VALUE"""),4190)</f>
        <v>4190</v>
      </c>
      <c r="D1310" s="2">
        <f ca="1">IFERROR(__xludf.DUMMYFUNCTION("""COMPUTED_VALUE"""),3880)</f>
        <v>3880</v>
      </c>
      <c r="E1310" s="2">
        <f ca="1">IFERROR(__xludf.DUMMYFUNCTION("""COMPUTED_VALUE"""),4130)</f>
        <v>4130</v>
      </c>
      <c r="F1310" s="2">
        <f ca="1">IFERROR(__xludf.DUMMYFUNCTION("""COMPUTED_VALUE"""),138504300)</f>
        <v>138504300</v>
      </c>
    </row>
    <row r="1311" spans="1:6">
      <c r="A1311" s="1">
        <f ca="1">IFERROR(__xludf.DUMMYFUNCTION("""COMPUTED_VALUE"""),43986.625)</f>
        <v>43986.625</v>
      </c>
      <c r="B1311" s="2">
        <f ca="1">IFERROR(__xludf.DUMMYFUNCTION("""COMPUTED_VALUE"""),4200)</f>
        <v>4200</v>
      </c>
      <c r="C1311" s="2">
        <f ca="1">IFERROR(__xludf.DUMMYFUNCTION("""COMPUTED_VALUE"""),4360)</f>
        <v>4360</v>
      </c>
      <c r="D1311" s="2">
        <f ca="1">IFERROR(__xludf.DUMMYFUNCTION("""COMPUTED_VALUE"""),4110)</f>
        <v>4110</v>
      </c>
      <c r="E1311" s="2">
        <f ca="1">IFERROR(__xludf.DUMMYFUNCTION("""COMPUTED_VALUE"""),4140)</f>
        <v>4140</v>
      </c>
      <c r="F1311" s="2">
        <f ca="1">IFERROR(__xludf.DUMMYFUNCTION("""COMPUTED_VALUE"""),113520800)</f>
        <v>113520800</v>
      </c>
    </row>
    <row r="1312" spans="1:6">
      <c r="A1312" s="1">
        <f ca="1">IFERROR(__xludf.DUMMYFUNCTION("""COMPUTED_VALUE"""),43987.625)</f>
        <v>43987.625</v>
      </c>
      <c r="B1312" s="2">
        <f ca="1">IFERROR(__xludf.DUMMYFUNCTION("""COMPUTED_VALUE"""),4200)</f>
        <v>4200</v>
      </c>
      <c r="C1312" s="2">
        <f ca="1">IFERROR(__xludf.DUMMYFUNCTION("""COMPUTED_VALUE"""),4290)</f>
        <v>4290</v>
      </c>
      <c r="D1312" s="2">
        <f ca="1">IFERROR(__xludf.DUMMYFUNCTION("""COMPUTED_VALUE"""),4030)</f>
        <v>4030</v>
      </c>
      <c r="E1312" s="2">
        <f ca="1">IFERROR(__xludf.DUMMYFUNCTION("""COMPUTED_VALUE"""),4250)</f>
        <v>4250</v>
      </c>
      <c r="F1312" s="2">
        <f ca="1">IFERROR(__xludf.DUMMYFUNCTION("""COMPUTED_VALUE"""),72690400)</f>
        <v>72690400</v>
      </c>
    </row>
    <row r="1313" spans="1:6">
      <c r="A1313" s="1">
        <f ca="1">IFERROR(__xludf.DUMMYFUNCTION("""COMPUTED_VALUE"""),43990.625)</f>
        <v>43990.625</v>
      </c>
      <c r="B1313" s="2">
        <f ca="1">IFERROR(__xludf.DUMMYFUNCTION("""COMPUTED_VALUE"""),4350)</f>
        <v>4350</v>
      </c>
      <c r="C1313" s="2">
        <f ca="1">IFERROR(__xludf.DUMMYFUNCTION("""COMPUTED_VALUE"""),4940)</f>
        <v>4940</v>
      </c>
      <c r="D1313" s="2">
        <f ca="1">IFERROR(__xludf.DUMMYFUNCTION("""COMPUTED_VALUE"""),4340)</f>
        <v>4340</v>
      </c>
      <c r="E1313" s="2">
        <f ca="1">IFERROR(__xludf.DUMMYFUNCTION("""COMPUTED_VALUE"""),4830)</f>
        <v>4830</v>
      </c>
      <c r="F1313" s="2">
        <f ca="1">IFERROR(__xludf.DUMMYFUNCTION("""COMPUTED_VALUE"""),155723800)</f>
        <v>155723800</v>
      </c>
    </row>
    <row r="1314" spans="1:6">
      <c r="A1314" s="1">
        <f ca="1">IFERROR(__xludf.DUMMYFUNCTION("""COMPUTED_VALUE"""),43991.625)</f>
        <v>43991.625</v>
      </c>
      <c r="B1314" s="2">
        <f ca="1">IFERROR(__xludf.DUMMYFUNCTION("""COMPUTED_VALUE"""),4900)</f>
        <v>4900</v>
      </c>
      <c r="C1314" s="2">
        <f ca="1">IFERROR(__xludf.DUMMYFUNCTION("""COMPUTED_VALUE"""),5150)</f>
        <v>5150</v>
      </c>
      <c r="D1314" s="2">
        <f ca="1">IFERROR(__xludf.DUMMYFUNCTION("""COMPUTED_VALUE"""),4850)</f>
        <v>4850</v>
      </c>
      <c r="E1314" s="2">
        <f ca="1">IFERROR(__xludf.DUMMYFUNCTION("""COMPUTED_VALUE"""),4860)</f>
        <v>4860</v>
      </c>
      <c r="F1314" s="2">
        <f ca="1">IFERROR(__xludf.DUMMYFUNCTION("""COMPUTED_VALUE"""),142855100)</f>
        <v>142855100</v>
      </c>
    </row>
    <row r="1315" spans="1:6">
      <c r="A1315" s="1">
        <f ca="1">IFERROR(__xludf.DUMMYFUNCTION("""COMPUTED_VALUE"""),43992.625)</f>
        <v>43992.625</v>
      </c>
      <c r="B1315" s="2">
        <f ca="1">IFERROR(__xludf.DUMMYFUNCTION("""COMPUTED_VALUE"""),4850)</f>
        <v>4850</v>
      </c>
      <c r="C1315" s="2">
        <f ca="1">IFERROR(__xludf.DUMMYFUNCTION("""COMPUTED_VALUE"""),4850)</f>
        <v>4850</v>
      </c>
      <c r="D1315" s="2">
        <f ca="1">IFERROR(__xludf.DUMMYFUNCTION("""COMPUTED_VALUE"""),4520)</f>
        <v>4520</v>
      </c>
      <c r="E1315" s="2">
        <f ca="1">IFERROR(__xludf.DUMMYFUNCTION("""COMPUTED_VALUE"""),4520)</f>
        <v>4520</v>
      </c>
      <c r="F1315" s="2">
        <f ca="1">IFERROR(__xludf.DUMMYFUNCTION("""COMPUTED_VALUE"""),151784400)</f>
        <v>151784400</v>
      </c>
    </row>
    <row r="1316" spans="1:6">
      <c r="A1316" s="1">
        <f ca="1">IFERROR(__xludf.DUMMYFUNCTION("""COMPUTED_VALUE"""),43993.625)</f>
        <v>43993.625</v>
      </c>
      <c r="B1316" s="2">
        <f ca="1">IFERROR(__xludf.DUMMYFUNCTION("""COMPUTED_VALUE"""),4510)</f>
        <v>4510</v>
      </c>
      <c r="C1316" s="2">
        <f ca="1">IFERROR(__xludf.DUMMYFUNCTION("""COMPUTED_VALUE"""),4510)</f>
        <v>4510</v>
      </c>
      <c r="D1316" s="2">
        <f ca="1">IFERROR(__xludf.DUMMYFUNCTION("""COMPUTED_VALUE"""),4210)</f>
        <v>4210</v>
      </c>
      <c r="E1316" s="2">
        <f ca="1">IFERROR(__xludf.DUMMYFUNCTION("""COMPUTED_VALUE"""),4210)</f>
        <v>4210</v>
      </c>
      <c r="F1316" s="2">
        <f ca="1">IFERROR(__xludf.DUMMYFUNCTION("""COMPUTED_VALUE"""),222042700)</f>
        <v>222042700</v>
      </c>
    </row>
    <row r="1317" spans="1:6">
      <c r="A1317" s="1">
        <f ca="1">IFERROR(__xludf.DUMMYFUNCTION("""COMPUTED_VALUE"""),43994.625)</f>
        <v>43994.625</v>
      </c>
      <c r="B1317" s="2">
        <f ca="1">IFERROR(__xludf.DUMMYFUNCTION("""COMPUTED_VALUE"""),4210)</f>
        <v>4210</v>
      </c>
      <c r="C1317" s="2">
        <f ca="1">IFERROR(__xludf.DUMMYFUNCTION("""COMPUTED_VALUE"""),4470)</f>
        <v>4470</v>
      </c>
      <c r="D1317" s="2">
        <f ca="1">IFERROR(__xludf.DUMMYFUNCTION("""COMPUTED_VALUE"""),3940)</f>
        <v>3940</v>
      </c>
      <c r="E1317" s="2">
        <f ca="1">IFERROR(__xludf.DUMMYFUNCTION("""COMPUTED_VALUE"""),4470)</f>
        <v>4470</v>
      </c>
      <c r="F1317" s="2">
        <f ca="1">IFERROR(__xludf.DUMMYFUNCTION("""COMPUTED_VALUE"""),199783700)</f>
        <v>199783700</v>
      </c>
    </row>
    <row r="1318" spans="1:6">
      <c r="A1318" s="1">
        <f ca="1">IFERROR(__xludf.DUMMYFUNCTION("""COMPUTED_VALUE"""),43997.625)</f>
        <v>43997.625</v>
      </c>
      <c r="B1318" s="2">
        <f ca="1">IFERROR(__xludf.DUMMYFUNCTION("""COMPUTED_VALUE"""),4480)</f>
        <v>4480</v>
      </c>
      <c r="C1318" s="2">
        <f ca="1">IFERROR(__xludf.DUMMYFUNCTION("""COMPUTED_VALUE"""),4500)</f>
        <v>4500</v>
      </c>
      <c r="D1318" s="2">
        <f ca="1">IFERROR(__xludf.DUMMYFUNCTION("""COMPUTED_VALUE"""),4180)</f>
        <v>4180</v>
      </c>
      <c r="E1318" s="2">
        <f ca="1">IFERROR(__xludf.DUMMYFUNCTION("""COMPUTED_VALUE"""),4200)</f>
        <v>4200</v>
      </c>
      <c r="F1318" s="2">
        <f ca="1">IFERROR(__xludf.DUMMYFUNCTION("""COMPUTED_VALUE"""),116652300)</f>
        <v>116652300</v>
      </c>
    </row>
    <row r="1319" spans="1:6">
      <c r="A1319" s="1">
        <f ca="1">IFERROR(__xludf.DUMMYFUNCTION("""COMPUTED_VALUE"""),43998.625)</f>
        <v>43998.625</v>
      </c>
      <c r="B1319" s="2">
        <f ca="1">IFERROR(__xludf.DUMMYFUNCTION("""COMPUTED_VALUE"""),4350)</f>
        <v>4350</v>
      </c>
      <c r="C1319" s="2">
        <f ca="1">IFERROR(__xludf.DUMMYFUNCTION("""COMPUTED_VALUE"""),4610)</f>
        <v>4610</v>
      </c>
      <c r="D1319" s="2">
        <f ca="1">IFERROR(__xludf.DUMMYFUNCTION("""COMPUTED_VALUE"""),4350)</f>
        <v>4350</v>
      </c>
      <c r="E1319" s="2">
        <f ca="1">IFERROR(__xludf.DUMMYFUNCTION("""COMPUTED_VALUE"""),4610)</f>
        <v>4610</v>
      </c>
      <c r="F1319" s="2">
        <f ca="1">IFERROR(__xludf.DUMMYFUNCTION("""COMPUTED_VALUE"""),131648800)</f>
        <v>131648800</v>
      </c>
    </row>
    <row r="1320" spans="1:6">
      <c r="A1320" s="1">
        <f ca="1">IFERROR(__xludf.DUMMYFUNCTION("""COMPUTED_VALUE"""),43999.625)</f>
        <v>43999.625</v>
      </c>
      <c r="B1320" s="2">
        <f ca="1">IFERROR(__xludf.DUMMYFUNCTION("""COMPUTED_VALUE"""),4680)</f>
        <v>4680</v>
      </c>
      <c r="C1320" s="2">
        <f ca="1">IFERROR(__xludf.DUMMYFUNCTION("""COMPUTED_VALUE"""),4750)</f>
        <v>4750</v>
      </c>
      <c r="D1320" s="2">
        <f ca="1">IFERROR(__xludf.DUMMYFUNCTION("""COMPUTED_VALUE"""),4510)</f>
        <v>4510</v>
      </c>
      <c r="E1320" s="2">
        <f ca="1">IFERROR(__xludf.DUMMYFUNCTION("""COMPUTED_VALUE"""),4550)</f>
        <v>4550</v>
      </c>
      <c r="F1320" s="2">
        <f ca="1">IFERROR(__xludf.DUMMYFUNCTION("""COMPUTED_VALUE"""),93134000)</f>
        <v>93134000</v>
      </c>
    </row>
    <row r="1321" spans="1:6">
      <c r="A1321" s="1">
        <f ca="1">IFERROR(__xludf.DUMMYFUNCTION("""COMPUTED_VALUE"""),44000.625)</f>
        <v>44000.625</v>
      </c>
      <c r="B1321" s="2">
        <f ca="1">IFERROR(__xludf.DUMMYFUNCTION("""COMPUTED_VALUE"""),4500)</f>
        <v>4500</v>
      </c>
      <c r="C1321" s="2">
        <f ca="1">IFERROR(__xludf.DUMMYFUNCTION("""COMPUTED_VALUE"""),4570)</f>
        <v>4570</v>
      </c>
      <c r="D1321" s="2">
        <f ca="1">IFERROR(__xludf.DUMMYFUNCTION("""COMPUTED_VALUE"""),4430)</f>
        <v>4430</v>
      </c>
      <c r="E1321" s="2">
        <f ca="1">IFERROR(__xludf.DUMMYFUNCTION("""COMPUTED_VALUE"""),4500)</f>
        <v>4500</v>
      </c>
      <c r="F1321" s="2">
        <f ca="1">IFERROR(__xludf.DUMMYFUNCTION("""COMPUTED_VALUE"""),52063500)</f>
        <v>52063500</v>
      </c>
    </row>
    <row r="1322" spans="1:6">
      <c r="A1322" s="1">
        <f ca="1">IFERROR(__xludf.DUMMYFUNCTION("""COMPUTED_VALUE"""),44001.625)</f>
        <v>44001.625</v>
      </c>
      <c r="B1322" s="2">
        <f ca="1">IFERROR(__xludf.DUMMYFUNCTION("""COMPUTED_VALUE"""),4550)</f>
        <v>4550</v>
      </c>
      <c r="C1322" s="2">
        <f ca="1">IFERROR(__xludf.DUMMYFUNCTION("""COMPUTED_VALUE"""),4570)</f>
        <v>4570</v>
      </c>
      <c r="D1322" s="2">
        <f ca="1">IFERROR(__xludf.DUMMYFUNCTION("""COMPUTED_VALUE"""),4450)</f>
        <v>4450</v>
      </c>
      <c r="E1322" s="2">
        <f ca="1">IFERROR(__xludf.DUMMYFUNCTION("""COMPUTED_VALUE"""),4480)</f>
        <v>4480</v>
      </c>
      <c r="F1322" s="2">
        <f ca="1">IFERROR(__xludf.DUMMYFUNCTION("""COMPUTED_VALUE"""),41239200)</f>
        <v>41239200</v>
      </c>
    </row>
    <row r="1323" spans="1:6">
      <c r="A1323" s="1">
        <f ca="1">IFERROR(__xludf.DUMMYFUNCTION("""COMPUTED_VALUE"""),44004.625)</f>
        <v>44004.625</v>
      </c>
      <c r="B1323" s="2">
        <f ca="1">IFERROR(__xludf.DUMMYFUNCTION("""COMPUTED_VALUE"""),4480)</f>
        <v>4480</v>
      </c>
      <c r="C1323" s="2">
        <f ca="1">IFERROR(__xludf.DUMMYFUNCTION("""COMPUTED_VALUE"""),4510)</f>
        <v>4510</v>
      </c>
      <c r="D1323" s="2">
        <f ca="1">IFERROR(__xludf.DUMMYFUNCTION("""COMPUTED_VALUE"""),4440)</f>
        <v>4440</v>
      </c>
      <c r="E1323" s="2">
        <f ca="1">IFERROR(__xludf.DUMMYFUNCTION("""COMPUTED_VALUE"""),4470)</f>
        <v>4470</v>
      </c>
      <c r="F1323" s="2">
        <f ca="1">IFERROR(__xludf.DUMMYFUNCTION("""COMPUTED_VALUE"""),25503400)</f>
        <v>25503400</v>
      </c>
    </row>
    <row r="1324" spans="1:6">
      <c r="A1324" s="1">
        <f ca="1">IFERROR(__xludf.DUMMYFUNCTION("""COMPUTED_VALUE"""),44005.625)</f>
        <v>44005.625</v>
      </c>
      <c r="B1324" s="2">
        <f ca="1">IFERROR(__xludf.DUMMYFUNCTION("""COMPUTED_VALUE"""),4470)</f>
        <v>4470</v>
      </c>
      <c r="C1324" s="2">
        <f ca="1">IFERROR(__xludf.DUMMYFUNCTION("""COMPUTED_VALUE"""),4470)</f>
        <v>4470</v>
      </c>
      <c r="D1324" s="2">
        <f ca="1">IFERROR(__xludf.DUMMYFUNCTION("""COMPUTED_VALUE"""),4320)</f>
        <v>4320</v>
      </c>
      <c r="E1324" s="2">
        <f ca="1">IFERROR(__xludf.DUMMYFUNCTION("""COMPUTED_VALUE"""),4380)</f>
        <v>4380</v>
      </c>
      <c r="F1324" s="2">
        <f ca="1">IFERROR(__xludf.DUMMYFUNCTION("""COMPUTED_VALUE"""),41767200)</f>
        <v>41767200</v>
      </c>
    </row>
    <row r="1325" spans="1:6">
      <c r="A1325" s="1">
        <f ca="1">IFERROR(__xludf.DUMMYFUNCTION("""COMPUTED_VALUE"""),44006.625)</f>
        <v>44006.625</v>
      </c>
      <c r="B1325" s="2">
        <f ca="1">IFERROR(__xludf.DUMMYFUNCTION("""COMPUTED_VALUE"""),4410)</f>
        <v>4410</v>
      </c>
      <c r="C1325" s="2">
        <f ca="1">IFERROR(__xludf.DUMMYFUNCTION("""COMPUTED_VALUE"""),4780)</f>
        <v>4780</v>
      </c>
      <c r="D1325" s="2">
        <f ca="1">IFERROR(__xludf.DUMMYFUNCTION("""COMPUTED_VALUE"""),4410)</f>
        <v>4410</v>
      </c>
      <c r="E1325" s="2">
        <f ca="1">IFERROR(__xludf.DUMMYFUNCTION("""COMPUTED_VALUE"""),4740)</f>
        <v>4740</v>
      </c>
      <c r="F1325" s="2">
        <f ca="1">IFERROR(__xludf.DUMMYFUNCTION("""COMPUTED_VALUE"""),151060600)</f>
        <v>151060600</v>
      </c>
    </row>
    <row r="1326" spans="1:6">
      <c r="A1326" s="1">
        <f ca="1">IFERROR(__xludf.DUMMYFUNCTION("""COMPUTED_VALUE"""),44007.625)</f>
        <v>44007.625</v>
      </c>
      <c r="B1326" s="2">
        <f ca="1">IFERROR(__xludf.DUMMYFUNCTION("""COMPUTED_VALUE"""),4670)</f>
        <v>4670</v>
      </c>
      <c r="C1326" s="2">
        <f ca="1">IFERROR(__xludf.DUMMYFUNCTION("""COMPUTED_VALUE"""),4690)</f>
        <v>4690</v>
      </c>
      <c r="D1326" s="2">
        <f ca="1">IFERROR(__xludf.DUMMYFUNCTION("""COMPUTED_VALUE"""),4510)</f>
        <v>4510</v>
      </c>
      <c r="E1326" s="2">
        <f ca="1">IFERROR(__xludf.DUMMYFUNCTION("""COMPUTED_VALUE"""),4550)</f>
        <v>4550</v>
      </c>
      <c r="F1326" s="2">
        <f ca="1">IFERROR(__xludf.DUMMYFUNCTION("""COMPUTED_VALUE"""),117822200)</f>
        <v>117822200</v>
      </c>
    </row>
    <row r="1327" spans="1:6">
      <c r="A1327" s="1">
        <f ca="1">IFERROR(__xludf.DUMMYFUNCTION("""COMPUTED_VALUE"""),44008.625)</f>
        <v>44008.625</v>
      </c>
      <c r="B1327" s="2">
        <f ca="1">IFERROR(__xludf.DUMMYFUNCTION("""COMPUTED_VALUE"""),4650)</f>
        <v>4650</v>
      </c>
      <c r="C1327" s="2">
        <f ca="1">IFERROR(__xludf.DUMMYFUNCTION("""COMPUTED_VALUE"""),4690)</f>
        <v>4690</v>
      </c>
      <c r="D1327" s="2">
        <f ca="1">IFERROR(__xludf.DUMMYFUNCTION("""COMPUTED_VALUE"""),4550)</f>
        <v>4550</v>
      </c>
      <c r="E1327" s="2">
        <f ca="1">IFERROR(__xludf.DUMMYFUNCTION("""COMPUTED_VALUE"""),4580)</f>
        <v>4580</v>
      </c>
      <c r="F1327" s="2">
        <f ca="1">IFERROR(__xludf.DUMMYFUNCTION("""COMPUTED_VALUE"""),66800100)</f>
        <v>66800100</v>
      </c>
    </row>
    <row r="1328" spans="1:6">
      <c r="A1328" s="1">
        <f ca="1">IFERROR(__xludf.DUMMYFUNCTION("""COMPUTED_VALUE"""),44011.625)</f>
        <v>44011.625</v>
      </c>
      <c r="B1328" s="2">
        <f ca="1">IFERROR(__xludf.DUMMYFUNCTION("""COMPUTED_VALUE"""),4550)</f>
        <v>4550</v>
      </c>
      <c r="C1328" s="2">
        <f ca="1">IFERROR(__xludf.DUMMYFUNCTION("""COMPUTED_VALUE"""),4600)</f>
        <v>4600</v>
      </c>
      <c r="D1328" s="2">
        <f ca="1">IFERROR(__xludf.DUMMYFUNCTION("""COMPUTED_VALUE"""),4490)</f>
        <v>4490</v>
      </c>
      <c r="E1328" s="2">
        <f ca="1">IFERROR(__xludf.DUMMYFUNCTION("""COMPUTED_VALUE"""),4590)</f>
        <v>4590</v>
      </c>
      <c r="F1328" s="2">
        <f ca="1">IFERROR(__xludf.DUMMYFUNCTION("""COMPUTED_VALUE"""),34983700)</f>
        <v>34983700</v>
      </c>
    </row>
    <row r="1329" spans="1:6">
      <c r="A1329" s="1">
        <f ca="1">IFERROR(__xludf.DUMMYFUNCTION("""COMPUTED_VALUE"""),44012.625)</f>
        <v>44012.625</v>
      </c>
      <c r="B1329" s="2">
        <f ca="1">IFERROR(__xludf.DUMMYFUNCTION("""COMPUTED_VALUE"""),4670)</f>
        <v>4670</v>
      </c>
      <c r="C1329" s="2">
        <f ca="1">IFERROR(__xludf.DUMMYFUNCTION("""COMPUTED_VALUE"""),4700)</f>
        <v>4700</v>
      </c>
      <c r="D1329" s="2">
        <f ca="1">IFERROR(__xludf.DUMMYFUNCTION("""COMPUTED_VALUE"""),4550)</f>
        <v>4550</v>
      </c>
      <c r="E1329" s="2">
        <f ca="1">IFERROR(__xludf.DUMMYFUNCTION("""COMPUTED_VALUE"""),4580)</f>
        <v>4580</v>
      </c>
      <c r="F1329" s="2">
        <f ca="1">IFERROR(__xludf.DUMMYFUNCTION("""COMPUTED_VALUE"""),61765000)</f>
        <v>61765000</v>
      </c>
    </row>
    <row r="1330" spans="1:6">
      <c r="A1330" s="1">
        <f ca="1">IFERROR(__xludf.DUMMYFUNCTION("""COMPUTED_VALUE"""),44013.625)</f>
        <v>44013.625</v>
      </c>
      <c r="B1330" s="2">
        <f ca="1">IFERROR(__xludf.DUMMYFUNCTION("""COMPUTED_VALUE"""),4600)</f>
        <v>4600</v>
      </c>
      <c r="C1330" s="2">
        <f ca="1">IFERROR(__xludf.DUMMYFUNCTION("""COMPUTED_VALUE"""),4630)</f>
        <v>4630</v>
      </c>
      <c r="D1330" s="2">
        <f ca="1">IFERROR(__xludf.DUMMYFUNCTION("""COMPUTED_VALUE"""),4510)</f>
        <v>4510</v>
      </c>
      <c r="E1330" s="2">
        <f ca="1">IFERROR(__xludf.DUMMYFUNCTION("""COMPUTED_VALUE"""),4540)</f>
        <v>4540</v>
      </c>
      <c r="F1330" s="2">
        <f ca="1">IFERROR(__xludf.DUMMYFUNCTION("""COMPUTED_VALUE"""),37014300)</f>
        <v>37014300</v>
      </c>
    </row>
    <row r="1331" spans="1:6">
      <c r="A1331" s="1">
        <f ca="1">IFERROR(__xludf.DUMMYFUNCTION("""COMPUTED_VALUE"""),44014.625)</f>
        <v>44014.625</v>
      </c>
      <c r="B1331" s="2">
        <f ca="1">IFERROR(__xludf.DUMMYFUNCTION("""COMPUTED_VALUE"""),4540)</f>
        <v>4540</v>
      </c>
      <c r="C1331" s="2">
        <f ca="1">IFERROR(__xludf.DUMMYFUNCTION("""COMPUTED_VALUE"""),4600)</f>
        <v>4600</v>
      </c>
      <c r="D1331" s="2">
        <f ca="1">IFERROR(__xludf.DUMMYFUNCTION("""COMPUTED_VALUE"""),4540)</f>
        <v>4540</v>
      </c>
      <c r="E1331" s="2">
        <f ca="1">IFERROR(__xludf.DUMMYFUNCTION("""COMPUTED_VALUE"""),4590)</f>
        <v>4590</v>
      </c>
      <c r="F1331" s="2">
        <f ca="1">IFERROR(__xludf.DUMMYFUNCTION("""COMPUTED_VALUE"""),28618200)</f>
        <v>28618200</v>
      </c>
    </row>
    <row r="1332" spans="1:6">
      <c r="A1332" s="1">
        <f ca="1">IFERROR(__xludf.DUMMYFUNCTION("""COMPUTED_VALUE"""),44015.625)</f>
        <v>44015.625</v>
      </c>
      <c r="B1332" s="2">
        <f ca="1">IFERROR(__xludf.DUMMYFUNCTION("""COMPUTED_VALUE"""),4600)</f>
        <v>4600</v>
      </c>
      <c r="C1332" s="2">
        <f ca="1">IFERROR(__xludf.DUMMYFUNCTION("""COMPUTED_VALUE"""),4640)</f>
        <v>4640</v>
      </c>
      <c r="D1332" s="2">
        <f ca="1">IFERROR(__xludf.DUMMYFUNCTION("""COMPUTED_VALUE"""),4550)</f>
        <v>4550</v>
      </c>
      <c r="E1332" s="2">
        <f ca="1">IFERROR(__xludf.DUMMYFUNCTION("""COMPUTED_VALUE"""),4560)</f>
        <v>4560</v>
      </c>
      <c r="F1332" s="2">
        <f ca="1">IFERROR(__xludf.DUMMYFUNCTION("""COMPUTED_VALUE"""),23764000)</f>
        <v>23764000</v>
      </c>
    </row>
    <row r="1333" spans="1:6">
      <c r="A1333" s="1">
        <f ca="1">IFERROR(__xludf.DUMMYFUNCTION("""COMPUTED_VALUE"""),44018.625)</f>
        <v>44018.625</v>
      </c>
      <c r="B1333" s="2">
        <f ca="1">IFERROR(__xludf.DUMMYFUNCTION("""COMPUTED_VALUE"""),4590)</f>
        <v>4590</v>
      </c>
      <c r="C1333" s="2">
        <f ca="1">IFERROR(__xludf.DUMMYFUNCTION("""COMPUTED_VALUE"""),4640)</f>
        <v>4640</v>
      </c>
      <c r="D1333" s="2">
        <f ca="1">IFERROR(__xludf.DUMMYFUNCTION("""COMPUTED_VALUE"""),4580)</f>
        <v>4580</v>
      </c>
      <c r="E1333" s="2">
        <f ca="1">IFERROR(__xludf.DUMMYFUNCTION("""COMPUTED_VALUE"""),4610)</f>
        <v>4610</v>
      </c>
      <c r="F1333" s="2">
        <f ca="1">IFERROR(__xludf.DUMMYFUNCTION("""COMPUTED_VALUE"""),31018200)</f>
        <v>31018200</v>
      </c>
    </row>
    <row r="1334" spans="1:6">
      <c r="A1334" s="1">
        <f ca="1">IFERROR(__xludf.DUMMYFUNCTION("""COMPUTED_VALUE"""),44019.625)</f>
        <v>44019.625</v>
      </c>
      <c r="B1334" s="2">
        <f ca="1">IFERROR(__xludf.DUMMYFUNCTION("""COMPUTED_VALUE"""),4650)</f>
        <v>4650</v>
      </c>
      <c r="C1334" s="2">
        <f ca="1">IFERROR(__xludf.DUMMYFUNCTION("""COMPUTED_VALUE"""),4660)</f>
        <v>4660</v>
      </c>
      <c r="D1334" s="2">
        <f ca="1">IFERROR(__xludf.DUMMYFUNCTION("""COMPUTED_VALUE"""),4580)</f>
        <v>4580</v>
      </c>
      <c r="E1334" s="2">
        <f ca="1">IFERROR(__xludf.DUMMYFUNCTION("""COMPUTED_VALUE"""),4600)</f>
        <v>4600</v>
      </c>
      <c r="F1334" s="2">
        <f ca="1">IFERROR(__xludf.DUMMYFUNCTION("""COMPUTED_VALUE"""),41042200)</f>
        <v>41042200</v>
      </c>
    </row>
    <row r="1335" spans="1:6">
      <c r="A1335" s="1">
        <f ca="1">IFERROR(__xludf.DUMMYFUNCTION("""COMPUTED_VALUE"""),44020.625)</f>
        <v>44020.625</v>
      </c>
      <c r="B1335" s="2">
        <f ca="1">IFERROR(__xludf.DUMMYFUNCTION("""COMPUTED_VALUE"""),4600)</f>
        <v>4600</v>
      </c>
      <c r="C1335" s="2">
        <f ca="1">IFERROR(__xludf.DUMMYFUNCTION("""COMPUTED_VALUE"""),4830)</f>
        <v>4830</v>
      </c>
      <c r="D1335" s="2">
        <f ca="1">IFERROR(__xludf.DUMMYFUNCTION("""COMPUTED_VALUE"""),4580)</f>
        <v>4580</v>
      </c>
      <c r="E1335" s="2">
        <f ca="1">IFERROR(__xludf.DUMMYFUNCTION("""COMPUTED_VALUE"""),4800)</f>
        <v>4800</v>
      </c>
      <c r="F1335" s="2">
        <f ca="1">IFERROR(__xludf.DUMMYFUNCTION("""COMPUTED_VALUE"""),115288400)</f>
        <v>115288400</v>
      </c>
    </row>
    <row r="1336" spans="1:6">
      <c r="A1336" s="1">
        <f ca="1">IFERROR(__xludf.DUMMYFUNCTION("""COMPUTED_VALUE"""),44021.625)</f>
        <v>44021.625</v>
      </c>
      <c r="B1336" s="2">
        <f ca="1">IFERROR(__xludf.DUMMYFUNCTION("""COMPUTED_VALUE"""),4820)</f>
        <v>4820</v>
      </c>
      <c r="C1336" s="2">
        <f ca="1">IFERROR(__xludf.DUMMYFUNCTION("""COMPUTED_VALUE"""),4860)</f>
        <v>4860</v>
      </c>
      <c r="D1336" s="2">
        <f ca="1">IFERROR(__xludf.DUMMYFUNCTION("""COMPUTED_VALUE"""),4720)</f>
        <v>4720</v>
      </c>
      <c r="E1336" s="2">
        <f ca="1">IFERROR(__xludf.DUMMYFUNCTION("""COMPUTED_VALUE"""),4730)</f>
        <v>4730</v>
      </c>
      <c r="F1336" s="2">
        <f ca="1">IFERROR(__xludf.DUMMYFUNCTION("""COMPUTED_VALUE"""),58250600)</f>
        <v>58250600</v>
      </c>
    </row>
    <row r="1337" spans="1:6">
      <c r="A1337" s="1">
        <f ca="1">IFERROR(__xludf.DUMMYFUNCTION("""COMPUTED_VALUE"""),44022.625)</f>
        <v>44022.625</v>
      </c>
      <c r="B1337" s="2">
        <f ca="1">IFERROR(__xludf.DUMMYFUNCTION("""COMPUTED_VALUE"""),4700)</f>
        <v>4700</v>
      </c>
      <c r="C1337" s="2">
        <f ca="1">IFERROR(__xludf.DUMMYFUNCTION("""COMPUTED_VALUE"""),4730)</f>
        <v>4730</v>
      </c>
      <c r="D1337" s="2">
        <f ca="1">IFERROR(__xludf.DUMMYFUNCTION("""COMPUTED_VALUE"""),4650)</f>
        <v>4650</v>
      </c>
      <c r="E1337" s="2">
        <f ca="1">IFERROR(__xludf.DUMMYFUNCTION("""COMPUTED_VALUE"""),4670)</f>
        <v>4670</v>
      </c>
      <c r="F1337" s="2">
        <f ca="1">IFERROR(__xludf.DUMMYFUNCTION("""COMPUTED_VALUE"""),37653000)</f>
        <v>37653000</v>
      </c>
    </row>
    <row r="1338" spans="1:6">
      <c r="A1338" s="1">
        <f ca="1">IFERROR(__xludf.DUMMYFUNCTION("""COMPUTED_VALUE"""),44025.625)</f>
        <v>44025.625</v>
      </c>
      <c r="B1338" s="2">
        <f ca="1">IFERROR(__xludf.DUMMYFUNCTION("""COMPUTED_VALUE"""),4700)</f>
        <v>4700</v>
      </c>
      <c r="C1338" s="2">
        <f ca="1">IFERROR(__xludf.DUMMYFUNCTION("""COMPUTED_VALUE"""),4770)</f>
        <v>4770</v>
      </c>
      <c r="D1338" s="2">
        <f ca="1">IFERROR(__xludf.DUMMYFUNCTION("""COMPUTED_VALUE"""),4700)</f>
        <v>4700</v>
      </c>
      <c r="E1338" s="2">
        <f ca="1">IFERROR(__xludf.DUMMYFUNCTION("""COMPUTED_VALUE"""),4750)</f>
        <v>4750</v>
      </c>
      <c r="F1338" s="2">
        <f ca="1">IFERROR(__xludf.DUMMYFUNCTION("""COMPUTED_VALUE"""),35545900)</f>
        <v>35545900</v>
      </c>
    </row>
    <row r="1339" spans="1:6">
      <c r="A1339" s="1">
        <f ca="1">IFERROR(__xludf.DUMMYFUNCTION("""COMPUTED_VALUE"""),44026.625)</f>
        <v>44026.625</v>
      </c>
      <c r="B1339" s="2">
        <f ca="1">IFERROR(__xludf.DUMMYFUNCTION("""COMPUTED_VALUE"""),4750)</f>
        <v>4750</v>
      </c>
      <c r="C1339" s="2">
        <f ca="1">IFERROR(__xludf.DUMMYFUNCTION("""COMPUTED_VALUE"""),4780)</f>
        <v>4780</v>
      </c>
      <c r="D1339" s="2">
        <f ca="1">IFERROR(__xludf.DUMMYFUNCTION("""COMPUTED_VALUE"""),4700)</f>
        <v>4700</v>
      </c>
      <c r="E1339" s="2">
        <f ca="1">IFERROR(__xludf.DUMMYFUNCTION("""COMPUTED_VALUE"""),4720)</f>
        <v>4720</v>
      </c>
      <c r="F1339" s="2">
        <f ca="1">IFERROR(__xludf.DUMMYFUNCTION("""COMPUTED_VALUE"""),48056500)</f>
        <v>48056500</v>
      </c>
    </row>
    <row r="1340" spans="1:6">
      <c r="A1340" s="1">
        <f ca="1">IFERROR(__xludf.DUMMYFUNCTION("""COMPUTED_VALUE"""),44027.625)</f>
        <v>44027.625</v>
      </c>
      <c r="B1340" s="2">
        <f ca="1">IFERROR(__xludf.DUMMYFUNCTION("""COMPUTED_VALUE"""),4760)</f>
        <v>4760</v>
      </c>
      <c r="C1340" s="2">
        <f ca="1">IFERROR(__xludf.DUMMYFUNCTION("""COMPUTED_VALUE"""),4780)</f>
        <v>4780</v>
      </c>
      <c r="D1340" s="2">
        <f ca="1">IFERROR(__xludf.DUMMYFUNCTION("""COMPUTED_VALUE"""),4710)</f>
        <v>4710</v>
      </c>
      <c r="E1340" s="2">
        <f ca="1">IFERROR(__xludf.DUMMYFUNCTION("""COMPUTED_VALUE"""),4710)</f>
        <v>4710</v>
      </c>
      <c r="F1340" s="2">
        <f ca="1">IFERROR(__xludf.DUMMYFUNCTION("""COMPUTED_VALUE"""),42310000)</f>
        <v>42310000</v>
      </c>
    </row>
    <row r="1341" spans="1:6">
      <c r="A1341" s="1">
        <f ca="1">IFERROR(__xludf.DUMMYFUNCTION("""COMPUTED_VALUE"""),44028.625)</f>
        <v>44028.625</v>
      </c>
      <c r="B1341" s="2">
        <f ca="1">IFERROR(__xludf.DUMMYFUNCTION("""COMPUTED_VALUE"""),4710)</f>
        <v>4710</v>
      </c>
      <c r="C1341" s="2">
        <f ca="1">IFERROR(__xludf.DUMMYFUNCTION("""COMPUTED_VALUE"""),4740)</f>
        <v>4740</v>
      </c>
      <c r="D1341" s="2">
        <f ca="1">IFERROR(__xludf.DUMMYFUNCTION("""COMPUTED_VALUE"""),4680)</f>
        <v>4680</v>
      </c>
      <c r="E1341" s="2">
        <f ca="1">IFERROR(__xludf.DUMMYFUNCTION("""COMPUTED_VALUE"""),4700)</f>
        <v>4700</v>
      </c>
      <c r="F1341" s="2">
        <f ca="1">IFERROR(__xludf.DUMMYFUNCTION("""COMPUTED_VALUE"""),43047100)</f>
        <v>43047100</v>
      </c>
    </row>
    <row r="1342" spans="1:6">
      <c r="A1342" s="1">
        <f ca="1">IFERROR(__xludf.DUMMYFUNCTION("""COMPUTED_VALUE"""),44029.625)</f>
        <v>44029.625</v>
      </c>
      <c r="B1342" s="2">
        <f ca="1">IFERROR(__xludf.DUMMYFUNCTION("""COMPUTED_VALUE"""),4680)</f>
        <v>4680</v>
      </c>
      <c r="C1342" s="2">
        <f ca="1">IFERROR(__xludf.DUMMYFUNCTION("""COMPUTED_VALUE"""),4720)</f>
        <v>4720</v>
      </c>
      <c r="D1342" s="2">
        <f ca="1">IFERROR(__xludf.DUMMYFUNCTION("""COMPUTED_VALUE"""),4670)</f>
        <v>4670</v>
      </c>
      <c r="E1342" s="2">
        <f ca="1">IFERROR(__xludf.DUMMYFUNCTION("""COMPUTED_VALUE"""),4670)</f>
        <v>4670</v>
      </c>
      <c r="F1342" s="2">
        <f ca="1">IFERROR(__xludf.DUMMYFUNCTION("""COMPUTED_VALUE"""),18783500)</f>
        <v>18783500</v>
      </c>
    </row>
    <row r="1343" spans="1:6">
      <c r="A1343" s="1">
        <f ca="1">IFERROR(__xludf.DUMMYFUNCTION("""COMPUTED_VALUE"""),44032.625)</f>
        <v>44032.625</v>
      </c>
      <c r="B1343" s="2">
        <f ca="1">IFERROR(__xludf.DUMMYFUNCTION("""COMPUTED_VALUE"""),4690)</f>
        <v>4690</v>
      </c>
      <c r="C1343" s="2">
        <f ca="1">IFERROR(__xludf.DUMMYFUNCTION("""COMPUTED_VALUE"""),4690)</f>
        <v>4690</v>
      </c>
      <c r="D1343" s="2">
        <f ca="1">IFERROR(__xludf.DUMMYFUNCTION("""COMPUTED_VALUE"""),4510)</f>
        <v>4510</v>
      </c>
      <c r="E1343" s="2">
        <f ca="1">IFERROR(__xludf.DUMMYFUNCTION("""COMPUTED_VALUE"""),4540)</f>
        <v>4540</v>
      </c>
      <c r="F1343" s="2">
        <f ca="1">IFERROR(__xludf.DUMMYFUNCTION("""COMPUTED_VALUE"""),67696500)</f>
        <v>67696500</v>
      </c>
    </row>
    <row r="1344" spans="1:6">
      <c r="A1344" s="1">
        <f ca="1">IFERROR(__xludf.DUMMYFUNCTION("""COMPUTED_VALUE"""),44033.625)</f>
        <v>44033.625</v>
      </c>
      <c r="B1344" s="2">
        <f ca="1">IFERROR(__xludf.DUMMYFUNCTION("""COMPUTED_VALUE"""),4570)</f>
        <v>4570</v>
      </c>
      <c r="C1344" s="2">
        <f ca="1">IFERROR(__xludf.DUMMYFUNCTION("""COMPUTED_VALUE"""),4700)</f>
        <v>4700</v>
      </c>
      <c r="D1344" s="2">
        <f ca="1">IFERROR(__xludf.DUMMYFUNCTION("""COMPUTED_VALUE"""),4560)</f>
        <v>4560</v>
      </c>
      <c r="E1344" s="2">
        <f ca="1">IFERROR(__xludf.DUMMYFUNCTION("""COMPUTED_VALUE"""),4680)</f>
        <v>4680</v>
      </c>
      <c r="F1344" s="2">
        <f ca="1">IFERROR(__xludf.DUMMYFUNCTION("""COMPUTED_VALUE"""),60836400)</f>
        <v>60836400</v>
      </c>
    </row>
    <row r="1345" spans="1:6">
      <c r="A1345" s="1">
        <f ca="1">IFERROR(__xludf.DUMMYFUNCTION("""COMPUTED_VALUE"""),44034.625)</f>
        <v>44034.625</v>
      </c>
      <c r="B1345" s="2">
        <f ca="1">IFERROR(__xludf.DUMMYFUNCTION("""COMPUTED_VALUE"""),4700)</f>
        <v>4700</v>
      </c>
      <c r="C1345" s="2">
        <f ca="1">IFERROR(__xludf.DUMMYFUNCTION("""COMPUTED_VALUE"""),4750)</f>
        <v>4750</v>
      </c>
      <c r="D1345" s="2">
        <f ca="1">IFERROR(__xludf.DUMMYFUNCTION("""COMPUTED_VALUE"""),4660)</f>
        <v>4660</v>
      </c>
      <c r="E1345" s="2">
        <f ca="1">IFERROR(__xludf.DUMMYFUNCTION("""COMPUTED_VALUE"""),4670)</f>
        <v>4670</v>
      </c>
      <c r="F1345" s="2">
        <f ca="1">IFERROR(__xludf.DUMMYFUNCTION("""COMPUTED_VALUE"""),48427100)</f>
        <v>48427100</v>
      </c>
    </row>
    <row r="1346" spans="1:6">
      <c r="A1346" s="1">
        <f ca="1">IFERROR(__xludf.DUMMYFUNCTION("""COMPUTED_VALUE"""),44035.625)</f>
        <v>44035.625</v>
      </c>
      <c r="B1346" s="2">
        <f ca="1">IFERROR(__xludf.DUMMYFUNCTION("""COMPUTED_VALUE"""),4690)</f>
        <v>4690</v>
      </c>
      <c r="C1346" s="2">
        <f ca="1">IFERROR(__xludf.DUMMYFUNCTION("""COMPUTED_VALUE"""),4790)</f>
        <v>4790</v>
      </c>
      <c r="D1346" s="2">
        <f ca="1">IFERROR(__xludf.DUMMYFUNCTION("""COMPUTED_VALUE"""),4670)</f>
        <v>4670</v>
      </c>
      <c r="E1346" s="2">
        <f ca="1">IFERROR(__xludf.DUMMYFUNCTION("""COMPUTED_VALUE"""),4710)</f>
        <v>4710</v>
      </c>
      <c r="F1346" s="2">
        <f ca="1">IFERROR(__xludf.DUMMYFUNCTION("""COMPUTED_VALUE"""),76062300)</f>
        <v>76062300</v>
      </c>
    </row>
    <row r="1347" spans="1:6">
      <c r="A1347" s="1">
        <f ca="1">IFERROR(__xludf.DUMMYFUNCTION("""COMPUTED_VALUE"""),44036.625)</f>
        <v>44036.625</v>
      </c>
      <c r="B1347" s="2">
        <f ca="1">IFERROR(__xludf.DUMMYFUNCTION("""COMPUTED_VALUE"""),4710)</f>
        <v>4710</v>
      </c>
      <c r="C1347" s="2">
        <f ca="1">IFERROR(__xludf.DUMMYFUNCTION("""COMPUTED_VALUE"""),4710)</f>
        <v>4710</v>
      </c>
      <c r="D1347" s="2">
        <f ca="1">IFERROR(__xludf.DUMMYFUNCTION("""COMPUTED_VALUE"""),4590)</f>
        <v>4590</v>
      </c>
      <c r="E1347" s="2">
        <f ca="1">IFERROR(__xludf.DUMMYFUNCTION("""COMPUTED_VALUE"""),4610)</f>
        <v>4610</v>
      </c>
      <c r="F1347" s="2">
        <f ca="1">IFERROR(__xludf.DUMMYFUNCTION("""COMPUTED_VALUE"""),54602800)</f>
        <v>54602800</v>
      </c>
    </row>
    <row r="1348" spans="1:6">
      <c r="A1348" s="1">
        <f ca="1">IFERROR(__xludf.DUMMYFUNCTION("""COMPUTED_VALUE"""),44039.625)</f>
        <v>44039.625</v>
      </c>
      <c r="B1348" s="2">
        <f ca="1">IFERROR(__xludf.DUMMYFUNCTION("""COMPUTED_VALUE"""),4640)</f>
        <v>4640</v>
      </c>
      <c r="C1348" s="2">
        <f ca="1">IFERROR(__xludf.DUMMYFUNCTION("""COMPUTED_VALUE"""),4660)</f>
        <v>4660</v>
      </c>
      <c r="D1348" s="2">
        <f ca="1">IFERROR(__xludf.DUMMYFUNCTION("""COMPUTED_VALUE"""),4600)</f>
        <v>4600</v>
      </c>
      <c r="E1348" s="2">
        <f ca="1">IFERROR(__xludf.DUMMYFUNCTION("""COMPUTED_VALUE"""),4650)</f>
        <v>4650</v>
      </c>
      <c r="F1348" s="2">
        <f ca="1">IFERROR(__xludf.DUMMYFUNCTION("""COMPUTED_VALUE"""),27072000)</f>
        <v>27072000</v>
      </c>
    </row>
    <row r="1349" spans="1:6">
      <c r="A1349" s="1">
        <f ca="1">IFERROR(__xludf.DUMMYFUNCTION("""COMPUTED_VALUE"""),44040.625)</f>
        <v>44040.625</v>
      </c>
      <c r="B1349" s="2">
        <f ca="1">IFERROR(__xludf.DUMMYFUNCTION("""COMPUTED_VALUE"""),4660)</f>
        <v>4660</v>
      </c>
      <c r="C1349" s="2">
        <f ca="1">IFERROR(__xludf.DUMMYFUNCTION("""COMPUTED_VALUE"""),4710)</f>
        <v>4710</v>
      </c>
      <c r="D1349" s="2">
        <f ca="1">IFERROR(__xludf.DUMMYFUNCTION("""COMPUTED_VALUE"""),4650)</f>
        <v>4650</v>
      </c>
      <c r="E1349" s="2">
        <f ca="1">IFERROR(__xludf.DUMMYFUNCTION("""COMPUTED_VALUE"""),4680)</f>
        <v>4680</v>
      </c>
      <c r="F1349" s="2">
        <f ca="1">IFERROR(__xludf.DUMMYFUNCTION("""COMPUTED_VALUE"""),35239200)</f>
        <v>35239200</v>
      </c>
    </row>
    <row r="1350" spans="1:6">
      <c r="A1350" s="1">
        <f ca="1">IFERROR(__xludf.DUMMYFUNCTION("""COMPUTED_VALUE"""),44041.625)</f>
        <v>44041.625</v>
      </c>
      <c r="B1350" s="2">
        <f ca="1">IFERROR(__xludf.DUMMYFUNCTION("""COMPUTED_VALUE"""),4660)</f>
        <v>4660</v>
      </c>
      <c r="C1350" s="2">
        <f ca="1">IFERROR(__xludf.DUMMYFUNCTION("""COMPUTED_VALUE"""),4660)</f>
        <v>4660</v>
      </c>
      <c r="D1350" s="2">
        <f ca="1">IFERROR(__xludf.DUMMYFUNCTION("""COMPUTED_VALUE"""),4580)</f>
        <v>4580</v>
      </c>
      <c r="E1350" s="2">
        <f ca="1">IFERROR(__xludf.DUMMYFUNCTION("""COMPUTED_VALUE"""),4590)</f>
        <v>4590</v>
      </c>
      <c r="F1350" s="2">
        <f ca="1">IFERROR(__xludf.DUMMYFUNCTION("""COMPUTED_VALUE"""),64032700)</f>
        <v>64032700</v>
      </c>
    </row>
    <row r="1351" spans="1:6">
      <c r="A1351" s="1">
        <f ca="1">IFERROR(__xludf.DUMMYFUNCTION("""COMPUTED_VALUE"""),44042.625)</f>
        <v>44042.625</v>
      </c>
      <c r="B1351" s="2">
        <f ca="1">IFERROR(__xludf.DUMMYFUNCTION("""COMPUTED_VALUE"""),4610)</f>
        <v>4610</v>
      </c>
      <c r="C1351" s="2">
        <f ca="1">IFERROR(__xludf.DUMMYFUNCTION("""COMPUTED_VALUE"""),4630)</f>
        <v>4630</v>
      </c>
      <c r="D1351" s="2">
        <f ca="1">IFERROR(__xludf.DUMMYFUNCTION("""COMPUTED_VALUE"""),4570)</f>
        <v>4570</v>
      </c>
      <c r="E1351" s="2">
        <f ca="1">IFERROR(__xludf.DUMMYFUNCTION("""COMPUTED_VALUE"""),4600)</f>
        <v>4600</v>
      </c>
      <c r="F1351" s="2">
        <f ca="1">IFERROR(__xludf.DUMMYFUNCTION("""COMPUTED_VALUE"""),48400800)</f>
        <v>48400800</v>
      </c>
    </row>
    <row r="1352" spans="1:6">
      <c r="A1352" s="1">
        <f ca="1">IFERROR(__xludf.DUMMYFUNCTION("""COMPUTED_VALUE"""),44046.625)</f>
        <v>44046.625</v>
      </c>
      <c r="B1352" s="2">
        <f ca="1">IFERROR(__xludf.DUMMYFUNCTION("""COMPUTED_VALUE"""),4650)</f>
        <v>4650</v>
      </c>
      <c r="C1352" s="2">
        <f ca="1">IFERROR(__xludf.DUMMYFUNCTION("""COMPUTED_VALUE"""),4650)</f>
        <v>4650</v>
      </c>
      <c r="D1352" s="2">
        <f ca="1">IFERROR(__xludf.DUMMYFUNCTION("""COMPUTED_VALUE"""),4300)</f>
        <v>4300</v>
      </c>
      <c r="E1352" s="2">
        <f ca="1">IFERROR(__xludf.DUMMYFUNCTION("""COMPUTED_VALUE"""),4440)</f>
        <v>4440</v>
      </c>
      <c r="F1352" s="2">
        <f ca="1">IFERROR(__xludf.DUMMYFUNCTION("""COMPUTED_VALUE"""),73249100)</f>
        <v>73249100</v>
      </c>
    </row>
    <row r="1353" spans="1:6">
      <c r="A1353" s="1">
        <f ca="1">IFERROR(__xludf.DUMMYFUNCTION("""COMPUTED_VALUE"""),44047.625)</f>
        <v>44047.625</v>
      </c>
      <c r="B1353" s="2">
        <f ca="1">IFERROR(__xludf.DUMMYFUNCTION("""COMPUTED_VALUE"""),4470)</f>
        <v>4470</v>
      </c>
      <c r="C1353" s="2">
        <f ca="1">IFERROR(__xludf.DUMMYFUNCTION("""COMPUTED_VALUE"""),4560)</f>
        <v>4560</v>
      </c>
      <c r="D1353" s="2">
        <f ca="1">IFERROR(__xludf.DUMMYFUNCTION("""COMPUTED_VALUE"""),4450)</f>
        <v>4450</v>
      </c>
      <c r="E1353" s="2">
        <f ca="1">IFERROR(__xludf.DUMMYFUNCTION("""COMPUTED_VALUE"""),4560)</f>
        <v>4560</v>
      </c>
      <c r="F1353" s="2">
        <f ca="1">IFERROR(__xludf.DUMMYFUNCTION("""COMPUTED_VALUE"""),33204600)</f>
        <v>33204600</v>
      </c>
    </row>
    <row r="1354" spans="1:6">
      <c r="A1354" s="1">
        <f ca="1">IFERROR(__xludf.DUMMYFUNCTION("""COMPUTED_VALUE"""),44048.625)</f>
        <v>44048.625</v>
      </c>
      <c r="B1354" s="2">
        <f ca="1">IFERROR(__xludf.DUMMYFUNCTION("""COMPUTED_VALUE"""),4570)</f>
        <v>4570</v>
      </c>
      <c r="C1354" s="2">
        <f ca="1">IFERROR(__xludf.DUMMYFUNCTION("""COMPUTED_VALUE"""),4640)</f>
        <v>4640</v>
      </c>
      <c r="D1354" s="2">
        <f ca="1">IFERROR(__xludf.DUMMYFUNCTION("""COMPUTED_VALUE"""),4510)</f>
        <v>4510</v>
      </c>
      <c r="E1354" s="2">
        <f ca="1">IFERROR(__xludf.DUMMYFUNCTION("""COMPUTED_VALUE"""),4630)</f>
        <v>4630</v>
      </c>
      <c r="F1354" s="2">
        <f ca="1">IFERROR(__xludf.DUMMYFUNCTION("""COMPUTED_VALUE"""),41149900)</f>
        <v>41149900</v>
      </c>
    </row>
    <row r="1355" spans="1:6">
      <c r="A1355" s="1">
        <f ca="1">IFERROR(__xludf.DUMMYFUNCTION("""COMPUTED_VALUE"""),44049.625)</f>
        <v>44049.625</v>
      </c>
      <c r="B1355" s="2">
        <f ca="1">IFERROR(__xludf.DUMMYFUNCTION("""COMPUTED_VALUE"""),4650)</f>
        <v>4650</v>
      </c>
      <c r="C1355" s="2">
        <f ca="1">IFERROR(__xludf.DUMMYFUNCTION("""COMPUTED_VALUE"""),4670)</f>
        <v>4670</v>
      </c>
      <c r="D1355" s="2">
        <f ca="1">IFERROR(__xludf.DUMMYFUNCTION("""COMPUTED_VALUE"""),4630)</f>
        <v>4630</v>
      </c>
      <c r="E1355" s="2">
        <f ca="1">IFERROR(__xludf.DUMMYFUNCTION("""COMPUTED_VALUE"""),4640)</f>
        <v>4640</v>
      </c>
      <c r="F1355" s="2">
        <f ca="1">IFERROR(__xludf.DUMMYFUNCTION("""COMPUTED_VALUE"""),32255800)</f>
        <v>32255800</v>
      </c>
    </row>
    <row r="1356" spans="1:6">
      <c r="A1356" s="1">
        <f ca="1">IFERROR(__xludf.DUMMYFUNCTION("""COMPUTED_VALUE"""),44050.625)</f>
        <v>44050.625</v>
      </c>
      <c r="B1356" s="2">
        <f ca="1">IFERROR(__xludf.DUMMYFUNCTION("""COMPUTED_VALUE"""),4640)</f>
        <v>4640</v>
      </c>
      <c r="C1356" s="2">
        <f ca="1">IFERROR(__xludf.DUMMYFUNCTION("""COMPUTED_VALUE"""),4680)</f>
        <v>4680</v>
      </c>
      <c r="D1356" s="2">
        <f ca="1">IFERROR(__xludf.DUMMYFUNCTION("""COMPUTED_VALUE"""),4600)</f>
        <v>4600</v>
      </c>
      <c r="E1356" s="2">
        <f ca="1">IFERROR(__xludf.DUMMYFUNCTION("""COMPUTED_VALUE"""),4620)</f>
        <v>4620</v>
      </c>
      <c r="F1356" s="2">
        <f ca="1">IFERROR(__xludf.DUMMYFUNCTION("""COMPUTED_VALUE"""),28421200)</f>
        <v>28421200</v>
      </c>
    </row>
    <row r="1357" spans="1:6">
      <c r="A1357" s="1">
        <f ca="1">IFERROR(__xludf.DUMMYFUNCTION("""COMPUTED_VALUE"""),44053.625)</f>
        <v>44053.625</v>
      </c>
      <c r="B1357" s="2">
        <f ca="1">IFERROR(__xludf.DUMMYFUNCTION("""COMPUTED_VALUE"""),4620)</f>
        <v>4620</v>
      </c>
      <c r="C1357" s="2">
        <f ca="1">IFERROR(__xludf.DUMMYFUNCTION("""COMPUTED_VALUE"""),4640)</f>
        <v>4640</v>
      </c>
      <c r="D1357" s="2">
        <f ca="1">IFERROR(__xludf.DUMMYFUNCTION("""COMPUTED_VALUE"""),4610)</f>
        <v>4610</v>
      </c>
      <c r="E1357" s="2">
        <f ca="1">IFERROR(__xludf.DUMMYFUNCTION("""COMPUTED_VALUE"""),4620)</f>
        <v>4620</v>
      </c>
      <c r="F1357" s="2">
        <f ca="1">IFERROR(__xludf.DUMMYFUNCTION("""COMPUTED_VALUE"""),14825600)</f>
        <v>14825600</v>
      </c>
    </row>
    <row r="1358" spans="1:6">
      <c r="A1358" s="1">
        <f ca="1">IFERROR(__xludf.DUMMYFUNCTION("""COMPUTED_VALUE"""),44054.625)</f>
        <v>44054.625</v>
      </c>
      <c r="B1358" s="2">
        <f ca="1">IFERROR(__xludf.DUMMYFUNCTION("""COMPUTED_VALUE"""),4630)</f>
        <v>4630</v>
      </c>
      <c r="C1358" s="2">
        <f ca="1">IFERROR(__xludf.DUMMYFUNCTION("""COMPUTED_VALUE"""),4820)</f>
        <v>4820</v>
      </c>
      <c r="D1358" s="2">
        <f ca="1">IFERROR(__xludf.DUMMYFUNCTION("""COMPUTED_VALUE"""),4630)</f>
        <v>4630</v>
      </c>
      <c r="E1358" s="2">
        <f ca="1">IFERROR(__xludf.DUMMYFUNCTION("""COMPUTED_VALUE"""),4780)</f>
        <v>4780</v>
      </c>
      <c r="F1358" s="2">
        <f ca="1">IFERROR(__xludf.DUMMYFUNCTION("""COMPUTED_VALUE"""),96456100)</f>
        <v>96456100</v>
      </c>
    </row>
    <row r="1359" spans="1:6">
      <c r="A1359" s="1">
        <f ca="1">IFERROR(__xludf.DUMMYFUNCTION("""COMPUTED_VALUE"""),44055.625)</f>
        <v>44055.625</v>
      </c>
      <c r="B1359" s="2">
        <f ca="1">IFERROR(__xludf.DUMMYFUNCTION("""COMPUTED_VALUE"""),4800)</f>
        <v>4800</v>
      </c>
      <c r="C1359" s="2">
        <f ca="1">IFERROR(__xludf.DUMMYFUNCTION("""COMPUTED_VALUE"""),5200)</f>
        <v>5200</v>
      </c>
      <c r="D1359" s="2">
        <f ca="1">IFERROR(__xludf.DUMMYFUNCTION("""COMPUTED_VALUE"""),4760)</f>
        <v>4760</v>
      </c>
      <c r="E1359" s="2">
        <f ca="1">IFERROR(__xludf.DUMMYFUNCTION("""COMPUTED_VALUE"""),5125)</f>
        <v>5125</v>
      </c>
      <c r="F1359" s="2">
        <f ca="1">IFERROR(__xludf.DUMMYFUNCTION("""COMPUTED_VALUE"""),181198500)</f>
        <v>181198500</v>
      </c>
    </row>
    <row r="1360" spans="1:6">
      <c r="A1360" s="1">
        <f ca="1">IFERROR(__xludf.DUMMYFUNCTION("""COMPUTED_VALUE"""),44056.625)</f>
        <v>44056.625</v>
      </c>
      <c r="B1360" s="2">
        <f ca="1">IFERROR(__xludf.DUMMYFUNCTION("""COMPUTED_VALUE"""),5200)</f>
        <v>5200</v>
      </c>
      <c r="C1360" s="2">
        <f ca="1">IFERROR(__xludf.DUMMYFUNCTION("""COMPUTED_VALUE"""),5350)</f>
        <v>5350</v>
      </c>
      <c r="D1360" s="2">
        <f ca="1">IFERROR(__xludf.DUMMYFUNCTION("""COMPUTED_VALUE"""),5025)</f>
        <v>5025</v>
      </c>
      <c r="E1360" s="2">
        <f ca="1">IFERROR(__xludf.DUMMYFUNCTION("""COMPUTED_VALUE"""),5075)</f>
        <v>5075</v>
      </c>
      <c r="F1360" s="2">
        <f ca="1">IFERROR(__xludf.DUMMYFUNCTION("""COMPUTED_VALUE"""),87602500)</f>
        <v>87602500</v>
      </c>
    </row>
    <row r="1361" spans="1:6">
      <c r="A1361" s="1">
        <f ca="1">IFERROR(__xludf.DUMMYFUNCTION("""COMPUTED_VALUE"""),44057.625)</f>
        <v>44057.625</v>
      </c>
      <c r="B1361" s="2">
        <f ca="1">IFERROR(__xludf.DUMMYFUNCTION("""COMPUTED_VALUE"""),5075)</f>
        <v>5075</v>
      </c>
      <c r="C1361" s="2">
        <f ca="1">IFERROR(__xludf.DUMMYFUNCTION("""COMPUTED_VALUE"""),5100)</f>
        <v>5100</v>
      </c>
      <c r="D1361" s="2">
        <f ca="1">IFERROR(__xludf.DUMMYFUNCTION("""COMPUTED_VALUE"""),5000)</f>
        <v>5000</v>
      </c>
      <c r="E1361" s="2">
        <f ca="1">IFERROR(__xludf.DUMMYFUNCTION("""COMPUTED_VALUE"""),5000)</f>
        <v>5000</v>
      </c>
      <c r="F1361" s="2">
        <f ca="1">IFERROR(__xludf.DUMMYFUNCTION("""COMPUTED_VALUE"""),57145100)</f>
        <v>57145100</v>
      </c>
    </row>
    <row r="1362" spans="1:6">
      <c r="A1362" s="1">
        <f ca="1">IFERROR(__xludf.DUMMYFUNCTION("""COMPUTED_VALUE"""),44061.625)</f>
        <v>44061.625</v>
      </c>
      <c r="B1362" s="2">
        <f ca="1">IFERROR(__xludf.DUMMYFUNCTION("""COMPUTED_VALUE"""),5050)</f>
        <v>5050</v>
      </c>
      <c r="C1362" s="2">
        <f ca="1">IFERROR(__xludf.DUMMYFUNCTION("""COMPUTED_VALUE"""),5225)</f>
        <v>5225</v>
      </c>
      <c r="D1362" s="2">
        <f ca="1">IFERROR(__xludf.DUMMYFUNCTION("""COMPUTED_VALUE"""),5025)</f>
        <v>5025</v>
      </c>
      <c r="E1362" s="2">
        <f ca="1">IFERROR(__xludf.DUMMYFUNCTION("""COMPUTED_VALUE"""),5050)</f>
        <v>5050</v>
      </c>
      <c r="F1362" s="2">
        <f ca="1">IFERROR(__xludf.DUMMYFUNCTION("""COMPUTED_VALUE"""),101770600)</f>
        <v>101770600</v>
      </c>
    </row>
    <row r="1363" spans="1:6">
      <c r="A1363" s="1">
        <f ca="1">IFERROR(__xludf.DUMMYFUNCTION("""COMPUTED_VALUE"""),44062.625)</f>
        <v>44062.625</v>
      </c>
      <c r="B1363" s="2">
        <f ca="1">IFERROR(__xludf.DUMMYFUNCTION("""COMPUTED_VALUE"""),5075)</f>
        <v>5075</v>
      </c>
      <c r="C1363" s="2">
        <f ca="1">IFERROR(__xludf.DUMMYFUNCTION("""COMPUTED_VALUE"""),5200)</f>
        <v>5200</v>
      </c>
      <c r="D1363" s="2">
        <f ca="1">IFERROR(__xludf.DUMMYFUNCTION("""COMPUTED_VALUE"""),5000)</f>
        <v>5000</v>
      </c>
      <c r="E1363" s="2">
        <f ca="1">IFERROR(__xludf.DUMMYFUNCTION("""COMPUTED_VALUE"""),5050)</f>
        <v>5050</v>
      </c>
      <c r="F1363" s="2">
        <f ca="1">IFERROR(__xludf.DUMMYFUNCTION("""COMPUTED_VALUE"""),79545900)</f>
        <v>79545900</v>
      </c>
    </row>
    <row r="1364" spans="1:6">
      <c r="A1364" s="1">
        <f ca="1">IFERROR(__xludf.DUMMYFUNCTION("""COMPUTED_VALUE"""),44067.625)</f>
        <v>44067.625</v>
      </c>
      <c r="B1364" s="2">
        <f ca="1">IFERROR(__xludf.DUMMYFUNCTION("""COMPUTED_VALUE"""),5075)</f>
        <v>5075</v>
      </c>
      <c r="C1364" s="2">
        <f ca="1">IFERROR(__xludf.DUMMYFUNCTION("""COMPUTED_VALUE"""),5150)</f>
        <v>5150</v>
      </c>
      <c r="D1364" s="2">
        <f ca="1">IFERROR(__xludf.DUMMYFUNCTION("""COMPUTED_VALUE"""),5050)</f>
        <v>5050</v>
      </c>
      <c r="E1364" s="2">
        <f ca="1">IFERROR(__xludf.DUMMYFUNCTION("""COMPUTED_VALUE"""),5100)</f>
        <v>5100</v>
      </c>
      <c r="F1364" s="2">
        <f ca="1">IFERROR(__xludf.DUMMYFUNCTION("""COMPUTED_VALUE"""),52733400)</f>
        <v>52733400</v>
      </c>
    </row>
    <row r="1365" spans="1:6">
      <c r="A1365" s="1">
        <f ca="1">IFERROR(__xludf.DUMMYFUNCTION("""COMPUTED_VALUE"""),44068.625)</f>
        <v>44068.625</v>
      </c>
      <c r="B1365" s="2">
        <f ca="1">IFERROR(__xludf.DUMMYFUNCTION("""COMPUTED_VALUE"""),5150)</f>
        <v>5150</v>
      </c>
      <c r="C1365" s="2">
        <f ca="1">IFERROR(__xludf.DUMMYFUNCTION("""COMPUTED_VALUE"""),5350)</f>
        <v>5350</v>
      </c>
      <c r="D1365" s="2">
        <f ca="1">IFERROR(__xludf.DUMMYFUNCTION("""COMPUTED_VALUE"""),5150)</f>
        <v>5150</v>
      </c>
      <c r="E1365" s="2">
        <f ca="1">IFERROR(__xludf.DUMMYFUNCTION("""COMPUTED_VALUE"""),5275)</f>
        <v>5275</v>
      </c>
      <c r="F1365" s="2">
        <f ca="1">IFERROR(__xludf.DUMMYFUNCTION("""COMPUTED_VALUE"""),92771400)</f>
        <v>92771400</v>
      </c>
    </row>
    <row r="1366" spans="1:6">
      <c r="A1366" s="1">
        <f ca="1">IFERROR(__xludf.DUMMYFUNCTION("""COMPUTED_VALUE"""),44069.625)</f>
        <v>44069.625</v>
      </c>
      <c r="B1366" s="2">
        <f ca="1">IFERROR(__xludf.DUMMYFUNCTION("""COMPUTED_VALUE"""),5300)</f>
        <v>5300</v>
      </c>
      <c r="C1366" s="2">
        <f ca="1">IFERROR(__xludf.DUMMYFUNCTION("""COMPUTED_VALUE"""),5350)</f>
        <v>5350</v>
      </c>
      <c r="D1366" s="2">
        <f ca="1">IFERROR(__xludf.DUMMYFUNCTION("""COMPUTED_VALUE"""),5200)</f>
        <v>5200</v>
      </c>
      <c r="E1366" s="2">
        <f ca="1">IFERROR(__xludf.DUMMYFUNCTION("""COMPUTED_VALUE"""),5325)</f>
        <v>5325</v>
      </c>
      <c r="F1366" s="2">
        <f ca="1">IFERROR(__xludf.DUMMYFUNCTION("""COMPUTED_VALUE"""),72829900)</f>
        <v>72829900</v>
      </c>
    </row>
    <row r="1367" spans="1:6">
      <c r="A1367" s="1">
        <f ca="1">IFERROR(__xludf.DUMMYFUNCTION("""COMPUTED_VALUE"""),44070.625)</f>
        <v>44070.625</v>
      </c>
      <c r="B1367" s="2">
        <f ca="1">IFERROR(__xludf.DUMMYFUNCTION("""COMPUTED_VALUE"""),5325)</f>
        <v>5325</v>
      </c>
      <c r="C1367" s="2">
        <f ca="1">IFERROR(__xludf.DUMMYFUNCTION("""COMPUTED_VALUE"""),5425)</f>
        <v>5425</v>
      </c>
      <c r="D1367" s="2">
        <f ca="1">IFERROR(__xludf.DUMMYFUNCTION("""COMPUTED_VALUE"""),5250)</f>
        <v>5250</v>
      </c>
      <c r="E1367" s="2">
        <f ca="1">IFERROR(__xludf.DUMMYFUNCTION("""COMPUTED_VALUE"""),5300)</f>
        <v>5300</v>
      </c>
      <c r="F1367" s="2">
        <f ca="1">IFERROR(__xludf.DUMMYFUNCTION("""COMPUTED_VALUE"""),56667800)</f>
        <v>56667800</v>
      </c>
    </row>
    <row r="1368" spans="1:6">
      <c r="A1368" s="1">
        <f ca="1">IFERROR(__xludf.DUMMYFUNCTION("""COMPUTED_VALUE"""),44071.625)</f>
        <v>44071.625</v>
      </c>
      <c r="B1368" s="2">
        <f ca="1">IFERROR(__xludf.DUMMYFUNCTION("""COMPUTED_VALUE"""),5325)</f>
        <v>5325</v>
      </c>
      <c r="C1368" s="2">
        <f ca="1">IFERROR(__xludf.DUMMYFUNCTION("""COMPUTED_VALUE"""),5350)</f>
        <v>5350</v>
      </c>
      <c r="D1368" s="2">
        <f ca="1">IFERROR(__xludf.DUMMYFUNCTION("""COMPUTED_VALUE"""),5225)</f>
        <v>5225</v>
      </c>
      <c r="E1368" s="2">
        <f ca="1">IFERROR(__xludf.DUMMYFUNCTION("""COMPUTED_VALUE"""),5250)</f>
        <v>5250</v>
      </c>
      <c r="F1368" s="2">
        <f ca="1">IFERROR(__xludf.DUMMYFUNCTION("""COMPUTED_VALUE"""),41897900)</f>
        <v>41897900</v>
      </c>
    </row>
    <row r="1369" spans="1:6">
      <c r="A1369" s="1">
        <f ca="1">IFERROR(__xludf.DUMMYFUNCTION("""COMPUTED_VALUE"""),44074.625)</f>
        <v>44074.625</v>
      </c>
      <c r="B1369" s="2">
        <f ca="1">IFERROR(__xludf.DUMMYFUNCTION("""COMPUTED_VALUE"""),5300)</f>
        <v>5300</v>
      </c>
      <c r="C1369" s="2">
        <f ca="1">IFERROR(__xludf.DUMMYFUNCTION("""COMPUTED_VALUE"""),5325)</f>
        <v>5325</v>
      </c>
      <c r="D1369" s="2">
        <f ca="1">IFERROR(__xludf.DUMMYFUNCTION("""COMPUTED_VALUE"""),5000)</f>
        <v>5000</v>
      </c>
      <c r="E1369" s="2">
        <f ca="1">IFERROR(__xludf.DUMMYFUNCTION("""COMPUTED_VALUE"""),5100)</f>
        <v>5100</v>
      </c>
      <c r="F1369" s="2">
        <f ca="1">IFERROR(__xludf.DUMMYFUNCTION("""COMPUTED_VALUE"""),125960000)</f>
        <v>125960000</v>
      </c>
    </row>
    <row r="1370" spans="1:6">
      <c r="A1370" s="1">
        <f ca="1">IFERROR(__xludf.DUMMYFUNCTION("""COMPUTED_VALUE"""),44075.625)</f>
        <v>44075.625</v>
      </c>
      <c r="B1370" s="2">
        <f ca="1">IFERROR(__xludf.DUMMYFUNCTION("""COMPUTED_VALUE"""),5150)</f>
        <v>5150</v>
      </c>
      <c r="C1370" s="2">
        <f ca="1">IFERROR(__xludf.DUMMYFUNCTION("""COMPUTED_VALUE"""),5175)</f>
        <v>5175</v>
      </c>
      <c r="D1370" s="2">
        <f ca="1">IFERROR(__xludf.DUMMYFUNCTION("""COMPUTED_VALUE"""),5025)</f>
        <v>5025</v>
      </c>
      <c r="E1370" s="2">
        <f ca="1">IFERROR(__xludf.DUMMYFUNCTION("""COMPUTED_VALUE"""),5175)</f>
        <v>5175</v>
      </c>
      <c r="F1370" s="2">
        <f ca="1">IFERROR(__xludf.DUMMYFUNCTION("""COMPUTED_VALUE"""),54441900)</f>
        <v>54441900</v>
      </c>
    </row>
    <row r="1371" spans="1:6">
      <c r="A1371" s="1">
        <f ca="1">IFERROR(__xludf.DUMMYFUNCTION("""COMPUTED_VALUE"""),44076.625)</f>
        <v>44076.625</v>
      </c>
      <c r="B1371" s="2">
        <f ca="1">IFERROR(__xludf.DUMMYFUNCTION("""COMPUTED_VALUE"""),5250)</f>
        <v>5250</v>
      </c>
      <c r="C1371" s="2">
        <f ca="1">IFERROR(__xludf.DUMMYFUNCTION("""COMPUTED_VALUE"""),5275)</f>
        <v>5275</v>
      </c>
      <c r="D1371" s="2">
        <f ca="1">IFERROR(__xludf.DUMMYFUNCTION("""COMPUTED_VALUE"""),5125)</f>
        <v>5125</v>
      </c>
      <c r="E1371" s="2">
        <f ca="1">IFERROR(__xludf.DUMMYFUNCTION("""COMPUTED_VALUE"""),5225)</f>
        <v>5225</v>
      </c>
      <c r="F1371" s="2">
        <f ca="1">IFERROR(__xludf.DUMMYFUNCTION("""COMPUTED_VALUE"""),46207400)</f>
        <v>46207400</v>
      </c>
    </row>
    <row r="1372" spans="1:6">
      <c r="A1372" s="1">
        <f ca="1">IFERROR(__xludf.DUMMYFUNCTION("""COMPUTED_VALUE"""),44077.625)</f>
        <v>44077.625</v>
      </c>
      <c r="B1372" s="2">
        <f ca="1">IFERROR(__xludf.DUMMYFUNCTION("""COMPUTED_VALUE"""),5275)</f>
        <v>5275</v>
      </c>
      <c r="C1372" s="2">
        <f ca="1">IFERROR(__xludf.DUMMYFUNCTION("""COMPUTED_VALUE"""),5375)</f>
        <v>5375</v>
      </c>
      <c r="D1372" s="2">
        <f ca="1">IFERROR(__xludf.DUMMYFUNCTION("""COMPUTED_VALUE"""),5250)</f>
        <v>5250</v>
      </c>
      <c r="E1372" s="2">
        <f ca="1">IFERROR(__xludf.DUMMYFUNCTION("""COMPUTED_VALUE"""),5350)</f>
        <v>5350</v>
      </c>
      <c r="F1372" s="2">
        <f ca="1">IFERROR(__xludf.DUMMYFUNCTION("""COMPUTED_VALUE"""),133938600)</f>
        <v>133938600</v>
      </c>
    </row>
    <row r="1373" spans="1:6">
      <c r="A1373" s="1">
        <f ca="1">IFERROR(__xludf.DUMMYFUNCTION("""COMPUTED_VALUE"""),44078.625)</f>
        <v>44078.625</v>
      </c>
      <c r="B1373" s="2">
        <f ca="1">IFERROR(__xludf.DUMMYFUNCTION("""COMPUTED_VALUE"""),5250)</f>
        <v>5250</v>
      </c>
      <c r="C1373" s="2">
        <f ca="1">IFERROR(__xludf.DUMMYFUNCTION("""COMPUTED_VALUE"""),5250)</f>
        <v>5250</v>
      </c>
      <c r="D1373" s="2">
        <f ca="1">IFERROR(__xludf.DUMMYFUNCTION("""COMPUTED_VALUE"""),5125)</f>
        <v>5125</v>
      </c>
      <c r="E1373" s="2">
        <f ca="1">IFERROR(__xludf.DUMMYFUNCTION("""COMPUTED_VALUE"""),5225)</f>
        <v>5225</v>
      </c>
      <c r="F1373" s="2">
        <f ca="1">IFERROR(__xludf.DUMMYFUNCTION("""COMPUTED_VALUE"""),94096000)</f>
        <v>94096000</v>
      </c>
    </row>
    <row r="1374" spans="1:6">
      <c r="A1374" s="1">
        <f ca="1">IFERROR(__xludf.DUMMYFUNCTION("""COMPUTED_VALUE"""),44081.625)</f>
        <v>44081.625</v>
      </c>
      <c r="B1374" s="2">
        <f ca="1">IFERROR(__xludf.DUMMYFUNCTION("""COMPUTED_VALUE"""),5225)</f>
        <v>5225</v>
      </c>
      <c r="C1374" s="2">
        <f ca="1">IFERROR(__xludf.DUMMYFUNCTION("""COMPUTED_VALUE"""),5275)</f>
        <v>5275</v>
      </c>
      <c r="D1374" s="2">
        <f ca="1">IFERROR(__xludf.DUMMYFUNCTION("""COMPUTED_VALUE"""),5125)</f>
        <v>5125</v>
      </c>
      <c r="E1374" s="2">
        <f ca="1">IFERROR(__xludf.DUMMYFUNCTION("""COMPUTED_VALUE"""),5250)</f>
        <v>5250</v>
      </c>
      <c r="F1374" s="2">
        <f ca="1">IFERROR(__xludf.DUMMYFUNCTION("""COMPUTED_VALUE"""),40928200)</f>
        <v>40928200</v>
      </c>
    </row>
    <row r="1375" spans="1:6">
      <c r="A1375" s="1">
        <f ca="1">IFERROR(__xludf.DUMMYFUNCTION("""COMPUTED_VALUE"""),44082.625)</f>
        <v>44082.625</v>
      </c>
      <c r="B1375" s="2">
        <f ca="1">IFERROR(__xludf.DUMMYFUNCTION("""COMPUTED_VALUE"""),5300)</f>
        <v>5300</v>
      </c>
      <c r="C1375" s="2">
        <f ca="1">IFERROR(__xludf.DUMMYFUNCTION("""COMPUTED_VALUE"""),5300)</f>
        <v>5300</v>
      </c>
      <c r="D1375" s="2">
        <f ca="1">IFERROR(__xludf.DUMMYFUNCTION("""COMPUTED_VALUE"""),5225)</f>
        <v>5225</v>
      </c>
      <c r="E1375" s="2">
        <f ca="1">IFERROR(__xludf.DUMMYFUNCTION("""COMPUTED_VALUE"""),5250)</f>
        <v>5250</v>
      </c>
      <c r="F1375" s="2">
        <f ca="1">IFERROR(__xludf.DUMMYFUNCTION("""COMPUTED_VALUE"""),22596800)</f>
        <v>22596800</v>
      </c>
    </row>
    <row r="1376" spans="1:6">
      <c r="A1376" s="1">
        <f ca="1">IFERROR(__xludf.DUMMYFUNCTION("""COMPUTED_VALUE"""),44083.625)</f>
        <v>44083.625</v>
      </c>
      <c r="B1376" s="2">
        <f ca="1">IFERROR(__xludf.DUMMYFUNCTION("""COMPUTED_VALUE"""),5150)</f>
        <v>5150</v>
      </c>
      <c r="C1376" s="2">
        <f ca="1">IFERROR(__xludf.DUMMYFUNCTION("""COMPUTED_VALUE"""),5175)</f>
        <v>5175</v>
      </c>
      <c r="D1376" s="2">
        <f ca="1">IFERROR(__xludf.DUMMYFUNCTION("""COMPUTED_VALUE"""),5025)</f>
        <v>5025</v>
      </c>
      <c r="E1376" s="2">
        <f ca="1">IFERROR(__xludf.DUMMYFUNCTION("""COMPUTED_VALUE"""),5025)</f>
        <v>5025</v>
      </c>
      <c r="F1376" s="2">
        <f ca="1">IFERROR(__xludf.DUMMYFUNCTION("""COMPUTED_VALUE"""),73421800)</f>
        <v>73421800</v>
      </c>
    </row>
    <row r="1377" spans="1:6">
      <c r="A1377" s="1">
        <f ca="1">IFERROR(__xludf.DUMMYFUNCTION("""COMPUTED_VALUE"""),44084.625)</f>
        <v>44084.625</v>
      </c>
      <c r="B1377" s="2">
        <f ca="1">IFERROR(__xludf.DUMMYFUNCTION("""COMPUTED_VALUE"""),4780)</f>
        <v>4780</v>
      </c>
      <c r="C1377" s="2">
        <f ca="1">IFERROR(__xludf.DUMMYFUNCTION("""COMPUTED_VALUE"""),4790)</f>
        <v>4790</v>
      </c>
      <c r="D1377" s="2">
        <f ca="1">IFERROR(__xludf.DUMMYFUNCTION("""COMPUTED_VALUE"""),4680)</f>
        <v>4680</v>
      </c>
      <c r="E1377" s="2">
        <f ca="1">IFERROR(__xludf.DUMMYFUNCTION("""COMPUTED_VALUE"""),4680)</f>
        <v>4680</v>
      </c>
      <c r="F1377" s="2">
        <f ca="1">IFERROR(__xludf.DUMMYFUNCTION("""COMPUTED_VALUE"""),132102700)</f>
        <v>132102700</v>
      </c>
    </row>
    <row r="1378" spans="1:6">
      <c r="A1378" s="1">
        <f ca="1">IFERROR(__xludf.DUMMYFUNCTION("""COMPUTED_VALUE"""),44085.625)</f>
        <v>44085.625</v>
      </c>
      <c r="B1378" s="2">
        <f ca="1">IFERROR(__xludf.DUMMYFUNCTION("""COMPUTED_VALUE"""),4450)</f>
        <v>4450</v>
      </c>
      <c r="C1378" s="2">
        <f ca="1">IFERROR(__xludf.DUMMYFUNCTION("""COMPUTED_VALUE"""),4880)</f>
        <v>4880</v>
      </c>
      <c r="D1378" s="2">
        <f ca="1">IFERROR(__xludf.DUMMYFUNCTION("""COMPUTED_VALUE"""),4420)</f>
        <v>4420</v>
      </c>
      <c r="E1378" s="2">
        <f ca="1">IFERROR(__xludf.DUMMYFUNCTION("""COMPUTED_VALUE"""),4870)</f>
        <v>4870</v>
      </c>
      <c r="F1378" s="2">
        <f ca="1">IFERROR(__xludf.DUMMYFUNCTION("""COMPUTED_VALUE"""),121461600)</f>
        <v>121461600</v>
      </c>
    </row>
    <row r="1379" spans="1:6">
      <c r="A1379" s="1">
        <f ca="1">IFERROR(__xludf.DUMMYFUNCTION("""COMPUTED_VALUE"""),44088.625)</f>
        <v>44088.625</v>
      </c>
      <c r="B1379" s="2">
        <f ca="1">IFERROR(__xludf.DUMMYFUNCTION("""COMPUTED_VALUE"""),4980)</f>
        <v>4980</v>
      </c>
      <c r="C1379" s="2">
        <f ca="1">IFERROR(__xludf.DUMMYFUNCTION("""COMPUTED_VALUE"""),5050)</f>
        <v>5050</v>
      </c>
      <c r="D1379" s="2">
        <f ca="1">IFERROR(__xludf.DUMMYFUNCTION("""COMPUTED_VALUE"""),4910)</f>
        <v>4910</v>
      </c>
      <c r="E1379" s="2">
        <f ca="1">IFERROR(__xludf.DUMMYFUNCTION("""COMPUTED_VALUE"""),5050)</f>
        <v>5050</v>
      </c>
      <c r="F1379" s="2">
        <f ca="1">IFERROR(__xludf.DUMMYFUNCTION("""COMPUTED_VALUE"""),77510600)</f>
        <v>77510600</v>
      </c>
    </row>
    <row r="1380" spans="1:6">
      <c r="A1380" s="1">
        <f ca="1">IFERROR(__xludf.DUMMYFUNCTION("""COMPUTED_VALUE"""),44089.625)</f>
        <v>44089.625</v>
      </c>
      <c r="B1380" s="2">
        <f ca="1">IFERROR(__xludf.DUMMYFUNCTION("""COMPUTED_VALUE"""),5050)</f>
        <v>5050</v>
      </c>
      <c r="C1380" s="2">
        <f ca="1">IFERROR(__xludf.DUMMYFUNCTION("""COMPUTED_VALUE"""),5100)</f>
        <v>5100</v>
      </c>
      <c r="D1380" s="2">
        <f ca="1">IFERROR(__xludf.DUMMYFUNCTION("""COMPUTED_VALUE"""),4910)</f>
        <v>4910</v>
      </c>
      <c r="E1380" s="2">
        <f ca="1">IFERROR(__xludf.DUMMYFUNCTION("""COMPUTED_VALUE"""),4940)</f>
        <v>4940</v>
      </c>
      <c r="F1380" s="2">
        <f ca="1">IFERROR(__xludf.DUMMYFUNCTION("""COMPUTED_VALUE"""),49093700)</f>
        <v>49093700</v>
      </c>
    </row>
    <row r="1381" spans="1:6">
      <c r="A1381" s="1">
        <f ca="1">IFERROR(__xludf.DUMMYFUNCTION("""COMPUTED_VALUE"""),44090.625)</f>
        <v>44090.625</v>
      </c>
      <c r="B1381" s="2">
        <f ca="1">IFERROR(__xludf.DUMMYFUNCTION("""COMPUTED_VALUE"""),4990)</f>
        <v>4990</v>
      </c>
      <c r="C1381" s="2">
        <f ca="1">IFERROR(__xludf.DUMMYFUNCTION("""COMPUTED_VALUE"""),4990)</f>
        <v>4990</v>
      </c>
      <c r="D1381" s="2">
        <f ca="1">IFERROR(__xludf.DUMMYFUNCTION("""COMPUTED_VALUE"""),4870)</f>
        <v>4870</v>
      </c>
      <c r="E1381" s="2">
        <f ca="1">IFERROR(__xludf.DUMMYFUNCTION("""COMPUTED_VALUE"""),4870)</f>
        <v>4870</v>
      </c>
      <c r="F1381" s="2">
        <f ca="1">IFERROR(__xludf.DUMMYFUNCTION("""COMPUTED_VALUE"""),30253200)</f>
        <v>30253200</v>
      </c>
    </row>
    <row r="1382" spans="1:6">
      <c r="A1382" s="1">
        <f ca="1">IFERROR(__xludf.DUMMYFUNCTION("""COMPUTED_VALUE"""),44091.625)</f>
        <v>44091.625</v>
      </c>
      <c r="B1382" s="2">
        <f ca="1">IFERROR(__xludf.DUMMYFUNCTION("""COMPUTED_VALUE"""),4860)</f>
        <v>4860</v>
      </c>
      <c r="C1382" s="2">
        <f ca="1">IFERROR(__xludf.DUMMYFUNCTION("""COMPUTED_VALUE"""),4890)</f>
        <v>4890</v>
      </c>
      <c r="D1382" s="2">
        <f ca="1">IFERROR(__xludf.DUMMYFUNCTION("""COMPUTED_VALUE"""),4700)</f>
        <v>4700</v>
      </c>
      <c r="E1382" s="2">
        <f ca="1">IFERROR(__xludf.DUMMYFUNCTION("""COMPUTED_VALUE"""),4720)</f>
        <v>4720</v>
      </c>
      <c r="F1382" s="2">
        <f ca="1">IFERROR(__xludf.DUMMYFUNCTION("""COMPUTED_VALUE"""),62086500)</f>
        <v>62086500</v>
      </c>
    </row>
    <row r="1383" spans="1:6">
      <c r="A1383" s="1">
        <f ca="1">IFERROR(__xludf.DUMMYFUNCTION("""COMPUTED_VALUE"""),44092.625)</f>
        <v>44092.625</v>
      </c>
      <c r="B1383" s="2">
        <f ca="1">IFERROR(__xludf.DUMMYFUNCTION("""COMPUTED_VALUE"""),4720)</f>
        <v>4720</v>
      </c>
      <c r="C1383" s="2">
        <f ca="1">IFERROR(__xludf.DUMMYFUNCTION("""COMPUTED_VALUE"""),4810)</f>
        <v>4810</v>
      </c>
      <c r="D1383" s="2">
        <f ca="1">IFERROR(__xludf.DUMMYFUNCTION("""COMPUTED_VALUE"""),4700)</f>
        <v>4700</v>
      </c>
      <c r="E1383" s="2">
        <f ca="1">IFERROR(__xludf.DUMMYFUNCTION("""COMPUTED_VALUE"""),4740)</f>
        <v>4740</v>
      </c>
      <c r="F1383" s="2">
        <f ca="1">IFERROR(__xludf.DUMMYFUNCTION("""COMPUTED_VALUE"""),43650100)</f>
        <v>43650100</v>
      </c>
    </row>
    <row r="1384" spans="1:6">
      <c r="A1384" s="1">
        <f ca="1">IFERROR(__xludf.DUMMYFUNCTION("""COMPUTED_VALUE"""),44095.625)</f>
        <v>44095.625</v>
      </c>
      <c r="B1384" s="2">
        <f ca="1">IFERROR(__xludf.DUMMYFUNCTION("""COMPUTED_VALUE"""),4760)</f>
        <v>4760</v>
      </c>
      <c r="C1384" s="2">
        <f ca="1">IFERROR(__xludf.DUMMYFUNCTION("""COMPUTED_VALUE"""),4760)</f>
        <v>4760</v>
      </c>
      <c r="D1384" s="2">
        <f ca="1">IFERROR(__xludf.DUMMYFUNCTION("""COMPUTED_VALUE"""),4550)</f>
        <v>4550</v>
      </c>
      <c r="E1384" s="2">
        <f ca="1">IFERROR(__xludf.DUMMYFUNCTION("""COMPUTED_VALUE"""),4590)</f>
        <v>4590</v>
      </c>
      <c r="F1384" s="2">
        <f ca="1">IFERROR(__xludf.DUMMYFUNCTION("""COMPUTED_VALUE"""),44015600)</f>
        <v>44015600</v>
      </c>
    </row>
    <row r="1385" spans="1:6">
      <c r="A1385" s="1">
        <f ca="1">IFERROR(__xludf.DUMMYFUNCTION("""COMPUTED_VALUE"""),44096.625)</f>
        <v>44096.625</v>
      </c>
      <c r="B1385" s="2">
        <f ca="1">IFERROR(__xludf.DUMMYFUNCTION("""COMPUTED_VALUE"""),4500)</f>
        <v>4500</v>
      </c>
      <c r="C1385" s="2">
        <f ca="1">IFERROR(__xludf.DUMMYFUNCTION("""COMPUTED_VALUE"""),4640)</f>
        <v>4640</v>
      </c>
      <c r="D1385" s="2">
        <f ca="1">IFERROR(__xludf.DUMMYFUNCTION("""COMPUTED_VALUE"""),4460)</f>
        <v>4460</v>
      </c>
      <c r="E1385" s="2">
        <f ca="1">IFERROR(__xludf.DUMMYFUNCTION("""COMPUTED_VALUE"""),4540)</f>
        <v>4540</v>
      </c>
      <c r="F1385" s="2">
        <f ca="1">IFERROR(__xludf.DUMMYFUNCTION("""COMPUTED_VALUE"""),48240400)</f>
        <v>48240400</v>
      </c>
    </row>
    <row r="1386" spans="1:6">
      <c r="A1386" s="1">
        <f ca="1">IFERROR(__xludf.DUMMYFUNCTION("""COMPUTED_VALUE"""),44097.625)</f>
        <v>44097.625</v>
      </c>
      <c r="B1386" s="2">
        <f ca="1">IFERROR(__xludf.DUMMYFUNCTION("""COMPUTED_VALUE"""),4570)</f>
        <v>4570</v>
      </c>
      <c r="C1386" s="2">
        <f ca="1">IFERROR(__xludf.DUMMYFUNCTION("""COMPUTED_VALUE"""),4600)</f>
        <v>4600</v>
      </c>
      <c r="D1386" s="2">
        <f ca="1">IFERROR(__xludf.DUMMYFUNCTION("""COMPUTED_VALUE"""),4360)</f>
        <v>4360</v>
      </c>
      <c r="E1386" s="2">
        <f ca="1">IFERROR(__xludf.DUMMYFUNCTION("""COMPUTED_VALUE"""),4420)</f>
        <v>4420</v>
      </c>
      <c r="F1386" s="2">
        <f ca="1">IFERROR(__xludf.DUMMYFUNCTION("""COMPUTED_VALUE"""),55814500)</f>
        <v>55814500</v>
      </c>
    </row>
    <row r="1387" spans="1:6">
      <c r="A1387" s="1">
        <f ca="1">IFERROR(__xludf.DUMMYFUNCTION("""COMPUTED_VALUE"""),44098.625)</f>
        <v>44098.625</v>
      </c>
      <c r="B1387" s="2">
        <f ca="1">IFERROR(__xludf.DUMMYFUNCTION("""COMPUTED_VALUE"""),4360)</f>
        <v>4360</v>
      </c>
      <c r="C1387" s="2">
        <f ca="1">IFERROR(__xludf.DUMMYFUNCTION("""COMPUTED_VALUE"""),4400)</f>
        <v>4400</v>
      </c>
      <c r="D1387" s="2">
        <f ca="1">IFERROR(__xludf.DUMMYFUNCTION("""COMPUTED_VALUE"""),4310)</f>
        <v>4310</v>
      </c>
      <c r="E1387" s="2">
        <f ca="1">IFERROR(__xludf.DUMMYFUNCTION("""COMPUTED_VALUE"""),4330)</f>
        <v>4330</v>
      </c>
      <c r="F1387" s="2">
        <f ca="1">IFERROR(__xludf.DUMMYFUNCTION("""COMPUTED_VALUE"""),50774500)</f>
        <v>50774500</v>
      </c>
    </row>
    <row r="1388" spans="1:6">
      <c r="A1388" s="1">
        <f ca="1">IFERROR(__xludf.DUMMYFUNCTION("""COMPUTED_VALUE"""),44099.625)</f>
        <v>44099.625</v>
      </c>
      <c r="B1388" s="2">
        <f ca="1">IFERROR(__xludf.DUMMYFUNCTION("""COMPUTED_VALUE"""),4360)</f>
        <v>4360</v>
      </c>
      <c r="C1388" s="2">
        <f ca="1">IFERROR(__xludf.DUMMYFUNCTION("""COMPUTED_VALUE"""),4600)</f>
        <v>4600</v>
      </c>
      <c r="D1388" s="2">
        <f ca="1">IFERROR(__xludf.DUMMYFUNCTION("""COMPUTED_VALUE"""),4360)</f>
        <v>4360</v>
      </c>
      <c r="E1388" s="2">
        <f ca="1">IFERROR(__xludf.DUMMYFUNCTION("""COMPUTED_VALUE"""),4600)</f>
        <v>4600</v>
      </c>
      <c r="F1388" s="2">
        <f ca="1">IFERROR(__xludf.DUMMYFUNCTION("""COMPUTED_VALUE"""),54992300)</f>
        <v>54992300</v>
      </c>
    </row>
    <row r="1389" spans="1:6">
      <c r="A1389" s="1">
        <f ca="1">IFERROR(__xludf.DUMMYFUNCTION("""COMPUTED_VALUE"""),44102.625)</f>
        <v>44102.625</v>
      </c>
      <c r="B1389" s="2">
        <f ca="1">IFERROR(__xludf.DUMMYFUNCTION("""COMPUTED_VALUE"""),4650)</f>
        <v>4650</v>
      </c>
      <c r="C1389" s="2">
        <f ca="1">IFERROR(__xludf.DUMMYFUNCTION("""COMPUTED_VALUE"""),4690)</f>
        <v>4690</v>
      </c>
      <c r="D1389" s="2">
        <f ca="1">IFERROR(__xludf.DUMMYFUNCTION("""COMPUTED_VALUE"""),4500)</f>
        <v>4500</v>
      </c>
      <c r="E1389" s="2">
        <f ca="1">IFERROR(__xludf.DUMMYFUNCTION("""COMPUTED_VALUE"""),4540)</f>
        <v>4540</v>
      </c>
      <c r="F1389" s="2">
        <f ca="1">IFERROR(__xludf.DUMMYFUNCTION("""COMPUTED_VALUE"""),31059400)</f>
        <v>31059400</v>
      </c>
    </row>
    <row r="1390" spans="1:6">
      <c r="A1390" s="1">
        <f ca="1">IFERROR(__xludf.DUMMYFUNCTION("""COMPUTED_VALUE"""),44103.625)</f>
        <v>44103.625</v>
      </c>
      <c r="B1390" s="2">
        <f ca="1">IFERROR(__xludf.DUMMYFUNCTION("""COMPUTED_VALUE"""),4600)</f>
        <v>4600</v>
      </c>
      <c r="C1390" s="2">
        <f ca="1">IFERROR(__xludf.DUMMYFUNCTION("""COMPUTED_VALUE"""),4650)</f>
        <v>4650</v>
      </c>
      <c r="D1390" s="2">
        <f ca="1">IFERROR(__xludf.DUMMYFUNCTION("""COMPUTED_VALUE"""),4470)</f>
        <v>4470</v>
      </c>
      <c r="E1390" s="2">
        <f ca="1">IFERROR(__xludf.DUMMYFUNCTION("""COMPUTED_VALUE"""),4510)</f>
        <v>4510</v>
      </c>
      <c r="F1390" s="2">
        <f ca="1">IFERROR(__xludf.DUMMYFUNCTION("""COMPUTED_VALUE"""),42230000)</f>
        <v>42230000</v>
      </c>
    </row>
    <row r="1391" spans="1:6">
      <c r="A1391" s="1">
        <f ca="1">IFERROR(__xludf.DUMMYFUNCTION("""COMPUTED_VALUE"""),44104.625)</f>
        <v>44104.625</v>
      </c>
      <c r="B1391" s="2">
        <f ca="1">IFERROR(__xludf.DUMMYFUNCTION("""COMPUTED_VALUE"""),4550)</f>
        <v>4550</v>
      </c>
      <c r="C1391" s="2">
        <f ca="1">IFERROR(__xludf.DUMMYFUNCTION("""COMPUTED_VALUE"""),4560)</f>
        <v>4560</v>
      </c>
      <c r="D1391" s="2">
        <f ca="1">IFERROR(__xludf.DUMMYFUNCTION("""COMPUTED_VALUE"""),4370)</f>
        <v>4370</v>
      </c>
      <c r="E1391" s="2">
        <f ca="1">IFERROR(__xludf.DUMMYFUNCTION("""COMPUTED_VALUE"""),4440)</f>
        <v>4440</v>
      </c>
      <c r="F1391" s="2">
        <f ca="1">IFERROR(__xludf.DUMMYFUNCTION("""COMPUTED_VALUE"""),31951700)</f>
        <v>31951700</v>
      </c>
    </row>
    <row r="1392" spans="1:6">
      <c r="A1392" s="1">
        <f ca="1">IFERROR(__xludf.DUMMYFUNCTION("""COMPUTED_VALUE"""),44105.625)</f>
        <v>44105.625</v>
      </c>
      <c r="B1392" s="2">
        <f ca="1">IFERROR(__xludf.DUMMYFUNCTION("""COMPUTED_VALUE"""),4490)</f>
        <v>4490</v>
      </c>
      <c r="C1392" s="2">
        <f ca="1">IFERROR(__xludf.DUMMYFUNCTION("""COMPUTED_VALUE"""),4580)</f>
        <v>4580</v>
      </c>
      <c r="D1392" s="2">
        <f ca="1">IFERROR(__xludf.DUMMYFUNCTION("""COMPUTED_VALUE"""),4470)</f>
        <v>4470</v>
      </c>
      <c r="E1392" s="2">
        <f ca="1">IFERROR(__xludf.DUMMYFUNCTION("""COMPUTED_VALUE"""),4570)</f>
        <v>4570</v>
      </c>
      <c r="F1392" s="2">
        <f ca="1">IFERROR(__xludf.DUMMYFUNCTION("""COMPUTED_VALUE"""),25883000)</f>
        <v>25883000</v>
      </c>
    </row>
    <row r="1393" spans="1:6">
      <c r="A1393" s="1">
        <f ca="1">IFERROR(__xludf.DUMMYFUNCTION("""COMPUTED_VALUE"""),44106.625)</f>
        <v>44106.625</v>
      </c>
      <c r="B1393" s="2">
        <f ca="1">IFERROR(__xludf.DUMMYFUNCTION("""COMPUTED_VALUE"""),4580)</f>
        <v>4580</v>
      </c>
      <c r="C1393" s="2">
        <f ca="1">IFERROR(__xludf.DUMMYFUNCTION("""COMPUTED_VALUE"""),4590)</f>
        <v>4590</v>
      </c>
      <c r="D1393" s="2">
        <f ca="1">IFERROR(__xludf.DUMMYFUNCTION("""COMPUTED_VALUE"""),4380)</f>
        <v>4380</v>
      </c>
      <c r="E1393" s="2">
        <f ca="1">IFERROR(__xludf.DUMMYFUNCTION("""COMPUTED_VALUE"""),4510)</f>
        <v>4510</v>
      </c>
      <c r="F1393" s="2">
        <f ca="1">IFERROR(__xludf.DUMMYFUNCTION("""COMPUTED_VALUE"""),30715500)</f>
        <v>30715500</v>
      </c>
    </row>
    <row r="1394" spans="1:6">
      <c r="A1394" s="1">
        <f ca="1">IFERROR(__xludf.DUMMYFUNCTION("""COMPUTED_VALUE"""),44109.625)</f>
        <v>44109.625</v>
      </c>
      <c r="B1394" s="2">
        <f ca="1">IFERROR(__xludf.DUMMYFUNCTION("""COMPUTED_VALUE"""),4540)</f>
        <v>4540</v>
      </c>
      <c r="C1394" s="2">
        <f ca="1">IFERROR(__xludf.DUMMYFUNCTION("""COMPUTED_VALUE"""),4620)</f>
        <v>4620</v>
      </c>
      <c r="D1394" s="2">
        <f ca="1">IFERROR(__xludf.DUMMYFUNCTION("""COMPUTED_VALUE"""),4500)</f>
        <v>4500</v>
      </c>
      <c r="E1394" s="2">
        <f ca="1">IFERROR(__xludf.DUMMYFUNCTION("""COMPUTED_VALUE"""),4620)</f>
        <v>4620</v>
      </c>
      <c r="F1394" s="2">
        <f ca="1">IFERROR(__xludf.DUMMYFUNCTION("""COMPUTED_VALUE"""),29857100)</f>
        <v>29857100</v>
      </c>
    </row>
    <row r="1395" spans="1:6">
      <c r="A1395" s="1">
        <f ca="1">IFERROR(__xludf.DUMMYFUNCTION("""COMPUTED_VALUE"""),44110.625)</f>
        <v>44110.625</v>
      </c>
      <c r="B1395" s="2">
        <f ca="1">IFERROR(__xludf.DUMMYFUNCTION("""COMPUTED_VALUE"""),4710)</f>
        <v>4710</v>
      </c>
      <c r="C1395" s="2">
        <f ca="1">IFERROR(__xludf.DUMMYFUNCTION("""COMPUTED_VALUE"""),4740)</f>
        <v>4740</v>
      </c>
      <c r="D1395" s="2">
        <f ca="1">IFERROR(__xludf.DUMMYFUNCTION("""COMPUTED_VALUE"""),4650)</f>
        <v>4650</v>
      </c>
      <c r="E1395" s="2">
        <f ca="1">IFERROR(__xludf.DUMMYFUNCTION("""COMPUTED_VALUE"""),4670)</f>
        <v>4670</v>
      </c>
      <c r="F1395" s="2">
        <f ca="1">IFERROR(__xludf.DUMMYFUNCTION("""COMPUTED_VALUE"""),49034100)</f>
        <v>49034100</v>
      </c>
    </row>
    <row r="1396" spans="1:6">
      <c r="A1396" s="1">
        <f ca="1">IFERROR(__xludf.DUMMYFUNCTION("""COMPUTED_VALUE"""),44111.625)</f>
        <v>44111.625</v>
      </c>
      <c r="B1396" s="2">
        <f ca="1">IFERROR(__xludf.DUMMYFUNCTION("""COMPUTED_VALUE"""),4620)</f>
        <v>4620</v>
      </c>
      <c r="C1396" s="2">
        <f ca="1">IFERROR(__xludf.DUMMYFUNCTION("""COMPUTED_VALUE"""),4690)</f>
        <v>4690</v>
      </c>
      <c r="D1396" s="2">
        <f ca="1">IFERROR(__xludf.DUMMYFUNCTION("""COMPUTED_VALUE"""),4610)</f>
        <v>4610</v>
      </c>
      <c r="E1396" s="2">
        <f ca="1">IFERROR(__xludf.DUMMYFUNCTION("""COMPUTED_VALUE"""),4670)</f>
        <v>4670</v>
      </c>
      <c r="F1396" s="2">
        <f ca="1">IFERROR(__xludf.DUMMYFUNCTION("""COMPUTED_VALUE"""),24101700)</f>
        <v>24101700</v>
      </c>
    </row>
    <row r="1397" spans="1:6">
      <c r="A1397" s="1">
        <f ca="1">IFERROR(__xludf.DUMMYFUNCTION("""COMPUTED_VALUE"""),44112.625)</f>
        <v>44112.625</v>
      </c>
      <c r="B1397" s="2">
        <f ca="1">IFERROR(__xludf.DUMMYFUNCTION("""COMPUTED_VALUE"""),4720)</f>
        <v>4720</v>
      </c>
      <c r="C1397" s="2">
        <f ca="1">IFERROR(__xludf.DUMMYFUNCTION("""COMPUTED_VALUE"""),4720)</f>
        <v>4720</v>
      </c>
      <c r="D1397" s="2">
        <f ca="1">IFERROR(__xludf.DUMMYFUNCTION("""COMPUTED_VALUE"""),4650)</f>
        <v>4650</v>
      </c>
      <c r="E1397" s="2">
        <f ca="1">IFERROR(__xludf.DUMMYFUNCTION("""COMPUTED_VALUE"""),4670)</f>
        <v>4670</v>
      </c>
      <c r="F1397" s="2">
        <f ca="1">IFERROR(__xludf.DUMMYFUNCTION("""COMPUTED_VALUE"""),21083400)</f>
        <v>21083400</v>
      </c>
    </row>
    <row r="1398" spans="1:6">
      <c r="A1398" s="1">
        <f ca="1">IFERROR(__xludf.DUMMYFUNCTION("""COMPUTED_VALUE"""),44113.625)</f>
        <v>44113.625</v>
      </c>
      <c r="B1398" s="2">
        <f ca="1">IFERROR(__xludf.DUMMYFUNCTION("""COMPUTED_VALUE"""),4700)</f>
        <v>4700</v>
      </c>
      <c r="C1398" s="2">
        <f ca="1">IFERROR(__xludf.DUMMYFUNCTION("""COMPUTED_VALUE"""),4700)</f>
        <v>4700</v>
      </c>
      <c r="D1398" s="2">
        <f ca="1">IFERROR(__xludf.DUMMYFUNCTION("""COMPUTED_VALUE"""),4620)</f>
        <v>4620</v>
      </c>
      <c r="E1398" s="2">
        <f ca="1">IFERROR(__xludf.DUMMYFUNCTION("""COMPUTED_VALUE"""),4640)</f>
        <v>4640</v>
      </c>
      <c r="F1398" s="2">
        <f ca="1">IFERROR(__xludf.DUMMYFUNCTION("""COMPUTED_VALUE"""),25505200)</f>
        <v>25505200</v>
      </c>
    </row>
    <row r="1399" spans="1:6">
      <c r="A1399" s="1">
        <f ca="1">IFERROR(__xludf.DUMMYFUNCTION("""COMPUTED_VALUE"""),44116.625)</f>
        <v>44116.625</v>
      </c>
      <c r="B1399" s="2">
        <f ca="1">IFERROR(__xludf.DUMMYFUNCTION("""COMPUTED_VALUE"""),4690)</f>
        <v>4690</v>
      </c>
      <c r="C1399" s="2">
        <f ca="1">IFERROR(__xludf.DUMMYFUNCTION("""COMPUTED_VALUE"""),4710)</f>
        <v>4710</v>
      </c>
      <c r="D1399" s="2">
        <f ca="1">IFERROR(__xludf.DUMMYFUNCTION("""COMPUTED_VALUE"""),4660)</f>
        <v>4660</v>
      </c>
      <c r="E1399" s="2">
        <f ca="1">IFERROR(__xludf.DUMMYFUNCTION("""COMPUTED_VALUE"""),4670)</f>
        <v>4670</v>
      </c>
      <c r="F1399" s="2">
        <f ca="1">IFERROR(__xludf.DUMMYFUNCTION("""COMPUTED_VALUE"""),31644500)</f>
        <v>31644500</v>
      </c>
    </row>
    <row r="1400" spans="1:6">
      <c r="A1400" s="1">
        <f ca="1">IFERROR(__xludf.DUMMYFUNCTION("""COMPUTED_VALUE"""),44117.625)</f>
        <v>44117.625</v>
      </c>
      <c r="B1400" s="2">
        <f ca="1">IFERROR(__xludf.DUMMYFUNCTION("""COMPUTED_VALUE"""),4670)</f>
        <v>4670</v>
      </c>
      <c r="C1400" s="2">
        <f ca="1">IFERROR(__xludf.DUMMYFUNCTION("""COMPUTED_VALUE"""),4780)</f>
        <v>4780</v>
      </c>
      <c r="D1400" s="2">
        <f ca="1">IFERROR(__xludf.DUMMYFUNCTION("""COMPUTED_VALUE"""),4620)</f>
        <v>4620</v>
      </c>
      <c r="E1400" s="2">
        <f ca="1">IFERROR(__xludf.DUMMYFUNCTION("""COMPUTED_VALUE"""),4760)</f>
        <v>4760</v>
      </c>
      <c r="F1400" s="2">
        <f ca="1">IFERROR(__xludf.DUMMYFUNCTION("""COMPUTED_VALUE"""),45256200)</f>
        <v>45256200</v>
      </c>
    </row>
    <row r="1401" spans="1:6">
      <c r="A1401" s="1">
        <f ca="1">IFERROR(__xludf.DUMMYFUNCTION("""COMPUTED_VALUE"""),44118.625)</f>
        <v>44118.625</v>
      </c>
      <c r="B1401" s="2">
        <f ca="1">IFERROR(__xludf.DUMMYFUNCTION("""COMPUTED_VALUE"""),4760)</f>
        <v>4760</v>
      </c>
      <c r="C1401" s="2">
        <f ca="1">IFERROR(__xludf.DUMMYFUNCTION("""COMPUTED_VALUE"""),4950)</f>
        <v>4950</v>
      </c>
      <c r="D1401" s="2">
        <f ca="1">IFERROR(__xludf.DUMMYFUNCTION("""COMPUTED_VALUE"""),4760)</f>
        <v>4760</v>
      </c>
      <c r="E1401" s="2">
        <f ca="1">IFERROR(__xludf.DUMMYFUNCTION("""COMPUTED_VALUE"""),4950)</f>
        <v>4950</v>
      </c>
      <c r="F1401" s="2">
        <f ca="1">IFERROR(__xludf.DUMMYFUNCTION("""COMPUTED_VALUE"""),66920300)</f>
        <v>66920300</v>
      </c>
    </row>
    <row r="1402" spans="1:6">
      <c r="A1402" s="1">
        <f ca="1">IFERROR(__xludf.DUMMYFUNCTION("""COMPUTED_VALUE"""),44119.625)</f>
        <v>44119.625</v>
      </c>
      <c r="B1402" s="2">
        <f ca="1">IFERROR(__xludf.DUMMYFUNCTION("""COMPUTED_VALUE"""),4950)</f>
        <v>4950</v>
      </c>
      <c r="C1402" s="2">
        <f ca="1">IFERROR(__xludf.DUMMYFUNCTION("""COMPUTED_VALUE"""),4950)</f>
        <v>4950</v>
      </c>
      <c r="D1402" s="2">
        <f ca="1">IFERROR(__xludf.DUMMYFUNCTION("""COMPUTED_VALUE"""),4780)</f>
        <v>4780</v>
      </c>
      <c r="E1402" s="2">
        <f ca="1">IFERROR(__xludf.DUMMYFUNCTION("""COMPUTED_VALUE"""),4780)</f>
        <v>4780</v>
      </c>
      <c r="F1402" s="2">
        <f ca="1">IFERROR(__xludf.DUMMYFUNCTION("""COMPUTED_VALUE"""),53219700)</f>
        <v>53219700</v>
      </c>
    </row>
    <row r="1403" spans="1:6">
      <c r="A1403" s="1">
        <f ca="1">IFERROR(__xludf.DUMMYFUNCTION("""COMPUTED_VALUE"""),44120.625)</f>
        <v>44120.625</v>
      </c>
      <c r="B1403" s="2">
        <f ca="1">IFERROR(__xludf.DUMMYFUNCTION("""COMPUTED_VALUE"""),4850)</f>
        <v>4850</v>
      </c>
      <c r="C1403" s="2">
        <f ca="1">IFERROR(__xludf.DUMMYFUNCTION("""COMPUTED_VALUE"""),4860)</f>
        <v>4860</v>
      </c>
      <c r="D1403" s="2">
        <f ca="1">IFERROR(__xludf.DUMMYFUNCTION("""COMPUTED_VALUE"""),4760)</f>
        <v>4760</v>
      </c>
      <c r="E1403" s="2">
        <f ca="1">IFERROR(__xludf.DUMMYFUNCTION("""COMPUTED_VALUE"""),4810)</f>
        <v>4810</v>
      </c>
      <c r="F1403" s="2">
        <f ca="1">IFERROR(__xludf.DUMMYFUNCTION("""COMPUTED_VALUE"""),27057500)</f>
        <v>27057500</v>
      </c>
    </row>
    <row r="1404" spans="1:6">
      <c r="A1404" s="1">
        <f ca="1">IFERROR(__xludf.DUMMYFUNCTION("""COMPUTED_VALUE"""),44123.625)</f>
        <v>44123.625</v>
      </c>
      <c r="B1404" s="2">
        <f ca="1">IFERROR(__xludf.DUMMYFUNCTION("""COMPUTED_VALUE"""),4850)</f>
        <v>4850</v>
      </c>
      <c r="C1404" s="2">
        <f ca="1">IFERROR(__xludf.DUMMYFUNCTION("""COMPUTED_VALUE"""),4900)</f>
        <v>4900</v>
      </c>
      <c r="D1404" s="2">
        <f ca="1">IFERROR(__xludf.DUMMYFUNCTION("""COMPUTED_VALUE"""),4820)</f>
        <v>4820</v>
      </c>
      <c r="E1404" s="2">
        <f ca="1">IFERROR(__xludf.DUMMYFUNCTION("""COMPUTED_VALUE"""),4890)</f>
        <v>4890</v>
      </c>
      <c r="F1404" s="2">
        <f ca="1">IFERROR(__xludf.DUMMYFUNCTION("""COMPUTED_VALUE"""),36507600)</f>
        <v>36507600</v>
      </c>
    </row>
    <row r="1405" spans="1:6">
      <c r="A1405" s="1">
        <f ca="1">IFERROR(__xludf.DUMMYFUNCTION("""COMPUTED_VALUE"""),44124.625)</f>
        <v>44124.625</v>
      </c>
      <c r="B1405" s="2">
        <f ca="1">IFERROR(__xludf.DUMMYFUNCTION("""COMPUTED_VALUE"""),4870)</f>
        <v>4870</v>
      </c>
      <c r="C1405" s="2">
        <f ca="1">IFERROR(__xludf.DUMMYFUNCTION("""COMPUTED_VALUE"""),4890)</f>
        <v>4890</v>
      </c>
      <c r="D1405" s="2">
        <f ca="1">IFERROR(__xludf.DUMMYFUNCTION("""COMPUTED_VALUE"""),4810)</f>
        <v>4810</v>
      </c>
      <c r="E1405" s="2">
        <f ca="1">IFERROR(__xludf.DUMMYFUNCTION("""COMPUTED_VALUE"""),4810)</f>
        <v>4810</v>
      </c>
      <c r="F1405" s="2">
        <f ca="1">IFERROR(__xludf.DUMMYFUNCTION("""COMPUTED_VALUE"""),28628400)</f>
        <v>28628400</v>
      </c>
    </row>
    <row r="1406" spans="1:6">
      <c r="A1406" s="1">
        <f ca="1">IFERROR(__xludf.DUMMYFUNCTION("""COMPUTED_VALUE"""),44125.625)</f>
        <v>44125.625</v>
      </c>
      <c r="B1406" s="2">
        <f ca="1">IFERROR(__xludf.DUMMYFUNCTION("""COMPUTED_VALUE"""),4850)</f>
        <v>4850</v>
      </c>
      <c r="C1406" s="2">
        <f ca="1">IFERROR(__xludf.DUMMYFUNCTION("""COMPUTED_VALUE"""),4930)</f>
        <v>4930</v>
      </c>
      <c r="D1406" s="2">
        <f ca="1">IFERROR(__xludf.DUMMYFUNCTION("""COMPUTED_VALUE"""),4850)</f>
        <v>4850</v>
      </c>
      <c r="E1406" s="2">
        <f ca="1">IFERROR(__xludf.DUMMYFUNCTION("""COMPUTED_VALUE"""),4880)</f>
        <v>4880</v>
      </c>
      <c r="F1406" s="2">
        <f ca="1">IFERROR(__xludf.DUMMYFUNCTION("""COMPUTED_VALUE"""),44696300)</f>
        <v>44696300</v>
      </c>
    </row>
    <row r="1407" spans="1:6">
      <c r="A1407" s="1">
        <f ca="1">IFERROR(__xludf.DUMMYFUNCTION("""COMPUTED_VALUE"""),44126.625)</f>
        <v>44126.625</v>
      </c>
      <c r="B1407" s="2">
        <f ca="1">IFERROR(__xludf.DUMMYFUNCTION("""COMPUTED_VALUE"""),4830)</f>
        <v>4830</v>
      </c>
      <c r="C1407" s="2">
        <f ca="1">IFERROR(__xludf.DUMMYFUNCTION("""COMPUTED_VALUE"""),4880)</f>
        <v>4880</v>
      </c>
      <c r="D1407" s="2">
        <f ca="1">IFERROR(__xludf.DUMMYFUNCTION("""COMPUTED_VALUE"""),4830)</f>
        <v>4830</v>
      </c>
      <c r="E1407" s="2">
        <f ca="1">IFERROR(__xludf.DUMMYFUNCTION("""COMPUTED_VALUE"""),4860)</f>
        <v>4860</v>
      </c>
      <c r="F1407" s="2">
        <f ca="1">IFERROR(__xludf.DUMMYFUNCTION("""COMPUTED_VALUE"""),22289100)</f>
        <v>22289100</v>
      </c>
    </row>
    <row r="1408" spans="1:6">
      <c r="A1408" s="1">
        <f ca="1">IFERROR(__xludf.DUMMYFUNCTION("""COMPUTED_VALUE"""),44127.625)</f>
        <v>44127.625</v>
      </c>
      <c r="B1408" s="2">
        <f ca="1">IFERROR(__xludf.DUMMYFUNCTION("""COMPUTED_VALUE"""),4860)</f>
        <v>4860</v>
      </c>
      <c r="C1408" s="2">
        <f ca="1">IFERROR(__xludf.DUMMYFUNCTION("""COMPUTED_VALUE"""),4900)</f>
        <v>4900</v>
      </c>
      <c r="D1408" s="2">
        <f ca="1">IFERROR(__xludf.DUMMYFUNCTION("""COMPUTED_VALUE"""),4840)</f>
        <v>4840</v>
      </c>
      <c r="E1408" s="2">
        <f ca="1">IFERROR(__xludf.DUMMYFUNCTION("""COMPUTED_VALUE"""),4850)</f>
        <v>4850</v>
      </c>
      <c r="F1408" s="2">
        <f ca="1">IFERROR(__xludf.DUMMYFUNCTION("""COMPUTED_VALUE"""),23111100)</f>
        <v>23111100</v>
      </c>
    </row>
    <row r="1409" spans="1:6">
      <c r="A1409" s="1">
        <f ca="1">IFERROR(__xludf.DUMMYFUNCTION("""COMPUTED_VALUE"""),44130.625)</f>
        <v>44130.625</v>
      </c>
      <c r="B1409" s="2">
        <f ca="1">IFERROR(__xludf.DUMMYFUNCTION("""COMPUTED_VALUE"""),4870)</f>
        <v>4870</v>
      </c>
      <c r="C1409" s="2">
        <f ca="1">IFERROR(__xludf.DUMMYFUNCTION("""COMPUTED_VALUE"""),4920)</f>
        <v>4920</v>
      </c>
      <c r="D1409" s="2">
        <f ca="1">IFERROR(__xludf.DUMMYFUNCTION("""COMPUTED_VALUE"""),4830)</f>
        <v>4830</v>
      </c>
      <c r="E1409" s="2">
        <f ca="1">IFERROR(__xludf.DUMMYFUNCTION("""COMPUTED_VALUE"""),4850)</f>
        <v>4850</v>
      </c>
      <c r="F1409" s="2">
        <f ca="1">IFERROR(__xludf.DUMMYFUNCTION("""COMPUTED_VALUE"""),56483600)</f>
        <v>56483600</v>
      </c>
    </row>
    <row r="1410" spans="1:6">
      <c r="A1410" s="1">
        <f ca="1">IFERROR(__xludf.DUMMYFUNCTION("""COMPUTED_VALUE"""),44131.625)</f>
        <v>44131.625</v>
      </c>
      <c r="B1410" s="2">
        <f ca="1">IFERROR(__xludf.DUMMYFUNCTION("""COMPUTED_VALUE"""),4800)</f>
        <v>4800</v>
      </c>
      <c r="C1410" s="2">
        <f ca="1">IFERROR(__xludf.DUMMYFUNCTION("""COMPUTED_VALUE"""),4850)</f>
        <v>4850</v>
      </c>
      <c r="D1410" s="2">
        <f ca="1">IFERROR(__xludf.DUMMYFUNCTION("""COMPUTED_VALUE"""),4730)</f>
        <v>4730</v>
      </c>
      <c r="E1410" s="2">
        <f ca="1">IFERROR(__xludf.DUMMYFUNCTION("""COMPUTED_VALUE"""),4740)</f>
        <v>4740</v>
      </c>
      <c r="F1410" s="2">
        <f ca="1">IFERROR(__xludf.DUMMYFUNCTION("""COMPUTED_VALUE"""),88238000)</f>
        <v>88238000</v>
      </c>
    </row>
    <row r="1411" spans="1:6">
      <c r="A1411" s="1">
        <f ca="1">IFERROR(__xludf.DUMMYFUNCTION("""COMPUTED_VALUE"""),44137.625)</f>
        <v>44137.625</v>
      </c>
      <c r="B1411" s="2">
        <f ca="1">IFERROR(__xludf.DUMMYFUNCTION("""COMPUTED_VALUE"""),4700)</f>
        <v>4700</v>
      </c>
      <c r="C1411" s="2">
        <f ca="1">IFERROR(__xludf.DUMMYFUNCTION("""COMPUTED_VALUE"""),4710)</f>
        <v>4710</v>
      </c>
      <c r="D1411" s="2">
        <f ca="1">IFERROR(__xludf.DUMMYFUNCTION("""COMPUTED_VALUE"""),4590)</f>
        <v>4590</v>
      </c>
      <c r="E1411" s="2">
        <f ca="1">IFERROR(__xludf.DUMMYFUNCTION("""COMPUTED_VALUE"""),4660)</f>
        <v>4660</v>
      </c>
      <c r="F1411" s="2">
        <f ca="1">IFERROR(__xludf.DUMMYFUNCTION("""COMPUTED_VALUE"""),72577500)</f>
        <v>72577500</v>
      </c>
    </row>
    <row r="1412" spans="1:6">
      <c r="A1412" s="1">
        <f ca="1">IFERROR(__xludf.DUMMYFUNCTION("""COMPUTED_VALUE"""),44138.625)</f>
        <v>44138.625</v>
      </c>
      <c r="B1412" s="2">
        <f ca="1">IFERROR(__xludf.DUMMYFUNCTION("""COMPUTED_VALUE"""),4700)</f>
        <v>4700</v>
      </c>
      <c r="C1412" s="2">
        <f ca="1">IFERROR(__xludf.DUMMYFUNCTION("""COMPUTED_VALUE"""),4740)</f>
        <v>4740</v>
      </c>
      <c r="D1412" s="2">
        <f ca="1">IFERROR(__xludf.DUMMYFUNCTION("""COMPUTED_VALUE"""),4660)</f>
        <v>4660</v>
      </c>
      <c r="E1412" s="2">
        <f ca="1">IFERROR(__xludf.DUMMYFUNCTION("""COMPUTED_VALUE"""),4670)</f>
        <v>4670</v>
      </c>
      <c r="F1412" s="2">
        <f ca="1">IFERROR(__xludf.DUMMYFUNCTION("""COMPUTED_VALUE"""),44974800)</f>
        <v>44974800</v>
      </c>
    </row>
    <row r="1413" spans="1:6">
      <c r="A1413" s="1">
        <f ca="1">IFERROR(__xludf.DUMMYFUNCTION("""COMPUTED_VALUE"""),44139.625)</f>
        <v>44139.625</v>
      </c>
      <c r="B1413" s="2">
        <f ca="1">IFERROR(__xludf.DUMMYFUNCTION("""COMPUTED_VALUE"""),4700)</f>
        <v>4700</v>
      </c>
      <c r="C1413" s="2">
        <f ca="1">IFERROR(__xludf.DUMMYFUNCTION("""COMPUTED_VALUE"""),4720)</f>
        <v>4720</v>
      </c>
      <c r="D1413" s="2">
        <f ca="1">IFERROR(__xludf.DUMMYFUNCTION("""COMPUTED_VALUE"""),4600)</f>
        <v>4600</v>
      </c>
      <c r="E1413" s="2">
        <f ca="1">IFERROR(__xludf.DUMMYFUNCTION("""COMPUTED_VALUE"""),4620)</f>
        <v>4620</v>
      </c>
      <c r="F1413" s="2">
        <f ca="1">IFERROR(__xludf.DUMMYFUNCTION("""COMPUTED_VALUE"""),35401100)</f>
        <v>35401100</v>
      </c>
    </row>
    <row r="1414" spans="1:6">
      <c r="A1414" s="1">
        <f ca="1">IFERROR(__xludf.DUMMYFUNCTION("""COMPUTED_VALUE"""),44140.625)</f>
        <v>44140.625</v>
      </c>
      <c r="B1414" s="2">
        <f ca="1">IFERROR(__xludf.DUMMYFUNCTION("""COMPUTED_VALUE"""),4720)</f>
        <v>4720</v>
      </c>
      <c r="C1414" s="2">
        <f ca="1">IFERROR(__xludf.DUMMYFUNCTION("""COMPUTED_VALUE"""),4850)</f>
        <v>4850</v>
      </c>
      <c r="D1414" s="2">
        <f ca="1">IFERROR(__xludf.DUMMYFUNCTION("""COMPUTED_VALUE"""),4680)</f>
        <v>4680</v>
      </c>
      <c r="E1414" s="2">
        <f ca="1">IFERROR(__xludf.DUMMYFUNCTION("""COMPUTED_VALUE"""),4830)</f>
        <v>4830</v>
      </c>
      <c r="F1414" s="2">
        <f ca="1">IFERROR(__xludf.DUMMYFUNCTION("""COMPUTED_VALUE"""),90281700)</f>
        <v>90281700</v>
      </c>
    </row>
    <row r="1415" spans="1:6">
      <c r="A1415" s="1">
        <f ca="1">IFERROR(__xludf.DUMMYFUNCTION("""COMPUTED_VALUE"""),44141.625)</f>
        <v>44141.625</v>
      </c>
      <c r="B1415" s="2">
        <f ca="1">IFERROR(__xludf.DUMMYFUNCTION("""COMPUTED_VALUE"""),4860)</f>
        <v>4860</v>
      </c>
      <c r="C1415" s="2">
        <f ca="1">IFERROR(__xludf.DUMMYFUNCTION("""COMPUTED_VALUE"""),5025)</f>
        <v>5025</v>
      </c>
      <c r="D1415" s="2">
        <f ca="1">IFERROR(__xludf.DUMMYFUNCTION("""COMPUTED_VALUE"""),4770)</f>
        <v>4770</v>
      </c>
      <c r="E1415" s="2">
        <f ca="1">IFERROR(__xludf.DUMMYFUNCTION("""COMPUTED_VALUE"""),4960)</f>
        <v>4960</v>
      </c>
      <c r="F1415" s="2">
        <f ca="1">IFERROR(__xludf.DUMMYFUNCTION("""COMPUTED_VALUE"""),120355000)</f>
        <v>120355000</v>
      </c>
    </row>
    <row r="1416" spans="1:6">
      <c r="A1416" s="1">
        <f ca="1">IFERROR(__xludf.DUMMYFUNCTION("""COMPUTED_VALUE"""),44144.625)</f>
        <v>44144.625</v>
      </c>
      <c r="B1416" s="2">
        <f ca="1">IFERROR(__xludf.DUMMYFUNCTION("""COMPUTED_VALUE"""),5050)</f>
        <v>5050</v>
      </c>
      <c r="C1416" s="2">
        <f ca="1">IFERROR(__xludf.DUMMYFUNCTION("""COMPUTED_VALUE"""),5150)</f>
        <v>5150</v>
      </c>
      <c r="D1416" s="2">
        <f ca="1">IFERROR(__xludf.DUMMYFUNCTION("""COMPUTED_VALUE"""),5000)</f>
        <v>5000</v>
      </c>
      <c r="E1416" s="2">
        <f ca="1">IFERROR(__xludf.DUMMYFUNCTION("""COMPUTED_VALUE"""),5100)</f>
        <v>5100</v>
      </c>
      <c r="F1416" s="2">
        <f ca="1">IFERROR(__xludf.DUMMYFUNCTION("""COMPUTED_VALUE"""),83367000)</f>
        <v>83367000</v>
      </c>
    </row>
    <row r="1417" spans="1:6">
      <c r="A1417" s="1">
        <f ca="1">IFERROR(__xludf.DUMMYFUNCTION("""COMPUTED_VALUE"""),44145.625)</f>
        <v>44145.625</v>
      </c>
      <c r="B1417" s="2">
        <f ca="1">IFERROR(__xludf.DUMMYFUNCTION("""COMPUTED_VALUE"""),5250)</f>
        <v>5250</v>
      </c>
      <c r="C1417" s="2">
        <f ca="1">IFERROR(__xludf.DUMMYFUNCTION("""COMPUTED_VALUE"""),5350)</f>
        <v>5350</v>
      </c>
      <c r="D1417" s="2">
        <f ca="1">IFERROR(__xludf.DUMMYFUNCTION("""COMPUTED_VALUE"""),5200)</f>
        <v>5200</v>
      </c>
      <c r="E1417" s="2">
        <f ca="1">IFERROR(__xludf.DUMMYFUNCTION("""COMPUTED_VALUE"""),5325)</f>
        <v>5325</v>
      </c>
      <c r="F1417" s="2">
        <f ca="1">IFERROR(__xludf.DUMMYFUNCTION("""COMPUTED_VALUE"""),125532500)</f>
        <v>125532500</v>
      </c>
    </row>
    <row r="1418" spans="1:6">
      <c r="A1418" s="1">
        <f ca="1">IFERROR(__xludf.DUMMYFUNCTION("""COMPUTED_VALUE"""),44146.625)</f>
        <v>44146.625</v>
      </c>
      <c r="B1418" s="2">
        <f ca="1">IFERROR(__xludf.DUMMYFUNCTION("""COMPUTED_VALUE"""),5375)</f>
        <v>5375</v>
      </c>
      <c r="C1418" s="2">
        <f ca="1">IFERROR(__xludf.DUMMYFUNCTION("""COMPUTED_VALUE"""),5525)</f>
        <v>5525</v>
      </c>
      <c r="D1418" s="2">
        <f ca="1">IFERROR(__xludf.DUMMYFUNCTION("""COMPUTED_VALUE"""),5325)</f>
        <v>5325</v>
      </c>
      <c r="E1418" s="2">
        <f ca="1">IFERROR(__xludf.DUMMYFUNCTION("""COMPUTED_VALUE"""),5475)</f>
        <v>5475</v>
      </c>
      <c r="F1418" s="2">
        <f ca="1">IFERROR(__xludf.DUMMYFUNCTION("""COMPUTED_VALUE"""),107375700)</f>
        <v>107375700</v>
      </c>
    </row>
    <row r="1419" spans="1:6">
      <c r="A1419" s="1">
        <f ca="1">IFERROR(__xludf.DUMMYFUNCTION("""COMPUTED_VALUE"""),44147.625)</f>
        <v>44147.625</v>
      </c>
      <c r="B1419" s="2">
        <f ca="1">IFERROR(__xludf.DUMMYFUNCTION("""COMPUTED_VALUE"""),5550)</f>
        <v>5550</v>
      </c>
      <c r="C1419" s="2">
        <f ca="1">IFERROR(__xludf.DUMMYFUNCTION("""COMPUTED_VALUE"""),5550)</f>
        <v>5550</v>
      </c>
      <c r="D1419" s="2">
        <f ca="1">IFERROR(__xludf.DUMMYFUNCTION("""COMPUTED_VALUE"""),5300)</f>
        <v>5300</v>
      </c>
      <c r="E1419" s="2">
        <f ca="1">IFERROR(__xludf.DUMMYFUNCTION("""COMPUTED_VALUE"""),5375)</f>
        <v>5375</v>
      </c>
      <c r="F1419" s="2">
        <f ca="1">IFERROR(__xludf.DUMMYFUNCTION("""COMPUTED_VALUE"""),66993800)</f>
        <v>66993800</v>
      </c>
    </row>
    <row r="1420" spans="1:6">
      <c r="A1420" s="1">
        <f ca="1">IFERROR(__xludf.DUMMYFUNCTION("""COMPUTED_VALUE"""),44148.625)</f>
        <v>44148.625</v>
      </c>
      <c r="B1420" s="2">
        <f ca="1">IFERROR(__xludf.DUMMYFUNCTION("""COMPUTED_VALUE"""),5325)</f>
        <v>5325</v>
      </c>
      <c r="C1420" s="2">
        <f ca="1">IFERROR(__xludf.DUMMYFUNCTION("""COMPUTED_VALUE"""),5700)</f>
        <v>5700</v>
      </c>
      <c r="D1420" s="2">
        <f ca="1">IFERROR(__xludf.DUMMYFUNCTION("""COMPUTED_VALUE"""),5275)</f>
        <v>5275</v>
      </c>
      <c r="E1420" s="2">
        <f ca="1">IFERROR(__xludf.DUMMYFUNCTION("""COMPUTED_VALUE"""),5650)</f>
        <v>5650</v>
      </c>
      <c r="F1420" s="2">
        <f ca="1">IFERROR(__xludf.DUMMYFUNCTION("""COMPUTED_VALUE"""),99203700)</f>
        <v>99203700</v>
      </c>
    </row>
    <row r="1421" spans="1:6">
      <c r="A1421" s="1">
        <f ca="1">IFERROR(__xludf.DUMMYFUNCTION("""COMPUTED_VALUE"""),44151.625)</f>
        <v>44151.625</v>
      </c>
      <c r="B1421" s="2">
        <f ca="1">IFERROR(__xludf.DUMMYFUNCTION("""COMPUTED_VALUE"""),5750)</f>
        <v>5750</v>
      </c>
      <c r="C1421" s="2">
        <f ca="1">IFERROR(__xludf.DUMMYFUNCTION("""COMPUTED_VALUE"""),5850)</f>
        <v>5850</v>
      </c>
      <c r="D1421" s="2">
        <f ca="1">IFERROR(__xludf.DUMMYFUNCTION("""COMPUTED_VALUE"""),5650)</f>
        <v>5650</v>
      </c>
      <c r="E1421" s="2">
        <f ca="1">IFERROR(__xludf.DUMMYFUNCTION("""COMPUTED_VALUE"""),5675)</f>
        <v>5675</v>
      </c>
      <c r="F1421" s="2">
        <f ca="1">IFERROR(__xludf.DUMMYFUNCTION("""COMPUTED_VALUE"""),86880400)</f>
        <v>86880400</v>
      </c>
    </row>
    <row r="1422" spans="1:6">
      <c r="A1422" s="1">
        <f ca="1">IFERROR(__xludf.DUMMYFUNCTION("""COMPUTED_VALUE"""),44152.625)</f>
        <v>44152.625</v>
      </c>
      <c r="B1422" s="2">
        <f ca="1">IFERROR(__xludf.DUMMYFUNCTION("""COMPUTED_VALUE"""),5750)</f>
        <v>5750</v>
      </c>
      <c r="C1422" s="2">
        <f ca="1">IFERROR(__xludf.DUMMYFUNCTION("""COMPUTED_VALUE"""),5800)</f>
        <v>5800</v>
      </c>
      <c r="D1422" s="2">
        <f ca="1">IFERROR(__xludf.DUMMYFUNCTION("""COMPUTED_VALUE"""),5675)</f>
        <v>5675</v>
      </c>
      <c r="E1422" s="2">
        <f ca="1">IFERROR(__xludf.DUMMYFUNCTION("""COMPUTED_VALUE"""),5750)</f>
        <v>5750</v>
      </c>
      <c r="F1422" s="2">
        <f ca="1">IFERROR(__xludf.DUMMYFUNCTION("""COMPUTED_VALUE"""),63441100)</f>
        <v>63441100</v>
      </c>
    </row>
    <row r="1423" spans="1:6">
      <c r="A1423" s="1">
        <f ca="1">IFERROR(__xludf.DUMMYFUNCTION("""COMPUTED_VALUE"""),44153.625)</f>
        <v>44153.625</v>
      </c>
      <c r="B1423" s="2">
        <f ca="1">IFERROR(__xludf.DUMMYFUNCTION("""COMPUTED_VALUE"""),5750)</f>
        <v>5750</v>
      </c>
      <c r="C1423" s="2">
        <f ca="1">IFERROR(__xludf.DUMMYFUNCTION("""COMPUTED_VALUE"""),5775)</f>
        <v>5775</v>
      </c>
      <c r="D1423" s="2">
        <f ca="1">IFERROR(__xludf.DUMMYFUNCTION("""COMPUTED_VALUE"""),5650)</f>
        <v>5650</v>
      </c>
      <c r="E1423" s="2">
        <f ca="1">IFERROR(__xludf.DUMMYFUNCTION("""COMPUTED_VALUE"""),5725)</f>
        <v>5725</v>
      </c>
      <c r="F1423" s="2">
        <f ca="1">IFERROR(__xludf.DUMMYFUNCTION("""COMPUTED_VALUE"""),48749700)</f>
        <v>48749700</v>
      </c>
    </row>
    <row r="1424" spans="1:6">
      <c r="A1424" s="1">
        <f ca="1">IFERROR(__xludf.DUMMYFUNCTION("""COMPUTED_VALUE"""),44154.625)</f>
        <v>44154.625</v>
      </c>
      <c r="B1424" s="2">
        <f ca="1">IFERROR(__xludf.DUMMYFUNCTION("""COMPUTED_VALUE"""),5675)</f>
        <v>5675</v>
      </c>
      <c r="C1424" s="2">
        <f ca="1">IFERROR(__xludf.DUMMYFUNCTION("""COMPUTED_VALUE"""),5800)</f>
        <v>5800</v>
      </c>
      <c r="D1424" s="2">
        <f ca="1">IFERROR(__xludf.DUMMYFUNCTION("""COMPUTED_VALUE"""),5650)</f>
        <v>5650</v>
      </c>
      <c r="E1424" s="2">
        <f ca="1">IFERROR(__xludf.DUMMYFUNCTION("""COMPUTED_VALUE"""),5750)</f>
        <v>5750</v>
      </c>
      <c r="F1424" s="2">
        <f ca="1">IFERROR(__xludf.DUMMYFUNCTION("""COMPUTED_VALUE"""),61333600)</f>
        <v>61333600</v>
      </c>
    </row>
    <row r="1425" spans="1:6">
      <c r="A1425" s="1">
        <f ca="1">IFERROR(__xludf.DUMMYFUNCTION("""COMPUTED_VALUE"""),44155.625)</f>
        <v>44155.625</v>
      </c>
      <c r="B1425" s="2">
        <f ca="1">IFERROR(__xludf.DUMMYFUNCTION("""COMPUTED_VALUE"""),5700)</f>
        <v>5700</v>
      </c>
      <c r="C1425" s="2">
        <f ca="1">IFERROR(__xludf.DUMMYFUNCTION("""COMPUTED_VALUE"""),5800)</f>
        <v>5800</v>
      </c>
      <c r="D1425" s="2">
        <f ca="1">IFERROR(__xludf.DUMMYFUNCTION("""COMPUTED_VALUE"""),5650)</f>
        <v>5650</v>
      </c>
      <c r="E1425" s="2">
        <f ca="1">IFERROR(__xludf.DUMMYFUNCTION("""COMPUTED_VALUE"""),5675)</f>
        <v>5675</v>
      </c>
      <c r="F1425" s="2">
        <f ca="1">IFERROR(__xludf.DUMMYFUNCTION("""COMPUTED_VALUE"""),53141400)</f>
        <v>53141400</v>
      </c>
    </row>
    <row r="1426" spans="1:6">
      <c r="A1426" s="1">
        <f ca="1">IFERROR(__xludf.DUMMYFUNCTION("""COMPUTED_VALUE"""),44158.625)</f>
        <v>44158.625</v>
      </c>
      <c r="B1426" s="2">
        <f ca="1">IFERROR(__xludf.DUMMYFUNCTION("""COMPUTED_VALUE"""),5675)</f>
        <v>5675</v>
      </c>
      <c r="C1426" s="2">
        <f ca="1">IFERROR(__xludf.DUMMYFUNCTION("""COMPUTED_VALUE"""),5975)</f>
        <v>5975</v>
      </c>
      <c r="D1426" s="2">
        <f ca="1">IFERROR(__xludf.DUMMYFUNCTION("""COMPUTED_VALUE"""),5625)</f>
        <v>5625</v>
      </c>
      <c r="E1426" s="2">
        <f ca="1">IFERROR(__xludf.DUMMYFUNCTION("""COMPUTED_VALUE"""),5900)</f>
        <v>5900</v>
      </c>
      <c r="F1426" s="2">
        <f ca="1">IFERROR(__xludf.DUMMYFUNCTION("""COMPUTED_VALUE"""),82536100)</f>
        <v>82536100</v>
      </c>
    </row>
    <row r="1427" spans="1:6">
      <c r="A1427" s="1">
        <f ca="1">IFERROR(__xludf.DUMMYFUNCTION("""COMPUTED_VALUE"""),44159.625)</f>
        <v>44159.625</v>
      </c>
      <c r="B1427" s="2">
        <f ca="1">IFERROR(__xludf.DUMMYFUNCTION("""COMPUTED_VALUE"""),5975)</f>
        <v>5975</v>
      </c>
      <c r="C1427" s="2">
        <f ca="1">IFERROR(__xludf.DUMMYFUNCTION("""COMPUTED_VALUE"""),5975)</f>
        <v>5975</v>
      </c>
      <c r="D1427" s="2">
        <f ca="1">IFERROR(__xludf.DUMMYFUNCTION("""COMPUTED_VALUE"""),5900)</f>
        <v>5900</v>
      </c>
      <c r="E1427" s="2">
        <f ca="1">IFERROR(__xludf.DUMMYFUNCTION("""COMPUTED_VALUE"""),5950)</f>
        <v>5950</v>
      </c>
      <c r="F1427" s="2">
        <f ca="1">IFERROR(__xludf.DUMMYFUNCTION("""COMPUTED_VALUE"""),61987700)</f>
        <v>61987700</v>
      </c>
    </row>
    <row r="1428" spans="1:6">
      <c r="A1428" s="1">
        <f ca="1">IFERROR(__xludf.DUMMYFUNCTION("""COMPUTED_VALUE"""),44160.625)</f>
        <v>44160.625</v>
      </c>
      <c r="B1428" s="2">
        <f ca="1">IFERROR(__xludf.DUMMYFUNCTION("""COMPUTED_VALUE"""),6000)</f>
        <v>6000</v>
      </c>
      <c r="C1428" s="2">
        <f ca="1">IFERROR(__xludf.DUMMYFUNCTION("""COMPUTED_VALUE"""),6175)</f>
        <v>6175</v>
      </c>
      <c r="D1428" s="2">
        <f ca="1">IFERROR(__xludf.DUMMYFUNCTION("""COMPUTED_VALUE"""),6000)</f>
        <v>6000</v>
      </c>
      <c r="E1428" s="2">
        <f ca="1">IFERROR(__xludf.DUMMYFUNCTION("""COMPUTED_VALUE"""),6050)</f>
        <v>6050</v>
      </c>
      <c r="F1428" s="2">
        <f ca="1">IFERROR(__xludf.DUMMYFUNCTION("""COMPUTED_VALUE"""),101206400)</f>
        <v>101206400</v>
      </c>
    </row>
    <row r="1429" spans="1:6">
      <c r="A1429" s="1">
        <f ca="1">IFERROR(__xludf.DUMMYFUNCTION("""COMPUTED_VALUE"""),44161.625)</f>
        <v>44161.625</v>
      </c>
      <c r="B1429" s="2">
        <f ca="1">IFERROR(__xludf.DUMMYFUNCTION("""COMPUTED_VALUE"""),6050)</f>
        <v>6050</v>
      </c>
      <c r="C1429" s="2">
        <f ca="1">IFERROR(__xludf.DUMMYFUNCTION("""COMPUTED_VALUE"""),6350)</f>
        <v>6350</v>
      </c>
      <c r="D1429" s="2">
        <f ca="1">IFERROR(__xludf.DUMMYFUNCTION("""COMPUTED_VALUE"""),6025)</f>
        <v>6025</v>
      </c>
      <c r="E1429" s="2">
        <f ca="1">IFERROR(__xludf.DUMMYFUNCTION("""COMPUTED_VALUE"""),6300)</f>
        <v>6300</v>
      </c>
      <c r="F1429" s="2">
        <f ca="1">IFERROR(__xludf.DUMMYFUNCTION("""COMPUTED_VALUE"""),66773100)</f>
        <v>66773100</v>
      </c>
    </row>
    <row r="1430" spans="1:6">
      <c r="A1430" s="1">
        <f ca="1">IFERROR(__xludf.DUMMYFUNCTION("""COMPUTED_VALUE"""),44162.625)</f>
        <v>44162.625</v>
      </c>
      <c r="B1430" s="2">
        <f ca="1">IFERROR(__xludf.DUMMYFUNCTION("""COMPUTED_VALUE"""),6300)</f>
        <v>6300</v>
      </c>
      <c r="C1430" s="2">
        <f ca="1">IFERROR(__xludf.DUMMYFUNCTION("""COMPUTED_VALUE"""),6375)</f>
        <v>6375</v>
      </c>
      <c r="D1430" s="2">
        <f ca="1">IFERROR(__xludf.DUMMYFUNCTION("""COMPUTED_VALUE"""),6200)</f>
        <v>6200</v>
      </c>
      <c r="E1430" s="2">
        <f ca="1">IFERROR(__xludf.DUMMYFUNCTION("""COMPUTED_VALUE"""),6350)</f>
        <v>6350</v>
      </c>
      <c r="F1430" s="2">
        <f ca="1">IFERROR(__xludf.DUMMYFUNCTION("""COMPUTED_VALUE"""),64918200)</f>
        <v>64918200</v>
      </c>
    </row>
    <row r="1431" spans="1:6">
      <c r="A1431" s="1">
        <f ca="1">IFERROR(__xludf.DUMMYFUNCTION("""COMPUTED_VALUE"""),44165.625)</f>
        <v>44165.625</v>
      </c>
      <c r="B1431" s="2">
        <f ca="1">IFERROR(__xludf.DUMMYFUNCTION("""COMPUTED_VALUE"""),6350)</f>
        <v>6350</v>
      </c>
      <c r="C1431" s="2">
        <f ca="1">IFERROR(__xludf.DUMMYFUNCTION("""COMPUTED_VALUE"""),6350)</f>
        <v>6350</v>
      </c>
      <c r="D1431" s="2">
        <f ca="1">IFERROR(__xludf.DUMMYFUNCTION("""COMPUTED_VALUE"""),5950)</f>
        <v>5950</v>
      </c>
      <c r="E1431" s="2">
        <f ca="1">IFERROR(__xludf.DUMMYFUNCTION("""COMPUTED_VALUE"""),6000)</f>
        <v>6000</v>
      </c>
      <c r="F1431" s="2">
        <f ca="1">IFERROR(__xludf.DUMMYFUNCTION("""COMPUTED_VALUE"""),160407100)</f>
        <v>160407100</v>
      </c>
    </row>
    <row r="1432" spans="1:6">
      <c r="A1432" s="1">
        <f ca="1">IFERROR(__xludf.DUMMYFUNCTION("""COMPUTED_VALUE"""),44166.625)</f>
        <v>44166.625</v>
      </c>
      <c r="B1432" s="2">
        <f ca="1">IFERROR(__xludf.DUMMYFUNCTION("""COMPUTED_VALUE"""),6075)</f>
        <v>6075</v>
      </c>
      <c r="C1432" s="2">
        <f ca="1">IFERROR(__xludf.DUMMYFUNCTION("""COMPUTED_VALUE"""),6250)</f>
        <v>6250</v>
      </c>
      <c r="D1432" s="2">
        <f ca="1">IFERROR(__xludf.DUMMYFUNCTION("""COMPUTED_VALUE"""),5925)</f>
        <v>5925</v>
      </c>
      <c r="E1432" s="2">
        <f ca="1">IFERROR(__xludf.DUMMYFUNCTION("""COMPUTED_VALUE"""),6250)</f>
        <v>6250</v>
      </c>
      <c r="F1432" s="2">
        <f ca="1">IFERROR(__xludf.DUMMYFUNCTION("""COMPUTED_VALUE"""),99785300)</f>
        <v>99785300</v>
      </c>
    </row>
    <row r="1433" spans="1:6">
      <c r="A1433" s="1">
        <f ca="1">IFERROR(__xludf.DUMMYFUNCTION("""COMPUTED_VALUE"""),44167.625)</f>
        <v>44167.625</v>
      </c>
      <c r="B1433" s="2">
        <f ca="1">IFERROR(__xludf.DUMMYFUNCTION("""COMPUTED_VALUE"""),6300)</f>
        <v>6300</v>
      </c>
      <c r="C1433" s="2">
        <f ca="1">IFERROR(__xludf.DUMMYFUNCTION("""COMPUTED_VALUE"""),6375)</f>
        <v>6375</v>
      </c>
      <c r="D1433" s="2">
        <f ca="1">IFERROR(__xludf.DUMMYFUNCTION("""COMPUTED_VALUE"""),6200)</f>
        <v>6200</v>
      </c>
      <c r="E1433" s="2">
        <f ca="1">IFERROR(__xludf.DUMMYFUNCTION("""COMPUTED_VALUE"""),6350)</f>
        <v>6350</v>
      </c>
      <c r="F1433" s="2">
        <f ca="1">IFERROR(__xludf.DUMMYFUNCTION("""COMPUTED_VALUE"""),51993700)</f>
        <v>51993700</v>
      </c>
    </row>
    <row r="1434" spans="1:6">
      <c r="A1434" s="1">
        <f ca="1">IFERROR(__xludf.DUMMYFUNCTION("""COMPUTED_VALUE"""),44168.625)</f>
        <v>44168.625</v>
      </c>
      <c r="B1434" s="2">
        <f ca="1">IFERROR(__xludf.DUMMYFUNCTION("""COMPUTED_VALUE"""),6375)</f>
        <v>6375</v>
      </c>
      <c r="C1434" s="2">
        <f ca="1">IFERROR(__xludf.DUMMYFUNCTION("""COMPUTED_VALUE"""),6500)</f>
        <v>6500</v>
      </c>
      <c r="D1434" s="2">
        <f ca="1">IFERROR(__xludf.DUMMYFUNCTION("""COMPUTED_VALUE"""),6300)</f>
        <v>6300</v>
      </c>
      <c r="E1434" s="2">
        <f ca="1">IFERROR(__xludf.DUMMYFUNCTION("""COMPUTED_VALUE"""),6350)</f>
        <v>6350</v>
      </c>
      <c r="F1434" s="2">
        <f ca="1">IFERROR(__xludf.DUMMYFUNCTION("""COMPUTED_VALUE"""),64150200)</f>
        <v>64150200</v>
      </c>
    </row>
    <row r="1435" spans="1:6">
      <c r="A1435" s="1">
        <f ca="1">IFERROR(__xludf.DUMMYFUNCTION("""COMPUTED_VALUE"""),44169.625)</f>
        <v>44169.625</v>
      </c>
      <c r="B1435" s="2">
        <f ca="1">IFERROR(__xludf.DUMMYFUNCTION("""COMPUTED_VALUE"""),6325)</f>
        <v>6325</v>
      </c>
      <c r="C1435" s="2">
        <f ca="1">IFERROR(__xludf.DUMMYFUNCTION("""COMPUTED_VALUE"""),6425)</f>
        <v>6425</v>
      </c>
      <c r="D1435" s="2">
        <f ca="1">IFERROR(__xludf.DUMMYFUNCTION("""COMPUTED_VALUE"""),6200)</f>
        <v>6200</v>
      </c>
      <c r="E1435" s="2">
        <f ca="1">IFERROR(__xludf.DUMMYFUNCTION("""COMPUTED_VALUE"""),6350)</f>
        <v>6350</v>
      </c>
      <c r="F1435" s="2">
        <f ca="1">IFERROR(__xludf.DUMMYFUNCTION("""COMPUTED_VALUE"""),43911700)</f>
        <v>43911700</v>
      </c>
    </row>
    <row r="1436" spans="1:6">
      <c r="A1436" s="1">
        <f ca="1">IFERROR(__xludf.DUMMYFUNCTION("""COMPUTED_VALUE"""),44172.625)</f>
        <v>44172.625</v>
      </c>
      <c r="B1436" s="2">
        <f ca="1">IFERROR(__xludf.DUMMYFUNCTION("""COMPUTED_VALUE"""),6500)</f>
        <v>6500</v>
      </c>
      <c r="C1436" s="2">
        <f ca="1">IFERROR(__xludf.DUMMYFUNCTION("""COMPUTED_VALUE"""),6675)</f>
        <v>6675</v>
      </c>
      <c r="D1436" s="2">
        <f ca="1">IFERROR(__xludf.DUMMYFUNCTION("""COMPUTED_VALUE"""),6450)</f>
        <v>6450</v>
      </c>
      <c r="E1436" s="2">
        <f ca="1">IFERROR(__xludf.DUMMYFUNCTION("""COMPUTED_VALUE"""),6650)</f>
        <v>6650</v>
      </c>
      <c r="F1436" s="2">
        <f ca="1">IFERROR(__xludf.DUMMYFUNCTION("""COMPUTED_VALUE"""),60637400)</f>
        <v>60637400</v>
      </c>
    </row>
    <row r="1437" spans="1:6">
      <c r="A1437" s="1">
        <f ca="1">IFERROR(__xludf.DUMMYFUNCTION("""COMPUTED_VALUE"""),44173.625)</f>
        <v>44173.625</v>
      </c>
      <c r="B1437" s="2">
        <f ca="1">IFERROR(__xludf.DUMMYFUNCTION("""COMPUTED_VALUE"""),6650)</f>
        <v>6650</v>
      </c>
      <c r="C1437" s="2">
        <f ca="1">IFERROR(__xludf.DUMMYFUNCTION("""COMPUTED_VALUE"""),6700)</f>
        <v>6700</v>
      </c>
      <c r="D1437" s="2">
        <f ca="1">IFERROR(__xludf.DUMMYFUNCTION("""COMPUTED_VALUE"""),6550)</f>
        <v>6550</v>
      </c>
      <c r="E1437" s="2">
        <f ca="1">IFERROR(__xludf.DUMMYFUNCTION("""COMPUTED_VALUE"""),6650)</f>
        <v>6650</v>
      </c>
      <c r="F1437" s="2">
        <f ca="1">IFERROR(__xludf.DUMMYFUNCTION("""COMPUTED_VALUE"""),35168700)</f>
        <v>35168700</v>
      </c>
    </row>
    <row r="1438" spans="1:6">
      <c r="A1438" s="1">
        <f ca="1">IFERROR(__xludf.DUMMYFUNCTION("""COMPUTED_VALUE"""),44175.625)</f>
        <v>44175.625</v>
      </c>
      <c r="B1438" s="2">
        <f ca="1">IFERROR(__xludf.DUMMYFUNCTION("""COMPUTED_VALUE"""),6650)</f>
        <v>6650</v>
      </c>
      <c r="C1438" s="2">
        <f ca="1">IFERROR(__xludf.DUMMYFUNCTION("""COMPUTED_VALUE"""),6700)</f>
        <v>6700</v>
      </c>
      <c r="D1438" s="2">
        <f ca="1">IFERROR(__xludf.DUMMYFUNCTION("""COMPUTED_VALUE"""),6575)</f>
        <v>6575</v>
      </c>
      <c r="E1438" s="2">
        <f ca="1">IFERROR(__xludf.DUMMYFUNCTION("""COMPUTED_VALUE"""),6600)</f>
        <v>6600</v>
      </c>
      <c r="F1438" s="2">
        <f ca="1">IFERROR(__xludf.DUMMYFUNCTION("""COMPUTED_VALUE"""),48708000)</f>
        <v>48708000</v>
      </c>
    </row>
    <row r="1439" spans="1:6">
      <c r="A1439" s="1">
        <f ca="1">IFERROR(__xludf.DUMMYFUNCTION("""COMPUTED_VALUE"""),44176.625)</f>
        <v>44176.625</v>
      </c>
      <c r="B1439" s="2">
        <f ca="1">IFERROR(__xludf.DUMMYFUNCTION("""COMPUTED_VALUE"""),6650)</f>
        <v>6650</v>
      </c>
      <c r="C1439" s="2">
        <f ca="1">IFERROR(__xludf.DUMMYFUNCTION("""COMPUTED_VALUE"""),6700)</f>
        <v>6700</v>
      </c>
      <c r="D1439" s="2">
        <f ca="1">IFERROR(__xludf.DUMMYFUNCTION("""COMPUTED_VALUE"""),6550)</f>
        <v>6550</v>
      </c>
      <c r="E1439" s="2">
        <f ca="1">IFERROR(__xludf.DUMMYFUNCTION("""COMPUTED_VALUE"""),6575)</f>
        <v>6575</v>
      </c>
      <c r="F1439" s="2">
        <f ca="1">IFERROR(__xludf.DUMMYFUNCTION("""COMPUTED_VALUE"""),31359300)</f>
        <v>31359300</v>
      </c>
    </row>
    <row r="1440" spans="1:6">
      <c r="A1440" s="1">
        <f ca="1">IFERROR(__xludf.DUMMYFUNCTION("""COMPUTED_VALUE"""),44179.625)</f>
        <v>44179.625</v>
      </c>
      <c r="B1440" s="2">
        <f ca="1">IFERROR(__xludf.DUMMYFUNCTION("""COMPUTED_VALUE"""),6575)</f>
        <v>6575</v>
      </c>
      <c r="C1440" s="2">
        <f ca="1">IFERROR(__xludf.DUMMYFUNCTION("""COMPUTED_VALUE"""),6625)</f>
        <v>6625</v>
      </c>
      <c r="D1440" s="2">
        <f ca="1">IFERROR(__xludf.DUMMYFUNCTION("""COMPUTED_VALUE"""),6450)</f>
        <v>6450</v>
      </c>
      <c r="E1440" s="2">
        <f ca="1">IFERROR(__xludf.DUMMYFUNCTION("""COMPUTED_VALUE"""),6575)</f>
        <v>6575</v>
      </c>
      <c r="F1440" s="2">
        <f ca="1">IFERROR(__xludf.DUMMYFUNCTION("""COMPUTED_VALUE"""),59192800)</f>
        <v>59192800</v>
      </c>
    </row>
    <row r="1441" spans="1:6">
      <c r="A1441" s="1">
        <f ca="1">IFERROR(__xludf.DUMMYFUNCTION("""COMPUTED_VALUE"""),44180.625)</f>
        <v>44180.625</v>
      </c>
      <c r="B1441" s="2">
        <f ca="1">IFERROR(__xludf.DUMMYFUNCTION("""COMPUTED_VALUE"""),6525)</f>
        <v>6525</v>
      </c>
      <c r="C1441" s="2">
        <f ca="1">IFERROR(__xludf.DUMMYFUNCTION("""COMPUTED_VALUE"""),6550)</f>
        <v>6550</v>
      </c>
      <c r="D1441" s="2">
        <f ca="1">IFERROR(__xludf.DUMMYFUNCTION("""COMPUTED_VALUE"""),6450)</f>
        <v>6450</v>
      </c>
      <c r="E1441" s="2">
        <f ca="1">IFERROR(__xludf.DUMMYFUNCTION("""COMPUTED_VALUE"""),6500)</f>
        <v>6500</v>
      </c>
      <c r="F1441" s="2">
        <f ca="1">IFERROR(__xludf.DUMMYFUNCTION("""COMPUTED_VALUE"""),41754100)</f>
        <v>41754100</v>
      </c>
    </row>
    <row r="1442" spans="1:6">
      <c r="A1442" s="1">
        <f ca="1">IFERROR(__xludf.DUMMYFUNCTION("""COMPUTED_VALUE"""),44181.625)</f>
        <v>44181.625</v>
      </c>
      <c r="B1442" s="2">
        <f ca="1">IFERROR(__xludf.DUMMYFUNCTION("""COMPUTED_VALUE"""),6550)</f>
        <v>6550</v>
      </c>
      <c r="C1442" s="2">
        <f ca="1">IFERROR(__xludf.DUMMYFUNCTION("""COMPUTED_VALUE"""),6675)</f>
        <v>6675</v>
      </c>
      <c r="D1442" s="2">
        <f ca="1">IFERROR(__xludf.DUMMYFUNCTION("""COMPUTED_VALUE"""),6550)</f>
        <v>6550</v>
      </c>
      <c r="E1442" s="2">
        <f ca="1">IFERROR(__xludf.DUMMYFUNCTION("""COMPUTED_VALUE"""),6675)</f>
        <v>6675</v>
      </c>
      <c r="F1442" s="2">
        <f ca="1">IFERROR(__xludf.DUMMYFUNCTION("""COMPUTED_VALUE"""),49319600)</f>
        <v>49319600</v>
      </c>
    </row>
    <row r="1443" spans="1:6">
      <c r="A1443" s="1">
        <f ca="1">IFERROR(__xludf.DUMMYFUNCTION("""COMPUTED_VALUE"""),44182.625)</f>
        <v>44182.625</v>
      </c>
      <c r="B1443" s="2">
        <f ca="1">IFERROR(__xludf.DUMMYFUNCTION("""COMPUTED_VALUE"""),6700)</f>
        <v>6700</v>
      </c>
      <c r="C1443" s="2">
        <f ca="1">IFERROR(__xludf.DUMMYFUNCTION("""COMPUTED_VALUE"""),6750)</f>
        <v>6750</v>
      </c>
      <c r="D1443" s="2">
        <f ca="1">IFERROR(__xludf.DUMMYFUNCTION("""COMPUTED_VALUE"""),6600)</f>
        <v>6600</v>
      </c>
      <c r="E1443" s="2">
        <f ca="1">IFERROR(__xludf.DUMMYFUNCTION("""COMPUTED_VALUE"""),6675)</f>
        <v>6675</v>
      </c>
      <c r="F1443" s="2">
        <f ca="1">IFERROR(__xludf.DUMMYFUNCTION("""COMPUTED_VALUE"""),40740400)</f>
        <v>40740400</v>
      </c>
    </row>
    <row r="1444" spans="1:6">
      <c r="A1444" s="1">
        <f ca="1">IFERROR(__xludf.DUMMYFUNCTION("""COMPUTED_VALUE"""),44183.625)</f>
        <v>44183.625</v>
      </c>
      <c r="B1444" s="2">
        <f ca="1">IFERROR(__xludf.DUMMYFUNCTION("""COMPUTED_VALUE"""),6625)</f>
        <v>6625</v>
      </c>
      <c r="C1444" s="2">
        <f ca="1">IFERROR(__xludf.DUMMYFUNCTION("""COMPUTED_VALUE"""),6700)</f>
        <v>6700</v>
      </c>
      <c r="D1444" s="2">
        <f ca="1">IFERROR(__xludf.DUMMYFUNCTION("""COMPUTED_VALUE"""),6600)</f>
        <v>6600</v>
      </c>
      <c r="E1444" s="2">
        <f ca="1">IFERROR(__xludf.DUMMYFUNCTION("""COMPUTED_VALUE"""),6650)</f>
        <v>6650</v>
      </c>
      <c r="F1444" s="2">
        <f ca="1">IFERROR(__xludf.DUMMYFUNCTION("""COMPUTED_VALUE"""),28185700)</f>
        <v>28185700</v>
      </c>
    </row>
    <row r="1445" spans="1:6">
      <c r="A1445" s="1">
        <f ca="1">IFERROR(__xludf.DUMMYFUNCTION("""COMPUTED_VALUE"""),44186.625)</f>
        <v>44186.625</v>
      </c>
      <c r="B1445" s="2">
        <f ca="1">IFERROR(__xludf.DUMMYFUNCTION("""COMPUTED_VALUE"""),6675)</f>
        <v>6675</v>
      </c>
      <c r="C1445" s="2">
        <f ca="1">IFERROR(__xludf.DUMMYFUNCTION("""COMPUTED_VALUE"""),6725)</f>
        <v>6725</v>
      </c>
      <c r="D1445" s="2">
        <f ca="1">IFERROR(__xludf.DUMMYFUNCTION("""COMPUTED_VALUE"""),6575)</f>
        <v>6575</v>
      </c>
      <c r="E1445" s="2">
        <f ca="1">IFERROR(__xludf.DUMMYFUNCTION("""COMPUTED_VALUE"""),6600)</f>
        <v>6600</v>
      </c>
      <c r="F1445" s="2">
        <f ca="1">IFERROR(__xludf.DUMMYFUNCTION("""COMPUTED_VALUE"""),34247400)</f>
        <v>34247400</v>
      </c>
    </row>
    <row r="1446" spans="1:6">
      <c r="A1446" s="1">
        <f ca="1">IFERROR(__xludf.DUMMYFUNCTION("""COMPUTED_VALUE"""),44187.625)</f>
        <v>44187.625</v>
      </c>
      <c r="B1446" s="2">
        <f ca="1">IFERROR(__xludf.DUMMYFUNCTION("""COMPUTED_VALUE"""),6525)</f>
        <v>6525</v>
      </c>
      <c r="C1446" s="2">
        <f ca="1">IFERROR(__xludf.DUMMYFUNCTION("""COMPUTED_VALUE"""),6575)</f>
        <v>6575</v>
      </c>
      <c r="D1446" s="2">
        <f ca="1">IFERROR(__xludf.DUMMYFUNCTION("""COMPUTED_VALUE"""),6275)</f>
        <v>6275</v>
      </c>
      <c r="E1446" s="2">
        <f ca="1">IFERROR(__xludf.DUMMYFUNCTION("""COMPUTED_VALUE"""),6300)</f>
        <v>6300</v>
      </c>
      <c r="F1446" s="2">
        <f ca="1">IFERROR(__xludf.DUMMYFUNCTION("""COMPUTED_VALUE"""),63705800)</f>
        <v>63705800</v>
      </c>
    </row>
    <row r="1447" spans="1:6">
      <c r="A1447" s="1">
        <f ca="1">IFERROR(__xludf.DUMMYFUNCTION("""COMPUTED_VALUE"""),44188.625)</f>
        <v>44188.625</v>
      </c>
      <c r="B1447" s="2">
        <f ca="1">IFERROR(__xludf.DUMMYFUNCTION("""COMPUTED_VALUE"""),6300)</f>
        <v>6300</v>
      </c>
      <c r="C1447" s="2">
        <f ca="1">IFERROR(__xludf.DUMMYFUNCTION("""COMPUTED_VALUE"""),6425)</f>
        <v>6425</v>
      </c>
      <c r="D1447" s="2">
        <f ca="1">IFERROR(__xludf.DUMMYFUNCTION("""COMPUTED_VALUE"""),5950)</f>
        <v>5950</v>
      </c>
      <c r="E1447" s="2">
        <f ca="1">IFERROR(__xludf.DUMMYFUNCTION("""COMPUTED_VALUE"""),6250)</f>
        <v>6250</v>
      </c>
      <c r="F1447" s="2">
        <f ca="1">IFERROR(__xludf.DUMMYFUNCTION("""COMPUTED_VALUE"""),55527400)</f>
        <v>55527400</v>
      </c>
    </row>
    <row r="1448" spans="1:6">
      <c r="A1448" s="1">
        <f ca="1">IFERROR(__xludf.DUMMYFUNCTION("""COMPUTED_VALUE"""),44193.625)</f>
        <v>44193.625</v>
      </c>
      <c r="B1448" s="2">
        <f ca="1">IFERROR(__xludf.DUMMYFUNCTION("""COMPUTED_VALUE"""),6400)</f>
        <v>6400</v>
      </c>
      <c r="C1448" s="2">
        <f ca="1">IFERROR(__xludf.DUMMYFUNCTION("""COMPUTED_VALUE"""),6450)</f>
        <v>6450</v>
      </c>
      <c r="D1448" s="2">
        <f ca="1">IFERROR(__xludf.DUMMYFUNCTION("""COMPUTED_VALUE"""),6150)</f>
        <v>6150</v>
      </c>
      <c r="E1448" s="2">
        <f ca="1">IFERROR(__xludf.DUMMYFUNCTION("""COMPUTED_VALUE"""),6450)</f>
        <v>6450</v>
      </c>
      <c r="F1448" s="2">
        <f ca="1">IFERROR(__xludf.DUMMYFUNCTION("""COMPUTED_VALUE"""),30958700)</f>
        <v>30958700</v>
      </c>
    </row>
    <row r="1449" spans="1:6">
      <c r="A1449" s="1">
        <f ca="1">IFERROR(__xludf.DUMMYFUNCTION("""COMPUTED_VALUE"""),44194.625)</f>
        <v>44194.625</v>
      </c>
      <c r="B1449" s="2">
        <f ca="1">IFERROR(__xludf.DUMMYFUNCTION("""COMPUTED_VALUE"""),6450)</f>
        <v>6450</v>
      </c>
      <c r="C1449" s="2">
        <f ca="1">IFERROR(__xludf.DUMMYFUNCTION("""COMPUTED_VALUE"""),6475)</f>
        <v>6475</v>
      </c>
      <c r="D1449" s="2">
        <f ca="1">IFERROR(__xludf.DUMMYFUNCTION("""COMPUTED_VALUE"""),6250)</f>
        <v>6250</v>
      </c>
      <c r="E1449" s="2">
        <f ca="1">IFERROR(__xludf.DUMMYFUNCTION("""COMPUTED_VALUE"""),6300)</f>
        <v>6300</v>
      </c>
      <c r="F1449" s="2">
        <f ca="1">IFERROR(__xludf.DUMMYFUNCTION("""COMPUTED_VALUE"""),25868300)</f>
        <v>25868300</v>
      </c>
    </row>
    <row r="1450" spans="1:6">
      <c r="A1450" s="1">
        <f ca="1">IFERROR(__xludf.DUMMYFUNCTION("""COMPUTED_VALUE"""),44195.625)</f>
        <v>44195.625</v>
      </c>
      <c r="B1450" s="2">
        <f ca="1">IFERROR(__xludf.DUMMYFUNCTION("""COMPUTED_VALUE"""),6300)</f>
        <v>6300</v>
      </c>
      <c r="C1450" s="2">
        <f ca="1">IFERROR(__xludf.DUMMYFUNCTION("""COMPUTED_VALUE"""),6350)</f>
        <v>6350</v>
      </c>
      <c r="D1450" s="2">
        <f ca="1">IFERROR(__xludf.DUMMYFUNCTION("""COMPUTED_VALUE"""),6150)</f>
        <v>6150</v>
      </c>
      <c r="E1450" s="2">
        <f ca="1">IFERROR(__xludf.DUMMYFUNCTION("""COMPUTED_VALUE"""),6175)</f>
        <v>6175</v>
      </c>
      <c r="F1450" s="2">
        <f ca="1">IFERROR(__xludf.DUMMYFUNCTION("""COMPUTED_VALUE"""),38240000)</f>
        <v>38240000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450"/>
  <sheetViews>
    <sheetView workbookViewId="0">
      <selection sqref="A1:A1450"/>
    </sheetView>
  </sheetViews>
  <sheetFormatPr defaultColWidth="14.44140625" defaultRowHeight="15.75" customHeight="1"/>
  <cols>
    <col min="1" max="1" width="17" bestFit="1" customWidth="1"/>
  </cols>
  <sheetData>
    <row r="1" spans="1:6">
      <c r="A1" s="4" t="str">
        <f ca="1">IFERROR(__xludf.DUMMYFUNCTION(" GOOGLEFINANCE(""IDX:BBRI"",""ALL"",""1/1/2015"",""1/1/2021"",""DAILY"")"),"Date")</f>
        <v>Date</v>
      </c>
      <c r="B1" s="2" t="str">
        <f ca="1">IFERROR(__xludf.DUMMYFUNCTION("""COMPUTED_VALUE"""),"Open")</f>
        <v>Open</v>
      </c>
      <c r="C1" s="2" t="str">
        <f ca="1">IFERROR(__xludf.DUMMYFUNCTION("""COMPUTED_VALUE"""),"High")</f>
        <v>High</v>
      </c>
      <c r="D1" s="2" t="str">
        <f ca="1">IFERROR(__xludf.DUMMYFUNCTION("""COMPUTED_VALUE"""),"Low")</f>
        <v>Low</v>
      </c>
      <c r="E1" s="2" t="str">
        <f ca="1">IFERROR(__xludf.DUMMYFUNCTION("""COMPUTED_VALUE"""),"Close")</f>
        <v>Close</v>
      </c>
      <c r="F1" s="2" t="str">
        <f ca="1">IFERROR(__xludf.DUMMYFUNCTION("""COMPUTED_VALUE"""),"Volume")</f>
        <v>Volume</v>
      </c>
    </row>
    <row r="2" spans="1:6">
      <c r="A2" s="5">
        <f ca="1">IFERROR(__xludf.DUMMYFUNCTION("""COMPUTED_VALUE"""),42006.625)</f>
        <v>42006.625</v>
      </c>
      <c r="B2" s="2">
        <f ca="1">IFERROR(__xludf.DUMMYFUNCTION("""COMPUTED_VALUE"""),2305)</f>
        <v>2305</v>
      </c>
      <c r="C2" s="2">
        <f ca="1">IFERROR(__xludf.DUMMYFUNCTION("""COMPUTED_VALUE"""),2345)</f>
        <v>2345</v>
      </c>
      <c r="D2" s="2">
        <f ca="1">IFERROR(__xludf.DUMMYFUNCTION("""COMPUTED_VALUE"""),2305)</f>
        <v>2305</v>
      </c>
      <c r="E2" s="2">
        <f ca="1">IFERROR(__xludf.DUMMYFUNCTION("""COMPUTED_VALUE"""),2330)</f>
        <v>2330</v>
      </c>
      <c r="F2" s="2">
        <f ca="1">IFERROR(__xludf.DUMMYFUNCTION("""COMPUTED_VALUE"""),9031000)</f>
        <v>9031000</v>
      </c>
    </row>
    <row r="3" spans="1:6">
      <c r="A3" s="5">
        <f ca="1">IFERROR(__xludf.DUMMYFUNCTION("""COMPUTED_VALUE"""),42009.625)</f>
        <v>42009.625</v>
      </c>
      <c r="B3" s="2">
        <f ca="1">IFERROR(__xludf.DUMMYFUNCTION("""COMPUTED_VALUE"""),2320)</f>
        <v>2320</v>
      </c>
      <c r="C3" s="2">
        <f ca="1">IFERROR(__xludf.DUMMYFUNCTION("""COMPUTED_VALUE"""),2340)</f>
        <v>2340</v>
      </c>
      <c r="D3" s="2">
        <f ca="1">IFERROR(__xludf.DUMMYFUNCTION("""COMPUTED_VALUE"""),2315)</f>
        <v>2315</v>
      </c>
      <c r="E3" s="2">
        <f ca="1">IFERROR(__xludf.DUMMYFUNCTION("""COMPUTED_VALUE"""),2320)</f>
        <v>2320</v>
      </c>
      <c r="F3" s="2">
        <f ca="1">IFERROR(__xludf.DUMMYFUNCTION("""COMPUTED_VALUE"""),9913800)</f>
        <v>9913800</v>
      </c>
    </row>
    <row r="4" spans="1:6">
      <c r="A4" s="5">
        <f ca="1">IFERROR(__xludf.DUMMYFUNCTION("""COMPUTED_VALUE"""),42010.625)</f>
        <v>42010.625</v>
      </c>
      <c r="B4" s="2">
        <f ca="1">IFERROR(__xludf.DUMMYFUNCTION("""COMPUTED_VALUE"""),2310)</f>
        <v>2310</v>
      </c>
      <c r="C4" s="2">
        <f ca="1">IFERROR(__xludf.DUMMYFUNCTION("""COMPUTED_VALUE"""),2325)</f>
        <v>2325</v>
      </c>
      <c r="D4" s="2">
        <f ca="1">IFERROR(__xludf.DUMMYFUNCTION("""COMPUTED_VALUE"""),2300)</f>
        <v>2300</v>
      </c>
      <c r="E4" s="2">
        <f ca="1">IFERROR(__xludf.DUMMYFUNCTION("""COMPUTED_VALUE"""),2305)</f>
        <v>2305</v>
      </c>
      <c r="F4" s="2">
        <f ca="1">IFERROR(__xludf.DUMMYFUNCTION("""COMPUTED_VALUE"""),13018300)</f>
        <v>13018300</v>
      </c>
    </row>
    <row r="5" spans="1:6">
      <c r="A5" s="5">
        <f ca="1">IFERROR(__xludf.DUMMYFUNCTION("""COMPUTED_VALUE"""),42011.625)</f>
        <v>42011.625</v>
      </c>
      <c r="B5" s="2">
        <f ca="1">IFERROR(__xludf.DUMMYFUNCTION("""COMPUTED_VALUE"""),2320)</f>
        <v>2320</v>
      </c>
      <c r="C5" s="2">
        <f ca="1">IFERROR(__xludf.DUMMYFUNCTION("""COMPUTED_VALUE"""),2355)</f>
        <v>2355</v>
      </c>
      <c r="D5" s="2">
        <f ca="1">IFERROR(__xludf.DUMMYFUNCTION("""COMPUTED_VALUE"""),2315)</f>
        <v>2315</v>
      </c>
      <c r="E5" s="2">
        <f ca="1">IFERROR(__xludf.DUMMYFUNCTION("""COMPUTED_VALUE"""),2355)</f>
        <v>2355</v>
      </c>
      <c r="F5" s="2">
        <f ca="1">IFERROR(__xludf.DUMMYFUNCTION("""COMPUTED_VALUE"""),29232900)</f>
        <v>29232900</v>
      </c>
    </row>
    <row r="6" spans="1:6">
      <c r="A6" s="5">
        <f ca="1">IFERROR(__xludf.DUMMYFUNCTION("""COMPUTED_VALUE"""),42012.625)</f>
        <v>42012.625</v>
      </c>
      <c r="B6" s="2">
        <f ca="1">IFERROR(__xludf.DUMMYFUNCTION("""COMPUTED_VALUE"""),2360)</f>
        <v>2360</v>
      </c>
      <c r="C6" s="2">
        <f ca="1">IFERROR(__xludf.DUMMYFUNCTION("""COMPUTED_VALUE"""),2395)</f>
        <v>2395</v>
      </c>
      <c r="D6" s="2">
        <f ca="1">IFERROR(__xludf.DUMMYFUNCTION("""COMPUTED_VALUE"""),2360)</f>
        <v>2360</v>
      </c>
      <c r="E6" s="2">
        <f ca="1">IFERROR(__xludf.DUMMYFUNCTION("""COMPUTED_VALUE"""),2395)</f>
        <v>2395</v>
      </c>
      <c r="F6" s="2">
        <f ca="1">IFERROR(__xludf.DUMMYFUNCTION("""COMPUTED_VALUE"""),29332700)</f>
        <v>29332700</v>
      </c>
    </row>
    <row r="7" spans="1:6">
      <c r="A7" s="5">
        <f ca="1">IFERROR(__xludf.DUMMYFUNCTION("""COMPUTED_VALUE"""),42013.625)</f>
        <v>42013.625</v>
      </c>
      <c r="B7" s="2">
        <f ca="1">IFERROR(__xludf.DUMMYFUNCTION("""COMPUTED_VALUE"""),2405)</f>
        <v>2405</v>
      </c>
      <c r="C7" s="2">
        <f ca="1">IFERROR(__xludf.DUMMYFUNCTION("""COMPUTED_VALUE"""),2420)</f>
        <v>2420</v>
      </c>
      <c r="D7" s="2">
        <f ca="1">IFERROR(__xludf.DUMMYFUNCTION("""COMPUTED_VALUE"""),2390)</f>
        <v>2390</v>
      </c>
      <c r="E7" s="2">
        <f ca="1">IFERROR(__xludf.DUMMYFUNCTION("""COMPUTED_VALUE"""),2405)</f>
        <v>2405</v>
      </c>
      <c r="F7" s="2">
        <f ca="1">IFERROR(__xludf.DUMMYFUNCTION("""COMPUTED_VALUE"""),26896600)</f>
        <v>26896600</v>
      </c>
    </row>
    <row r="8" spans="1:6">
      <c r="A8" s="5">
        <f ca="1">IFERROR(__xludf.DUMMYFUNCTION("""COMPUTED_VALUE"""),42016.625)</f>
        <v>42016.625</v>
      </c>
      <c r="B8" s="2">
        <f ca="1">IFERROR(__xludf.DUMMYFUNCTION("""COMPUTED_VALUE"""),2360)</f>
        <v>2360</v>
      </c>
      <c r="C8" s="2">
        <f ca="1">IFERROR(__xludf.DUMMYFUNCTION("""COMPUTED_VALUE"""),2390)</f>
        <v>2390</v>
      </c>
      <c r="D8" s="2">
        <f ca="1">IFERROR(__xludf.DUMMYFUNCTION("""COMPUTED_VALUE"""),2345)</f>
        <v>2345</v>
      </c>
      <c r="E8" s="2">
        <f ca="1">IFERROR(__xludf.DUMMYFUNCTION("""COMPUTED_VALUE"""),2350)</f>
        <v>2350</v>
      </c>
      <c r="F8" s="2">
        <f ca="1">IFERROR(__xludf.DUMMYFUNCTION("""COMPUTED_VALUE"""),17971900)</f>
        <v>17971900</v>
      </c>
    </row>
    <row r="9" spans="1:6">
      <c r="A9" s="5">
        <f ca="1">IFERROR(__xludf.DUMMYFUNCTION("""COMPUTED_VALUE"""),42017.625)</f>
        <v>42017.625</v>
      </c>
      <c r="B9" s="2">
        <f ca="1">IFERROR(__xludf.DUMMYFUNCTION("""COMPUTED_VALUE"""),2340)</f>
        <v>2340</v>
      </c>
      <c r="C9" s="2">
        <f ca="1">IFERROR(__xludf.DUMMYFUNCTION("""COMPUTED_VALUE"""),2370)</f>
        <v>2370</v>
      </c>
      <c r="D9" s="2">
        <f ca="1">IFERROR(__xludf.DUMMYFUNCTION("""COMPUTED_VALUE"""),2340)</f>
        <v>2340</v>
      </c>
      <c r="E9" s="2">
        <f ca="1">IFERROR(__xludf.DUMMYFUNCTION("""COMPUTED_VALUE"""),2365)</f>
        <v>2365</v>
      </c>
      <c r="F9" s="2">
        <f ca="1">IFERROR(__xludf.DUMMYFUNCTION("""COMPUTED_VALUE"""),15770400)</f>
        <v>15770400</v>
      </c>
    </row>
    <row r="10" spans="1:6">
      <c r="A10" s="5">
        <f ca="1">IFERROR(__xludf.DUMMYFUNCTION("""COMPUTED_VALUE"""),42018.625)</f>
        <v>42018.625</v>
      </c>
      <c r="B10" s="2">
        <f ca="1">IFERROR(__xludf.DUMMYFUNCTION("""COMPUTED_VALUE"""),2355)</f>
        <v>2355</v>
      </c>
      <c r="C10" s="2">
        <f ca="1">IFERROR(__xludf.DUMMYFUNCTION("""COMPUTED_VALUE"""),2380)</f>
        <v>2380</v>
      </c>
      <c r="D10" s="2">
        <f ca="1">IFERROR(__xludf.DUMMYFUNCTION("""COMPUTED_VALUE"""),2350)</f>
        <v>2350</v>
      </c>
      <c r="E10" s="2">
        <f ca="1">IFERROR(__xludf.DUMMYFUNCTION("""COMPUTED_VALUE"""),2350)</f>
        <v>2350</v>
      </c>
      <c r="F10" s="2">
        <f ca="1">IFERROR(__xludf.DUMMYFUNCTION("""COMPUTED_VALUE"""),16029800)</f>
        <v>16029800</v>
      </c>
    </row>
    <row r="11" spans="1:6">
      <c r="A11" s="5">
        <f ca="1">IFERROR(__xludf.DUMMYFUNCTION("""COMPUTED_VALUE"""),42019.625)</f>
        <v>42019.625</v>
      </c>
      <c r="B11" s="2">
        <f ca="1">IFERROR(__xludf.DUMMYFUNCTION("""COMPUTED_VALUE"""),2340)</f>
        <v>2340</v>
      </c>
      <c r="C11" s="2">
        <f ca="1">IFERROR(__xludf.DUMMYFUNCTION("""COMPUTED_VALUE"""),2360)</f>
        <v>2360</v>
      </c>
      <c r="D11" s="2">
        <f ca="1">IFERROR(__xludf.DUMMYFUNCTION("""COMPUTED_VALUE"""),2335)</f>
        <v>2335</v>
      </c>
      <c r="E11" s="2">
        <f ca="1">IFERROR(__xludf.DUMMYFUNCTION("""COMPUTED_VALUE"""),2340)</f>
        <v>2340</v>
      </c>
      <c r="F11" s="2">
        <f ca="1">IFERROR(__xludf.DUMMYFUNCTION("""COMPUTED_VALUE"""),29734900)</f>
        <v>29734900</v>
      </c>
    </row>
    <row r="12" spans="1:6">
      <c r="A12" s="5">
        <f ca="1">IFERROR(__xludf.DUMMYFUNCTION("""COMPUTED_VALUE"""),42020.625)</f>
        <v>42020.625</v>
      </c>
      <c r="B12" s="2">
        <f ca="1">IFERROR(__xludf.DUMMYFUNCTION("""COMPUTED_VALUE"""),2330)</f>
        <v>2330</v>
      </c>
      <c r="C12" s="2">
        <f ca="1">IFERROR(__xludf.DUMMYFUNCTION("""COMPUTED_VALUE"""),2370)</f>
        <v>2370</v>
      </c>
      <c r="D12" s="2">
        <f ca="1">IFERROR(__xludf.DUMMYFUNCTION("""COMPUTED_VALUE"""),2310)</f>
        <v>2310</v>
      </c>
      <c r="E12" s="2">
        <f ca="1">IFERROR(__xludf.DUMMYFUNCTION("""COMPUTED_VALUE"""),2315)</f>
        <v>2315</v>
      </c>
      <c r="F12" s="2">
        <f ca="1">IFERROR(__xludf.DUMMYFUNCTION("""COMPUTED_VALUE"""),29201900)</f>
        <v>29201900</v>
      </c>
    </row>
    <row r="13" spans="1:6">
      <c r="A13" s="5">
        <f ca="1">IFERROR(__xludf.DUMMYFUNCTION("""COMPUTED_VALUE"""),42023.625)</f>
        <v>42023.625</v>
      </c>
      <c r="B13" s="2">
        <f ca="1">IFERROR(__xludf.DUMMYFUNCTION("""COMPUTED_VALUE"""),2320)</f>
        <v>2320</v>
      </c>
      <c r="C13" s="2">
        <f ca="1">IFERROR(__xludf.DUMMYFUNCTION("""COMPUTED_VALUE"""),2340)</f>
        <v>2340</v>
      </c>
      <c r="D13" s="2">
        <f ca="1">IFERROR(__xludf.DUMMYFUNCTION("""COMPUTED_VALUE"""),2315)</f>
        <v>2315</v>
      </c>
      <c r="E13" s="2">
        <f ca="1">IFERROR(__xludf.DUMMYFUNCTION("""COMPUTED_VALUE"""),2320)</f>
        <v>2320</v>
      </c>
      <c r="F13" s="2">
        <f ca="1">IFERROR(__xludf.DUMMYFUNCTION("""COMPUTED_VALUE"""),18636000)</f>
        <v>18636000</v>
      </c>
    </row>
    <row r="14" spans="1:6">
      <c r="A14" s="5">
        <f ca="1">IFERROR(__xludf.DUMMYFUNCTION("""COMPUTED_VALUE"""),42024.625)</f>
        <v>42024.625</v>
      </c>
      <c r="B14" s="2">
        <f ca="1">IFERROR(__xludf.DUMMYFUNCTION("""COMPUTED_VALUE"""),2320)</f>
        <v>2320</v>
      </c>
      <c r="C14" s="2">
        <f ca="1">IFERROR(__xludf.DUMMYFUNCTION("""COMPUTED_VALUE"""),2325)</f>
        <v>2325</v>
      </c>
      <c r="D14" s="2">
        <f ca="1">IFERROR(__xludf.DUMMYFUNCTION("""COMPUTED_VALUE"""),2265)</f>
        <v>2265</v>
      </c>
      <c r="E14" s="2">
        <f ca="1">IFERROR(__xludf.DUMMYFUNCTION("""COMPUTED_VALUE"""),2300)</f>
        <v>2300</v>
      </c>
      <c r="F14" s="2">
        <f ca="1">IFERROR(__xludf.DUMMYFUNCTION("""COMPUTED_VALUE"""),55599200)</f>
        <v>55599200</v>
      </c>
    </row>
    <row r="15" spans="1:6">
      <c r="A15" s="5">
        <f ca="1">IFERROR(__xludf.DUMMYFUNCTION("""COMPUTED_VALUE"""),42025.625)</f>
        <v>42025.625</v>
      </c>
      <c r="B15" s="2">
        <f ca="1">IFERROR(__xludf.DUMMYFUNCTION("""COMPUTED_VALUE"""),2325)</f>
        <v>2325</v>
      </c>
      <c r="C15" s="2">
        <f ca="1">IFERROR(__xludf.DUMMYFUNCTION("""COMPUTED_VALUE"""),2330)</f>
        <v>2330</v>
      </c>
      <c r="D15" s="2">
        <f ca="1">IFERROR(__xludf.DUMMYFUNCTION("""COMPUTED_VALUE"""),2275)</f>
        <v>2275</v>
      </c>
      <c r="E15" s="2">
        <f ca="1">IFERROR(__xludf.DUMMYFUNCTION("""COMPUTED_VALUE"""),2285)</f>
        <v>2285</v>
      </c>
      <c r="F15" s="2">
        <f ca="1">IFERROR(__xludf.DUMMYFUNCTION("""COMPUTED_VALUE"""),43278800)</f>
        <v>43278800</v>
      </c>
    </row>
    <row r="16" spans="1:6">
      <c r="A16" s="5">
        <f ca="1">IFERROR(__xludf.DUMMYFUNCTION("""COMPUTED_VALUE"""),42026.625)</f>
        <v>42026.625</v>
      </c>
      <c r="B16" s="2">
        <f ca="1">IFERROR(__xludf.DUMMYFUNCTION("""COMPUTED_VALUE"""),2300)</f>
        <v>2300</v>
      </c>
      <c r="C16" s="2">
        <f ca="1">IFERROR(__xludf.DUMMYFUNCTION("""COMPUTED_VALUE"""),2315)</f>
        <v>2315</v>
      </c>
      <c r="D16" s="2">
        <f ca="1">IFERROR(__xludf.DUMMYFUNCTION("""COMPUTED_VALUE"""),2275)</f>
        <v>2275</v>
      </c>
      <c r="E16" s="2">
        <f ca="1">IFERROR(__xludf.DUMMYFUNCTION("""COMPUTED_VALUE"""),2295)</f>
        <v>2295</v>
      </c>
      <c r="F16" s="2">
        <f ca="1">IFERROR(__xludf.DUMMYFUNCTION("""COMPUTED_VALUE"""),32642300)</f>
        <v>32642300</v>
      </c>
    </row>
    <row r="17" spans="1:6">
      <c r="A17" s="5">
        <f ca="1">IFERROR(__xludf.DUMMYFUNCTION("""COMPUTED_VALUE"""),42027.625)</f>
        <v>42027.625</v>
      </c>
      <c r="B17" s="2">
        <f ca="1">IFERROR(__xludf.DUMMYFUNCTION("""COMPUTED_VALUE"""),2320)</f>
        <v>2320</v>
      </c>
      <c r="C17" s="2">
        <f ca="1">IFERROR(__xludf.DUMMYFUNCTION("""COMPUTED_VALUE"""),2375)</f>
        <v>2375</v>
      </c>
      <c r="D17" s="2">
        <f ca="1">IFERROR(__xludf.DUMMYFUNCTION("""COMPUTED_VALUE"""),2320)</f>
        <v>2320</v>
      </c>
      <c r="E17" s="2">
        <f ca="1">IFERROR(__xludf.DUMMYFUNCTION("""COMPUTED_VALUE"""),2375)</f>
        <v>2375</v>
      </c>
      <c r="F17" s="2">
        <f ca="1">IFERROR(__xludf.DUMMYFUNCTION("""COMPUTED_VALUE"""),33710500)</f>
        <v>33710500</v>
      </c>
    </row>
    <row r="18" spans="1:6">
      <c r="A18" s="5">
        <f ca="1">IFERROR(__xludf.DUMMYFUNCTION("""COMPUTED_VALUE"""),42030.625)</f>
        <v>42030.625</v>
      </c>
      <c r="B18" s="2">
        <f ca="1">IFERROR(__xludf.DUMMYFUNCTION("""COMPUTED_VALUE"""),2360)</f>
        <v>2360</v>
      </c>
      <c r="C18" s="2">
        <f ca="1">IFERROR(__xludf.DUMMYFUNCTION("""COMPUTED_VALUE"""),2390)</f>
        <v>2390</v>
      </c>
      <c r="D18" s="2">
        <f ca="1">IFERROR(__xludf.DUMMYFUNCTION("""COMPUTED_VALUE"""),2330)</f>
        <v>2330</v>
      </c>
      <c r="E18" s="2">
        <f ca="1">IFERROR(__xludf.DUMMYFUNCTION("""COMPUTED_VALUE"""),2375)</f>
        <v>2375</v>
      </c>
      <c r="F18" s="2">
        <f ca="1">IFERROR(__xludf.DUMMYFUNCTION("""COMPUTED_VALUE"""),36497300)</f>
        <v>36497300</v>
      </c>
    </row>
    <row r="19" spans="1:6">
      <c r="A19" s="5">
        <f ca="1">IFERROR(__xludf.DUMMYFUNCTION("""COMPUTED_VALUE"""),42031.625)</f>
        <v>42031.625</v>
      </c>
      <c r="B19" s="2">
        <f ca="1">IFERROR(__xludf.DUMMYFUNCTION("""COMPUTED_VALUE"""),2385)</f>
        <v>2385</v>
      </c>
      <c r="C19" s="2">
        <f ca="1">IFERROR(__xludf.DUMMYFUNCTION("""COMPUTED_VALUE"""),2405)</f>
        <v>2405</v>
      </c>
      <c r="D19" s="2">
        <f ca="1">IFERROR(__xludf.DUMMYFUNCTION("""COMPUTED_VALUE"""),2375)</f>
        <v>2375</v>
      </c>
      <c r="E19" s="2">
        <f ca="1">IFERROR(__xludf.DUMMYFUNCTION("""COMPUTED_VALUE"""),2385)</f>
        <v>2385</v>
      </c>
      <c r="F19" s="2">
        <f ca="1">IFERROR(__xludf.DUMMYFUNCTION("""COMPUTED_VALUE"""),24752800)</f>
        <v>24752800</v>
      </c>
    </row>
    <row r="20" spans="1:6">
      <c r="A20" s="5">
        <f ca="1">IFERROR(__xludf.DUMMYFUNCTION("""COMPUTED_VALUE"""),42032.625)</f>
        <v>42032.625</v>
      </c>
      <c r="B20" s="2">
        <f ca="1">IFERROR(__xludf.DUMMYFUNCTION("""COMPUTED_VALUE"""),2385)</f>
        <v>2385</v>
      </c>
      <c r="C20" s="2">
        <f ca="1">IFERROR(__xludf.DUMMYFUNCTION("""COMPUTED_VALUE"""),2385)</f>
        <v>2385</v>
      </c>
      <c r="D20" s="2">
        <f ca="1">IFERROR(__xludf.DUMMYFUNCTION("""COMPUTED_VALUE"""),2335)</f>
        <v>2335</v>
      </c>
      <c r="E20" s="2">
        <f ca="1">IFERROR(__xludf.DUMMYFUNCTION("""COMPUTED_VALUE"""),2340)</f>
        <v>2340</v>
      </c>
      <c r="F20" s="2">
        <f ca="1">IFERROR(__xludf.DUMMYFUNCTION("""COMPUTED_VALUE"""),29611100)</f>
        <v>29611100</v>
      </c>
    </row>
    <row r="21" spans="1:6">
      <c r="A21" s="5">
        <f ca="1">IFERROR(__xludf.DUMMYFUNCTION("""COMPUTED_VALUE"""),42033.625)</f>
        <v>42033.625</v>
      </c>
      <c r="B21" s="2">
        <f ca="1">IFERROR(__xludf.DUMMYFUNCTION("""COMPUTED_VALUE"""),2350)</f>
        <v>2350</v>
      </c>
      <c r="C21" s="2">
        <f ca="1">IFERROR(__xludf.DUMMYFUNCTION("""COMPUTED_VALUE"""),2350)</f>
        <v>2350</v>
      </c>
      <c r="D21" s="2">
        <f ca="1">IFERROR(__xludf.DUMMYFUNCTION("""COMPUTED_VALUE"""),2330)</f>
        <v>2330</v>
      </c>
      <c r="E21" s="2">
        <f ca="1">IFERROR(__xludf.DUMMYFUNCTION("""COMPUTED_VALUE"""),2340)</f>
        <v>2340</v>
      </c>
      <c r="F21" s="2">
        <f ca="1">IFERROR(__xludf.DUMMYFUNCTION("""COMPUTED_VALUE"""),18713700)</f>
        <v>18713700</v>
      </c>
    </row>
    <row r="22" spans="1:6">
      <c r="A22" s="5">
        <f ca="1">IFERROR(__xludf.DUMMYFUNCTION("""COMPUTED_VALUE"""),42034.625)</f>
        <v>42034.625</v>
      </c>
      <c r="B22" s="2">
        <f ca="1">IFERROR(__xludf.DUMMYFUNCTION("""COMPUTED_VALUE"""),2340)</f>
        <v>2340</v>
      </c>
      <c r="C22" s="2">
        <f ca="1">IFERROR(__xludf.DUMMYFUNCTION("""COMPUTED_VALUE"""),2355)</f>
        <v>2355</v>
      </c>
      <c r="D22" s="2">
        <f ca="1">IFERROR(__xludf.DUMMYFUNCTION("""COMPUTED_VALUE"""),2330)</f>
        <v>2330</v>
      </c>
      <c r="E22" s="2">
        <f ca="1">IFERROR(__xludf.DUMMYFUNCTION("""COMPUTED_VALUE"""),2335)</f>
        <v>2335</v>
      </c>
      <c r="F22" s="2">
        <f ca="1">IFERROR(__xludf.DUMMYFUNCTION("""COMPUTED_VALUE"""),26884800)</f>
        <v>26884800</v>
      </c>
    </row>
    <row r="23" spans="1:6">
      <c r="A23" s="5">
        <f ca="1">IFERROR(__xludf.DUMMYFUNCTION("""COMPUTED_VALUE"""),42037.625)</f>
        <v>42037.625</v>
      </c>
      <c r="B23" s="2">
        <f ca="1">IFERROR(__xludf.DUMMYFUNCTION("""COMPUTED_VALUE"""),2335)</f>
        <v>2335</v>
      </c>
      <c r="C23" s="2">
        <f ca="1">IFERROR(__xludf.DUMMYFUNCTION("""COMPUTED_VALUE"""),2345)</f>
        <v>2345</v>
      </c>
      <c r="D23" s="2">
        <f ca="1">IFERROR(__xludf.DUMMYFUNCTION("""COMPUTED_VALUE"""),2320)</f>
        <v>2320</v>
      </c>
      <c r="E23" s="2">
        <f ca="1">IFERROR(__xludf.DUMMYFUNCTION("""COMPUTED_VALUE"""),2345)</f>
        <v>2345</v>
      </c>
      <c r="F23" s="2">
        <f ca="1">IFERROR(__xludf.DUMMYFUNCTION("""COMPUTED_VALUE"""),13482400)</f>
        <v>13482400</v>
      </c>
    </row>
    <row r="24" spans="1:6">
      <c r="A24" s="5">
        <f ca="1">IFERROR(__xludf.DUMMYFUNCTION("""COMPUTED_VALUE"""),42038.625)</f>
        <v>42038.625</v>
      </c>
      <c r="B24" s="2">
        <f ca="1">IFERROR(__xludf.DUMMYFUNCTION("""COMPUTED_VALUE"""),2350)</f>
        <v>2350</v>
      </c>
      <c r="C24" s="2">
        <f ca="1">IFERROR(__xludf.DUMMYFUNCTION("""COMPUTED_VALUE"""),2365)</f>
        <v>2365</v>
      </c>
      <c r="D24" s="2">
        <f ca="1">IFERROR(__xludf.DUMMYFUNCTION("""COMPUTED_VALUE"""),2345)</f>
        <v>2345</v>
      </c>
      <c r="E24" s="2">
        <f ca="1">IFERROR(__xludf.DUMMYFUNCTION("""COMPUTED_VALUE"""),2350)</f>
        <v>2350</v>
      </c>
      <c r="F24" s="2">
        <f ca="1">IFERROR(__xludf.DUMMYFUNCTION("""COMPUTED_VALUE"""),18552700)</f>
        <v>18552700</v>
      </c>
    </row>
    <row r="25" spans="1:6">
      <c r="A25" s="5">
        <f ca="1">IFERROR(__xludf.DUMMYFUNCTION("""COMPUTED_VALUE"""),42039.625)</f>
        <v>42039.625</v>
      </c>
      <c r="B25" s="2">
        <f ca="1">IFERROR(__xludf.DUMMYFUNCTION("""COMPUTED_VALUE"""),2375)</f>
        <v>2375</v>
      </c>
      <c r="C25" s="2">
        <f ca="1">IFERROR(__xludf.DUMMYFUNCTION("""COMPUTED_VALUE"""),2385)</f>
        <v>2385</v>
      </c>
      <c r="D25" s="2">
        <f ca="1">IFERROR(__xludf.DUMMYFUNCTION("""COMPUTED_VALUE"""),2345)</f>
        <v>2345</v>
      </c>
      <c r="E25" s="2">
        <f ca="1">IFERROR(__xludf.DUMMYFUNCTION("""COMPUTED_VALUE"""),2355)</f>
        <v>2355</v>
      </c>
      <c r="F25" s="2">
        <f ca="1">IFERROR(__xludf.DUMMYFUNCTION("""COMPUTED_VALUE"""),39058400)</f>
        <v>39058400</v>
      </c>
    </row>
    <row r="26" spans="1:6">
      <c r="A26" s="5">
        <f ca="1">IFERROR(__xludf.DUMMYFUNCTION("""COMPUTED_VALUE"""),42040.625)</f>
        <v>42040.625</v>
      </c>
      <c r="B26" s="2">
        <f ca="1">IFERROR(__xludf.DUMMYFUNCTION("""COMPUTED_VALUE"""),2350)</f>
        <v>2350</v>
      </c>
      <c r="C26" s="2">
        <f ca="1">IFERROR(__xludf.DUMMYFUNCTION("""COMPUTED_VALUE"""),2355)</f>
        <v>2355</v>
      </c>
      <c r="D26" s="2">
        <f ca="1">IFERROR(__xludf.DUMMYFUNCTION("""COMPUTED_VALUE"""),2325)</f>
        <v>2325</v>
      </c>
      <c r="E26" s="2">
        <f ca="1">IFERROR(__xludf.DUMMYFUNCTION("""COMPUTED_VALUE"""),2340)</f>
        <v>2340</v>
      </c>
      <c r="F26" s="2">
        <f ca="1">IFERROR(__xludf.DUMMYFUNCTION("""COMPUTED_VALUE"""),25926600)</f>
        <v>25926600</v>
      </c>
    </row>
    <row r="27" spans="1:6">
      <c r="A27" s="5">
        <f ca="1">IFERROR(__xludf.DUMMYFUNCTION("""COMPUTED_VALUE"""),42041.625)</f>
        <v>42041.625</v>
      </c>
      <c r="B27" s="2">
        <f ca="1">IFERROR(__xludf.DUMMYFUNCTION("""COMPUTED_VALUE"""),2355)</f>
        <v>2355</v>
      </c>
      <c r="C27" s="2">
        <f ca="1">IFERROR(__xludf.DUMMYFUNCTION("""COMPUTED_VALUE"""),2355)</f>
        <v>2355</v>
      </c>
      <c r="D27" s="2">
        <f ca="1">IFERROR(__xludf.DUMMYFUNCTION("""COMPUTED_VALUE"""),2325)</f>
        <v>2325</v>
      </c>
      <c r="E27" s="2">
        <f ca="1">IFERROR(__xludf.DUMMYFUNCTION("""COMPUTED_VALUE"""),2330)</f>
        <v>2330</v>
      </c>
      <c r="F27" s="2">
        <f ca="1">IFERROR(__xludf.DUMMYFUNCTION("""COMPUTED_VALUE"""),35300200)</f>
        <v>35300200</v>
      </c>
    </row>
    <row r="28" spans="1:6">
      <c r="A28" s="5">
        <f ca="1">IFERROR(__xludf.DUMMYFUNCTION("""COMPUTED_VALUE"""),42044.625)</f>
        <v>42044.625</v>
      </c>
      <c r="B28" s="2">
        <f ca="1">IFERROR(__xludf.DUMMYFUNCTION("""COMPUTED_VALUE"""),2320)</f>
        <v>2320</v>
      </c>
      <c r="C28" s="2">
        <f ca="1">IFERROR(__xludf.DUMMYFUNCTION("""COMPUTED_VALUE"""),2360)</f>
        <v>2360</v>
      </c>
      <c r="D28" s="2">
        <f ca="1">IFERROR(__xludf.DUMMYFUNCTION("""COMPUTED_VALUE"""),2320)</f>
        <v>2320</v>
      </c>
      <c r="E28" s="2">
        <f ca="1">IFERROR(__xludf.DUMMYFUNCTION("""COMPUTED_VALUE"""),2335)</f>
        <v>2335</v>
      </c>
      <c r="F28" s="2">
        <f ca="1">IFERROR(__xludf.DUMMYFUNCTION("""COMPUTED_VALUE"""),26117500)</f>
        <v>26117500</v>
      </c>
    </row>
    <row r="29" spans="1:6">
      <c r="A29" s="5">
        <f ca="1">IFERROR(__xludf.DUMMYFUNCTION("""COMPUTED_VALUE"""),42045.625)</f>
        <v>42045.625</v>
      </c>
      <c r="B29" s="2">
        <f ca="1">IFERROR(__xludf.DUMMYFUNCTION("""COMPUTED_VALUE"""),2325)</f>
        <v>2325</v>
      </c>
      <c r="C29" s="2">
        <f ca="1">IFERROR(__xludf.DUMMYFUNCTION("""COMPUTED_VALUE"""),2360)</f>
        <v>2360</v>
      </c>
      <c r="D29" s="2">
        <f ca="1">IFERROR(__xludf.DUMMYFUNCTION("""COMPUTED_VALUE"""),2325)</f>
        <v>2325</v>
      </c>
      <c r="E29" s="2">
        <f ca="1">IFERROR(__xludf.DUMMYFUNCTION("""COMPUTED_VALUE"""),2330)</f>
        <v>2330</v>
      </c>
      <c r="F29" s="2">
        <f ca="1">IFERROR(__xludf.DUMMYFUNCTION("""COMPUTED_VALUE"""),28300100)</f>
        <v>28300100</v>
      </c>
    </row>
    <row r="30" spans="1:6">
      <c r="A30" s="5">
        <f ca="1">IFERROR(__xludf.DUMMYFUNCTION("""COMPUTED_VALUE"""),42046.625)</f>
        <v>42046.625</v>
      </c>
      <c r="B30" s="2">
        <f ca="1">IFERROR(__xludf.DUMMYFUNCTION("""COMPUTED_VALUE"""),2345)</f>
        <v>2345</v>
      </c>
      <c r="C30" s="2">
        <f ca="1">IFERROR(__xludf.DUMMYFUNCTION("""COMPUTED_VALUE"""),2350)</f>
        <v>2350</v>
      </c>
      <c r="D30" s="2">
        <f ca="1">IFERROR(__xludf.DUMMYFUNCTION("""COMPUTED_VALUE"""),2330)</f>
        <v>2330</v>
      </c>
      <c r="E30" s="2">
        <f ca="1">IFERROR(__xludf.DUMMYFUNCTION("""COMPUTED_VALUE"""),2340)</f>
        <v>2340</v>
      </c>
      <c r="F30" s="2">
        <f ca="1">IFERROR(__xludf.DUMMYFUNCTION("""COMPUTED_VALUE"""),21053200)</f>
        <v>21053200</v>
      </c>
    </row>
    <row r="31" spans="1:6">
      <c r="A31" s="5">
        <f ca="1">IFERROR(__xludf.DUMMYFUNCTION("""COMPUTED_VALUE"""),42047.625)</f>
        <v>42047.625</v>
      </c>
      <c r="B31" s="2">
        <f ca="1">IFERROR(__xludf.DUMMYFUNCTION("""COMPUTED_VALUE"""),2340)</f>
        <v>2340</v>
      </c>
      <c r="C31" s="2">
        <f ca="1">IFERROR(__xludf.DUMMYFUNCTION("""COMPUTED_VALUE"""),2380)</f>
        <v>2380</v>
      </c>
      <c r="D31" s="2">
        <f ca="1">IFERROR(__xludf.DUMMYFUNCTION("""COMPUTED_VALUE"""),2340)</f>
        <v>2340</v>
      </c>
      <c r="E31" s="2">
        <f ca="1">IFERROR(__xludf.DUMMYFUNCTION("""COMPUTED_VALUE"""),2375)</f>
        <v>2375</v>
      </c>
      <c r="F31" s="2">
        <f ca="1">IFERROR(__xludf.DUMMYFUNCTION("""COMPUTED_VALUE"""),41337500)</f>
        <v>41337500</v>
      </c>
    </row>
    <row r="32" spans="1:6">
      <c r="A32" s="5">
        <f ca="1">IFERROR(__xludf.DUMMYFUNCTION("""COMPUTED_VALUE"""),42048.625)</f>
        <v>42048.625</v>
      </c>
      <c r="B32" s="2">
        <f ca="1">IFERROR(__xludf.DUMMYFUNCTION("""COMPUTED_VALUE"""),2395)</f>
        <v>2395</v>
      </c>
      <c r="C32" s="2">
        <f ca="1">IFERROR(__xludf.DUMMYFUNCTION("""COMPUTED_VALUE"""),2405)</f>
        <v>2405</v>
      </c>
      <c r="D32" s="2">
        <f ca="1">IFERROR(__xludf.DUMMYFUNCTION("""COMPUTED_VALUE"""),2385)</f>
        <v>2385</v>
      </c>
      <c r="E32" s="2">
        <f ca="1">IFERROR(__xludf.DUMMYFUNCTION("""COMPUTED_VALUE"""),2400)</f>
        <v>2400</v>
      </c>
      <c r="F32" s="2">
        <f ca="1">IFERROR(__xludf.DUMMYFUNCTION("""COMPUTED_VALUE"""),47998800)</f>
        <v>47998800</v>
      </c>
    </row>
    <row r="33" spans="1:6">
      <c r="A33" s="5">
        <f ca="1">IFERROR(__xludf.DUMMYFUNCTION("""COMPUTED_VALUE"""),42051.625)</f>
        <v>42051.625</v>
      </c>
      <c r="B33" s="2">
        <f ca="1">IFERROR(__xludf.DUMMYFUNCTION("""COMPUTED_VALUE"""),2400)</f>
        <v>2400</v>
      </c>
      <c r="C33" s="2">
        <f ca="1">IFERROR(__xludf.DUMMYFUNCTION("""COMPUTED_VALUE"""),2410)</f>
        <v>2410</v>
      </c>
      <c r="D33" s="2">
        <f ca="1">IFERROR(__xludf.DUMMYFUNCTION("""COMPUTED_VALUE"""),2385)</f>
        <v>2385</v>
      </c>
      <c r="E33" s="2">
        <f ca="1">IFERROR(__xludf.DUMMYFUNCTION("""COMPUTED_VALUE"""),2405)</f>
        <v>2405</v>
      </c>
      <c r="F33" s="2">
        <f ca="1">IFERROR(__xludf.DUMMYFUNCTION("""COMPUTED_VALUE"""),53919700)</f>
        <v>53919700</v>
      </c>
    </row>
    <row r="34" spans="1:6">
      <c r="A34" s="5">
        <f ca="1">IFERROR(__xludf.DUMMYFUNCTION("""COMPUTED_VALUE"""),42052.625)</f>
        <v>42052.625</v>
      </c>
      <c r="B34" s="2">
        <f ca="1">IFERROR(__xludf.DUMMYFUNCTION("""COMPUTED_VALUE"""),2395)</f>
        <v>2395</v>
      </c>
      <c r="C34" s="2">
        <f ca="1">IFERROR(__xludf.DUMMYFUNCTION("""COMPUTED_VALUE"""),2405)</f>
        <v>2405</v>
      </c>
      <c r="D34" s="2">
        <f ca="1">IFERROR(__xludf.DUMMYFUNCTION("""COMPUTED_VALUE"""),2395)</f>
        <v>2395</v>
      </c>
      <c r="E34" s="2">
        <f ca="1">IFERROR(__xludf.DUMMYFUNCTION("""COMPUTED_VALUE"""),2400)</f>
        <v>2400</v>
      </c>
      <c r="F34" s="2">
        <f ca="1">IFERROR(__xludf.DUMMYFUNCTION("""COMPUTED_VALUE"""),25189900)</f>
        <v>25189900</v>
      </c>
    </row>
    <row r="35" spans="1:6">
      <c r="A35" s="5">
        <f ca="1">IFERROR(__xludf.DUMMYFUNCTION("""COMPUTED_VALUE"""),42053.625)</f>
        <v>42053.625</v>
      </c>
      <c r="B35" s="2">
        <f ca="1">IFERROR(__xludf.DUMMYFUNCTION("""COMPUTED_VALUE"""),2450)</f>
        <v>2450</v>
      </c>
      <c r="C35" s="2">
        <f ca="1">IFERROR(__xludf.DUMMYFUNCTION("""COMPUTED_VALUE"""),2520)</f>
        <v>2520</v>
      </c>
      <c r="D35" s="2">
        <f ca="1">IFERROR(__xludf.DUMMYFUNCTION("""COMPUTED_VALUE"""),2445)</f>
        <v>2445</v>
      </c>
      <c r="E35" s="2">
        <f ca="1">IFERROR(__xludf.DUMMYFUNCTION("""COMPUTED_VALUE"""),2495)</f>
        <v>2495</v>
      </c>
      <c r="F35" s="2">
        <f ca="1">IFERROR(__xludf.DUMMYFUNCTION("""COMPUTED_VALUE"""),99429800)</f>
        <v>99429800</v>
      </c>
    </row>
    <row r="36" spans="1:6">
      <c r="A36" s="5">
        <f ca="1">IFERROR(__xludf.DUMMYFUNCTION("""COMPUTED_VALUE"""),42055.625)</f>
        <v>42055.625</v>
      </c>
      <c r="B36" s="2">
        <f ca="1">IFERROR(__xludf.DUMMYFUNCTION("""COMPUTED_VALUE"""),2505)</f>
        <v>2505</v>
      </c>
      <c r="C36" s="2">
        <f ca="1">IFERROR(__xludf.DUMMYFUNCTION("""COMPUTED_VALUE"""),2560)</f>
        <v>2560</v>
      </c>
      <c r="D36" s="2">
        <f ca="1">IFERROR(__xludf.DUMMYFUNCTION("""COMPUTED_VALUE"""),2500)</f>
        <v>2500</v>
      </c>
      <c r="E36" s="2">
        <f ca="1">IFERROR(__xludf.DUMMYFUNCTION("""COMPUTED_VALUE"""),2545)</f>
        <v>2545</v>
      </c>
      <c r="F36" s="2">
        <f ca="1">IFERROR(__xludf.DUMMYFUNCTION("""COMPUTED_VALUE"""),37372900)</f>
        <v>37372900</v>
      </c>
    </row>
    <row r="37" spans="1:6">
      <c r="A37" s="5">
        <f ca="1">IFERROR(__xludf.DUMMYFUNCTION("""COMPUTED_VALUE"""),42058.625)</f>
        <v>42058.625</v>
      </c>
      <c r="B37" s="2">
        <f ca="1">IFERROR(__xludf.DUMMYFUNCTION("""COMPUTED_VALUE"""),2545)</f>
        <v>2545</v>
      </c>
      <c r="C37" s="2">
        <f ca="1">IFERROR(__xludf.DUMMYFUNCTION("""COMPUTED_VALUE"""),2550)</f>
        <v>2550</v>
      </c>
      <c r="D37" s="2">
        <f ca="1">IFERROR(__xludf.DUMMYFUNCTION("""COMPUTED_VALUE"""),2490)</f>
        <v>2490</v>
      </c>
      <c r="E37" s="2">
        <f ca="1">IFERROR(__xludf.DUMMYFUNCTION("""COMPUTED_VALUE"""),2540)</f>
        <v>2540</v>
      </c>
      <c r="F37" s="2">
        <f ca="1">IFERROR(__xludf.DUMMYFUNCTION("""COMPUTED_VALUE"""),35581100)</f>
        <v>35581100</v>
      </c>
    </row>
    <row r="38" spans="1:6">
      <c r="A38" s="5">
        <f ca="1">IFERROR(__xludf.DUMMYFUNCTION("""COMPUTED_VALUE"""),42059.625)</f>
        <v>42059.625</v>
      </c>
      <c r="B38" s="2">
        <f ca="1">IFERROR(__xludf.DUMMYFUNCTION("""COMPUTED_VALUE"""),2540)</f>
        <v>2540</v>
      </c>
      <c r="C38" s="2">
        <f ca="1">IFERROR(__xludf.DUMMYFUNCTION("""COMPUTED_VALUE"""),2600)</f>
        <v>2600</v>
      </c>
      <c r="D38" s="2">
        <f ca="1">IFERROR(__xludf.DUMMYFUNCTION("""COMPUTED_VALUE"""),2540)</f>
        <v>2540</v>
      </c>
      <c r="E38" s="2">
        <f ca="1">IFERROR(__xludf.DUMMYFUNCTION("""COMPUTED_VALUE"""),2560)</f>
        <v>2560</v>
      </c>
      <c r="F38" s="2">
        <f ca="1">IFERROR(__xludf.DUMMYFUNCTION("""COMPUTED_VALUE"""),43446300)</f>
        <v>43446300</v>
      </c>
    </row>
    <row r="39" spans="1:6">
      <c r="A39" s="5">
        <f ca="1">IFERROR(__xludf.DUMMYFUNCTION("""COMPUTED_VALUE"""),42060.625)</f>
        <v>42060.625</v>
      </c>
      <c r="B39" s="2">
        <f ca="1">IFERROR(__xludf.DUMMYFUNCTION("""COMPUTED_VALUE"""),2580)</f>
        <v>2580</v>
      </c>
      <c r="C39" s="2">
        <f ca="1">IFERROR(__xludf.DUMMYFUNCTION("""COMPUTED_VALUE"""),2585)</f>
        <v>2585</v>
      </c>
      <c r="D39" s="2">
        <f ca="1">IFERROR(__xludf.DUMMYFUNCTION("""COMPUTED_VALUE"""),2560)</f>
        <v>2560</v>
      </c>
      <c r="E39" s="2">
        <f ca="1">IFERROR(__xludf.DUMMYFUNCTION("""COMPUTED_VALUE"""),2585)</f>
        <v>2585</v>
      </c>
      <c r="F39" s="2">
        <f ca="1">IFERROR(__xludf.DUMMYFUNCTION("""COMPUTED_VALUE"""),21405400)</f>
        <v>21405400</v>
      </c>
    </row>
    <row r="40" spans="1:6">
      <c r="A40" s="5">
        <f ca="1">IFERROR(__xludf.DUMMYFUNCTION("""COMPUTED_VALUE"""),42061.625)</f>
        <v>42061.625</v>
      </c>
      <c r="B40" s="2">
        <f ca="1">IFERROR(__xludf.DUMMYFUNCTION("""COMPUTED_VALUE"""),2585)</f>
        <v>2585</v>
      </c>
      <c r="C40" s="2">
        <f ca="1">IFERROR(__xludf.DUMMYFUNCTION("""COMPUTED_VALUE"""),2600)</f>
        <v>2600</v>
      </c>
      <c r="D40" s="2">
        <f ca="1">IFERROR(__xludf.DUMMYFUNCTION("""COMPUTED_VALUE"""),2570)</f>
        <v>2570</v>
      </c>
      <c r="E40" s="2">
        <f ca="1">IFERROR(__xludf.DUMMYFUNCTION("""COMPUTED_VALUE"""),2590)</f>
        <v>2590</v>
      </c>
      <c r="F40" s="2">
        <f ca="1">IFERROR(__xludf.DUMMYFUNCTION("""COMPUTED_VALUE"""),21243600)</f>
        <v>21243600</v>
      </c>
    </row>
    <row r="41" spans="1:6">
      <c r="A41" s="5">
        <f ca="1">IFERROR(__xludf.DUMMYFUNCTION("""COMPUTED_VALUE"""),42062.625)</f>
        <v>42062.625</v>
      </c>
      <c r="B41" s="2">
        <f ca="1">IFERROR(__xludf.DUMMYFUNCTION("""COMPUTED_VALUE"""),2610)</f>
        <v>2610</v>
      </c>
      <c r="C41" s="2">
        <f ca="1">IFERROR(__xludf.DUMMYFUNCTION("""COMPUTED_VALUE"""),2610)</f>
        <v>2610</v>
      </c>
      <c r="D41" s="2">
        <f ca="1">IFERROR(__xludf.DUMMYFUNCTION("""COMPUTED_VALUE"""),2575)</f>
        <v>2575</v>
      </c>
      <c r="E41" s="2">
        <f ca="1">IFERROR(__xludf.DUMMYFUNCTION("""COMPUTED_VALUE"""),2575)</f>
        <v>2575</v>
      </c>
      <c r="F41" s="2">
        <f ca="1">IFERROR(__xludf.DUMMYFUNCTION("""COMPUTED_VALUE"""),18784300)</f>
        <v>18784300</v>
      </c>
    </row>
    <row r="42" spans="1:6">
      <c r="A42" s="5">
        <f ca="1">IFERROR(__xludf.DUMMYFUNCTION("""COMPUTED_VALUE"""),42065.625)</f>
        <v>42065.625</v>
      </c>
      <c r="B42" s="2">
        <f ca="1">IFERROR(__xludf.DUMMYFUNCTION("""COMPUTED_VALUE"""),2575)</f>
        <v>2575</v>
      </c>
      <c r="C42" s="2">
        <f ca="1">IFERROR(__xludf.DUMMYFUNCTION("""COMPUTED_VALUE"""),2590)</f>
        <v>2590</v>
      </c>
      <c r="D42" s="2">
        <f ca="1">IFERROR(__xludf.DUMMYFUNCTION("""COMPUTED_VALUE"""),2570)</f>
        <v>2570</v>
      </c>
      <c r="E42" s="2">
        <f ca="1">IFERROR(__xludf.DUMMYFUNCTION("""COMPUTED_VALUE"""),2590)</f>
        <v>2590</v>
      </c>
      <c r="F42" s="2">
        <f ca="1">IFERROR(__xludf.DUMMYFUNCTION("""COMPUTED_VALUE"""),20843200)</f>
        <v>20843200</v>
      </c>
    </row>
    <row r="43" spans="1:6">
      <c r="A43" s="5">
        <f ca="1">IFERROR(__xludf.DUMMYFUNCTION("""COMPUTED_VALUE"""),42066.625)</f>
        <v>42066.625</v>
      </c>
      <c r="B43" s="2">
        <f ca="1">IFERROR(__xludf.DUMMYFUNCTION("""COMPUTED_VALUE"""),2550)</f>
        <v>2550</v>
      </c>
      <c r="C43" s="2">
        <f ca="1">IFERROR(__xludf.DUMMYFUNCTION("""COMPUTED_VALUE"""),2595)</f>
        <v>2595</v>
      </c>
      <c r="D43" s="2">
        <f ca="1">IFERROR(__xludf.DUMMYFUNCTION("""COMPUTED_VALUE"""),2550)</f>
        <v>2550</v>
      </c>
      <c r="E43" s="2">
        <f ca="1">IFERROR(__xludf.DUMMYFUNCTION("""COMPUTED_VALUE"""),2575)</f>
        <v>2575</v>
      </c>
      <c r="F43" s="2">
        <f ca="1">IFERROR(__xludf.DUMMYFUNCTION("""COMPUTED_VALUE"""),16761400)</f>
        <v>16761400</v>
      </c>
    </row>
    <row r="44" spans="1:6">
      <c r="A44" s="5">
        <f ca="1">IFERROR(__xludf.DUMMYFUNCTION("""COMPUTED_VALUE"""),42067.625)</f>
        <v>42067.625</v>
      </c>
      <c r="B44" s="2">
        <f ca="1">IFERROR(__xludf.DUMMYFUNCTION("""COMPUTED_VALUE"""),2570)</f>
        <v>2570</v>
      </c>
      <c r="C44" s="2">
        <f ca="1">IFERROR(__xludf.DUMMYFUNCTION("""COMPUTED_VALUE"""),2580)</f>
        <v>2580</v>
      </c>
      <c r="D44" s="2">
        <f ca="1">IFERROR(__xludf.DUMMYFUNCTION("""COMPUTED_VALUE"""),2560)</f>
        <v>2560</v>
      </c>
      <c r="E44" s="2">
        <f ca="1">IFERROR(__xludf.DUMMYFUNCTION("""COMPUTED_VALUE"""),2565)</f>
        <v>2565</v>
      </c>
      <c r="F44" s="2">
        <f ca="1">IFERROR(__xludf.DUMMYFUNCTION("""COMPUTED_VALUE"""),21312500)</f>
        <v>21312500</v>
      </c>
    </row>
    <row r="45" spans="1:6">
      <c r="A45" s="5">
        <f ca="1">IFERROR(__xludf.DUMMYFUNCTION("""COMPUTED_VALUE"""),42068.625)</f>
        <v>42068.625</v>
      </c>
      <c r="B45" s="2">
        <f ca="1">IFERROR(__xludf.DUMMYFUNCTION("""COMPUTED_VALUE"""),2570)</f>
        <v>2570</v>
      </c>
      <c r="C45" s="2">
        <f ca="1">IFERROR(__xludf.DUMMYFUNCTION("""COMPUTED_VALUE"""),2575)</f>
        <v>2575</v>
      </c>
      <c r="D45" s="2">
        <f ca="1">IFERROR(__xludf.DUMMYFUNCTION("""COMPUTED_VALUE"""),2555)</f>
        <v>2555</v>
      </c>
      <c r="E45" s="2">
        <f ca="1">IFERROR(__xludf.DUMMYFUNCTION("""COMPUTED_VALUE"""),2570)</f>
        <v>2570</v>
      </c>
      <c r="F45" s="2">
        <f ca="1">IFERROR(__xludf.DUMMYFUNCTION("""COMPUTED_VALUE"""),16452500)</f>
        <v>16452500</v>
      </c>
    </row>
    <row r="46" spans="1:6">
      <c r="A46" s="5">
        <f ca="1">IFERROR(__xludf.DUMMYFUNCTION("""COMPUTED_VALUE"""),42069.625)</f>
        <v>42069.625</v>
      </c>
      <c r="B46" s="2">
        <f ca="1">IFERROR(__xludf.DUMMYFUNCTION("""COMPUTED_VALUE"""),2575)</f>
        <v>2575</v>
      </c>
      <c r="C46" s="2">
        <f ca="1">IFERROR(__xludf.DUMMYFUNCTION("""COMPUTED_VALUE"""),2615)</f>
        <v>2615</v>
      </c>
      <c r="D46" s="2">
        <f ca="1">IFERROR(__xludf.DUMMYFUNCTION("""COMPUTED_VALUE"""),2565)</f>
        <v>2565</v>
      </c>
      <c r="E46" s="2">
        <f ca="1">IFERROR(__xludf.DUMMYFUNCTION("""COMPUTED_VALUE"""),2615)</f>
        <v>2615</v>
      </c>
      <c r="F46" s="2">
        <f ca="1">IFERROR(__xludf.DUMMYFUNCTION("""COMPUTED_VALUE"""),17556100)</f>
        <v>17556100</v>
      </c>
    </row>
    <row r="47" spans="1:6">
      <c r="A47" s="5">
        <f ca="1">IFERROR(__xludf.DUMMYFUNCTION("""COMPUTED_VALUE"""),42072.625)</f>
        <v>42072.625</v>
      </c>
      <c r="B47" s="2">
        <f ca="1">IFERROR(__xludf.DUMMYFUNCTION("""COMPUTED_VALUE"""),2600)</f>
        <v>2600</v>
      </c>
      <c r="C47" s="2">
        <f ca="1">IFERROR(__xludf.DUMMYFUNCTION("""COMPUTED_VALUE"""),2600)</f>
        <v>2600</v>
      </c>
      <c r="D47" s="2">
        <f ca="1">IFERROR(__xludf.DUMMYFUNCTION("""COMPUTED_VALUE"""),2570)</f>
        <v>2570</v>
      </c>
      <c r="E47" s="2">
        <f ca="1">IFERROR(__xludf.DUMMYFUNCTION("""COMPUTED_VALUE"""),2585)</f>
        <v>2585</v>
      </c>
      <c r="F47" s="2">
        <f ca="1">IFERROR(__xludf.DUMMYFUNCTION("""COMPUTED_VALUE"""),17903400)</f>
        <v>17903400</v>
      </c>
    </row>
    <row r="48" spans="1:6">
      <c r="A48" s="5">
        <f ca="1">IFERROR(__xludf.DUMMYFUNCTION("""COMPUTED_VALUE"""),42073.625)</f>
        <v>42073.625</v>
      </c>
      <c r="B48" s="2">
        <f ca="1">IFERROR(__xludf.DUMMYFUNCTION("""COMPUTED_VALUE"""),2570)</f>
        <v>2570</v>
      </c>
      <c r="C48" s="2">
        <f ca="1">IFERROR(__xludf.DUMMYFUNCTION("""COMPUTED_VALUE"""),2620)</f>
        <v>2620</v>
      </c>
      <c r="D48" s="2">
        <f ca="1">IFERROR(__xludf.DUMMYFUNCTION("""COMPUTED_VALUE"""),2565)</f>
        <v>2565</v>
      </c>
      <c r="E48" s="2">
        <f ca="1">IFERROR(__xludf.DUMMYFUNCTION("""COMPUTED_VALUE"""),2575)</f>
        <v>2575</v>
      </c>
      <c r="F48" s="2">
        <f ca="1">IFERROR(__xludf.DUMMYFUNCTION("""COMPUTED_VALUE"""),16698700)</f>
        <v>16698700</v>
      </c>
    </row>
    <row r="49" spans="1:6">
      <c r="A49" s="5">
        <f ca="1">IFERROR(__xludf.DUMMYFUNCTION("""COMPUTED_VALUE"""),42074.625)</f>
        <v>42074.625</v>
      </c>
      <c r="B49" s="2">
        <f ca="1">IFERROR(__xludf.DUMMYFUNCTION("""COMPUTED_VALUE"""),2560)</f>
        <v>2560</v>
      </c>
      <c r="C49" s="2">
        <f ca="1">IFERROR(__xludf.DUMMYFUNCTION("""COMPUTED_VALUE"""),2575)</f>
        <v>2575</v>
      </c>
      <c r="D49" s="2">
        <f ca="1">IFERROR(__xludf.DUMMYFUNCTION("""COMPUTED_VALUE"""),2545)</f>
        <v>2545</v>
      </c>
      <c r="E49" s="2">
        <f ca="1">IFERROR(__xludf.DUMMYFUNCTION("""COMPUTED_VALUE"""),2570)</f>
        <v>2570</v>
      </c>
      <c r="F49" s="2">
        <f ca="1">IFERROR(__xludf.DUMMYFUNCTION("""COMPUTED_VALUE"""),27447900)</f>
        <v>27447900</v>
      </c>
    </row>
    <row r="50" spans="1:6">
      <c r="A50" s="5">
        <f ca="1">IFERROR(__xludf.DUMMYFUNCTION("""COMPUTED_VALUE"""),42075.625)</f>
        <v>42075.625</v>
      </c>
      <c r="B50" s="2">
        <f ca="1">IFERROR(__xludf.DUMMYFUNCTION("""COMPUTED_VALUE"""),2570)</f>
        <v>2570</v>
      </c>
      <c r="C50" s="2">
        <f ca="1">IFERROR(__xludf.DUMMYFUNCTION("""COMPUTED_VALUE"""),2600)</f>
        <v>2600</v>
      </c>
      <c r="D50" s="2">
        <f ca="1">IFERROR(__xludf.DUMMYFUNCTION("""COMPUTED_VALUE"""),2565)</f>
        <v>2565</v>
      </c>
      <c r="E50" s="2">
        <f ca="1">IFERROR(__xludf.DUMMYFUNCTION("""COMPUTED_VALUE"""),2580)</f>
        <v>2580</v>
      </c>
      <c r="F50" s="2">
        <f ca="1">IFERROR(__xludf.DUMMYFUNCTION("""COMPUTED_VALUE"""),13672000)</f>
        <v>13672000</v>
      </c>
    </row>
    <row r="51" spans="1:6">
      <c r="A51" s="5">
        <f ca="1">IFERROR(__xludf.DUMMYFUNCTION("""COMPUTED_VALUE"""),42076.625)</f>
        <v>42076.625</v>
      </c>
      <c r="B51" s="2">
        <f ca="1">IFERROR(__xludf.DUMMYFUNCTION("""COMPUTED_VALUE"""),2600)</f>
        <v>2600</v>
      </c>
      <c r="C51" s="2">
        <f ca="1">IFERROR(__xludf.DUMMYFUNCTION("""COMPUTED_VALUE"""),2605)</f>
        <v>2605</v>
      </c>
      <c r="D51" s="2">
        <f ca="1">IFERROR(__xludf.DUMMYFUNCTION("""COMPUTED_VALUE"""),2550)</f>
        <v>2550</v>
      </c>
      <c r="E51" s="2">
        <f ca="1">IFERROR(__xludf.DUMMYFUNCTION("""COMPUTED_VALUE"""),2550)</f>
        <v>2550</v>
      </c>
      <c r="F51" s="2">
        <f ca="1">IFERROR(__xludf.DUMMYFUNCTION("""COMPUTED_VALUE"""),24601900)</f>
        <v>24601900</v>
      </c>
    </row>
    <row r="52" spans="1:6">
      <c r="A52" s="5">
        <f ca="1">IFERROR(__xludf.DUMMYFUNCTION("""COMPUTED_VALUE"""),42079.625)</f>
        <v>42079.625</v>
      </c>
      <c r="B52" s="2">
        <f ca="1">IFERROR(__xludf.DUMMYFUNCTION("""COMPUTED_VALUE"""),2530)</f>
        <v>2530</v>
      </c>
      <c r="C52" s="2">
        <f ca="1">IFERROR(__xludf.DUMMYFUNCTION("""COMPUTED_VALUE"""),2600)</f>
        <v>2600</v>
      </c>
      <c r="D52" s="2">
        <f ca="1">IFERROR(__xludf.DUMMYFUNCTION("""COMPUTED_VALUE"""),2530)</f>
        <v>2530</v>
      </c>
      <c r="E52" s="2">
        <f ca="1">IFERROR(__xludf.DUMMYFUNCTION("""COMPUTED_VALUE"""),2580)</f>
        <v>2580</v>
      </c>
      <c r="F52" s="2">
        <f ca="1">IFERROR(__xludf.DUMMYFUNCTION("""COMPUTED_VALUE"""),14285500)</f>
        <v>14285500</v>
      </c>
    </row>
    <row r="53" spans="1:6">
      <c r="A53" s="5">
        <f ca="1">IFERROR(__xludf.DUMMYFUNCTION("""COMPUTED_VALUE"""),42080.625)</f>
        <v>42080.625</v>
      </c>
      <c r="B53" s="2">
        <f ca="1">IFERROR(__xludf.DUMMYFUNCTION("""COMPUTED_VALUE"""),2580)</f>
        <v>2580</v>
      </c>
      <c r="C53" s="2">
        <f ca="1">IFERROR(__xludf.DUMMYFUNCTION("""COMPUTED_VALUE"""),2600)</f>
        <v>2600</v>
      </c>
      <c r="D53" s="2">
        <f ca="1">IFERROR(__xludf.DUMMYFUNCTION("""COMPUTED_VALUE"""),2580)</f>
        <v>2580</v>
      </c>
      <c r="E53" s="2">
        <f ca="1">IFERROR(__xludf.DUMMYFUNCTION("""COMPUTED_VALUE"""),2585)</f>
        <v>2585</v>
      </c>
      <c r="F53" s="2">
        <f ca="1">IFERROR(__xludf.DUMMYFUNCTION("""COMPUTED_VALUE"""),12077500)</f>
        <v>12077500</v>
      </c>
    </row>
    <row r="54" spans="1:6">
      <c r="A54" s="5">
        <f ca="1">IFERROR(__xludf.DUMMYFUNCTION("""COMPUTED_VALUE"""),42081.625)</f>
        <v>42081.625</v>
      </c>
      <c r="B54" s="2">
        <f ca="1">IFERROR(__xludf.DUMMYFUNCTION("""COMPUTED_VALUE"""),2560)</f>
        <v>2560</v>
      </c>
      <c r="C54" s="2">
        <f ca="1">IFERROR(__xludf.DUMMYFUNCTION("""COMPUTED_VALUE"""),2595)</f>
        <v>2595</v>
      </c>
      <c r="D54" s="2">
        <f ca="1">IFERROR(__xludf.DUMMYFUNCTION("""COMPUTED_VALUE"""),2520)</f>
        <v>2520</v>
      </c>
      <c r="E54" s="2">
        <f ca="1">IFERROR(__xludf.DUMMYFUNCTION("""COMPUTED_VALUE"""),2595)</f>
        <v>2595</v>
      </c>
      <c r="F54" s="2">
        <f ca="1">IFERROR(__xludf.DUMMYFUNCTION("""COMPUTED_VALUE"""),17354400)</f>
        <v>17354400</v>
      </c>
    </row>
    <row r="55" spans="1:6">
      <c r="A55" s="5">
        <f ca="1">IFERROR(__xludf.DUMMYFUNCTION("""COMPUTED_VALUE"""),42082.625)</f>
        <v>42082.625</v>
      </c>
      <c r="B55" s="2">
        <f ca="1">IFERROR(__xludf.DUMMYFUNCTION("""COMPUTED_VALUE"""),2610)</f>
        <v>2610</v>
      </c>
      <c r="C55" s="2">
        <f ca="1">IFERROR(__xludf.DUMMYFUNCTION("""COMPUTED_VALUE"""),2620)</f>
        <v>2620</v>
      </c>
      <c r="D55" s="2">
        <f ca="1">IFERROR(__xludf.DUMMYFUNCTION("""COMPUTED_VALUE"""),2590)</f>
        <v>2590</v>
      </c>
      <c r="E55" s="2">
        <f ca="1">IFERROR(__xludf.DUMMYFUNCTION("""COMPUTED_VALUE"""),2610)</f>
        <v>2610</v>
      </c>
      <c r="F55" s="2">
        <f ca="1">IFERROR(__xludf.DUMMYFUNCTION("""COMPUTED_VALUE"""),18252000)</f>
        <v>18252000</v>
      </c>
    </row>
    <row r="56" spans="1:6">
      <c r="A56" s="5">
        <f ca="1">IFERROR(__xludf.DUMMYFUNCTION("""COMPUTED_VALUE"""),42083.625)</f>
        <v>42083.625</v>
      </c>
      <c r="B56" s="2">
        <f ca="1">IFERROR(__xludf.DUMMYFUNCTION("""COMPUTED_VALUE"""),2565)</f>
        <v>2565</v>
      </c>
      <c r="C56" s="2">
        <f ca="1">IFERROR(__xludf.DUMMYFUNCTION("""COMPUTED_VALUE"""),2605)</f>
        <v>2605</v>
      </c>
      <c r="D56" s="2">
        <f ca="1">IFERROR(__xludf.DUMMYFUNCTION("""COMPUTED_VALUE"""),2565)</f>
        <v>2565</v>
      </c>
      <c r="E56" s="2">
        <f ca="1">IFERROR(__xludf.DUMMYFUNCTION("""COMPUTED_VALUE"""),2580)</f>
        <v>2580</v>
      </c>
      <c r="F56" s="2">
        <f ca="1">IFERROR(__xludf.DUMMYFUNCTION("""COMPUTED_VALUE"""),27194400)</f>
        <v>27194400</v>
      </c>
    </row>
    <row r="57" spans="1:6">
      <c r="A57" s="5">
        <f ca="1">IFERROR(__xludf.DUMMYFUNCTION("""COMPUTED_VALUE"""),42086.625)</f>
        <v>42086.625</v>
      </c>
      <c r="B57" s="2">
        <f ca="1">IFERROR(__xludf.DUMMYFUNCTION("""COMPUTED_VALUE"""),2580)</f>
        <v>2580</v>
      </c>
      <c r="C57" s="2">
        <f ca="1">IFERROR(__xludf.DUMMYFUNCTION("""COMPUTED_VALUE"""),2595)</f>
        <v>2595</v>
      </c>
      <c r="D57" s="2">
        <f ca="1">IFERROR(__xludf.DUMMYFUNCTION("""COMPUTED_VALUE"""),2575)</f>
        <v>2575</v>
      </c>
      <c r="E57" s="2">
        <f ca="1">IFERROR(__xludf.DUMMYFUNCTION("""COMPUTED_VALUE"""),2580)</f>
        <v>2580</v>
      </c>
      <c r="F57" s="2">
        <f ca="1">IFERROR(__xludf.DUMMYFUNCTION("""COMPUTED_VALUE"""),21624900)</f>
        <v>21624900</v>
      </c>
    </row>
    <row r="58" spans="1:6">
      <c r="A58" s="5">
        <f ca="1">IFERROR(__xludf.DUMMYFUNCTION("""COMPUTED_VALUE"""),42087.625)</f>
        <v>42087.625</v>
      </c>
      <c r="B58" s="2">
        <f ca="1">IFERROR(__xludf.DUMMYFUNCTION("""COMPUTED_VALUE"""),2590)</f>
        <v>2590</v>
      </c>
      <c r="C58" s="2">
        <f ca="1">IFERROR(__xludf.DUMMYFUNCTION("""COMPUTED_VALUE"""),2610)</f>
        <v>2610</v>
      </c>
      <c r="D58" s="2">
        <f ca="1">IFERROR(__xludf.DUMMYFUNCTION("""COMPUTED_VALUE"""),2585)</f>
        <v>2585</v>
      </c>
      <c r="E58" s="2">
        <f ca="1">IFERROR(__xludf.DUMMYFUNCTION("""COMPUTED_VALUE"""),2600)</f>
        <v>2600</v>
      </c>
      <c r="F58" s="2">
        <f ca="1">IFERROR(__xludf.DUMMYFUNCTION("""COMPUTED_VALUE"""),21260300)</f>
        <v>21260300</v>
      </c>
    </row>
    <row r="59" spans="1:6">
      <c r="A59" s="5">
        <f ca="1">IFERROR(__xludf.DUMMYFUNCTION("""COMPUTED_VALUE"""),42088.625)</f>
        <v>42088.625</v>
      </c>
      <c r="B59" s="2">
        <f ca="1">IFERROR(__xludf.DUMMYFUNCTION("""COMPUTED_VALUE"""),2600)</f>
        <v>2600</v>
      </c>
      <c r="C59" s="2">
        <f ca="1">IFERROR(__xludf.DUMMYFUNCTION("""COMPUTED_VALUE"""),2650)</f>
        <v>2650</v>
      </c>
      <c r="D59" s="2">
        <f ca="1">IFERROR(__xludf.DUMMYFUNCTION("""COMPUTED_VALUE"""),2595)</f>
        <v>2595</v>
      </c>
      <c r="E59" s="2">
        <f ca="1">IFERROR(__xludf.DUMMYFUNCTION("""COMPUTED_VALUE"""),2630)</f>
        <v>2630</v>
      </c>
      <c r="F59" s="2">
        <f ca="1">IFERROR(__xludf.DUMMYFUNCTION("""COMPUTED_VALUE"""),22039100)</f>
        <v>22039100</v>
      </c>
    </row>
    <row r="60" spans="1:6">
      <c r="A60" s="5">
        <f ca="1">IFERROR(__xludf.DUMMYFUNCTION("""COMPUTED_VALUE"""),42089.625)</f>
        <v>42089.625</v>
      </c>
      <c r="B60" s="2">
        <f ca="1">IFERROR(__xludf.DUMMYFUNCTION("""COMPUTED_VALUE"""),2610)</f>
        <v>2610</v>
      </c>
      <c r="C60" s="2">
        <f ca="1">IFERROR(__xludf.DUMMYFUNCTION("""COMPUTED_VALUE"""),2655)</f>
        <v>2655</v>
      </c>
      <c r="D60" s="2">
        <f ca="1">IFERROR(__xludf.DUMMYFUNCTION("""COMPUTED_VALUE"""),2605)</f>
        <v>2605</v>
      </c>
      <c r="E60" s="2">
        <f ca="1">IFERROR(__xludf.DUMMYFUNCTION("""COMPUTED_VALUE"""),2625)</f>
        <v>2625</v>
      </c>
      <c r="F60" s="2">
        <f ca="1">IFERROR(__xludf.DUMMYFUNCTION("""COMPUTED_VALUE"""),21372800)</f>
        <v>21372800</v>
      </c>
    </row>
    <row r="61" spans="1:6">
      <c r="A61" s="5">
        <f ca="1">IFERROR(__xludf.DUMMYFUNCTION("""COMPUTED_VALUE"""),42090.625)</f>
        <v>42090.625</v>
      </c>
      <c r="B61" s="2">
        <f ca="1">IFERROR(__xludf.DUMMYFUNCTION("""COMPUTED_VALUE"""),2580)</f>
        <v>2580</v>
      </c>
      <c r="C61" s="2">
        <f ca="1">IFERROR(__xludf.DUMMYFUNCTION("""COMPUTED_VALUE"""),2625)</f>
        <v>2625</v>
      </c>
      <c r="D61" s="2">
        <f ca="1">IFERROR(__xludf.DUMMYFUNCTION("""COMPUTED_VALUE"""),2580)</f>
        <v>2580</v>
      </c>
      <c r="E61" s="2">
        <f ca="1">IFERROR(__xludf.DUMMYFUNCTION("""COMPUTED_VALUE"""),2615)</f>
        <v>2615</v>
      </c>
      <c r="F61" s="2">
        <f ca="1">IFERROR(__xludf.DUMMYFUNCTION("""COMPUTED_VALUE"""),24843200)</f>
        <v>24843200</v>
      </c>
    </row>
    <row r="62" spans="1:6">
      <c r="A62" s="5">
        <f ca="1">IFERROR(__xludf.DUMMYFUNCTION("""COMPUTED_VALUE"""),42093.625)</f>
        <v>42093.625</v>
      </c>
      <c r="B62" s="2">
        <f ca="1">IFERROR(__xludf.DUMMYFUNCTION("""COMPUTED_VALUE"""),2600)</f>
        <v>2600</v>
      </c>
      <c r="C62" s="2">
        <f ca="1">IFERROR(__xludf.DUMMYFUNCTION("""COMPUTED_VALUE"""),2640)</f>
        <v>2640</v>
      </c>
      <c r="D62" s="2">
        <f ca="1">IFERROR(__xludf.DUMMYFUNCTION("""COMPUTED_VALUE"""),2595)</f>
        <v>2595</v>
      </c>
      <c r="E62" s="2">
        <f ca="1">IFERROR(__xludf.DUMMYFUNCTION("""COMPUTED_VALUE"""),2605)</f>
        <v>2605</v>
      </c>
      <c r="F62" s="2">
        <f ca="1">IFERROR(__xludf.DUMMYFUNCTION("""COMPUTED_VALUE"""),26255100)</f>
        <v>26255100</v>
      </c>
    </row>
    <row r="63" spans="1:6">
      <c r="A63" s="5">
        <f ca="1">IFERROR(__xludf.DUMMYFUNCTION("""COMPUTED_VALUE"""),42094.625)</f>
        <v>42094.625</v>
      </c>
      <c r="B63" s="2">
        <f ca="1">IFERROR(__xludf.DUMMYFUNCTION("""COMPUTED_VALUE"""),2640)</f>
        <v>2640</v>
      </c>
      <c r="C63" s="2">
        <f ca="1">IFERROR(__xludf.DUMMYFUNCTION("""COMPUTED_VALUE"""),2655)</f>
        <v>2655</v>
      </c>
      <c r="D63" s="2">
        <f ca="1">IFERROR(__xludf.DUMMYFUNCTION("""COMPUTED_VALUE"""),2625)</f>
        <v>2625</v>
      </c>
      <c r="E63" s="2">
        <f ca="1">IFERROR(__xludf.DUMMYFUNCTION("""COMPUTED_VALUE"""),2655)</f>
        <v>2655</v>
      </c>
      <c r="F63" s="2">
        <f ca="1">IFERROR(__xludf.DUMMYFUNCTION("""COMPUTED_VALUE"""),38363500)</f>
        <v>38363500</v>
      </c>
    </row>
    <row r="64" spans="1:6">
      <c r="A64" s="5">
        <f ca="1">IFERROR(__xludf.DUMMYFUNCTION("""COMPUTED_VALUE"""),42095.625)</f>
        <v>42095.625</v>
      </c>
      <c r="B64" s="2">
        <f ca="1">IFERROR(__xludf.DUMMYFUNCTION("""COMPUTED_VALUE"""),2655)</f>
        <v>2655</v>
      </c>
      <c r="C64" s="2">
        <f ca="1">IFERROR(__xludf.DUMMYFUNCTION("""COMPUTED_VALUE"""),2690)</f>
        <v>2690</v>
      </c>
      <c r="D64" s="2">
        <f ca="1">IFERROR(__xludf.DUMMYFUNCTION("""COMPUTED_VALUE"""),2595)</f>
        <v>2595</v>
      </c>
      <c r="E64" s="2">
        <f ca="1">IFERROR(__xludf.DUMMYFUNCTION("""COMPUTED_VALUE"""),2600)</f>
        <v>2600</v>
      </c>
      <c r="F64" s="2">
        <f ca="1">IFERROR(__xludf.DUMMYFUNCTION("""COMPUTED_VALUE"""),38586600)</f>
        <v>38586600</v>
      </c>
    </row>
    <row r="65" spans="1:6">
      <c r="A65" s="5">
        <f ca="1">IFERROR(__xludf.DUMMYFUNCTION("""COMPUTED_VALUE"""),42096.625)</f>
        <v>42096.625</v>
      </c>
      <c r="B65" s="2">
        <f ca="1">IFERROR(__xludf.DUMMYFUNCTION("""COMPUTED_VALUE"""),2635)</f>
        <v>2635</v>
      </c>
      <c r="C65" s="2">
        <f ca="1">IFERROR(__xludf.DUMMYFUNCTION("""COMPUTED_VALUE"""),2640)</f>
        <v>2640</v>
      </c>
      <c r="D65" s="2">
        <f ca="1">IFERROR(__xludf.DUMMYFUNCTION("""COMPUTED_VALUE"""),2595)</f>
        <v>2595</v>
      </c>
      <c r="E65" s="2">
        <f ca="1">IFERROR(__xludf.DUMMYFUNCTION("""COMPUTED_VALUE"""),2600)</f>
        <v>2600</v>
      </c>
      <c r="F65" s="2">
        <f ca="1">IFERROR(__xludf.DUMMYFUNCTION("""COMPUTED_VALUE"""),22745600)</f>
        <v>22745600</v>
      </c>
    </row>
    <row r="66" spans="1:6">
      <c r="A66" s="5">
        <f ca="1">IFERROR(__xludf.DUMMYFUNCTION("""COMPUTED_VALUE"""),42100.625)</f>
        <v>42100.625</v>
      </c>
      <c r="B66" s="2">
        <f ca="1">IFERROR(__xludf.DUMMYFUNCTION("""COMPUTED_VALUE"""),2600)</f>
        <v>2600</v>
      </c>
      <c r="C66" s="2">
        <f ca="1">IFERROR(__xludf.DUMMYFUNCTION("""COMPUTED_VALUE"""),2620)</f>
        <v>2620</v>
      </c>
      <c r="D66" s="2">
        <f ca="1">IFERROR(__xludf.DUMMYFUNCTION("""COMPUTED_VALUE"""),2595)</f>
        <v>2595</v>
      </c>
      <c r="E66" s="2">
        <f ca="1">IFERROR(__xludf.DUMMYFUNCTION("""COMPUTED_VALUE"""),2605)</f>
        <v>2605</v>
      </c>
      <c r="F66" s="2">
        <f ca="1">IFERROR(__xludf.DUMMYFUNCTION("""COMPUTED_VALUE"""),18581200)</f>
        <v>18581200</v>
      </c>
    </row>
    <row r="67" spans="1:6">
      <c r="A67" s="5">
        <f ca="1">IFERROR(__xludf.DUMMYFUNCTION("""COMPUTED_VALUE"""),42101.625)</f>
        <v>42101.625</v>
      </c>
      <c r="B67" s="2">
        <f ca="1">IFERROR(__xludf.DUMMYFUNCTION("""COMPUTED_VALUE"""),2625)</f>
        <v>2625</v>
      </c>
      <c r="C67" s="2">
        <f ca="1">IFERROR(__xludf.DUMMYFUNCTION("""COMPUTED_VALUE"""),2650)</f>
        <v>2650</v>
      </c>
      <c r="D67" s="2">
        <f ca="1">IFERROR(__xludf.DUMMYFUNCTION("""COMPUTED_VALUE"""),2615)</f>
        <v>2615</v>
      </c>
      <c r="E67" s="2">
        <f ca="1">IFERROR(__xludf.DUMMYFUNCTION("""COMPUTED_VALUE"""),2635)</f>
        <v>2635</v>
      </c>
      <c r="F67" s="2">
        <f ca="1">IFERROR(__xludf.DUMMYFUNCTION("""COMPUTED_VALUE"""),22980100)</f>
        <v>22980100</v>
      </c>
    </row>
    <row r="68" spans="1:6">
      <c r="A68" s="5">
        <f ca="1">IFERROR(__xludf.DUMMYFUNCTION("""COMPUTED_VALUE"""),42102.625)</f>
        <v>42102.625</v>
      </c>
      <c r="B68" s="2">
        <f ca="1">IFERROR(__xludf.DUMMYFUNCTION("""COMPUTED_VALUE"""),2630)</f>
        <v>2630</v>
      </c>
      <c r="C68" s="2">
        <f ca="1">IFERROR(__xludf.DUMMYFUNCTION("""COMPUTED_VALUE"""),2640)</f>
        <v>2640</v>
      </c>
      <c r="D68" s="2">
        <f ca="1">IFERROR(__xludf.DUMMYFUNCTION("""COMPUTED_VALUE"""),2610)</f>
        <v>2610</v>
      </c>
      <c r="E68" s="2">
        <f ca="1">IFERROR(__xludf.DUMMYFUNCTION("""COMPUTED_VALUE"""),2620)</f>
        <v>2620</v>
      </c>
      <c r="F68" s="2">
        <f ca="1">IFERROR(__xludf.DUMMYFUNCTION("""COMPUTED_VALUE"""),19116100)</f>
        <v>19116100</v>
      </c>
    </row>
    <row r="69" spans="1:6">
      <c r="A69" s="5">
        <f ca="1">IFERROR(__xludf.DUMMYFUNCTION("""COMPUTED_VALUE"""),42103.625)</f>
        <v>42103.625</v>
      </c>
      <c r="B69" s="2">
        <f ca="1">IFERROR(__xludf.DUMMYFUNCTION("""COMPUTED_VALUE"""),2620)</f>
        <v>2620</v>
      </c>
      <c r="C69" s="2">
        <f ca="1">IFERROR(__xludf.DUMMYFUNCTION("""COMPUTED_VALUE"""),2635)</f>
        <v>2635</v>
      </c>
      <c r="D69" s="2">
        <f ca="1">IFERROR(__xludf.DUMMYFUNCTION("""COMPUTED_VALUE"""),2605)</f>
        <v>2605</v>
      </c>
      <c r="E69" s="2">
        <f ca="1">IFERROR(__xludf.DUMMYFUNCTION("""COMPUTED_VALUE"""),2615)</f>
        <v>2615</v>
      </c>
      <c r="F69" s="2">
        <f ca="1">IFERROR(__xludf.DUMMYFUNCTION("""COMPUTED_VALUE"""),7931300)</f>
        <v>7931300</v>
      </c>
    </row>
    <row r="70" spans="1:6">
      <c r="A70" s="5">
        <f ca="1">IFERROR(__xludf.DUMMYFUNCTION("""COMPUTED_VALUE"""),42104.625)</f>
        <v>42104.625</v>
      </c>
      <c r="B70" s="2">
        <f ca="1">IFERROR(__xludf.DUMMYFUNCTION("""COMPUTED_VALUE"""),2605)</f>
        <v>2605</v>
      </c>
      <c r="C70" s="2">
        <f ca="1">IFERROR(__xludf.DUMMYFUNCTION("""COMPUTED_VALUE"""),2630)</f>
        <v>2630</v>
      </c>
      <c r="D70" s="2">
        <f ca="1">IFERROR(__xludf.DUMMYFUNCTION("""COMPUTED_VALUE"""),2600)</f>
        <v>2600</v>
      </c>
      <c r="E70" s="2">
        <f ca="1">IFERROR(__xludf.DUMMYFUNCTION("""COMPUTED_VALUE"""),2605)</f>
        <v>2605</v>
      </c>
      <c r="F70" s="2">
        <f ca="1">IFERROR(__xludf.DUMMYFUNCTION("""COMPUTED_VALUE"""),10986900)</f>
        <v>10986900</v>
      </c>
    </row>
    <row r="71" spans="1:6">
      <c r="A71" s="5">
        <f ca="1">IFERROR(__xludf.DUMMYFUNCTION("""COMPUTED_VALUE"""),42107.625)</f>
        <v>42107.625</v>
      </c>
      <c r="B71" s="2">
        <f ca="1">IFERROR(__xludf.DUMMYFUNCTION("""COMPUTED_VALUE"""),2600)</f>
        <v>2600</v>
      </c>
      <c r="C71" s="2">
        <f ca="1">IFERROR(__xludf.DUMMYFUNCTION("""COMPUTED_VALUE"""),2610)</f>
        <v>2610</v>
      </c>
      <c r="D71" s="2">
        <f ca="1">IFERROR(__xludf.DUMMYFUNCTION("""COMPUTED_VALUE"""),2590)</f>
        <v>2590</v>
      </c>
      <c r="E71" s="2">
        <f ca="1">IFERROR(__xludf.DUMMYFUNCTION("""COMPUTED_VALUE"""),2600)</f>
        <v>2600</v>
      </c>
      <c r="F71" s="2">
        <f ca="1">IFERROR(__xludf.DUMMYFUNCTION("""COMPUTED_VALUE"""),24741300)</f>
        <v>24741300</v>
      </c>
    </row>
    <row r="72" spans="1:6">
      <c r="A72" s="5">
        <f ca="1">IFERROR(__xludf.DUMMYFUNCTION("""COMPUTED_VALUE"""),42108.625)</f>
        <v>42108.625</v>
      </c>
      <c r="B72" s="2">
        <f ca="1">IFERROR(__xludf.DUMMYFUNCTION("""COMPUTED_VALUE"""),2595)</f>
        <v>2595</v>
      </c>
      <c r="C72" s="2">
        <f ca="1">IFERROR(__xludf.DUMMYFUNCTION("""COMPUTED_VALUE"""),2605)</f>
        <v>2605</v>
      </c>
      <c r="D72" s="2">
        <f ca="1">IFERROR(__xludf.DUMMYFUNCTION("""COMPUTED_VALUE"""),2590)</f>
        <v>2590</v>
      </c>
      <c r="E72" s="2">
        <f ca="1">IFERROR(__xludf.DUMMYFUNCTION("""COMPUTED_VALUE"""),2600)</f>
        <v>2600</v>
      </c>
      <c r="F72" s="2">
        <f ca="1">IFERROR(__xludf.DUMMYFUNCTION("""COMPUTED_VALUE"""),17125600)</f>
        <v>17125600</v>
      </c>
    </row>
    <row r="73" spans="1:6">
      <c r="A73" s="5">
        <f ca="1">IFERROR(__xludf.DUMMYFUNCTION("""COMPUTED_VALUE"""),42109.625)</f>
        <v>42109.625</v>
      </c>
      <c r="B73" s="2">
        <f ca="1">IFERROR(__xludf.DUMMYFUNCTION("""COMPUTED_VALUE"""),2620)</f>
        <v>2620</v>
      </c>
      <c r="C73" s="2">
        <f ca="1">IFERROR(__xludf.DUMMYFUNCTION("""COMPUTED_VALUE"""),2620)</f>
        <v>2620</v>
      </c>
      <c r="D73" s="2">
        <f ca="1">IFERROR(__xludf.DUMMYFUNCTION("""COMPUTED_VALUE"""),2590)</f>
        <v>2590</v>
      </c>
      <c r="E73" s="2">
        <f ca="1">IFERROR(__xludf.DUMMYFUNCTION("""COMPUTED_VALUE"""),2615)</f>
        <v>2615</v>
      </c>
      <c r="F73" s="2">
        <f ca="1">IFERROR(__xludf.DUMMYFUNCTION("""COMPUTED_VALUE"""),14689200)</f>
        <v>14689200</v>
      </c>
    </row>
    <row r="74" spans="1:6">
      <c r="A74" s="5">
        <f ca="1">IFERROR(__xludf.DUMMYFUNCTION("""COMPUTED_VALUE"""),42110.625)</f>
        <v>42110.625</v>
      </c>
      <c r="B74" s="2">
        <f ca="1">IFERROR(__xludf.DUMMYFUNCTION("""COMPUTED_VALUE"""),2625)</f>
        <v>2625</v>
      </c>
      <c r="C74" s="2">
        <f ca="1">IFERROR(__xludf.DUMMYFUNCTION("""COMPUTED_VALUE"""),2630)</f>
        <v>2630</v>
      </c>
      <c r="D74" s="2">
        <f ca="1">IFERROR(__xludf.DUMMYFUNCTION("""COMPUTED_VALUE"""),2610)</f>
        <v>2610</v>
      </c>
      <c r="E74" s="2">
        <f ca="1">IFERROR(__xludf.DUMMYFUNCTION("""COMPUTED_VALUE"""),2625)</f>
        <v>2625</v>
      </c>
      <c r="F74" s="2">
        <f ca="1">IFERROR(__xludf.DUMMYFUNCTION("""COMPUTED_VALUE"""),13716500)</f>
        <v>13716500</v>
      </c>
    </row>
    <row r="75" spans="1:6">
      <c r="A75" s="5">
        <f ca="1">IFERROR(__xludf.DUMMYFUNCTION("""COMPUTED_VALUE"""),42111.625)</f>
        <v>42111.625</v>
      </c>
      <c r="B75" s="2">
        <f ca="1">IFERROR(__xludf.DUMMYFUNCTION("""COMPUTED_VALUE"""),2625)</f>
        <v>2625</v>
      </c>
      <c r="C75" s="2">
        <f ca="1">IFERROR(__xludf.DUMMYFUNCTION("""COMPUTED_VALUE"""),2635)</f>
        <v>2635</v>
      </c>
      <c r="D75" s="2">
        <f ca="1">IFERROR(__xludf.DUMMYFUNCTION("""COMPUTED_VALUE"""),2595)</f>
        <v>2595</v>
      </c>
      <c r="E75" s="2">
        <f ca="1">IFERROR(__xludf.DUMMYFUNCTION("""COMPUTED_VALUE"""),2600)</f>
        <v>2600</v>
      </c>
      <c r="F75" s="2">
        <f ca="1">IFERROR(__xludf.DUMMYFUNCTION("""COMPUTED_VALUE"""),18139200)</f>
        <v>18139200</v>
      </c>
    </row>
    <row r="76" spans="1:6">
      <c r="A76" s="5">
        <f ca="1">IFERROR(__xludf.DUMMYFUNCTION("""COMPUTED_VALUE"""),42114.625)</f>
        <v>42114.625</v>
      </c>
      <c r="B76" s="2">
        <f ca="1">IFERROR(__xludf.DUMMYFUNCTION("""COMPUTED_VALUE"""),2580)</f>
        <v>2580</v>
      </c>
      <c r="C76" s="2">
        <f ca="1">IFERROR(__xludf.DUMMYFUNCTION("""COMPUTED_VALUE"""),2630)</f>
        <v>2630</v>
      </c>
      <c r="D76" s="2">
        <f ca="1">IFERROR(__xludf.DUMMYFUNCTION("""COMPUTED_VALUE"""),2575)</f>
        <v>2575</v>
      </c>
      <c r="E76" s="2">
        <f ca="1">IFERROR(__xludf.DUMMYFUNCTION("""COMPUTED_VALUE"""),2630)</f>
        <v>2630</v>
      </c>
      <c r="F76" s="2">
        <f ca="1">IFERROR(__xludf.DUMMYFUNCTION("""COMPUTED_VALUE"""),19926800)</f>
        <v>19926800</v>
      </c>
    </row>
    <row r="77" spans="1:6">
      <c r="A77" s="5">
        <f ca="1">IFERROR(__xludf.DUMMYFUNCTION("""COMPUTED_VALUE"""),42115.625)</f>
        <v>42115.625</v>
      </c>
      <c r="B77" s="2">
        <f ca="1">IFERROR(__xludf.DUMMYFUNCTION("""COMPUTED_VALUE"""),2635)</f>
        <v>2635</v>
      </c>
      <c r="C77" s="2">
        <f ca="1">IFERROR(__xludf.DUMMYFUNCTION("""COMPUTED_VALUE"""),2640)</f>
        <v>2640</v>
      </c>
      <c r="D77" s="2">
        <f ca="1">IFERROR(__xludf.DUMMYFUNCTION("""COMPUTED_VALUE"""),2620)</f>
        <v>2620</v>
      </c>
      <c r="E77" s="2">
        <f ca="1">IFERROR(__xludf.DUMMYFUNCTION("""COMPUTED_VALUE"""),2640)</f>
        <v>2640</v>
      </c>
      <c r="F77" s="2">
        <f ca="1">IFERROR(__xludf.DUMMYFUNCTION("""COMPUTED_VALUE"""),8752600)</f>
        <v>8752600</v>
      </c>
    </row>
    <row r="78" spans="1:6">
      <c r="A78" s="5">
        <f ca="1">IFERROR(__xludf.DUMMYFUNCTION("""COMPUTED_VALUE"""),42116.625)</f>
        <v>42116.625</v>
      </c>
      <c r="B78" s="2">
        <f ca="1">IFERROR(__xludf.DUMMYFUNCTION("""COMPUTED_VALUE"""),2610)</f>
        <v>2610</v>
      </c>
      <c r="C78" s="2">
        <f ca="1">IFERROR(__xludf.DUMMYFUNCTION("""COMPUTED_VALUE"""),2635)</f>
        <v>2635</v>
      </c>
      <c r="D78" s="2">
        <f ca="1">IFERROR(__xludf.DUMMYFUNCTION("""COMPUTED_VALUE"""),2600)</f>
        <v>2600</v>
      </c>
      <c r="E78" s="2">
        <f ca="1">IFERROR(__xludf.DUMMYFUNCTION("""COMPUTED_VALUE"""),2635)</f>
        <v>2635</v>
      </c>
      <c r="F78" s="2">
        <f ca="1">IFERROR(__xludf.DUMMYFUNCTION("""COMPUTED_VALUE"""),18241900)</f>
        <v>18241900</v>
      </c>
    </row>
    <row r="79" spans="1:6">
      <c r="A79" s="5">
        <f ca="1">IFERROR(__xludf.DUMMYFUNCTION("""COMPUTED_VALUE"""),42117.625)</f>
        <v>42117.625</v>
      </c>
      <c r="B79" s="2">
        <f ca="1">IFERROR(__xludf.DUMMYFUNCTION("""COMPUTED_VALUE"""),2625)</f>
        <v>2625</v>
      </c>
      <c r="C79" s="2">
        <f ca="1">IFERROR(__xludf.DUMMYFUNCTION("""COMPUTED_VALUE"""),2625)</f>
        <v>2625</v>
      </c>
      <c r="D79" s="2">
        <f ca="1">IFERROR(__xludf.DUMMYFUNCTION("""COMPUTED_VALUE"""),2600)</f>
        <v>2600</v>
      </c>
      <c r="E79" s="2">
        <f ca="1">IFERROR(__xludf.DUMMYFUNCTION("""COMPUTED_VALUE"""),2610)</f>
        <v>2610</v>
      </c>
      <c r="F79" s="2">
        <f ca="1">IFERROR(__xludf.DUMMYFUNCTION("""COMPUTED_VALUE"""),37781200)</f>
        <v>37781200</v>
      </c>
    </row>
    <row r="80" spans="1:6">
      <c r="A80" s="5">
        <f ca="1">IFERROR(__xludf.DUMMYFUNCTION("""COMPUTED_VALUE"""),42118.625)</f>
        <v>42118.625</v>
      </c>
      <c r="B80" s="2">
        <f ca="1">IFERROR(__xludf.DUMMYFUNCTION("""COMPUTED_VALUE"""),2615)</f>
        <v>2615</v>
      </c>
      <c r="C80" s="2">
        <f ca="1">IFERROR(__xludf.DUMMYFUNCTION("""COMPUTED_VALUE"""),2620)</f>
        <v>2620</v>
      </c>
      <c r="D80" s="2">
        <f ca="1">IFERROR(__xludf.DUMMYFUNCTION("""COMPUTED_VALUE"""),2585)</f>
        <v>2585</v>
      </c>
      <c r="E80" s="2">
        <f ca="1">IFERROR(__xludf.DUMMYFUNCTION("""COMPUTED_VALUE"""),2590)</f>
        <v>2590</v>
      </c>
      <c r="F80" s="2">
        <f ca="1">IFERROR(__xludf.DUMMYFUNCTION("""COMPUTED_VALUE"""),29965200)</f>
        <v>29965200</v>
      </c>
    </row>
    <row r="81" spans="1:6">
      <c r="A81" s="5">
        <f ca="1">IFERROR(__xludf.DUMMYFUNCTION("""COMPUTED_VALUE"""),42121.625)</f>
        <v>42121.625</v>
      </c>
      <c r="B81" s="2">
        <f ca="1">IFERROR(__xludf.DUMMYFUNCTION("""COMPUTED_VALUE"""),2580)</f>
        <v>2580</v>
      </c>
      <c r="C81" s="2">
        <f ca="1">IFERROR(__xludf.DUMMYFUNCTION("""COMPUTED_VALUE"""),2580)</f>
        <v>2580</v>
      </c>
      <c r="D81" s="2">
        <f ca="1">IFERROR(__xludf.DUMMYFUNCTION("""COMPUTED_VALUE"""),2400)</f>
        <v>2400</v>
      </c>
      <c r="E81" s="2">
        <f ca="1">IFERROR(__xludf.DUMMYFUNCTION("""COMPUTED_VALUE"""),2405)</f>
        <v>2405</v>
      </c>
      <c r="F81" s="2">
        <f ca="1">IFERROR(__xludf.DUMMYFUNCTION("""COMPUTED_VALUE"""),90503900)</f>
        <v>90503900</v>
      </c>
    </row>
    <row r="82" spans="1:6">
      <c r="A82" s="5">
        <f ca="1">IFERROR(__xludf.DUMMYFUNCTION("""COMPUTED_VALUE"""),42122.625)</f>
        <v>42122.625</v>
      </c>
      <c r="B82" s="2">
        <f ca="1">IFERROR(__xludf.DUMMYFUNCTION("""COMPUTED_VALUE"""),2360)</f>
        <v>2360</v>
      </c>
      <c r="C82" s="2">
        <f ca="1">IFERROR(__xludf.DUMMYFUNCTION("""COMPUTED_VALUE"""),2415)</f>
        <v>2415</v>
      </c>
      <c r="D82" s="2">
        <f ca="1">IFERROR(__xludf.DUMMYFUNCTION("""COMPUTED_VALUE"""),2340)</f>
        <v>2340</v>
      </c>
      <c r="E82" s="2">
        <f ca="1">IFERROR(__xludf.DUMMYFUNCTION("""COMPUTED_VALUE"""),2375)</f>
        <v>2375</v>
      </c>
      <c r="F82" s="2">
        <f ca="1">IFERROR(__xludf.DUMMYFUNCTION("""COMPUTED_VALUE"""),62303100)</f>
        <v>62303100</v>
      </c>
    </row>
    <row r="83" spans="1:6">
      <c r="A83" s="5">
        <f ca="1">IFERROR(__xludf.DUMMYFUNCTION("""COMPUTED_VALUE"""),42123.625)</f>
        <v>42123.625</v>
      </c>
      <c r="B83" s="2">
        <f ca="1">IFERROR(__xludf.DUMMYFUNCTION("""COMPUTED_VALUE"""),2375)</f>
        <v>2375</v>
      </c>
      <c r="C83" s="2">
        <f ca="1">IFERROR(__xludf.DUMMYFUNCTION("""COMPUTED_VALUE"""),2390)</f>
        <v>2390</v>
      </c>
      <c r="D83" s="2">
        <f ca="1">IFERROR(__xludf.DUMMYFUNCTION("""COMPUTED_VALUE"""),2250)</f>
        <v>2250</v>
      </c>
      <c r="E83" s="2">
        <f ca="1">IFERROR(__xludf.DUMMYFUNCTION("""COMPUTED_VALUE"""),2325)</f>
        <v>2325</v>
      </c>
      <c r="F83" s="2">
        <f ca="1">IFERROR(__xludf.DUMMYFUNCTION("""COMPUTED_VALUE"""),68377000)</f>
        <v>68377000</v>
      </c>
    </row>
    <row r="84" spans="1:6">
      <c r="A84" s="5">
        <f ca="1">IFERROR(__xludf.DUMMYFUNCTION("""COMPUTED_VALUE"""),42124.625)</f>
        <v>42124.625</v>
      </c>
      <c r="B84" s="2">
        <f ca="1">IFERROR(__xludf.DUMMYFUNCTION("""COMPUTED_VALUE"""),2320)</f>
        <v>2320</v>
      </c>
      <c r="C84" s="2">
        <f ca="1">IFERROR(__xludf.DUMMYFUNCTION("""COMPUTED_VALUE"""),2405)</f>
        <v>2405</v>
      </c>
      <c r="D84" s="2">
        <f ca="1">IFERROR(__xludf.DUMMYFUNCTION("""COMPUTED_VALUE"""),2305)</f>
        <v>2305</v>
      </c>
      <c r="E84" s="2">
        <f ca="1">IFERROR(__xludf.DUMMYFUNCTION("""COMPUTED_VALUE"""),2325)</f>
        <v>2325</v>
      </c>
      <c r="F84" s="2">
        <f ca="1">IFERROR(__xludf.DUMMYFUNCTION("""COMPUTED_VALUE"""),47004000)</f>
        <v>47004000</v>
      </c>
    </row>
    <row r="85" spans="1:6">
      <c r="A85" s="5">
        <f ca="1">IFERROR(__xludf.DUMMYFUNCTION("""COMPUTED_VALUE"""),42128.625)</f>
        <v>42128.625</v>
      </c>
      <c r="B85" s="2">
        <f ca="1">IFERROR(__xludf.DUMMYFUNCTION("""COMPUTED_VALUE"""),2280)</f>
        <v>2280</v>
      </c>
      <c r="C85" s="2">
        <f ca="1">IFERROR(__xludf.DUMMYFUNCTION("""COMPUTED_VALUE"""),2380)</f>
        <v>2380</v>
      </c>
      <c r="D85" s="2">
        <f ca="1">IFERROR(__xludf.DUMMYFUNCTION("""COMPUTED_VALUE"""),2280)</f>
        <v>2280</v>
      </c>
      <c r="E85" s="2">
        <f ca="1">IFERROR(__xludf.DUMMYFUNCTION("""COMPUTED_VALUE"""),2325)</f>
        <v>2325</v>
      </c>
      <c r="F85" s="2">
        <f ca="1">IFERROR(__xludf.DUMMYFUNCTION("""COMPUTED_VALUE"""),42220300)</f>
        <v>42220300</v>
      </c>
    </row>
    <row r="86" spans="1:6">
      <c r="A86" s="5">
        <f ca="1">IFERROR(__xludf.DUMMYFUNCTION("""COMPUTED_VALUE"""),42129.625)</f>
        <v>42129.625</v>
      </c>
      <c r="B86" s="2">
        <f ca="1">IFERROR(__xludf.DUMMYFUNCTION("""COMPUTED_VALUE"""),2355)</f>
        <v>2355</v>
      </c>
      <c r="C86" s="2">
        <f ca="1">IFERROR(__xludf.DUMMYFUNCTION("""COMPUTED_VALUE"""),2395)</f>
        <v>2395</v>
      </c>
      <c r="D86" s="2">
        <f ca="1">IFERROR(__xludf.DUMMYFUNCTION("""COMPUTED_VALUE"""),2325)</f>
        <v>2325</v>
      </c>
      <c r="E86" s="2">
        <f ca="1">IFERROR(__xludf.DUMMYFUNCTION("""COMPUTED_VALUE"""),2340)</f>
        <v>2340</v>
      </c>
      <c r="F86" s="2">
        <f ca="1">IFERROR(__xludf.DUMMYFUNCTION("""COMPUTED_VALUE"""),42723600)</f>
        <v>42723600</v>
      </c>
    </row>
    <row r="87" spans="1:6">
      <c r="A87" s="5">
        <f ca="1">IFERROR(__xludf.DUMMYFUNCTION("""COMPUTED_VALUE"""),42130.625)</f>
        <v>42130.625</v>
      </c>
      <c r="B87" s="2">
        <f ca="1">IFERROR(__xludf.DUMMYFUNCTION("""COMPUTED_VALUE"""),2335)</f>
        <v>2335</v>
      </c>
      <c r="C87" s="2">
        <f ca="1">IFERROR(__xludf.DUMMYFUNCTION("""COMPUTED_VALUE"""),2355)</f>
        <v>2355</v>
      </c>
      <c r="D87" s="2">
        <f ca="1">IFERROR(__xludf.DUMMYFUNCTION("""COMPUTED_VALUE"""),2320)</f>
        <v>2320</v>
      </c>
      <c r="E87" s="2">
        <f ca="1">IFERROR(__xludf.DUMMYFUNCTION("""COMPUTED_VALUE"""),2350)</f>
        <v>2350</v>
      </c>
      <c r="F87" s="2">
        <f ca="1">IFERROR(__xludf.DUMMYFUNCTION("""COMPUTED_VALUE"""),32493900)</f>
        <v>32493900</v>
      </c>
    </row>
    <row r="88" spans="1:6">
      <c r="A88" s="5">
        <f ca="1">IFERROR(__xludf.DUMMYFUNCTION("""COMPUTED_VALUE"""),42131.625)</f>
        <v>42131.625</v>
      </c>
      <c r="B88" s="2">
        <f ca="1">IFERROR(__xludf.DUMMYFUNCTION("""COMPUTED_VALUE"""),2335)</f>
        <v>2335</v>
      </c>
      <c r="C88" s="2">
        <f ca="1">IFERROR(__xludf.DUMMYFUNCTION("""COMPUTED_VALUE"""),2345)</f>
        <v>2345</v>
      </c>
      <c r="D88" s="2">
        <f ca="1">IFERROR(__xludf.DUMMYFUNCTION("""COMPUTED_VALUE"""),2315)</f>
        <v>2315</v>
      </c>
      <c r="E88" s="2">
        <f ca="1">IFERROR(__xludf.DUMMYFUNCTION("""COMPUTED_VALUE"""),2325)</f>
        <v>2325</v>
      </c>
      <c r="F88" s="2">
        <f ca="1">IFERROR(__xludf.DUMMYFUNCTION("""COMPUTED_VALUE"""),29807600)</f>
        <v>29807600</v>
      </c>
    </row>
    <row r="89" spans="1:6">
      <c r="A89" s="5">
        <f ca="1">IFERROR(__xludf.DUMMYFUNCTION("""COMPUTED_VALUE"""),42132.625)</f>
        <v>42132.625</v>
      </c>
      <c r="B89" s="2">
        <f ca="1">IFERROR(__xludf.DUMMYFUNCTION("""COMPUTED_VALUE"""),2325)</f>
        <v>2325</v>
      </c>
      <c r="C89" s="2">
        <f ca="1">IFERROR(__xludf.DUMMYFUNCTION("""COMPUTED_VALUE"""),2345)</f>
        <v>2345</v>
      </c>
      <c r="D89" s="2">
        <f ca="1">IFERROR(__xludf.DUMMYFUNCTION("""COMPUTED_VALUE"""),2325)</f>
        <v>2325</v>
      </c>
      <c r="E89" s="2">
        <f ca="1">IFERROR(__xludf.DUMMYFUNCTION("""COMPUTED_VALUE"""),2330)</f>
        <v>2330</v>
      </c>
      <c r="F89" s="2">
        <f ca="1">IFERROR(__xludf.DUMMYFUNCTION("""COMPUTED_VALUE"""),26788100)</f>
        <v>26788100</v>
      </c>
    </row>
    <row r="90" spans="1:6">
      <c r="A90" s="5">
        <f ca="1">IFERROR(__xludf.DUMMYFUNCTION("""COMPUTED_VALUE"""),42135.625)</f>
        <v>42135.625</v>
      </c>
      <c r="B90" s="2">
        <f ca="1">IFERROR(__xludf.DUMMYFUNCTION("""COMPUTED_VALUE"""),2340)</f>
        <v>2340</v>
      </c>
      <c r="C90" s="2">
        <f ca="1">IFERROR(__xludf.DUMMYFUNCTION("""COMPUTED_VALUE"""),2360)</f>
        <v>2360</v>
      </c>
      <c r="D90" s="2">
        <f ca="1">IFERROR(__xludf.DUMMYFUNCTION("""COMPUTED_VALUE"""),2340)</f>
        <v>2340</v>
      </c>
      <c r="E90" s="2">
        <f ca="1">IFERROR(__xludf.DUMMYFUNCTION("""COMPUTED_VALUE"""),2355)</f>
        <v>2355</v>
      </c>
      <c r="F90" s="2">
        <f ca="1">IFERROR(__xludf.DUMMYFUNCTION("""COMPUTED_VALUE"""),17163300)</f>
        <v>17163300</v>
      </c>
    </row>
    <row r="91" spans="1:6">
      <c r="A91" s="5">
        <f ca="1">IFERROR(__xludf.DUMMYFUNCTION("""COMPUTED_VALUE"""),42136.625)</f>
        <v>42136.625</v>
      </c>
      <c r="B91" s="2">
        <f ca="1">IFERROR(__xludf.DUMMYFUNCTION("""COMPUTED_VALUE"""),2350)</f>
        <v>2350</v>
      </c>
      <c r="C91" s="2">
        <f ca="1">IFERROR(__xludf.DUMMYFUNCTION("""COMPUTED_VALUE"""),2435)</f>
        <v>2435</v>
      </c>
      <c r="D91" s="2">
        <f ca="1">IFERROR(__xludf.DUMMYFUNCTION("""COMPUTED_VALUE"""),2345)</f>
        <v>2345</v>
      </c>
      <c r="E91" s="2">
        <f ca="1">IFERROR(__xludf.DUMMYFUNCTION("""COMPUTED_VALUE"""),2405)</f>
        <v>2405</v>
      </c>
      <c r="F91" s="2">
        <f ca="1">IFERROR(__xludf.DUMMYFUNCTION("""COMPUTED_VALUE"""),33922400)</f>
        <v>33922400</v>
      </c>
    </row>
    <row r="92" spans="1:6">
      <c r="A92" s="5">
        <f ca="1">IFERROR(__xludf.DUMMYFUNCTION("""COMPUTED_VALUE"""),42137.625)</f>
        <v>42137.625</v>
      </c>
      <c r="B92" s="2">
        <f ca="1">IFERROR(__xludf.DUMMYFUNCTION("""COMPUTED_VALUE"""),2425)</f>
        <v>2425</v>
      </c>
      <c r="C92" s="2">
        <f ca="1">IFERROR(__xludf.DUMMYFUNCTION("""COMPUTED_VALUE"""),2435)</f>
        <v>2435</v>
      </c>
      <c r="D92" s="2">
        <f ca="1">IFERROR(__xludf.DUMMYFUNCTION("""COMPUTED_VALUE"""),2400)</f>
        <v>2400</v>
      </c>
      <c r="E92" s="2">
        <f ca="1">IFERROR(__xludf.DUMMYFUNCTION("""COMPUTED_VALUE"""),2435)</f>
        <v>2435</v>
      </c>
      <c r="F92" s="2">
        <f ca="1">IFERROR(__xludf.DUMMYFUNCTION("""COMPUTED_VALUE"""),14796300)</f>
        <v>14796300</v>
      </c>
    </row>
    <row r="93" spans="1:6">
      <c r="A93" s="5">
        <f ca="1">IFERROR(__xludf.DUMMYFUNCTION("""COMPUTED_VALUE"""),42139.625)</f>
        <v>42139.625</v>
      </c>
      <c r="B93" s="2">
        <f ca="1">IFERROR(__xludf.DUMMYFUNCTION("""COMPUTED_VALUE"""),2450)</f>
        <v>2450</v>
      </c>
      <c r="C93" s="2">
        <f ca="1">IFERROR(__xludf.DUMMYFUNCTION("""COMPUTED_VALUE"""),2455)</f>
        <v>2455</v>
      </c>
      <c r="D93" s="2">
        <f ca="1">IFERROR(__xludf.DUMMYFUNCTION("""COMPUTED_VALUE"""),2350)</f>
        <v>2350</v>
      </c>
      <c r="E93" s="2">
        <f ca="1">IFERROR(__xludf.DUMMYFUNCTION("""COMPUTED_VALUE"""),2360)</f>
        <v>2360</v>
      </c>
      <c r="F93" s="2">
        <f ca="1">IFERROR(__xludf.DUMMYFUNCTION("""COMPUTED_VALUE"""),26596000)</f>
        <v>26596000</v>
      </c>
    </row>
    <row r="94" spans="1:6">
      <c r="A94" s="5">
        <f ca="1">IFERROR(__xludf.DUMMYFUNCTION("""COMPUTED_VALUE"""),42142.625)</f>
        <v>42142.625</v>
      </c>
      <c r="B94" s="2">
        <f ca="1">IFERROR(__xludf.DUMMYFUNCTION("""COMPUTED_VALUE"""),2340)</f>
        <v>2340</v>
      </c>
      <c r="C94" s="2">
        <f ca="1">IFERROR(__xludf.DUMMYFUNCTION("""COMPUTED_VALUE"""),2400)</f>
        <v>2400</v>
      </c>
      <c r="D94" s="2">
        <f ca="1">IFERROR(__xludf.DUMMYFUNCTION("""COMPUTED_VALUE"""),2340)</f>
        <v>2340</v>
      </c>
      <c r="E94" s="2">
        <f ca="1">IFERROR(__xludf.DUMMYFUNCTION("""COMPUTED_VALUE"""),2400)</f>
        <v>2400</v>
      </c>
      <c r="F94" s="2">
        <f ca="1">IFERROR(__xludf.DUMMYFUNCTION("""COMPUTED_VALUE"""),9715400)</f>
        <v>9715400</v>
      </c>
    </row>
    <row r="95" spans="1:6">
      <c r="A95" s="5">
        <f ca="1">IFERROR(__xludf.DUMMYFUNCTION("""COMPUTED_VALUE"""),42143.625)</f>
        <v>42143.625</v>
      </c>
      <c r="B95" s="2">
        <f ca="1">IFERROR(__xludf.DUMMYFUNCTION("""COMPUTED_VALUE"""),2415)</f>
        <v>2415</v>
      </c>
      <c r="C95" s="2">
        <f ca="1">IFERROR(__xludf.DUMMYFUNCTION("""COMPUTED_VALUE"""),2455)</f>
        <v>2455</v>
      </c>
      <c r="D95" s="2">
        <f ca="1">IFERROR(__xludf.DUMMYFUNCTION("""COMPUTED_VALUE"""),2390)</f>
        <v>2390</v>
      </c>
      <c r="E95" s="2">
        <f ca="1">IFERROR(__xludf.DUMMYFUNCTION("""COMPUTED_VALUE"""),2455)</f>
        <v>2455</v>
      </c>
      <c r="F95" s="2">
        <f ca="1">IFERROR(__xludf.DUMMYFUNCTION("""COMPUTED_VALUE"""),25318800)</f>
        <v>25318800</v>
      </c>
    </row>
    <row r="96" spans="1:6">
      <c r="A96" s="5">
        <f ca="1">IFERROR(__xludf.DUMMYFUNCTION("""COMPUTED_VALUE"""),42144.625)</f>
        <v>42144.625</v>
      </c>
      <c r="B96" s="2">
        <f ca="1">IFERROR(__xludf.DUMMYFUNCTION("""COMPUTED_VALUE"""),2480)</f>
        <v>2480</v>
      </c>
      <c r="C96" s="2">
        <f ca="1">IFERROR(__xludf.DUMMYFUNCTION("""COMPUTED_VALUE"""),2510)</f>
        <v>2510</v>
      </c>
      <c r="D96" s="2">
        <f ca="1">IFERROR(__xludf.DUMMYFUNCTION("""COMPUTED_VALUE"""),2455)</f>
        <v>2455</v>
      </c>
      <c r="E96" s="2">
        <f ca="1">IFERROR(__xludf.DUMMYFUNCTION("""COMPUTED_VALUE"""),2495)</f>
        <v>2495</v>
      </c>
      <c r="F96" s="2">
        <f ca="1">IFERROR(__xludf.DUMMYFUNCTION("""COMPUTED_VALUE"""),23638900)</f>
        <v>23638900</v>
      </c>
    </row>
    <row r="97" spans="1:6">
      <c r="A97" s="5">
        <f ca="1">IFERROR(__xludf.DUMMYFUNCTION("""COMPUTED_VALUE"""),42145.625)</f>
        <v>42145.625</v>
      </c>
      <c r="B97" s="2">
        <f ca="1">IFERROR(__xludf.DUMMYFUNCTION("""COMPUTED_VALUE"""),2510)</f>
        <v>2510</v>
      </c>
      <c r="C97" s="2">
        <f ca="1">IFERROR(__xludf.DUMMYFUNCTION("""COMPUTED_VALUE"""),2550)</f>
        <v>2550</v>
      </c>
      <c r="D97" s="2">
        <f ca="1">IFERROR(__xludf.DUMMYFUNCTION("""COMPUTED_VALUE"""),2470)</f>
        <v>2470</v>
      </c>
      <c r="E97" s="2">
        <f ca="1">IFERROR(__xludf.DUMMYFUNCTION("""COMPUTED_VALUE"""),2550)</f>
        <v>2550</v>
      </c>
      <c r="F97" s="2">
        <f ca="1">IFERROR(__xludf.DUMMYFUNCTION("""COMPUTED_VALUE"""),39464200)</f>
        <v>39464200</v>
      </c>
    </row>
    <row r="98" spans="1:6">
      <c r="A98" s="5">
        <f ca="1">IFERROR(__xludf.DUMMYFUNCTION("""COMPUTED_VALUE"""),42146.625)</f>
        <v>42146.625</v>
      </c>
      <c r="B98" s="2">
        <f ca="1">IFERROR(__xludf.DUMMYFUNCTION("""COMPUTED_VALUE"""),2550)</f>
        <v>2550</v>
      </c>
      <c r="C98" s="2">
        <f ca="1">IFERROR(__xludf.DUMMYFUNCTION("""COMPUTED_VALUE"""),2550)</f>
        <v>2550</v>
      </c>
      <c r="D98" s="2">
        <f ca="1">IFERROR(__xludf.DUMMYFUNCTION("""COMPUTED_VALUE"""),2485)</f>
        <v>2485</v>
      </c>
      <c r="E98" s="2">
        <f ca="1">IFERROR(__xludf.DUMMYFUNCTION("""COMPUTED_VALUE"""),2520)</f>
        <v>2520</v>
      </c>
      <c r="F98" s="2">
        <f ca="1">IFERROR(__xludf.DUMMYFUNCTION("""COMPUTED_VALUE"""),24413200)</f>
        <v>24413200</v>
      </c>
    </row>
    <row r="99" spans="1:6">
      <c r="A99" s="5">
        <f ca="1">IFERROR(__xludf.DUMMYFUNCTION("""COMPUTED_VALUE"""),42149.625)</f>
        <v>42149.625</v>
      </c>
      <c r="B99" s="2">
        <f ca="1">IFERROR(__xludf.DUMMYFUNCTION("""COMPUTED_VALUE"""),2495)</f>
        <v>2495</v>
      </c>
      <c r="C99" s="2">
        <f ca="1">IFERROR(__xludf.DUMMYFUNCTION("""COMPUTED_VALUE"""),2505)</f>
        <v>2505</v>
      </c>
      <c r="D99" s="2">
        <f ca="1">IFERROR(__xludf.DUMMYFUNCTION("""COMPUTED_VALUE"""),2460)</f>
        <v>2460</v>
      </c>
      <c r="E99" s="2">
        <f ca="1">IFERROR(__xludf.DUMMYFUNCTION("""COMPUTED_VALUE"""),2470)</f>
        <v>2470</v>
      </c>
      <c r="F99" s="2">
        <f ca="1">IFERROR(__xludf.DUMMYFUNCTION("""COMPUTED_VALUE"""),21901500)</f>
        <v>21901500</v>
      </c>
    </row>
    <row r="100" spans="1:6">
      <c r="A100" s="5">
        <f ca="1">IFERROR(__xludf.DUMMYFUNCTION("""COMPUTED_VALUE"""),42150.625)</f>
        <v>42150.625</v>
      </c>
      <c r="B100" s="2">
        <f ca="1">IFERROR(__xludf.DUMMYFUNCTION("""COMPUTED_VALUE"""),2440)</f>
        <v>2440</v>
      </c>
      <c r="C100" s="2">
        <f ca="1">IFERROR(__xludf.DUMMYFUNCTION("""COMPUTED_VALUE"""),2500)</f>
        <v>2500</v>
      </c>
      <c r="D100" s="2">
        <f ca="1">IFERROR(__xludf.DUMMYFUNCTION("""COMPUTED_VALUE"""),2440)</f>
        <v>2440</v>
      </c>
      <c r="E100" s="2">
        <f ca="1">IFERROR(__xludf.DUMMYFUNCTION("""COMPUTED_VALUE"""),2475)</f>
        <v>2475</v>
      </c>
      <c r="F100" s="2">
        <f ca="1">IFERROR(__xludf.DUMMYFUNCTION("""COMPUTED_VALUE"""),14906500)</f>
        <v>14906500</v>
      </c>
    </row>
    <row r="101" spans="1:6">
      <c r="A101" s="5">
        <f ca="1">IFERROR(__xludf.DUMMYFUNCTION("""COMPUTED_VALUE"""),42151.625)</f>
        <v>42151.625</v>
      </c>
      <c r="B101" s="2">
        <f ca="1">IFERROR(__xludf.DUMMYFUNCTION("""COMPUTED_VALUE"""),2405)</f>
        <v>2405</v>
      </c>
      <c r="C101" s="2">
        <f ca="1">IFERROR(__xludf.DUMMYFUNCTION("""COMPUTED_VALUE"""),2465)</f>
        <v>2465</v>
      </c>
      <c r="D101" s="2">
        <f ca="1">IFERROR(__xludf.DUMMYFUNCTION("""COMPUTED_VALUE"""),2390)</f>
        <v>2390</v>
      </c>
      <c r="E101" s="2">
        <f ca="1">IFERROR(__xludf.DUMMYFUNCTION("""COMPUTED_VALUE"""),2390)</f>
        <v>2390</v>
      </c>
      <c r="F101" s="2">
        <f ca="1">IFERROR(__xludf.DUMMYFUNCTION("""COMPUTED_VALUE"""),29266400)</f>
        <v>29266400</v>
      </c>
    </row>
    <row r="102" spans="1:6">
      <c r="A102" s="5">
        <f ca="1">IFERROR(__xludf.DUMMYFUNCTION("""COMPUTED_VALUE"""),42152.625)</f>
        <v>42152.625</v>
      </c>
      <c r="B102" s="2">
        <f ca="1">IFERROR(__xludf.DUMMYFUNCTION("""COMPUTED_VALUE"""),2400)</f>
        <v>2400</v>
      </c>
      <c r="C102" s="2">
        <f ca="1">IFERROR(__xludf.DUMMYFUNCTION("""COMPUTED_VALUE"""),2415)</f>
        <v>2415</v>
      </c>
      <c r="D102" s="2">
        <f ca="1">IFERROR(__xludf.DUMMYFUNCTION("""COMPUTED_VALUE"""),2365)</f>
        <v>2365</v>
      </c>
      <c r="E102" s="2">
        <f ca="1">IFERROR(__xludf.DUMMYFUNCTION("""COMPUTED_VALUE"""),2365)</f>
        <v>2365</v>
      </c>
      <c r="F102" s="2">
        <f ca="1">IFERROR(__xludf.DUMMYFUNCTION("""COMPUTED_VALUE"""),29142400)</f>
        <v>29142400</v>
      </c>
    </row>
    <row r="103" spans="1:6">
      <c r="A103" s="5">
        <f ca="1">IFERROR(__xludf.DUMMYFUNCTION("""COMPUTED_VALUE"""),42153.625)</f>
        <v>42153.625</v>
      </c>
      <c r="B103" s="2">
        <f ca="1">IFERROR(__xludf.DUMMYFUNCTION("""COMPUTED_VALUE"""),2340)</f>
        <v>2340</v>
      </c>
      <c r="C103" s="2">
        <f ca="1">IFERROR(__xludf.DUMMYFUNCTION("""COMPUTED_VALUE"""),2375)</f>
        <v>2375</v>
      </c>
      <c r="D103" s="2">
        <f ca="1">IFERROR(__xludf.DUMMYFUNCTION("""COMPUTED_VALUE"""),2340)</f>
        <v>2340</v>
      </c>
      <c r="E103" s="2">
        <f ca="1">IFERROR(__xludf.DUMMYFUNCTION("""COMPUTED_VALUE"""),2355)</f>
        <v>2355</v>
      </c>
      <c r="F103" s="2">
        <f ca="1">IFERROR(__xludf.DUMMYFUNCTION("""COMPUTED_VALUE"""),63172200)</f>
        <v>63172200</v>
      </c>
    </row>
    <row r="104" spans="1:6">
      <c r="A104" s="5">
        <f ca="1">IFERROR(__xludf.DUMMYFUNCTION("""COMPUTED_VALUE"""),42156.625)</f>
        <v>42156.625</v>
      </c>
      <c r="B104" s="2">
        <f ca="1">IFERROR(__xludf.DUMMYFUNCTION("""COMPUTED_VALUE"""),2345)</f>
        <v>2345</v>
      </c>
      <c r="C104" s="2">
        <f ca="1">IFERROR(__xludf.DUMMYFUNCTION("""COMPUTED_VALUE"""),2355)</f>
        <v>2355</v>
      </c>
      <c r="D104" s="2">
        <f ca="1">IFERROR(__xludf.DUMMYFUNCTION("""COMPUTED_VALUE"""),2325)</f>
        <v>2325</v>
      </c>
      <c r="E104" s="2">
        <f ca="1">IFERROR(__xludf.DUMMYFUNCTION("""COMPUTED_VALUE"""),2345)</f>
        <v>2345</v>
      </c>
      <c r="F104" s="2">
        <f ca="1">IFERROR(__xludf.DUMMYFUNCTION("""COMPUTED_VALUE"""),32890900)</f>
        <v>32890900</v>
      </c>
    </row>
    <row r="105" spans="1:6">
      <c r="A105" s="5">
        <f ca="1">IFERROR(__xludf.DUMMYFUNCTION("""COMPUTED_VALUE"""),42158.625)</f>
        <v>42158.625</v>
      </c>
      <c r="B105" s="2">
        <f ca="1">IFERROR(__xludf.DUMMYFUNCTION("""COMPUTED_VALUE"""),2330)</f>
        <v>2330</v>
      </c>
      <c r="C105" s="2">
        <f ca="1">IFERROR(__xludf.DUMMYFUNCTION("""COMPUTED_VALUE"""),2345)</f>
        <v>2345</v>
      </c>
      <c r="D105" s="2">
        <f ca="1">IFERROR(__xludf.DUMMYFUNCTION("""COMPUTED_VALUE"""),2250)</f>
        <v>2250</v>
      </c>
      <c r="E105" s="2">
        <f ca="1">IFERROR(__xludf.DUMMYFUNCTION("""COMPUTED_VALUE"""),2250)</f>
        <v>2250</v>
      </c>
      <c r="F105" s="2">
        <f ca="1">IFERROR(__xludf.DUMMYFUNCTION("""COMPUTED_VALUE"""),56381200)</f>
        <v>56381200</v>
      </c>
    </row>
    <row r="106" spans="1:6">
      <c r="A106" s="5">
        <f ca="1">IFERROR(__xludf.DUMMYFUNCTION("""COMPUTED_VALUE"""),42159.625)</f>
        <v>42159.625</v>
      </c>
      <c r="B106" s="2">
        <f ca="1">IFERROR(__xludf.DUMMYFUNCTION("""COMPUTED_VALUE"""),2255)</f>
        <v>2255</v>
      </c>
      <c r="C106" s="2">
        <f ca="1">IFERROR(__xludf.DUMMYFUNCTION("""COMPUTED_VALUE"""),2265)</f>
        <v>2265</v>
      </c>
      <c r="D106" s="2">
        <f ca="1">IFERROR(__xludf.DUMMYFUNCTION("""COMPUTED_VALUE"""),2215)</f>
        <v>2215</v>
      </c>
      <c r="E106" s="2">
        <f ca="1">IFERROR(__xludf.DUMMYFUNCTION("""COMPUTED_VALUE"""),2225)</f>
        <v>2225</v>
      </c>
      <c r="F106" s="2">
        <f ca="1">IFERROR(__xludf.DUMMYFUNCTION("""COMPUTED_VALUE"""),37855100)</f>
        <v>37855100</v>
      </c>
    </row>
    <row r="107" spans="1:6">
      <c r="A107" s="5">
        <f ca="1">IFERROR(__xludf.DUMMYFUNCTION("""COMPUTED_VALUE"""),42160.625)</f>
        <v>42160.625</v>
      </c>
      <c r="B107" s="2">
        <f ca="1">IFERROR(__xludf.DUMMYFUNCTION("""COMPUTED_VALUE"""),2200)</f>
        <v>2200</v>
      </c>
      <c r="C107" s="2">
        <f ca="1">IFERROR(__xludf.DUMMYFUNCTION("""COMPUTED_VALUE"""),2260)</f>
        <v>2260</v>
      </c>
      <c r="D107" s="2">
        <f ca="1">IFERROR(__xludf.DUMMYFUNCTION("""COMPUTED_VALUE"""),2200)</f>
        <v>2200</v>
      </c>
      <c r="E107" s="2">
        <f ca="1">IFERROR(__xludf.DUMMYFUNCTION("""COMPUTED_VALUE"""),2260)</f>
        <v>2260</v>
      </c>
      <c r="F107" s="2">
        <f ca="1">IFERROR(__xludf.DUMMYFUNCTION("""COMPUTED_VALUE"""),19992900)</f>
        <v>19992900</v>
      </c>
    </row>
    <row r="108" spans="1:6">
      <c r="A108" s="5">
        <f ca="1">IFERROR(__xludf.DUMMYFUNCTION("""COMPUTED_VALUE"""),42163.625)</f>
        <v>42163.625</v>
      </c>
      <c r="B108" s="2">
        <f ca="1">IFERROR(__xludf.DUMMYFUNCTION("""COMPUTED_VALUE"""),2275)</f>
        <v>2275</v>
      </c>
      <c r="C108" s="2">
        <f ca="1">IFERROR(__xludf.DUMMYFUNCTION("""COMPUTED_VALUE"""),2275)</f>
        <v>2275</v>
      </c>
      <c r="D108" s="2">
        <f ca="1">IFERROR(__xludf.DUMMYFUNCTION("""COMPUTED_VALUE"""),2175)</f>
        <v>2175</v>
      </c>
      <c r="E108" s="2">
        <f ca="1">IFERROR(__xludf.DUMMYFUNCTION("""COMPUTED_VALUE"""),2200)</f>
        <v>2200</v>
      </c>
      <c r="F108" s="2">
        <f ca="1">IFERROR(__xludf.DUMMYFUNCTION("""COMPUTED_VALUE"""),33297000)</f>
        <v>33297000</v>
      </c>
    </row>
    <row r="109" spans="1:6">
      <c r="A109" s="5">
        <f ca="1">IFERROR(__xludf.DUMMYFUNCTION("""COMPUTED_VALUE"""),42164.625)</f>
        <v>42164.625</v>
      </c>
      <c r="B109" s="2">
        <f ca="1">IFERROR(__xludf.DUMMYFUNCTION("""COMPUTED_VALUE"""),2175)</f>
        <v>2175</v>
      </c>
      <c r="C109" s="2">
        <f ca="1">IFERROR(__xludf.DUMMYFUNCTION("""COMPUTED_VALUE"""),2175)</f>
        <v>2175</v>
      </c>
      <c r="D109" s="2">
        <f ca="1">IFERROR(__xludf.DUMMYFUNCTION("""COMPUTED_VALUE"""),2060)</f>
        <v>2060</v>
      </c>
      <c r="E109" s="2">
        <f ca="1">IFERROR(__xludf.DUMMYFUNCTION("""COMPUTED_VALUE"""),2095)</f>
        <v>2095</v>
      </c>
      <c r="F109" s="2">
        <f ca="1">IFERROR(__xludf.DUMMYFUNCTION("""COMPUTED_VALUE"""),72595500)</f>
        <v>72595500</v>
      </c>
    </row>
    <row r="110" spans="1:6">
      <c r="A110" s="5">
        <f ca="1">IFERROR(__xludf.DUMMYFUNCTION("""COMPUTED_VALUE"""),42165.625)</f>
        <v>42165.625</v>
      </c>
      <c r="B110" s="2">
        <f ca="1">IFERROR(__xludf.DUMMYFUNCTION("""COMPUTED_VALUE"""),2095)</f>
        <v>2095</v>
      </c>
      <c r="C110" s="2">
        <f ca="1">IFERROR(__xludf.DUMMYFUNCTION("""COMPUTED_VALUE"""),2135)</f>
        <v>2135</v>
      </c>
      <c r="D110" s="2">
        <f ca="1">IFERROR(__xludf.DUMMYFUNCTION("""COMPUTED_VALUE"""),2055)</f>
        <v>2055</v>
      </c>
      <c r="E110" s="2">
        <f ca="1">IFERROR(__xludf.DUMMYFUNCTION("""COMPUTED_VALUE"""),2080)</f>
        <v>2080</v>
      </c>
      <c r="F110" s="2">
        <f ca="1">IFERROR(__xludf.DUMMYFUNCTION("""COMPUTED_VALUE"""),38162700)</f>
        <v>38162700</v>
      </c>
    </row>
    <row r="111" spans="1:6">
      <c r="A111" s="5">
        <f ca="1">IFERROR(__xludf.DUMMYFUNCTION("""COMPUTED_VALUE"""),42166.625)</f>
        <v>42166.625</v>
      </c>
      <c r="B111" s="2">
        <f ca="1">IFERROR(__xludf.DUMMYFUNCTION("""COMPUTED_VALUE"""),2095)</f>
        <v>2095</v>
      </c>
      <c r="C111" s="2">
        <f ca="1">IFERROR(__xludf.DUMMYFUNCTION("""COMPUTED_VALUE"""),2100)</f>
        <v>2100</v>
      </c>
      <c r="D111" s="2">
        <f ca="1">IFERROR(__xludf.DUMMYFUNCTION("""COMPUTED_VALUE"""),2015)</f>
        <v>2015</v>
      </c>
      <c r="E111" s="2">
        <f ca="1">IFERROR(__xludf.DUMMYFUNCTION("""COMPUTED_VALUE"""),2025)</f>
        <v>2025</v>
      </c>
      <c r="F111" s="2">
        <f ca="1">IFERROR(__xludf.DUMMYFUNCTION("""COMPUTED_VALUE"""),42302600)</f>
        <v>42302600</v>
      </c>
    </row>
    <row r="112" spans="1:6">
      <c r="A112" s="5">
        <f ca="1">IFERROR(__xludf.DUMMYFUNCTION("""COMPUTED_VALUE"""),42167.625)</f>
        <v>42167.625</v>
      </c>
      <c r="B112" s="2">
        <f ca="1">IFERROR(__xludf.DUMMYFUNCTION("""COMPUTED_VALUE"""),2020)</f>
        <v>2020</v>
      </c>
      <c r="C112" s="2">
        <f ca="1">IFERROR(__xludf.DUMMYFUNCTION("""COMPUTED_VALUE"""),2085)</f>
        <v>2085</v>
      </c>
      <c r="D112" s="2">
        <f ca="1">IFERROR(__xludf.DUMMYFUNCTION("""COMPUTED_VALUE"""),2010)</f>
        <v>2010</v>
      </c>
      <c r="E112" s="2">
        <f ca="1">IFERROR(__xludf.DUMMYFUNCTION("""COMPUTED_VALUE"""),2075)</f>
        <v>2075</v>
      </c>
      <c r="F112" s="2">
        <f ca="1">IFERROR(__xludf.DUMMYFUNCTION("""COMPUTED_VALUE"""),30225600)</f>
        <v>30225600</v>
      </c>
    </row>
    <row r="113" spans="1:6">
      <c r="A113" s="5">
        <f ca="1">IFERROR(__xludf.DUMMYFUNCTION("""COMPUTED_VALUE"""),42170.625)</f>
        <v>42170.625</v>
      </c>
      <c r="B113" s="2">
        <f ca="1">IFERROR(__xludf.DUMMYFUNCTION("""COMPUTED_VALUE"""),2070)</f>
        <v>2070</v>
      </c>
      <c r="C113" s="2">
        <f ca="1">IFERROR(__xludf.DUMMYFUNCTION("""COMPUTED_VALUE"""),2070)</f>
        <v>2070</v>
      </c>
      <c r="D113" s="2">
        <f ca="1">IFERROR(__xludf.DUMMYFUNCTION("""COMPUTED_VALUE"""),2030)</f>
        <v>2030</v>
      </c>
      <c r="E113" s="2">
        <f ca="1">IFERROR(__xludf.DUMMYFUNCTION("""COMPUTED_VALUE"""),2030)</f>
        <v>2030</v>
      </c>
      <c r="F113" s="2">
        <f ca="1">IFERROR(__xludf.DUMMYFUNCTION("""COMPUTED_VALUE"""),25340100)</f>
        <v>25340100</v>
      </c>
    </row>
    <row r="114" spans="1:6">
      <c r="A114" s="5">
        <f ca="1">IFERROR(__xludf.DUMMYFUNCTION("""COMPUTED_VALUE"""),42171.625)</f>
        <v>42171.625</v>
      </c>
      <c r="B114" s="2">
        <f ca="1">IFERROR(__xludf.DUMMYFUNCTION("""COMPUTED_VALUE"""),2050)</f>
        <v>2050</v>
      </c>
      <c r="C114" s="2">
        <f ca="1">IFERROR(__xludf.DUMMYFUNCTION("""COMPUTED_VALUE"""),2120)</f>
        <v>2120</v>
      </c>
      <c r="D114" s="2">
        <f ca="1">IFERROR(__xludf.DUMMYFUNCTION("""COMPUTED_VALUE"""),2025)</f>
        <v>2025</v>
      </c>
      <c r="E114" s="2">
        <f ca="1">IFERROR(__xludf.DUMMYFUNCTION("""COMPUTED_VALUE"""),2110)</f>
        <v>2110</v>
      </c>
      <c r="F114" s="2">
        <f ca="1">IFERROR(__xludf.DUMMYFUNCTION("""COMPUTED_VALUE"""),33001900)</f>
        <v>33001900</v>
      </c>
    </row>
    <row r="115" spans="1:6">
      <c r="A115" s="5">
        <f ca="1">IFERROR(__xludf.DUMMYFUNCTION("""COMPUTED_VALUE"""),42172.625)</f>
        <v>42172.625</v>
      </c>
      <c r="B115" s="2">
        <f ca="1">IFERROR(__xludf.DUMMYFUNCTION("""COMPUTED_VALUE"""),2130)</f>
        <v>2130</v>
      </c>
      <c r="C115" s="2">
        <f ca="1">IFERROR(__xludf.DUMMYFUNCTION("""COMPUTED_VALUE"""),2205)</f>
        <v>2205</v>
      </c>
      <c r="D115" s="2">
        <f ca="1">IFERROR(__xludf.DUMMYFUNCTION("""COMPUTED_VALUE"""),2120)</f>
        <v>2120</v>
      </c>
      <c r="E115" s="2">
        <f ca="1">IFERROR(__xludf.DUMMYFUNCTION("""COMPUTED_VALUE"""),2200)</f>
        <v>2200</v>
      </c>
      <c r="F115" s="2">
        <f ca="1">IFERROR(__xludf.DUMMYFUNCTION("""COMPUTED_VALUE"""),34767500)</f>
        <v>34767500</v>
      </c>
    </row>
    <row r="116" spans="1:6">
      <c r="A116" s="5">
        <f ca="1">IFERROR(__xludf.DUMMYFUNCTION("""COMPUTED_VALUE"""),42173.625)</f>
        <v>42173.625</v>
      </c>
      <c r="B116" s="2">
        <f ca="1">IFERROR(__xludf.DUMMYFUNCTION("""COMPUTED_VALUE"""),2180)</f>
        <v>2180</v>
      </c>
      <c r="C116" s="2">
        <f ca="1">IFERROR(__xludf.DUMMYFUNCTION("""COMPUTED_VALUE"""),2195)</f>
        <v>2195</v>
      </c>
      <c r="D116" s="2">
        <f ca="1">IFERROR(__xludf.DUMMYFUNCTION("""COMPUTED_VALUE"""),2130)</f>
        <v>2130</v>
      </c>
      <c r="E116" s="2">
        <f ca="1">IFERROR(__xludf.DUMMYFUNCTION("""COMPUTED_VALUE"""),2155)</f>
        <v>2155</v>
      </c>
      <c r="F116" s="2">
        <f ca="1">IFERROR(__xludf.DUMMYFUNCTION("""COMPUTED_VALUE"""),24079700)</f>
        <v>24079700</v>
      </c>
    </row>
    <row r="117" spans="1:6">
      <c r="A117" s="5">
        <f ca="1">IFERROR(__xludf.DUMMYFUNCTION("""COMPUTED_VALUE"""),42174.625)</f>
        <v>42174.625</v>
      </c>
      <c r="B117" s="2">
        <f ca="1">IFERROR(__xludf.DUMMYFUNCTION("""COMPUTED_VALUE"""),2165)</f>
        <v>2165</v>
      </c>
      <c r="C117" s="2">
        <f ca="1">IFERROR(__xludf.DUMMYFUNCTION("""COMPUTED_VALUE"""),2210)</f>
        <v>2210</v>
      </c>
      <c r="D117" s="2">
        <f ca="1">IFERROR(__xludf.DUMMYFUNCTION("""COMPUTED_VALUE"""),2165)</f>
        <v>2165</v>
      </c>
      <c r="E117" s="2">
        <f ca="1">IFERROR(__xludf.DUMMYFUNCTION("""COMPUTED_VALUE"""),2210)</f>
        <v>2210</v>
      </c>
      <c r="F117" s="2">
        <f ca="1">IFERROR(__xludf.DUMMYFUNCTION("""COMPUTED_VALUE"""),25900000)</f>
        <v>25900000</v>
      </c>
    </row>
    <row r="118" spans="1:6">
      <c r="A118" s="5">
        <f ca="1">IFERROR(__xludf.DUMMYFUNCTION("""COMPUTED_VALUE"""),42177.625)</f>
        <v>42177.625</v>
      </c>
      <c r="B118" s="2">
        <f ca="1">IFERROR(__xludf.DUMMYFUNCTION("""COMPUTED_VALUE"""),2230)</f>
        <v>2230</v>
      </c>
      <c r="C118" s="2">
        <f ca="1">IFERROR(__xludf.DUMMYFUNCTION("""COMPUTED_VALUE"""),2240)</f>
        <v>2240</v>
      </c>
      <c r="D118" s="2">
        <f ca="1">IFERROR(__xludf.DUMMYFUNCTION("""COMPUTED_VALUE"""),2165)</f>
        <v>2165</v>
      </c>
      <c r="E118" s="2">
        <f ca="1">IFERROR(__xludf.DUMMYFUNCTION("""COMPUTED_VALUE"""),2190)</f>
        <v>2190</v>
      </c>
      <c r="F118" s="2">
        <f ca="1">IFERROR(__xludf.DUMMYFUNCTION("""COMPUTED_VALUE"""),19001800)</f>
        <v>19001800</v>
      </c>
    </row>
    <row r="119" spans="1:6">
      <c r="A119" s="5">
        <f ca="1">IFERROR(__xludf.DUMMYFUNCTION("""COMPUTED_VALUE"""),42178.625)</f>
        <v>42178.625</v>
      </c>
      <c r="B119" s="2">
        <f ca="1">IFERROR(__xludf.DUMMYFUNCTION("""COMPUTED_VALUE"""),2190)</f>
        <v>2190</v>
      </c>
      <c r="C119" s="2">
        <f ca="1">IFERROR(__xludf.DUMMYFUNCTION("""COMPUTED_VALUE"""),2200)</f>
        <v>2200</v>
      </c>
      <c r="D119" s="2">
        <f ca="1">IFERROR(__xludf.DUMMYFUNCTION("""COMPUTED_VALUE"""),2145)</f>
        <v>2145</v>
      </c>
      <c r="E119" s="2">
        <f ca="1">IFERROR(__xludf.DUMMYFUNCTION("""COMPUTED_VALUE"""),2160)</f>
        <v>2160</v>
      </c>
      <c r="F119" s="2">
        <f ca="1">IFERROR(__xludf.DUMMYFUNCTION("""COMPUTED_VALUE"""),28176100)</f>
        <v>28176100</v>
      </c>
    </row>
    <row r="120" spans="1:6">
      <c r="A120" s="5">
        <f ca="1">IFERROR(__xludf.DUMMYFUNCTION("""COMPUTED_VALUE"""),42179.625)</f>
        <v>42179.625</v>
      </c>
      <c r="B120" s="2">
        <f ca="1">IFERROR(__xludf.DUMMYFUNCTION("""COMPUTED_VALUE"""),2150)</f>
        <v>2150</v>
      </c>
      <c r="C120" s="2">
        <f ca="1">IFERROR(__xludf.DUMMYFUNCTION("""COMPUTED_VALUE"""),2170)</f>
        <v>2170</v>
      </c>
      <c r="D120" s="2">
        <f ca="1">IFERROR(__xludf.DUMMYFUNCTION("""COMPUTED_VALUE"""),2055)</f>
        <v>2055</v>
      </c>
      <c r="E120" s="2">
        <f ca="1">IFERROR(__xludf.DUMMYFUNCTION("""COMPUTED_VALUE"""),2060)</f>
        <v>2060</v>
      </c>
      <c r="F120" s="2">
        <f ca="1">IFERROR(__xludf.DUMMYFUNCTION("""COMPUTED_VALUE"""),58723200)</f>
        <v>58723200</v>
      </c>
    </row>
    <row r="121" spans="1:6">
      <c r="A121" s="5">
        <f ca="1">IFERROR(__xludf.DUMMYFUNCTION("""COMPUTED_VALUE"""),42180.625)</f>
        <v>42180.625</v>
      </c>
      <c r="B121" s="2">
        <f ca="1">IFERROR(__xludf.DUMMYFUNCTION("""COMPUTED_VALUE"""),2050)</f>
        <v>2050</v>
      </c>
      <c r="C121" s="2">
        <f ca="1">IFERROR(__xludf.DUMMYFUNCTION("""COMPUTED_VALUE"""),2060)</f>
        <v>2060</v>
      </c>
      <c r="D121" s="2">
        <f ca="1">IFERROR(__xludf.DUMMYFUNCTION("""COMPUTED_VALUE"""),2015)</f>
        <v>2015</v>
      </c>
      <c r="E121" s="2">
        <f ca="1">IFERROR(__xludf.DUMMYFUNCTION("""COMPUTED_VALUE"""),2040)</f>
        <v>2040</v>
      </c>
      <c r="F121" s="2">
        <f ca="1">IFERROR(__xludf.DUMMYFUNCTION("""COMPUTED_VALUE"""),69418000)</f>
        <v>69418000</v>
      </c>
    </row>
    <row r="122" spans="1:6">
      <c r="A122" s="5">
        <f ca="1">IFERROR(__xludf.DUMMYFUNCTION("""COMPUTED_VALUE"""),42181.625)</f>
        <v>42181.625</v>
      </c>
      <c r="B122" s="2">
        <f ca="1">IFERROR(__xludf.DUMMYFUNCTION("""COMPUTED_VALUE"""),2030)</f>
        <v>2030</v>
      </c>
      <c r="C122" s="2">
        <f ca="1">IFERROR(__xludf.DUMMYFUNCTION("""COMPUTED_VALUE"""),2095)</f>
        <v>2095</v>
      </c>
      <c r="D122" s="2">
        <f ca="1">IFERROR(__xludf.DUMMYFUNCTION("""COMPUTED_VALUE"""),2030)</f>
        <v>2030</v>
      </c>
      <c r="E122" s="2">
        <f ca="1">IFERROR(__xludf.DUMMYFUNCTION("""COMPUTED_VALUE"""),2095)</f>
        <v>2095</v>
      </c>
      <c r="F122" s="2">
        <f ca="1">IFERROR(__xludf.DUMMYFUNCTION("""COMPUTED_VALUE"""),39298700)</f>
        <v>39298700</v>
      </c>
    </row>
    <row r="123" spans="1:6">
      <c r="A123" s="5">
        <f ca="1">IFERROR(__xludf.DUMMYFUNCTION("""COMPUTED_VALUE"""),42184.625)</f>
        <v>42184.625</v>
      </c>
      <c r="B123" s="2">
        <f ca="1">IFERROR(__xludf.DUMMYFUNCTION("""COMPUTED_VALUE"""),2060)</f>
        <v>2060</v>
      </c>
      <c r="C123" s="2">
        <f ca="1">IFERROR(__xludf.DUMMYFUNCTION("""COMPUTED_VALUE"""),2085)</f>
        <v>2085</v>
      </c>
      <c r="D123" s="2">
        <f ca="1">IFERROR(__xludf.DUMMYFUNCTION("""COMPUTED_VALUE"""),2040)</f>
        <v>2040</v>
      </c>
      <c r="E123" s="2">
        <f ca="1">IFERROR(__xludf.DUMMYFUNCTION("""COMPUTED_VALUE"""),2075)</f>
        <v>2075</v>
      </c>
      <c r="F123" s="2">
        <f ca="1">IFERROR(__xludf.DUMMYFUNCTION("""COMPUTED_VALUE"""),19103400)</f>
        <v>19103400</v>
      </c>
    </row>
    <row r="124" spans="1:6">
      <c r="A124" s="5">
        <f ca="1">IFERROR(__xludf.DUMMYFUNCTION("""COMPUTED_VALUE"""),42185.625)</f>
        <v>42185.625</v>
      </c>
      <c r="B124" s="2">
        <f ca="1">IFERROR(__xludf.DUMMYFUNCTION("""COMPUTED_VALUE"""),2065)</f>
        <v>2065</v>
      </c>
      <c r="C124" s="2">
        <f ca="1">IFERROR(__xludf.DUMMYFUNCTION("""COMPUTED_VALUE"""),2090)</f>
        <v>2090</v>
      </c>
      <c r="D124" s="2">
        <f ca="1">IFERROR(__xludf.DUMMYFUNCTION("""COMPUTED_VALUE"""),2055)</f>
        <v>2055</v>
      </c>
      <c r="E124" s="2">
        <f ca="1">IFERROR(__xludf.DUMMYFUNCTION("""COMPUTED_VALUE"""),2070)</f>
        <v>2070</v>
      </c>
      <c r="F124" s="2">
        <f ca="1">IFERROR(__xludf.DUMMYFUNCTION("""COMPUTED_VALUE"""),39356700)</f>
        <v>39356700</v>
      </c>
    </row>
    <row r="125" spans="1:6">
      <c r="A125" s="5">
        <f ca="1">IFERROR(__xludf.DUMMYFUNCTION("""COMPUTED_VALUE"""),42186.625)</f>
        <v>42186.625</v>
      </c>
      <c r="B125" s="2">
        <f ca="1">IFERROR(__xludf.DUMMYFUNCTION("""COMPUTED_VALUE"""),2070)</f>
        <v>2070</v>
      </c>
      <c r="C125" s="2">
        <f ca="1">IFERROR(__xludf.DUMMYFUNCTION("""COMPUTED_VALUE"""),2120)</f>
        <v>2120</v>
      </c>
      <c r="D125" s="2">
        <f ca="1">IFERROR(__xludf.DUMMYFUNCTION("""COMPUTED_VALUE"""),2070)</f>
        <v>2070</v>
      </c>
      <c r="E125" s="2">
        <f ca="1">IFERROR(__xludf.DUMMYFUNCTION("""COMPUTED_VALUE"""),2110)</f>
        <v>2110</v>
      </c>
      <c r="F125" s="2">
        <f ca="1">IFERROR(__xludf.DUMMYFUNCTION("""COMPUTED_VALUE"""),27222800)</f>
        <v>27222800</v>
      </c>
    </row>
    <row r="126" spans="1:6">
      <c r="A126" s="5">
        <f ca="1">IFERROR(__xludf.DUMMYFUNCTION("""COMPUTED_VALUE"""),42187.625)</f>
        <v>42187.625</v>
      </c>
      <c r="B126" s="2">
        <f ca="1">IFERROR(__xludf.DUMMYFUNCTION("""COMPUTED_VALUE"""),2130)</f>
        <v>2130</v>
      </c>
      <c r="C126" s="2">
        <f ca="1">IFERROR(__xludf.DUMMYFUNCTION("""COMPUTED_VALUE"""),2175)</f>
        <v>2175</v>
      </c>
      <c r="D126" s="2">
        <f ca="1">IFERROR(__xludf.DUMMYFUNCTION("""COMPUTED_VALUE"""),2110)</f>
        <v>2110</v>
      </c>
      <c r="E126" s="2">
        <f ca="1">IFERROR(__xludf.DUMMYFUNCTION("""COMPUTED_VALUE"""),2175)</f>
        <v>2175</v>
      </c>
      <c r="F126" s="2">
        <f ca="1">IFERROR(__xludf.DUMMYFUNCTION("""COMPUTED_VALUE"""),32676900)</f>
        <v>32676900</v>
      </c>
    </row>
    <row r="127" spans="1:6">
      <c r="A127" s="5">
        <f ca="1">IFERROR(__xludf.DUMMYFUNCTION("""COMPUTED_VALUE"""),42188.625)</f>
        <v>42188.625</v>
      </c>
      <c r="B127" s="2">
        <f ca="1">IFERROR(__xludf.DUMMYFUNCTION("""COMPUTED_VALUE"""),2180)</f>
        <v>2180</v>
      </c>
      <c r="C127" s="2">
        <f ca="1">IFERROR(__xludf.DUMMYFUNCTION("""COMPUTED_VALUE"""),2180)</f>
        <v>2180</v>
      </c>
      <c r="D127" s="2">
        <f ca="1">IFERROR(__xludf.DUMMYFUNCTION("""COMPUTED_VALUE"""),2130)</f>
        <v>2130</v>
      </c>
      <c r="E127" s="2">
        <f ca="1">IFERROR(__xludf.DUMMYFUNCTION("""COMPUTED_VALUE"""),2165)</f>
        <v>2165</v>
      </c>
      <c r="F127" s="2">
        <f ca="1">IFERROR(__xludf.DUMMYFUNCTION("""COMPUTED_VALUE"""),22573800)</f>
        <v>22573800</v>
      </c>
    </row>
    <row r="128" spans="1:6">
      <c r="A128" s="5">
        <f ca="1">IFERROR(__xludf.DUMMYFUNCTION("""COMPUTED_VALUE"""),42191.625)</f>
        <v>42191.625</v>
      </c>
      <c r="B128" s="2">
        <f ca="1">IFERROR(__xludf.DUMMYFUNCTION("""COMPUTED_VALUE"""),2120)</f>
        <v>2120</v>
      </c>
      <c r="C128" s="2">
        <f ca="1">IFERROR(__xludf.DUMMYFUNCTION("""COMPUTED_VALUE"""),2145)</f>
        <v>2145</v>
      </c>
      <c r="D128" s="2">
        <f ca="1">IFERROR(__xludf.DUMMYFUNCTION("""COMPUTED_VALUE"""),2070)</f>
        <v>2070</v>
      </c>
      <c r="E128" s="2">
        <f ca="1">IFERROR(__xludf.DUMMYFUNCTION("""COMPUTED_VALUE"""),2080)</f>
        <v>2080</v>
      </c>
      <c r="F128" s="2">
        <f ca="1">IFERROR(__xludf.DUMMYFUNCTION("""COMPUTED_VALUE"""),21052600)</f>
        <v>21052600</v>
      </c>
    </row>
    <row r="129" spans="1:6">
      <c r="A129" s="5">
        <f ca="1">IFERROR(__xludf.DUMMYFUNCTION("""COMPUTED_VALUE"""),42192.625)</f>
        <v>42192.625</v>
      </c>
      <c r="B129" s="2">
        <f ca="1">IFERROR(__xludf.DUMMYFUNCTION("""COMPUTED_VALUE"""),2080)</f>
        <v>2080</v>
      </c>
      <c r="C129" s="2">
        <f ca="1">IFERROR(__xludf.DUMMYFUNCTION("""COMPUTED_VALUE"""),2110)</f>
        <v>2110</v>
      </c>
      <c r="D129" s="2">
        <f ca="1">IFERROR(__xludf.DUMMYFUNCTION("""COMPUTED_VALUE"""),2080)</f>
        <v>2080</v>
      </c>
      <c r="E129" s="2">
        <f ca="1">IFERROR(__xludf.DUMMYFUNCTION("""COMPUTED_VALUE"""),2095)</f>
        <v>2095</v>
      </c>
      <c r="F129" s="2">
        <f ca="1">IFERROR(__xludf.DUMMYFUNCTION("""COMPUTED_VALUE"""),20795900)</f>
        <v>20795900</v>
      </c>
    </row>
    <row r="130" spans="1:6">
      <c r="A130" s="5">
        <f ca="1">IFERROR(__xludf.DUMMYFUNCTION("""COMPUTED_VALUE"""),42193.625)</f>
        <v>42193.625</v>
      </c>
      <c r="B130" s="2">
        <f ca="1">IFERROR(__xludf.DUMMYFUNCTION("""COMPUTED_VALUE"""),2070)</f>
        <v>2070</v>
      </c>
      <c r="C130" s="2">
        <f ca="1">IFERROR(__xludf.DUMMYFUNCTION("""COMPUTED_VALUE"""),2110)</f>
        <v>2110</v>
      </c>
      <c r="D130" s="2">
        <f ca="1">IFERROR(__xludf.DUMMYFUNCTION("""COMPUTED_VALUE"""),2040)</f>
        <v>2040</v>
      </c>
      <c r="E130" s="2">
        <f ca="1">IFERROR(__xludf.DUMMYFUNCTION("""COMPUTED_VALUE"""),2045)</f>
        <v>2045</v>
      </c>
      <c r="F130" s="2">
        <f ca="1">IFERROR(__xludf.DUMMYFUNCTION("""COMPUTED_VALUE"""),25226800)</f>
        <v>25226800</v>
      </c>
    </row>
    <row r="131" spans="1:6">
      <c r="A131" s="5">
        <f ca="1">IFERROR(__xludf.DUMMYFUNCTION("""COMPUTED_VALUE"""),42194.625)</f>
        <v>42194.625</v>
      </c>
      <c r="B131" s="2">
        <f ca="1">IFERROR(__xludf.DUMMYFUNCTION("""COMPUTED_VALUE"""),2025)</f>
        <v>2025</v>
      </c>
      <c r="C131" s="2">
        <f ca="1">IFERROR(__xludf.DUMMYFUNCTION("""COMPUTED_VALUE"""),2070)</f>
        <v>2070</v>
      </c>
      <c r="D131" s="2">
        <f ca="1">IFERROR(__xludf.DUMMYFUNCTION("""COMPUTED_VALUE"""),2025)</f>
        <v>2025</v>
      </c>
      <c r="E131" s="2">
        <f ca="1">IFERROR(__xludf.DUMMYFUNCTION("""COMPUTED_VALUE"""),2060)</f>
        <v>2060</v>
      </c>
      <c r="F131" s="2">
        <f ca="1">IFERROR(__xludf.DUMMYFUNCTION("""COMPUTED_VALUE"""),19030000)</f>
        <v>19030000</v>
      </c>
    </row>
    <row r="132" spans="1:6">
      <c r="A132" s="5">
        <f ca="1">IFERROR(__xludf.DUMMYFUNCTION("""COMPUTED_VALUE"""),42195.625)</f>
        <v>42195.625</v>
      </c>
      <c r="B132" s="2">
        <f ca="1">IFERROR(__xludf.DUMMYFUNCTION("""COMPUTED_VALUE"""),2080)</f>
        <v>2080</v>
      </c>
      <c r="C132" s="2">
        <f ca="1">IFERROR(__xludf.DUMMYFUNCTION("""COMPUTED_VALUE"""),2115)</f>
        <v>2115</v>
      </c>
      <c r="D132" s="2">
        <f ca="1">IFERROR(__xludf.DUMMYFUNCTION("""COMPUTED_VALUE"""),2070)</f>
        <v>2070</v>
      </c>
      <c r="E132" s="2">
        <f ca="1">IFERROR(__xludf.DUMMYFUNCTION("""COMPUTED_VALUE"""),2095)</f>
        <v>2095</v>
      </c>
      <c r="F132" s="2">
        <f ca="1">IFERROR(__xludf.DUMMYFUNCTION("""COMPUTED_VALUE"""),19010200)</f>
        <v>19010200</v>
      </c>
    </row>
    <row r="133" spans="1:6">
      <c r="A133" s="5">
        <f ca="1">IFERROR(__xludf.DUMMYFUNCTION("""COMPUTED_VALUE"""),42198.625)</f>
        <v>42198.625</v>
      </c>
      <c r="B133" s="2">
        <f ca="1">IFERROR(__xludf.DUMMYFUNCTION("""COMPUTED_VALUE"""),2060)</f>
        <v>2060</v>
      </c>
      <c r="C133" s="2">
        <f ca="1">IFERROR(__xludf.DUMMYFUNCTION("""COMPUTED_VALUE"""),2105)</f>
        <v>2105</v>
      </c>
      <c r="D133" s="2">
        <f ca="1">IFERROR(__xludf.DUMMYFUNCTION("""COMPUTED_VALUE"""),2060)</f>
        <v>2060</v>
      </c>
      <c r="E133" s="2">
        <f ca="1">IFERROR(__xludf.DUMMYFUNCTION("""COMPUTED_VALUE"""),2095)</f>
        <v>2095</v>
      </c>
      <c r="F133" s="2">
        <f ca="1">IFERROR(__xludf.DUMMYFUNCTION("""COMPUTED_VALUE"""),12541200)</f>
        <v>12541200</v>
      </c>
    </row>
    <row r="134" spans="1:6">
      <c r="A134" s="5">
        <f ca="1">IFERROR(__xludf.DUMMYFUNCTION("""COMPUTED_VALUE"""),42199.625)</f>
        <v>42199.625</v>
      </c>
      <c r="B134" s="2">
        <f ca="1">IFERROR(__xludf.DUMMYFUNCTION("""COMPUTED_VALUE"""),2080)</f>
        <v>2080</v>
      </c>
      <c r="C134" s="2">
        <f ca="1">IFERROR(__xludf.DUMMYFUNCTION("""COMPUTED_VALUE"""),2105)</f>
        <v>2105</v>
      </c>
      <c r="D134" s="2">
        <f ca="1">IFERROR(__xludf.DUMMYFUNCTION("""COMPUTED_VALUE"""),2075)</f>
        <v>2075</v>
      </c>
      <c r="E134" s="2">
        <f ca="1">IFERROR(__xludf.DUMMYFUNCTION("""COMPUTED_VALUE"""),2100)</f>
        <v>2100</v>
      </c>
      <c r="F134" s="2">
        <f ca="1">IFERROR(__xludf.DUMMYFUNCTION("""COMPUTED_VALUE"""),24796700)</f>
        <v>24796700</v>
      </c>
    </row>
    <row r="135" spans="1:6">
      <c r="A135" s="5">
        <f ca="1">IFERROR(__xludf.DUMMYFUNCTION("""COMPUTED_VALUE"""),42200.625)</f>
        <v>42200.625</v>
      </c>
      <c r="B135" s="2">
        <f ca="1">IFERROR(__xludf.DUMMYFUNCTION("""COMPUTED_VALUE"""),2095)</f>
        <v>2095</v>
      </c>
      <c r="C135" s="2">
        <f ca="1">IFERROR(__xludf.DUMMYFUNCTION("""COMPUTED_VALUE"""),2095)</f>
        <v>2095</v>
      </c>
      <c r="D135" s="2">
        <f ca="1">IFERROR(__xludf.DUMMYFUNCTION("""COMPUTED_VALUE"""),2025)</f>
        <v>2025</v>
      </c>
      <c r="E135" s="2">
        <f ca="1">IFERROR(__xludf.DUMMYFUNCTION("""COMPUTED_VALUE"""),2025)</f>
        <v>2025</v>
      </c>
      <c r="F135" s="2">
        <f ca="1">IFERROR(__xludf.DUMMYFUNCTION("""COMPUTED_VALUE"""),35421200)</f>
        <v>35421200</v>
      </c>
    </row>
    <row r="136" spans="1:6">
      <c r="A136" s="5">
        <f ca="1">IFERROR(__xludf.DUMMYFUNCTION("""COMPUTED_VALUE"""),42207.625)</f>
        <v>42207.625</v>
      </c>
      <c r="B136" s="2">
        <f ca="1">IFERROR(__xludf.DUMMYFUNCTION("""COMPUTED_VALUE"""),2065)</f>
        <v>2065</v>
      </c>
      <c r="C136" s="2">
        <f ca="1">IFERROR(__xludf.DUMMYFUNCTION("""COMPUTED_VALUE"""),2075)</f>
        <v>2075</v>
      </c>
      <c r="D136" s="2">
        <f ca="1">IFERROR(__xludf.DUMMYFUNCTION("""COMPUTED_VALUE"""),2035)</f>
        <v>2035</v>
      </c>
      <c r="E136" s="2">
        <f ca="1">IFERROR(__xludf.DUMMYFUNCTION("""COMPUTED_VALUE"""),2070)</f>
        <v>2070</v>
      </c>
      <c r="F136" s="2">
        <f ca="1">IFERROR(__xludf.DUMMYFUNCTION("""COMPUTED_VALUE"""),48013900)</f>
        <v>48013900</v>
      </c>
    </row>
    <row r="137" spans="1:6">
      <c r="A137" s="5">
        <f ca="1">IFERROR(__xludf.DUMMYFUNCTION("""COMPUTED_VALUE"""),42208.625)</f>
        <v>42208.625</v>
      </c>
      <c r="B137" s="2">
        <f ca="1">IFERROR(__xludf.DUMMYFUNCTION("""COMPUTED_VALUE"""),2070)</f>
        <v>2070</v>
      </c>
      <c r="C137" s="2">
        <f ca="1">IFERROR(__xludf.DUMMYFUNCTION("""COMPUTED_VALUE"""),2080)</f>
        <v>2080</v>
      </c>
      <c r="D137" s="2">
        <f ca="1">IFERROR(__xludf.DUMMYFUNCTION("""COMPUTED_VALUE"""),2050)</f>
        <v>2050</v>
      </c>
      <c r="E137" s="2">
        <f ca="1">IFERROR(__xludf.DUMMYFUNCTION("""COMPUTED_VALUE"""),2050)</f>
        <v>2050</v>
      </c>
      <c r="F137" s="2">
        <f ca="1">IFERROR(__xludf.DUMMYFUNCTION("""COMPUTED_VALUE"""),23504100)</f>
        <v>23504100</v>
      </c>
    </row>
    <row r="138" spans="1:6">
      <c r="A138" s="5">
        <f ca="1">IFERROR(__xludf.DUMMYFUNCTION("""COMPUTED_VALUE"""),42209.625)</f>
        <v>42209.625</v>
      </c>
      <c r="B138" s="2">
        <f ca="1">IFERROR(__xludf.DUMMYFUNCTION("""COMPUTED_VALUE"""),2040)</f>
        <v>2040</v>
      </c>
      <c r="C138" s="2">
        <f ca="1">IFERROR(__xludf.DUMMYFUNCTION("""COMPUTED_VALUE"""),2060)</f>
        <v>2060</v>
      </c>
      <c r="D138" s="2">
        <f ca="1">IFERROR(__xludf.DUMMYFUNCTION("""COMPUTED_VALUE"""),2005)</f>
        <v>2005</v>
      </c>
      <c r="E138" s="2">
        <f ca="1">IFERROR(__xludf.DUMMYFUNCTION("""COMPUTED_VALUE"""),2020)</f>
        <v>2020</v>
      </c>
      <c r="F138" s="2">
        <f ca="1">IFERROR(__xludf.DUMMYFUNCTION("""COMPUTED_VALUE"""),45364100)</f>
        <v>45364100</v>
      </c>
    </row>
    <row r="139" spans="1:6">
      <c r="A139" s="5">
        <f ca="1">IFERROR(__xludf.DUMMYFUNCTION("""COMPUTED_VALUE"""),42212.625)</f>
        <v>42212.625</v>
      </c>
      <c r="B139" s="2">
        <f ca="1">IFERROR(__xludf.DUMMYFUNCTION("""COMPUTED_VALUE"""),2020)</f>
        <v>2020</v>
      </c>
      <c r="C139" s="2">
        <f ca="1">IFERROR(__xludf.DUMMYFUNCTION("""COMPUTED_VALUE"""),2020)</f>
        <v>2020</v>
      </c>
      <c r="D139" s="2">
        <f ca="1">IFERROR(__xludf.DUMMYFUNCTION("""COMPUTED_VALUE"""),1955)</f>
        <v>1955</v>
      </c>
      <c r="E139" s="2">
        <f ca="1">IFERROR(__xludf.DUMMYFUNCTION("""COMPUTED_VALUE"""),1955)</f>
        <v>1955</v>
      </c>
      <c r="F139" s="2">
        <f ca="1">IFERROR(__xludf.DUMMYFUNCTION("""COMPUTED_VALUE"""),33931700)</f>
        <v>33931700</v>
      </c>
    </row>
    <row r="140" spans="1:6">
      <c r="A140" s="5">
        <f ca="1">IFERROR(__xludf.DUMMYFUNCTION("""COMPUTED_VALUE"""),42213.625)</f>
        <v>42213.625</v>
      </c>
      <c r="B140" s="2">
        <f ca="1">IFERROR(__xludf.DUMMYFUNCTION("""COMPUTED_VALUE"""),1940)</f>
        <v>1940</v>
      </c>
      <c r="C140" s="2">
        <f ca="1">IFERROR(__xludf.DUMMYFUNCTION("""COMPUTED_VALUE"""),1960)</f>
        <v>1960</v>
      </c>
      <c r="D140" s="2">
        <f ca="1">IFERROR(__xludf.DUMMYFUNCTION("""COMPUTED_VALUE"""),1880)</f>
        <v>1880</v>
      </c>
      <c r="E140" s="2">
        <f ca="1">IFERROR(__xludf.DUMMYFUNCTION("""COMPUTED_VALUE"""),1880)</f>
        <v>1880</v>
      </c>
      <c r="F140" s="2">
        <f ca="1">IFERROR(__xludf.DUMMYFUNCTION("""COMPUTED_VALUE"""),36131600)</f>
        <v>36131600</v>
      </c>
    </row>
    <row r="141" spans="1:6">
      <c r="A141" s="5">
        <f ca="1">IFERROR(__xludf.DUMMYFUNCTION("""COMPUTED_VALUE"""),42214.625)</f>
        <v>42214.625</v>
      </c>
      <c r="B141" s="2">
        <f ca="1">IFERROR(__xludf.DUMMYFUNCTION("""COMPUTED_VALUE"""),1905)</f>
        <v>1905</v>
      </c>
      <c r="C141" s="2">
        <f ca="1">IFERROR(__xludf.DUMMYFUNCTION("""COMPUTED_VALUE"""),1920)</f>
        <v>1920</v>
      </c>
      <c r="D141" s="2">
        <f ca="1">IFERROR(__xludf.DUMMYFUNCTION("""COMPUTED_VALUE"""),1890)</f>
        <v>1890</v>
      </c>
      <c r="E141" s="2">
        <f ca="1">IFERROR(__xludf.DUMMYFUNCTION("""COMPUTED_VALUE"""),1900)</f>
        <v>1900</v>
      </c>
      <c r="F141" s="2">
        <f ca="1">IFERROR(__xludf.DUMMYFUNCTION("""COMPUTED_VALUE"""),36099700)</f>
        <v>36099700</v>
      </c>
    </row>
    <row r="142" spans="1:6">
      <c r="A142" s="5">
        <f ca="1">IFERROR(__xludf.DUMMYFUNCTION("""COMPUTED_VALUE"""),42215.625)</f>
        <v>42215.625</v>
      </c>
      <c r="B142" s="2">
        <f ca="1">IFERROR(__xludf.DUMMYFUNCTION("""COMPUTED_VALUE"""),1925)</f>
        <v>1925</v>
      </c>
      <c r="C142" s="2">
        <f ca="1">IFERROR(__xludf.DUMMYFUNCTION("""COMPUTED_VALUE"""),1940)</f>
        <v>1940</v>
      </c>
      <c r="D142" s="2">
        <f ca="1">IFERROR(__xludf.DUMMYFUNCTION("""COMPUTED_VALUE"""),1860)</f>
        <v>1860</v>
      </c>
      <c r="E142" s="2">
        <f ca="1">IFERROR(__xludf.DUMMYFUNCTION("""COMPUTED_VALUE"""),1870)</f>
        <v>1870</v>
      </c>
      <c r="F142" s="2">
        <f ca="1">IFERROR(__xludf.DUMMYFUNCTION("""COMPUTED_VALUE"""),34386200)</f>
        <v>34386200</v>
      </c>
    </row>
    <row r="143" spans="1:6">
      <c r="A143" s="5">
        <f ca="1">IFERROR(__xludf.DUMMYFUNCTION("""COMPUTED_VALUE"""),42216.625)</f>
        <v>42216.625</v>
      </c>
      <c r="B143" s="2">
        <f ca="1">IFERROR(__xludf.DUMMYFUNCTION("""COMPUTED_VALUE"""),1875)</f>
        <v>1875</v>
      </c>
      <c r="C143" s="2">
        <f ca="1">IFERROR(__xludf.DUMMYFUNCTION("""COMPUTED_VALUE"""),2005)</f>
        <v>2005</v>
      </c>
      <c r="D143" s="2">
        <f ca="1">IFERROR(__xludf.DUMMYFUNCTION("""COMPUTED_VALUE"""),1875)</f>
        <v>1875</v>
      </c>
      <c r="E143" s="2">
        <f ca="1">IFERROR(__xludf.DUMMYFUNCTION("""COMPUTED_VALUE"""),2000)</f>
        <v>2000</v>
      </c>
      <c r="F143" s="2">
        <f ca="1">IFERROR(__xludf.DUMMYFUNCTION("""COMPUTED_VALUE"""),44724400)</f>
        <v>44724400</v>
      </c>
    </row>
    <row r="144" spans="1:6">
      <c r="A144" s="5">
        <f ca="1">IFERROR(__xludf.DUMMYFUNCTION("""COMPUTED_VALUE"""),42219.625)</f>
        <v>42219.625</v>
      </c>
      <c r="B144" s="2">
        <f ca="1">IFERROR(__xludf.DUMMYFUNCTION("""COMPUTED_VALUE"""),2025)</f>
        <v>2025</v>
      </c>
      <c r="C144" s="2">
        <f ca="1">IFERROR(__xludf.DUMMYFUNCTION("""COMPUTED_VALUE"""),2090)</f>
        <v>2090</v>
      </c>
      <c r="D144" s="2">
        <f ca="1">IFERROR(__xludf.DUMMYFUNCTION("""COMPUTED_VALUE"""),2000)</f>
        <v>2000</v>
      </c>
      <c r="E144" s="2">
        <f ca="1">IFERROR(__xludf.DUMMYFUNCTION("""COMPUTED_VALUE"""),2090)</f>
        <v>2090</v>
      </c>
      <c r="F144" s="2">
        <f ca="1">IFERROR(__xludf.DUMMYFUNCTION("""COMPUTED_VALUE"""),50113500)</f>
        <v>50113500</v>
      </c>
    </row>
    <row r="145" spans="1:6">
      <c r="A145" s="5">
        <f ca="1">IFERROR(__xludf.DUMMYFUNCTION("""COMPUTED_VALUE"""),42220.625)</f>
        <v>42220.625</v>
      </c>
      <c r="B145" s="2">
        <f ca="1">IFERROR(__xludf.DUMMYFUNCTION("""COMPUTED_VALUE"""),2075)</f>
        <v>2075</v>
      </c>
      <c r="C145" s="2">
        <f ca="1">IFERROR(__xludf.DUMMYFUNCTION("""COMPUTED_VALUE"""),2095)</f>
        <v>2095</v>
      </c>
      <c r="D145" s="2">
        <f ca="1">IFERROR(__xludf.DUMMYFUNCTION("""COMPUTED_VALUE"""),2040)</f>
        <v>2040</v>
      </c>
      <c r="E145" s="2">
        <f ca="1">IFERROR(__xludf.DUMMYFUNCTION("""COMPUTED_VALUE"""),2080)</f>
        <v>2080</v>
      </c>
      <c r="F145" s="2">
        <f ca="1">IFERROR(__xludf.DUMMYFUNCTION("""COMPUTED_VALUE"""),33723300)</f>
        <v>33723300</v>
      </c>
    </row>
    <row r="146" spans="1:6">
      <c r="A146" s="5">
        <f ca="1">IFERROR(__xludf.DUMMYFUNCTION("""COMPUTED_VALUE"""),42221.625)</f>
        <v>42221.625</v>
      </c>
      <c r="B146" s="2">
        <f ca="1">IFERROR(__xludf.DUMMYFUNCTION("""COMPUTED_VALUE"""),2060)</f>
        <v>2060</v>
      </c>
      <c r="C146" s="2">
        <f ca="1">IFERROR(__xludf.DUMMYFUNCTION("""COMPUTED_VALUE"""),2160)</f>
        <v>2160</v>
      </c>
      <c r="D146" s="2">
        <f ca="1">IFERROR(__xludf.DUMMYFUNCTION("""COMPUTED_VALUE"""),2060)</f>
        <v>2060</v>
      </c>
      <c r="E146" s="2">
        <f ca="1">IFERROR(__xludf.DUMMYFUNCTION("""COMPUTED_VALUE"""),2160)</f>
        <v>2160</v>
      </c>
      <c r="F146" s="2">
        <f ca="1">IFERROR(__xludf.DUMMYFUNCTION("""COMPUTED_VALUE"""),24427900)</f>
        <v>24427900</v>
      </c>
    </row>
    <row r="147" spans="1:6">
      <c r="A147" s="5">
        <f ca="1">IFERROR(__xludf.DUMMYFUNCTION("""COMPUTED_VALUE"""),42222.625)</f>
        <v>42222.625</v>
      </c>
      <c r="B147" s="2">
        <f ca="1">IFERROR(__xludf.DUMMYFUNCTION("""COMPUTED_VALUE"""),2160)</f>
        <v>2160</v>
      </c>
      <c r="C147" s="2">
        <f ca="1">IFERROR(__xludf.DUMMYFUNCTION("""COMPUTED_VALUE"""),2175)</f>
        <v>2175</v>
      </c>
      <c r="D147" s="2">
        <f ca="1">IFERROR(__xludf.DUMMYFUNCTION("""COMPUTED_VALUE"""),2140)</f>
        <v>2140</v>
      </c>
      <c r="E147" s="2">
        <f ca="1">IFERROR(__xludf.DUMMYFUNCTION("""COMPUTED_VALUE"""),2155)</f>
        <v>2155</v>
      </c>
      <c r="F147" s="2">
        <f ca="1">IFERROR(__xludf.DUMMYFUNCTION("""COMPUTED_VALUE"""),35523900)</f>
        <v>35523900</v>
      </c>
    </row>
    <row r="148" spans="1:6">
      <c r="A148" s="5">
        <f ca="1">IFERROR(__xludf.DUMMYFUNCTION("""COMPUTED_VALUE"""),42223.625)</f>
        <v>42223.625</v>
      </c>
      <c r="B148" s="2">
        <f ca="1">IFERROR(__xludf.DUMMYFUNCTION("""COMPUTED_VALUE"""),2135)</f>
        <v>2135</v>
      </c>
      <c r="C148" s="2">
        <f ca="1">IFERROR(__xludf.DUMMYFUNCTION("""COMPUTED_VALUE"""),2140)</f>
        <v>2140</v>
      </c>
      <c r="D148" s="2">
        <f ca="1">IFERROR(__xludf.DUMMYFUNCTION("""COMPUTED_VALUE"""),2105)</f>
        <v>2105</v>
      </c>
      <c r="E148" s="2">
        <f ca="1">IFERROR(__xludf.DUMMYFUNCTION("""COMPUTED_VALUE"""),2110)</f>
        <v>2110</v>
      </c>
      <c r="F148" s="2">
        <f ca="1">IFERROR(__xludf.DUMMYFUNCTION("""COMPUTED_VALUE"""),10712600)</f>
        <v>10712600</v>
      </c>
    </row>
    <row r="149" spans="1:6">
      <c r="A149" s="5">
        <f ca="1">IFERROR(__xludf.DUMMYFUNCTION("""COMPUTED_VALUE"""),42226.625)</f>
        <v>42226.625</v>
      </c>
      <c r="B149" s="2">
        <f ca="1">IFERROR(__xludf.DUMMYFUNCTION("""COMPUTED_VALUE"""),2070)</f>
        <v>2070</v>
      </c>
      <c r="C149" s="2">
        <f ca="1">IFERROR(__xludf.DUMMYFUNCTION("""COMPUTED_VALUE"""),2115)</f>
        <v>2115</v>
      </c>
      <c r="D149" s="2">
        <f ca="1">IFERROR(__xludf.DUMMYFUNCTION("""COMPUTED_VALUE"""),2060)</f>
        <v>2060</v>
      </c>
      <c r="E149" s="2">
        <f ca="1">IFERROR(__xludf.DUMMYFUNCTION("""COMPUTED_VALUE"""),2115)</f>
        <v>2115</v>
      </c>
      <c r="F149" s="2">
        <f ca="1">IFERROR(__xludf.DUMMYFUNCTION("""COMPUTED_VALUE"""),11098500)</f>
        <v>11098500</v>
      </c>
    </row>
    <row r="150" spans="1:6">
      <c r="A150" s="5">
        <f ca="1">IFERROR(__xludf.DUMMYFUNCTION("""COMPUTED_VALUE"""),42227.625)</f>
        <v>42227.625</v>
      </c>
      <c r="B150" s="2">
        <f ca="1">IFERROR(__xludf.DUMMYFUNCTION("""COMPUTED_VALUE"""),2150)</f>
        <v>2150</v>
      </c>
      <c r="C150" s="2">
        <f ca="1">IFERROR(__xludf.DUMMYFUNCTION("""COMPUTED_VALUE"""),2155)</f>
        <v>2155</v>
      </c>
      <c r="D150" s="2">
        <f ca="1">IFERROR(__xludf.DUMMYFUNCTION("""COMPUTED_VALUE"""),2030)</f>
        <v>2030</v>
      </c>
      <c r="E150" s="2">
        <f ca="1">IFERROR(__xludf.DUMMYFUNCTION("""COMPUTED_VALUE"""),2030)</f>
        <v>2030</v>
      </c>
      <c r="F150" s="2">
        <f ca="1">IFERROR(__xludf.DUMMYFUNCTION("""COMPUTED_VALUE"""),16191500)</f>
        <v>16191500</v>
      </c>
    </row>
    <row r="151" spans="1:6">
      <c r="A151" s="5">
        <f ca="1">IFERROR(__xludf.DUMMYFUNCTION("""COMPUTED_VALUE"""),42228.625)</f>
        <v>42228.625</v>
      </c>
      <c r="B151" s="2">
        <f ca="1">IFERROR(__xludf.DUMMYFUNCTION("""COMPUTED_VALUE"""),1970)</f>
        <v>1970</v>
      </c>
      <c r="C151" s="2">
        <f ca="1">IFERROR(__xludf.DUMMYFUNCTION("""COMPUTED_VALUE"""),2005)</f>
        <v>2005</v>
      </c>
      <c r="D151" s="2">
        <f ca="1">IFERROR(__xludf.DUMMYFUNCTION("""COMPUTED_VALUE"""),1930)</f>
        <v>1930</v>
      </c>
      <c r="E151" s="2">
        <f ca="1">IFERROR(__xludf.DUMMYFUNCTION("""COMPUTED_VALUE"""),1940)</f>
        <v>1940</v>
      </c>
      <c r="F151" s="2">
        <f ca="1">IFERROR(__xludf.DUMMYFUNCTION("""COMPUTED_VALUE"""),46538500)</f>
        <v>46538500</v>
      </c>
    </row>
    <row r="152" spans="1:6">
      <c r="A152" s="5">
        <f ca="1">IFERROR(__xludf.DUMMYFUNCTION("""COMPUTED_VALUE"""),42229.625)</f>
        <v>42229.625</v>
      </c>
      <c r="B152" s="2">
        <f ca="1">IFERROR(__xludf.DUMMYFUNCTION("""COMPUTED_VALUE"""),1940)</f>
        <v>1940</v>
      </c>
      <c r="C152" s="2">
        <f ca="1">IFERROR(__xludf.DUMMYFUNCTION("""COMPUTED_VALUE"""),2055)</f>
        <v>2055</v>
      </c>
      <c r="D152" s="2">
        <f ca="1">IFERROR(__xludf.DUMMYFUNCTION("""COMPUTED_VALUE"""),1940)</f>
        <v>1940</v>
      </c>
      <c r="E152" s="2">
        <f ca="1">IFERROR(__xludf.DUMMYFUNCTION("""COMPUTED_VALUE"""),2005)</f>
        <v>2005</v>
      </c>
      <c r="F152" s="2">
        <f ca="1">IFERROR(__xludf.DUMMYFUNCTION("""COMPUTED_VALUE"""),41434900)</f>
        <v>41434900</v>
      </c>
    </row>
    <row r="153" spans="1:6">
      <c r="A153" s="5">
        <f ca="1">IFERROR(__xludf.DUMMYFUNCTION("""COMPUTED_VALUE"""),42230.625)</f>
        <v>42230.625</v>
      </c>
      <c r="B153" s="2">
        <f ca="1">IFERROR(__xludf.DUMMYFUNCTION("""COMPUTED_VALUE"""),2025)</f>
        <v>2025</v>
      </c>
      <c r="C153" s="2">
        <f ca="1">IFERROR(__xludf.DUMMYFUNCTION("""COMPUTED_VALUE"""),2045)</f>
        <v>2045</v>
      </c>
      <c r="D153" s="2">
        <f ca="1">IFERROR(__xludf.DUMMYFUNCTION("""COMPUTED_VALUE"""),2010)</f>
        <v>2010</v>
      </c>
      <c r="E153" s="2">
        <f ca="1">IFERROR(__xludf.DUMMYFUNCTION("""COMPUTED_VALUE"""),2045)</f>
        <v>2045</v>
      </c>
      <c r="F153" s="2">
        <f ca="1">IFERROR(__xludf.DUMMYFUNCTION("""COMPUTED_VALUE"""),14050200)</f>
        <v>14050200</v>
      </c>
    </row>
    <row r="154" spans="1:6">
      <c r="A154" s="5">
        <f ca="1">IFERROR(__xludf.DUMMYFUNCTION("""COMPUTED_VALUE"""),42234.625)</f>
        <v>42234.625</v>
      </c>
      <c r="B154" s="2">
        <f ca="1">IFERROR(__xludf.DUMMYFUNCTION("""COMPUTED_VALUE"""),2030)</f>
        <v>2030</v>
      </c>
      <c r="C154" s="2">
        <f ca="1">IFERROR(__xludf.DUMMYFUNCTION("""COMPUTED_VALUE"""),2040)</f>
        <v>2040</v>
      </c>
      <c r="D154" s="2">
        <f ca="1">IFERROR(__xludf.DUMMYFUNCTION("""COMPUTED_VALUE"""),1960)</f>
        <v>1960</v>
      </c>
      <c r="E154" s="2">
        <f ca="1">IFERROR(__xludf.DUMMYFUNCTION("""COMPUTED_VALUE"""),1960)</f>
        <v>1960</v>
      </c>
      <c r="F154" s="2">
        <f ca="1">IFERROR(__xludf.DUMMYFUNCTION("""COMPUTED_VALUE"""),23431100)</f>
        <v>23431100</v>
      </c>
    </row>
    <row r="155" spans="1:6">
      <c r="A155" s="5">
        <f ca="1">IFERROR(__xludf.DUMMYFUNCTION("""COMPUTED_VALUE"""),42235.625)</f>
        <v>42235.625</v>
      </c>
      <c r="B155" s="2">
        <f ca="1">IFERROR(__xludf.DUMMYFUNCTION("""COMPUTED_VALUE"""),1990)</f>
        <v>1990</v>
      </c>
      <c r="C155" s="2">
        <f ca="1">IFERROR(__xludf.DUMMYFUNCTION("""COMPUTED_VALUE"""),2015)</f>
        <v>2015</v>
      </c>
      <c r="D155" s="2">
        <f ca="1">IFERROR(__xludf.DUMMYFUNCTION("""COMPUTED_VALUE"""),1960)</f>
        <v>1960</v>
      </c>
      <c r="E155" s="2">
        <f ca="1">IFERROR(__xludf.DUMMYFUNCTION("""COMPUTED_VALUE"""),1980)</f>
        <v>1980</v>
      </c>
      <c r="F155" s="2">
        <f ca="1">IFERROR(__xludf.DUMMYFUNCTION("""COMPUTED_VALUE"""),15568800)</f>
        <v>15568800</v>
      </c>
    </row>
    <row r="156" spans="1:6">
      <c r="A156" s="5">
        <f ca="1">IFERROR(__xludf.DUMMYFUNCTION("""COMPUTED_VALUE"""),42236.625)</f>
        <v>42236.625</v>
      </c>
      <c r="B156" s="2">
        <f ca="1">IFERROR(__xludf.DUMMYFUNCTION("""COMPUTED_VALUE"""),1960)</f>
        <v>1960</v>
      </c>
      <c r="C156" s="2">
        <f ca="1">IFERROR(__xludf.DUMMYFUNCTION("""COMPUTED_VALUE"""),1980)</f>
        <v>1980</v>
      </c>
      <c r="D156" s="2">
        <f ca="1">IFERROR(__xludf.DUMMYFUNCTION("""COMPUTED_VALUE"""),1935)</f>
        <v>1935</v>
      </c>
      <c r="E156" s="2">
        <f ca="1">IFERROR(__xludf.DUMMYFUNCTION("""COMPUTED_VALUE"""),1945)</f>
        <v>1945</v>
      </c>
      <c r="F156" s="2">
        <f ca="1">IFERROR(__xludf.DUMMYFUNCTION("""COMPUTED_VALUE"""),25328100)</f>
        <v>25328100</v>
      </c>
    </row>
    <row r="157" spans="1:6">
      <c r="A157" s="5">
        <f ca="1">IFERROR(__xludf.DUMMYFUNCTION("""COMPUTED_VALUE"""),42237.625)</f>
        <v>42237.625</v>
      </c>
      <c r="B157" s="2">
        <f ca="1">IFERROR(__xludf.DUMMYFUNCTION("""COMPUTED_VALUE"""),1900)</f>
        <v>1900</v>
      </c>
      <c r="C157" s="2">
        <f ca="1">IFERROR(__xludf.DUMMYFUNCTION("""COMPUTED_VALUE"""),1910)</f>
        <v>1910</v>
      </c>
      <c r="D157" s="2">
        <f ca="1">IFERROR(__xludf.DUMMYFUNCTION("""COMPUTED_VALUE"""),1885)</f>
        <v>1885</v>
      </c>
      <c r="E157" s="2">
        <f ca="1">IFERROR(__xludf.DUMMYFUNCTION("""COMPUTED_VALUE"""),1900)</f>
        <v>1900</v>
      </c>
      <c r="F157" s="2">
        <f ca="1">IFERROR(__xludf.DUMMYFUNCTION("""COMPUTED_VALUE"""),32273300)</f>
        <v>32273300</v>
      </c>
    </row>
    <row r="158" spans="1:6">
      <c r="A158" s="5">
        <f ca="1">IFERROR(__xludf.DUMMYFUNCTION("""COMPUTED_VALUE"""),42240.625)</f>
        <v>42240.625</v>
      </c>
      <c r="B158" s="2">
        <f ca="1">IFERROR(__xludf.DUMMYFUNCTION("""COMPUTED_VALUE"""),1840)</f>
        <v>1840</v>
      </c>
      <c r="C158" s="2">
        <f ca="1">IFERROR(__xludf.DUMMYFUNCTION("""COMPUTED_VALUE"""),1865)</f>
        <v>1865</v>
      </c>
      <c r="D158" s="2">
        <f ca="1">IFERROR(__xludf.DUMMYFUNCTION("""COMPUTED_VALUE"""),1805)</f>
        <v>1805</v>
      </c>
      <c r="E158" s="2">
        <f ca="1">IFERROR(__xludf.DUMMYFUNCTION("""COMPUTED_VALUE"""),1830)</f>
        <v>1830</v>
      </c>
      <c r="F158" s="2">
        <f ca="1">IFERROR(__xludf.DUMMYFUNCTION("""COMPUTED_VALUE"""),45182900)</f>
        <v>45182900</v>
      </c>
    </row>
    <row r="159" spans="1:6">
      <c r="A159" s="5">
        <f ca="1">IFERROR(__xludf.DUMMYFUNCTION("""COMPUTED_VALUE"""),42241.625)</f>
        <v>42241.625</v>
      </c>
      <c r="B159" s="2">
        <f ca="1">IFERROR(__xludf.DUMMYFUNCTION("""COMPUTED_VALUE"""),1850)</f>
        <v>1850</v>
      </c>
      <c r="C159" s="2">
        <f ca="1">IFERROR(__xludf.DUMMYFUNCTION("""COMPUTED_VALUE"""),1950)</f>
        <v>1950</v>
      </c>
      <c r="D159" s="2">
        <f ca="1">IFERROR(__xludf.DUMMYFUNCTION("""COMPUTED_VALUE"""),1850)</f>
        <v>1850</v>
      </c>
      <c r="E159" s="2">
        <f ca="1">IFERROR(__xludf.DUMMYFUNCTION("""COMPUTED_VALUE"""),1900)</f>
        <v>1900</v>
      </c>
      <c r="F159" s="2">
        <f ca="1">IFERROR(__xludf.DUMMYFUNCTION("""COMPUTED_VALUE"""),47038700)</f>
        <v>47038700</v>
      </c>
    </row>
    <row r="160" spans="1:6">
      <c r="A160" s="5">
        <f ca="1">IFERROR(__xludf.DUMMYFUNCTION("""COMPUTED_VALUE"""),42242.625)</f>
        <v>42242.625</v>
      </c>
      <c r="B160" s="2">
        <f ca="1">IFERROR(__xludf.DUMMYFUNCTION("""COMPUTED_VALUE"""),1950)</f>
        <v>1950</v>
      </c>
      <c r="C160" s="2">
        <f ca="1">IFERROR(__xludf.DUMMYFUNCTION("""COMPUTED_VALUE"""),1955)</f>
        <v>1955</v>
      </c>
      <c r="D160" s="2">
        <f ca="1">IFERROR(__xludf.DUMMYFUNCTION("""COMPUTED_VALUE"""),1860)</f>
        <v>1860</v>
      </c>
      <c r="E160" s="2">
        <f ca="1">IFERROR(__xludf.DUMMYFUNCTION("""COMPUTED_VALUE"""),1950)</f>
        <v>1950</v>
      </c>
      <c r="F160" s="2">
        <f ca="1">IFERROR(__xludf.DUMMYFUNCTION("""COMPUTED_VALUE"""),43496700)</f>
        <v>43496700</v>
      </c>
    </row>
    <row r="161" spans="1:6">
      <c r="A161" s="5">
        <f ca="1">IFERROR(__xludf.DUMMYFUNCTION("""COMPUTED_VALUE"""),42243.625)</f>
        <v>42243.625</v>
      </c>
      <c r="B161" s="2">
        <f ca="1">IFERROR(__xludf.DUMMYFUNCTION("""COMPUTED_VALUE"""),2010)</f>
        <v>2010</v>
      </c>
      <c r="C161" s="2">
        <f ca="1">IFERROR(__xludf.DUMMYFUNCTION("""COMPUTED_VALUE"""),2100)</f>
        <v>2100</v>
      </c>
      <c r="D161" s="2">
        <f ca="1">IFERROR(__xludf.DUMMYFUNCTION("""COMPUTED_VALUE"""),2005)</f>
        <v>2005</v>
      </c>
      <c r="E161" s="2">
        <f ca="1">IFERROR(__xludf.DUMMYFUNCTION("""COMPUTED_VALUE"""),2100)</f>
        <v>2100</v>
      </c>
      <c r="F161" s="2">
        <f ca="1">IFERROR(__xludf.DUMMYFUNCTION("""COMPUTED_VALUE"""),44924100)</f>
        <v>44924100</v>
      </c>
    </row>
    <row r="162" spans="1:6">
      <c r="A162" s="5">
        <f ca="1">IFERROR(__xludf.DUMMYFUNCTION("""COMPUTED_VALUE"""),42244.625)</f>
        <v>42244.625</v>
      </c>
      <c r="B162" s="2">
        <f ca="1">IFERROR(__xludf.DUMMYFUNCTION("""COMPUTED_VALUE"""),2130)</f>
        <v>2130</v>
      </c>
      <c r="C162" s="2">
        <f ca="1">IFERROR(__xludf.DUMMYFUNCTION("""COMPUTED_VALUE"""),2160)</f>
        <v>2160</v>
      </c>
      <c r="D162" s="2">
        <f ca="1">IFERROR(__xludf.DUMMYFUNCTION("""COMPUTED_VALUE"""),2080)</f>
        <v>2080</v>
      </c>
      <c r="E162" s="2">
        <f ca="1">IFERROR(__xludf.DUMMYFUNCTION("""COMPUTED_VALUE"""),2080)</f>
        <v>2080</v>
      </c>
      <c r="F162" s="2">
        <f ca="1">IFERROR(__xludf.DUMMYFUNCTION("""COMPUTED_VALUE"""),42644400)</f>
        <v>42644400</v>
      </c>
    </row>
    <row r="163" spans="1:6">
      <c r="A163" s="5">
        <f ca="1">IFERROR(__xludf.DUMMYFUNCTION("""COMPUTED_VALUE"""),42247.625)</f>
        <v>42247.625</v>
      </c>
      <c r="B163" s="2">
        <f ca="1">IFERROR(__xludf.DUMMYFUNCTION("""COMPUTED_VALUE"""),2060)</f>
        <v>2060</v>
      </c>
      <c r="C163" s="2">
        <f ca="1">IFERROR(__xludf.DUMMYFUNCTION("""COMPUTED_VALUE"""),2135)</f>
        <v>2135</v>
      </c>
      <c r="D163" s="2">
        <f ca="1">IFERROR(__xludf.DUMMYFUNCTION("""COMPUTED_VALUE"""),2060)</f>
        <v>2060</v>
      </c>
      <c r="E163" s="2">
        <f ca="1">IFERROR(__xludf.DUMMYFUNCTION("""COMPUTED_VALUE"""),2125)</f>
        <v>2125</v>
      </c>
      <c r="F163" s="2">
        <f ca="1">IFERROR(__xludf.DUMMYFUNCTION("""COMPUTED_VALUE"""),37162400)</f>
        <v>37162400</v>
      </c>
    </row>
    <row r="164" spans="1:6">
      <c r="A164" s="5">
        <f ca="1">IFERROR(__xludf.DUMMYFUNCTION("""COMPUTED_VALUE"""),42248.625)</f>
        <v>42248.625</v>
      </c>
      <c r="B164" s="2">
        <f ca="1">IFERROR(__xludf.DUMMYFUNCTION("""COMPUTED_VALUE"""),2080)</f>
        <v>2080</v>
      </c>
      <c r="C164" s="2">
        <f ca="1">IFERROR(__xludf.DUMMYFUNCTION("""COMPUTED_VALUE"""),2110)</f>
        <v>2110</v>
      </c>
      <c r="D164" s="2">
        <f ca="1">IFERROR(__xludf.DUMMYFUNCTION("""COMPUTED_VALUE"""),2020)</f>
        <v>2020</v>
      </c>
      <c r="E164" s="2">
        <f ca="1">IFERROR(__xludf.DUMMYFUNCTION("""COMPUTED_VALUE"""),2020)</f>
        <v>2020</v>
      </c>
      <c r="F164" s="2">
        <f ca="1">IFERROR(__xludf.DUMMYFUNCTION("""COMPUTED_VALUE"""),23320600)</f>
        <v>23320600</v>
      </c>
    </row>
    <row r="165" spans="1:6">
      <c r="A165" s="5">
        <f ca="1">IFERROR(__xludf.DUMMYFUNCTION("""COMPUTED_VALUE"""),42249.625)</f>
        <v>42249.625</v>
      </c>
      <c r="B165" s="2">
        <f ca="1">IFERROR(__xludf.DUMMYFUNCTION("""COMPUTED_VALUE"""),2000)</f>
        <v>2000</v>
      </c>
      <c r="C165" s="2">
        <f ca="1">IFERROR(__xludf.DUMMYFUNCTION("""COMPUTED_VALUE"""),2055)</f>
        <v>2055</v>
      </c>
      <c r="D165" s="2">
        <f ca="1">IFERROR(__xludf.DUMMYFUNCTION("""COMPUTED_VALUE"""),1975)</f>
        <v>1975</v>
      </c>
      <c r="E165" s="2">
        <f ca="1">IFERROR(__xludf.DUMMYFUNCTION("""COMPUTED_VALUE"""),2040)</f>
        <v>2040</v>
      </c>
      <c r="F165" s="2">
        <f ca="1">IFERROR(__xludf.DUMMYFUNCTION("""COMPUTED_VALUE"""),21992800)</f>
        <v>21992800</v>
      </c>
    </row>
    <row r="166" spans="1:6">
      <c r="A166" s="5">
        <f ca="1">IFERROR(__xludf.DUMMYFUNCTION("""COMPUTED_VALUE"""),42250.625)</f>
        <v>42250.625</v>
      </c>
      <c r="B166" s="2">
        <f ca="1">IFERROR(__xludf.DUMMYFUNCTION("""COMPUTED_VALUE"""),2055)</f>
        <v>2055</v>
      </c>
      <c r="C166" s="2">
        <f ca="1">IFERROR(__xludf.DUMMYFUNCTION("""COMPUTED_VALUE"""),2060)</f>
        <v>2060</v>
      </c>
      <c r="D166" s="2">
        <f ca="1">IFERROR(__xludf.DUMMYFUNCTION("""COMPUTED_VALUE"""),2020)</f>
        <v>2020</v>
      </c>
      <c r="E166" s="2">
        <f ca="1">IFERROR(__xludf.DUMMYFUNCTION("""COMPUTED_VALUE"""),2030)</f>
        <v>2030</v>
      </c>
      <c r="F166" s="2">
        <f ca="1">IFERROR(__xludf.DUMMYFUNCTION("""COMPUTED_VALUE"""),17133500)</f>
        <v>17133500</v>
      </c>
    </row>
    <row r="167" spans="1:6">
      <c r="A167" s="5">
        <f ca="1">IFERROR(__xludf.DUMMYFUNCTION("""COMPUTED_VALUE"""),42251.625)</f>
        <v>42251.625</v>
      </c>
      <c r="B167" s="2">
        <f ca="1">IFERROR(__xludf.DUMMYFUNCTION("""COMPUTED_VALUE"""),2000)</f>
        <v>2000</v>
      </c>
      <c r="C167" s="2">
        <f ca="1">IFERROR(__xludf.DUMMYFUNCTION("""COMPUTED_VALUE"""),2040)</f>
        <v>2040</v>
      </c>
      <c r="D167" s="2">
        <f ca="1">IFERROR(__xludf.DUMMYFUNCTION("""COMPUTED_VALUE"""),1990)</f>
        <v>1990</v>
      </c>
      <c r="E167" s="2">
        <f ca="1">IFERROR(__xludf.DUMMYFUNCTION("""COMPUTED_VALUE"""),2015)</f>
        <v>2015</v>
      </c>
      <c r="F167" s="2">
        <f ca="1">IFERROR(__xludf.DUMMYFUNCTION("""COMPUTED_VALUE"""),19392800)</f>
        <v>19392800</v>
      </c>
    </row>
    <row r="168" spans="1:6">
      <c r="A168" s="5">
        <f ca="1">IFERROR(__xludf.DUMMYFUNCTION("""COMPUTED_VALUE"""),42254.625)</f>
        <v>42254.625</v>
      </c>
      <c r="B168" s="2">
        <f ca="1">IFERROR(__xludf.DUMMYFUNCTION("""COMPUTED_VALUE"""),2010)</f>
        <v>2010</v>
      </c>
      <c r="C168" s="2">
        <f ca="1">IFERROR(__xludf.DUMMYFUNCTION("""COMPUTED_VALUE"""),2015)</f>
        <v>2015</v>
      </c>
      <c r="D168" s="2">
        <f ca="1">IFERROR(__xludf.DUMMYFUNCTION("""COMPUTED_VALUE"""),1955)</f>
        <v>1955</v>
      </c>
      <c r="E168" s="2">
        <f ca="1">IFERROR(__xludf.DUMMYFUNCTION("""COMPUTED_VALUE"""),1955)</f>
        <v>1955</v>
      </c>
      <c r="F168" s="2">
        <f ca="1">IFERROR(__xludf.DUMMYFUNCTION("""COMPUTED_VALUE"""),16076400)</f>
        <v>16076400</v>
      </c>
    </row>
    <row r="169" spans="1:6">
      <c r="A169" s="5">
        <f ca="1">IFERROR(__xludf.DUMMYFUNCTION("""COMPUTED_VALUE"""),42255.625)</f>
        <v>42255.625</v>
      </c>
      <c r="B169" s="2">
        <f ca="1">IFERROR(__xludf.DUMMYFUNCTION("""COMPUTED_VALUE"""),1950)</f>
        <v>1950</v>
      </c>
      <c r="C169" s="2">
        <f ca="1">IFERROR(__xludf.DUMMYFUNCTION("""COMPUTED_VALUE"""),2000)</f>
        <v>2000</v>
      </c>
      <c r="D169" s="2">
        <f ca="1">IFERROR(__xludf.DUMMYFUNCTION("""COMPUTED_VALUE"""),1940)</f>
        <v>1940</v>
      </c>
      <c r="E169" s="2">
        <f ca="1">IFERROR(__xludf.DUMMYFUNCTION("""COMPUTED_VALUE"""),1985)</f>
        <v>1985</v>
      </c>
      <c r="F169" s="2">
        <f ca="1">IFERROR(__xludf.DUMMYFUNCTION("""COMPUTED_VALUE"""),15934100)</f>
        <v>15934100</v>
      </c>
    </row>
    <row r="170" spans="1:6">
      <c r="A170" s="5">
        <f ca="1">IFERROR(__xludf.DUMMYFUNCTION("""COMPUTED_VALUE"""),42256.625)</f>
        <v>42256.625</v>
      </c>
      <c r="B170" s="2">
        <f ca="1">IFERROR(__xludf.DUMMYFUNCTION("""COMPUTED_VALUE"""),2010)</f>
        <v>2010</v>
      </c>
      <c r="C170" s="2">
        <f ca="1">IFERROR(__xludf.DUMMYFUNCTION("""COMPUTED_VALUE"""),2020)</f>
        <v>2020</v>
      </c>
      <c r="D170" s="2">
        <f ca="1">IFERROR(__xludf.DUMMYFUNCTION("""COMPUTED_VALUE"""),1975)</f>
        <v>1975</v>
      </c>
      <c r="E170" s="2">
        <f ca="1">IFERROR(__xludf.DUMMYFUNCTION("""COMPUTED_VALUE"""),1985)</f>
        <v>1985</v>
      </c>
      <c r="F170" s="2">
        <f ca="1">IFERROR(__xludf.DUMMYFUNCTION("""COMPUTED_VALUE"""),33982700)</f>
        <v>33982700</v>
      </c>
    </row>
    <row r="171" spans="1:6">
      <c r="A171" s="5">
        <f ca="1">IFERROR(__xludf.DUMMYFUNCTION("""COMPUTED_VALUE"""),42257.625)</f>
        <v>42257.625</v>
      </c>
      <c r="B171" s="2">
        <f ca="1">IFERROR(__xludf.DUMMYFUNCTION("""COMPUTED_VALUE"""),1955)</f>
        <v>1955</v>
      </c>
      <c r="C171" s="2">
        <f ca="1">IFERROR(__xludf.DUMMYFUNCTION("""COMPUTED_VALUE"""),1960)</f>
        <v>1960</v>
      </c>
      <c r="D171" s="2">
        <f ca="1">IFERROR(__xludf.DUMMYFUNCTION("""COMPUTED_VALUE"""),1925)</f>
        <v>1925</v>
      </c>
      <c r="E171" s="2">
        <f ca="1">IFERROR(__xludf.DUMMYFUNCTION("""COMPUTED_VALUE"""),1930)</f>
        <v>1930</v>
      </c>
      <c r="F171" s="2">
        <f ca="1">IFERROR(__xludf.DUMMYFUNCTION("""COMPUTED_VALUE"""),24840600)</f>
        <v>24840600</v>
      </c>
    </row>
    <row r="172" spans="1:6">
      <c r="A172" s="5">
        <f ca="1">IFERROR(__xludf.DUMMYFUNCTION("""COMPUTED_VALUE"""),42258.625)</f>
        <v>42258.625</v>
      </c>
      <c r="B172" s="2">
        <f ca="1">IFERROR(__xludf.DUMMYFUNCTION("""COMPUTED_VALUE"""),1950)</f>
        <v>1950</v>
      </c>
      <c r="C172" s="2">
        <f ca="1">IFERROR(__xludf.DUMMYFUNCTION("""COMPUTED_VALUE"""),1955)</f>
        <v>1955</v>
      </c>
      <c r="D172" s="2">
        <f ca="1">IFERROR(__xludf.DUMMYFUNCTION("""COMPUTED_VALUE"""),1920)</f>
        <v>1920</v>
      </c>
      <c r="E172" s="2">
        <f ca="1">IFERROR(__xludf.DUMMYFUNCTION("""COMPUTED_VALUE"""),1920)</f>
        <v>1920</v>
      </c>
      <c r="F172" s="2">
        <f ca="1">IFERROR(__xludf.DUMMYFUNCTION("""COMPUTED_VALUE"""),12592000)</f>
        <v>12592000</v>
      </c>
    </row>
    <row r="173" spans="1:6">
      <c r="A173" s="5">
        <f ca="1">IFERROR(__xludf.DUMMYFUNCTION("""COMPUTED_VALUE"""),42261.625)</f>
        <v>42261.625</v>
      </c>
      <c r="B173" s="2">
        <f ca="1">IFERROR(__xludf.DUMMYFUNCTION("""COMPUTED_VALUE"""),1945)</f>
        <v>1945</v>
      </c>
      <c r="C173" s="2">
        <f ca="1">IFERROR(__xludf.DUMMYFUNCTION("""COMPUTED_VALUE"""),1945)</f>
        <v>1945</v>
      </c>
      <c r="D173" s="2">
        <f ca="1">IFERROR(__xludf.DUMMYFUNCTION("""COMPUTED_VALUE"""),1905)</f>
        <v>1905</v>
      </c>
      <c r="E173" s="2">
        <f ca="1">IFERROR(__xludf.DUMMYFUNCTION("""COMPUTED_VALUE"""),1925)</f>
        <v>1925</v>
      </c>
      <c r="F173" s="2">
        <f ca="1">IFERROR(__xludf.DUMMYFUNCTION("""COMPUTED_VALUE"""),14880500)</f>
        <v>14880500</v>
      </c>
    </row>
    <row r="174" spans="1:6">
      <c r="A174" s="5">
        <f ca="1">IFERROR(__xludf.DUMMYFUNCTION("""COMPUTED_VALUE"""),42262.625)</f>
        <v>42262.625</v>
      </c>
      <c r="B174" s="2">
        <f ca="1">IFERROR(__xludf.DUMMYFUNCTION("""COMPUTED_VALUE"""),1915)</f>
        <v>1915</v>
      </c>
      <c r="C174" s="2">
        <f ca="1">IFERROR(__xludf.DUMMYFUNCTION("""COMPUTED_VALUE"""),1925)</f>
        <v>1925</v>
      </c>
      <c r="D174" s="2">
        <f ca="1">IFERROR(__xludf.DUMMYFUNCTION("""COMPUTED_VALUE"""),1905)</f>
        <v>1905</v>
      </c>
      <c r="E174" s="2">
        <f ca="1">IFERROR(__xludf.DUMMYFUNCTION("""COMPUTED_VALUE"""),1925)</f>
        <v>1925</v>
      </c>
      <c r="F174" s="2">
        <f ca="1">IFERROR(__xludf.DUMMYFUNCTION("""COMPUTED_VALUE"""),15093500)</f>
        <v>15093500</v>
      </c>
    </row>
    <row r="175" spans="1:6">
      <c r="A175" s="5">
        <f ca="1">IFERROR(__xludf.DUMMYFUNCTION("""COMPUTED_VALUE"""),42263.625)</f>
        <v>42263.625</v>
      </c>
      <c r="B175" s="2">
        <f ca="1">IFERROR(__xludf.DUMMYFUNCTION("""COMPUTED_VALUE"""),1930)</f>
        <v>1930</v>
      </c>
      <c r="C175" s="2">
        <f ca="1">IFERROR(__xludf.DUMMYFUNCTION("""COMPUTED_VALUE"""),1945)</f>
        <v>1945</v>
      </c>
      <c r="D175" s="2">
        <f ca="1">IFERROR(__xludf.DUMMYFUNCTION("""COMPUTED_VALUE"""),1915)</f>
        <v>1915</v>
      </c>
      <c r="E175" s="2">
        <f ca="1">IFERROR(__xludf.DUMMYFUNCTION("""COMPUTED_VALUE"""),1920)</f>
        <v>1920</v>
      </c>
      <c r="F175" s="2">
        <f ca="1">IFERROR(__xludf.DUMMYFUNCTION("""COMPUTED_VALUE"""),10110100)</f>
        <v>10110100</v>
      </c>
    </row>
    <row r="176" spans="1:6">
      <c r="A176" s="5">
        <f ca="1">IFERROR(__xludf.DUMMYFUNCTION("""COMPUTED_VALUE"""),42264.625)</f>
        <v>42264.625</v>
      </c>
      <c r="B176" s="2">
        <f ca="1">IFERROR(__xludf.DUMMYFUNCTION("""COMPUTED_VALUE"""),1945)</f>
        <v>1945</v>
      </c>
      <c r="C176" s="2">
        <f ca="1">IFERROR(__xludf.DUMMYFUNCTION("""COMPUTED_VALUE"""),2010)</f>
        <v>2010</v>
      </c>
      <c r="D176" s="2">
        <f ca="1">IFERROR(__xludf.DUMMYFUNCTION("""COMPUTED_VALUE"""),1920)</f>
        <v>1920</v>
      </c>
      <c r="E176" s="2">
        <f ca="1">IFERROR(__xludf.DUMMYFUNCTION("""COMPUTED_VALUE"""),2005)</f>
        <v>2005</v>
      </c>
      <c r="F176" s="2">
        <f ca="1">IFERROR(__xludf.DUMMYFUNCTION("""COMPUTED_VALUE"""),20838500)</f>
        <v>20838500</v>
      </c>
    </row>
    <row r="177" spans="1:6">
      <c r="A177" s="5">
        <f ca="1">IFERROR(__xludf.DUMMYFUNCTION("""COMPUTED_VALUE"""),42265.625)</f>
        <v>42265.625</v>
      </c>
      <c r="B177" s="2">
        <f ca="1">IFERROR(__xludf.DUMMYFUNCTION("""COMPUTED_VALUE"""),2010)</f>
        <v>2010</v>
      </c>
      <c r="C177" s="2">
        <f ca="1">IFERROR(__xludf.DUMMYFUNCTION("""COMPUTED_VALUE"""),2015)</f>
        <v>2015</v>
      </c>
      <c r="D177" s="2">
        <f ca="1">IFERROR(__xludf.DUMMYFUNCTION("""COMPUTED_VALUE"""),1955)</f>
        <v>1955</v>
      </c>
      <c r="E177" s="2">
        <f ca="1">IFERROR(__xludf.DUMMYFUNCTION("""COMPUTED_VALUE"""),1955)</f>
        <v>1955</v>
      </c>
      <c r="F177" s="2">
        <f ca="1">IFERROR(__xludf.DUMMYFUNCTION("""COMPUTED_VALUE"""),23000800)</f>
        <v>23000800</v>
      </c>
    </row>
    <row r="178" spans="1:6">
      <c r="A178" s="5">
        <f ca="1">IFERROR(__xludf.DUMMYFUNCTION("""COMPUTED_VALUE"""),42268.625)</f>
        <v>42268.625</v>
      </c>
      <c r="B178" s="2">
        <f ca="1">IFERROR(__xludf.DUMMYFUNCTION("""COMPUTED_VALUE"""),1920)</f>
        <v>1920</v>
      </c>
      <c r="C178" s="2">
        <f ca="1">IFERROR(__xludf.DUMMYFUNCTION("""COMPUTED_VALUE"""),1930)</f>
        <v>1930</v>
      </c>
      <c r="D178" s="2">
        <f ca="1">IFERROR(__xludf.DUMMYFUNCTION("""COMPUTED_VALUE"""),1900)</f>
        <v>1900</v>
      </c>
      <c r="E178" s="2">
        <f ca="1">IFERROR(__xludf.DUMMYFUNCTION("""COMPUTED_VALUE"""),1905)</f>
        <v>1905</v>
      </c>
      <c r="F178" s="2">
        <f ca="1">IFERROR(__xludf.DUMMYFUNCTION("""COMPUTED_VALUE"""),24071500)</f>
        <v>24071500</v>
      </c>
    </row>
    <row r="179" spans="1:6">
      <c r="A179" s="5">
        <f ca="1">IFERROR(__xludf.DUMMYFUNCTION("""COMPUTED_VALUE"""),42269.625)</f>
        <v>42269.625</v>
      </c>
      <c r="B179" s="2">
        <f ca="1">IFERROR(__xludf.DUMMYFUNCTION("""COMPUTED_VALUE"""),1905)</f>
        <v>1905</v>
      </c>
      <c r="C179" s="2">
        <f ca="1">IFERROR(__xludf.DUMMYFUNCTION("""COMPUTED_VALUE"""),1920)</f>
        <v>1920</v>
      </c>
      <c r="D179" s="2">
        <f ca="1">IFERROR(__xludf.DUMMYFUNCTION("""COMPUTED_VALUE"""),1855)</f>
        <v>1855</v>
      </c>
      <c r="E179" s="2">
        <f ca="1">IFERROR(__xludf.DUMMYFUNCTION("""COMPUTED_VALUE"""),1870)</f>
        <v>1870</v>
      </c>
      <c r="F179" s="2">
        <f ca="1">IFERROR(__xludf.DUMMYFUNCTION("""COMPUTED_VALUE"""),31829000)</f>
        <v>31829000</v>
      </c>
    </row>
    <row r="180" spans="1:6">
      <c r="A180" s="5">
        <f ca="1">IFERROR(__xludf.DUMMYFUNCTION("""COMPUTED_VALUE"""),42270.625)</f>
        <v>42270.625</v>
      </c>
      <c r="B180" s="2">
        <f ca="1">IFERROR(__xludf.DUMMYFUNCTION("""COMPUTED_VALUE"""),1840)</f>
        <v>1840</v>
      </c>
      <c r="C180" s="2">
        <f ca="1">IFERROR(__xludf.DUMMYFUNCTION("""COMPUTED_VALUE"""),1840)</f>
        <v>1840</v>
      </c>
      <c r="D180" s="2">
        <f ca="1">IFERROR(__xludf.DUMMYFUNCTION("""COMPUTED_VALUE"""),1755)</f>
        <v>1755</v>
      </c>
      <c r="E180" s="2">
        <f ca="1">IFERROR(__xludf.DUMMYFUNCTION("""COMPUTED_VALUE"""),1760)</f>
        <v>1760</v>
      </c>
      <c r="F180" s="2">
        <f ca="1">IFERROR(__xludf.DUMMYFUNCTION("""COMPUTED_VALUE"""),68915300)</f>
        <v>68915300</v>
      </c>
    </row>
    <row r="181" spans="1:6">
      <c r="A181" s="5">
        <f ca="1">IFERROR(__xludf.DUMMYFUNCTION("""COMPUTED_VALUE"""),42272.625)</f>
        <v>42272.625</v>
      </c>
      <c r="B181" s="2">
        <f ca="1">IFERROR(__xludf.DUMMYFUNCTION("""COMPUTED_VALUE"""),1740)</f>
        <v>1740</v>
      </c>
      <c r="C181" s="2">
        <f ca="1">IFERROR(__xludf.DUMMYFUNCTION("""COMPUTED_VALUE"""),1740)</f>
        <v>1740</v>
      </c>
      <c r="D181" s="2">
        <f ca="1">IFERROR(__xludf.DUMMYFUNCTION("""COMPUTED_VALUE"""),1665)</f>
        <v>1665</v>
      </c>
      <c r="E181" s="2">
        <f ca="1">IFERROR(__xludf.DUMMYFUNCTION("""COMPUTED_VALUE"""),1710)</f>
        <v>1710</v>
      </c>
      <c r="F181" s="2">
        <f ca="1">IFERROR(__xludf.DUMMYFUNCTION("""COMPUTED_VALUE"""),83085400)</f>
        <v>83085400</v>
      </c>
    </row>
    <row r="182" spans="1:6">
      <c r="A182" s="5">
        <f ca="1">IFERROR(__xludf.DUMMYFUNCTION("""COMPUTED_VALUE"""),42275.625)</f>
        <v>42275.625</v>
      </c>
      <c r="B182" s="2">
        <f ca="1">IFERROR(__xludf.DUMMYFUNCTION("""COMPUTED_VALUE"""),1700)</f>
        <v>1700</v>
      </c>
      <c r="C182" s="2">
        <f ca="1">IFERROR(__xludf.DUMMYFUNCTION("""COMPUTED_VALUE"""),1705)</f>
        <v>1705</v>
      </c>
      <c r="D182" s="2">
        <f ca="1">IFERROR(__xludf.DUMMYFUNCTION("""COMPUTED_VALUE"""),1660)</f>
        <v>1660</v>
      </c>
      <c r="E182" s="2">
        <f ca="1">IFERROR(__xludf.DUMMYFUNCTION("""COMPUTED_VALUE"""),1660)</f>
        <v>1660</v>
      </c>
      <c r="F182" s="2">
        <f ca="1">IFERROR(__xludf.DUMMYFUNCTION("""COMPUTED_VALUE"""),41996300)</f>
        <v>41996300</v>
      </c>
    </row>
    <row r="183" spans="1:6">
      <c r="A183" s="5">
        <f ca="1">IFERROR(__xludf.DUMMYFUNCTION("""COMPUTED_VALUE"""),42276.625)</f>
        <v>42276.625</v>
      </c>
      <c r="B183" s="2">
        <f ca="1">IFERROR(__xludf.DUMMYFUNCTION("""COMPUTED_VALUE"""),1610)</f>
        <v>1610</v>
      </c>
      <c r="C183" s="2">
        <f ca="1">IFERROR(__xludf.DUMMYFUNCTION("""COMPUTED_VALUE"""),1675)</f>
        <v>1675</v>
      </c>
      <c r="D183" s="2">
        <f ca="1">IFERROR(__xludf.DUMMYFUNCTION("""COMPUTED_VALUE"""),1595)</f>
        <v>1595</v>
      </c>
      <c r="E183" s="2">
        <f ca="1">IFERROR(__xludf.DUMMYFUNCTION("""COMPUTED_VALUE"""),1670)</f>
        <v>1670</v>
      </c>
      <c r="F183" s="2">
        <f ca="1">IFERROR(__xludf.DUMMYFUNCTION("""COMPUTED_VALUE"""),60598900)</f>
        <v>60598900</v>
      </c>
    </row>
    <row r="184" spans="1:6">
      <c r="A184" s="5">
        <f ca="1">IFERROR(__xludf.DUMMYFUNCTION("""COMPUTED_VALUE"""),42277.625)</f>
        <v>42277.625</v>
      </c>
      <c r="B184" s="2">
        <f ca="1">IFERROR(__xludf.DUMMYFUNCTION("""COMPUTED_VALUE"""),1690)</f>
        <v>1690</v>
      </c>
      <c r="C184" s="2">
        <f ca="1">IFERROR(__xludf.DUMMYFUNCTION("""COMPUTED_VALUE"""),1740)</f>
        <v>1740</v>
      </c>
      <c r="D184" s="2">
        <f ca="1">IFERROR(__xludf.DUMMYFUNCTION("""COMPUTED_VALUE"""),1675)</f>
        <v>1675</v>
      </c>
      <c r="E184" s="2">
        <f ca="1">IFERROR(__xludf.DUMMYFUNCTION("""COMPUTED_VALUE"""),1730)</f>
        <v>1730</v>
      </c>
      <c r="F184" s="2">
        <f ca="1">IFERROR(__xludf.DUMMYFUNCTION("""COMPUTED_VALUE"""),75084900)</f>
        <v>75084900</v>
      </c>
    </row>
    <row r="185" spans="1:6">
      <c r="A185" s="5">
        <f ca="1">IFERROR(__xludf.DUMMYFUNCTION("""COMPUTED_VALUE"""),42278.625)</f>
        <v>42278.625</v>
      </c>
      <c r="B185" s="2">
        <f ca="1">IFERROR(__xludf.DUMMYFUNCTION("""COMPUTED_VALUE"""),1745)</f>
        <v>1745</v>
      </c>
      <c r="C185" s="2">
        <f ca="1">IFERROR(__xludf.DUMMYFUNCTION("""COMPUTED_VALUE"""),1760)</f>
        <v>1760</v>
      </c>
      <c r="D185" s="2">
        <f ca="1">IFERROR(__xludf.DUMMYFUNCTION("""COMPUTED_VALUE"""),1720)</f>
        <v>1720</v>
      </c>
      <c r="E185" s="2">
        <f ca="1">IFERROR(__xludf.DUMMYFUNCTION("""COMPUTED_VALUE"""),1745)</f>
        <v>1745</v>
      </c>
      <c r="F185" s="2">
        <f ca="1">IFERROR(__xludf.DUMMYFUNCTION("""COMPUTED_VALUE"""),30734300)</f>
        <v>30734300</v>
      </c>
    </row>
    <row r="186" spans="1:6">
      <c r="A186" s="5">
        <f ca="1">IFERROR(__xludf.DUMMYFUNCTION("""COMPUTED_VALUE"""),42279.625)</f>
        <v>42279.625</v>
      </c>
      <c r="B186" s="2">
        <f ca="1">IFERROR(__xludf.DUMMYFUNCTION("""COMPUTED_VALUE"""),1730)</f>
        <v>1730</v>
      </c>
      <c r="C186" s="2">
        <f ca="1">IFERROR(__xludf.DUMMYFUNCTION("""COMPUTED_VALUE"""),1745)</f>
        <v>1745</v>
      </c>
      <c r="D186" s="2">
        <f ca="1">IFERROR(__xludf.DUMMYFUNCTION("""COMPUTED_VALUE"""),1710)</f>
        <v>1710</v>
      </c>
      <c r="E186" s="2">
        <f ca="1">IFERROR(__xludf.DUMMYFUNCTION("""COMPUTED_VALUE"""),1735)</f>
        <v>1735</v>
      </c>
      <c r="F186" s="2">
        <f ca="1">IFERROR(__xludf.DUMMYFUNCTION("""COMPUTED_VALUE"""),22687900)</f>
        <v>22687900</v>
      </c>
    </row>
    <row r="187" spans="1:6">
      <c r="A187" s="5">
        <f ca="1">IFERROR(__xludf.DUMMYFUNCTION("""COMPUTED_VALUE"""),42282.625)</f>
        <v>42282.625</v>
      </c>
      <c r="B187" s="2">
        <f ca="1">IFERROR(__xludf.DUMMYFUNCTION("""COMPUTED_VALUE"""),1740)</f>
        <v>1740</v>
      </c>
      <c r="C187" s="2">
        <f ca="1">IFERROR(__xludf.DUMMYFUNCTION("""COMPUTED_VALUE"""),1830)</f>
        <v>1830</v>
      </c>
      <c r="D187" s="2">
        <f ca="1">IFERROR(__xludf.DUMMYFUNCTION("""COMPUTED_VALUE"""),1740)</f>
        <v>1740</v>
      </c>
      <c r="E187" s="2">
        <f ca="1">IFERROR(__xludf.DUMMYFUNCTION("""COMPUTED_VALUE"""),1825)</f>
        <v>1825</v>
      </c>
      <c r="F187" s="2">
        <f ca="1">IFERROR(__xludf.DUMMYFUNCTION("""COMPUTED_VALUE"""),33151100)</f>
        <v>33151100</v>
      </c>
    </row>
    <row r="188" spans="1:6">
      <c r="A188" s="5">
        <f ca="1">IFERROR(__xludf.DUMMYFUNCTION("""COMPUTED_VALUE"""),42283.625)</f>
        <v>42283.625</v>
      </c>
      <c r="B188" s="2">
        <f ca="1">IFERROR(__xludf.DUMMYFUNCTION("""COMPUTED_VALUE"""),1855)</f>
        <v>1855</v>
      </c>
      <c r="C188" s="2">
        <f ca="1">IFERROR(__xludf.DUMMYFUNCTION("""COMPUTED_VALUE"""),1925)</f>
        <v>1925</v>
      </c>
      <c r="D188" s="2">
        <f ca="1">IFERROR(__xludf.DUMMYFUNCTION("""COMPUTED_VALUE"""),1855)</f>
        <v>1855</v>
      </c>
      <c r="E188" s="2">
        <f ca="1">IFERROR(__xludf.DUMMYFUNCTION("""COMPUTED_VALUE"""),1890)</f>
        <v>1890</v>
      </c>
      <c r="F188" s="2">
        <f ca="1">IFERROR(__xludf.DUMMYFUNCTION("""COMPUTED_VALUE"""),59478600)</f>
        <v>59478600</v>
      </c>
    </row>
    <row r="189" spans="1:6">
      <c r="A189" s="5">
        <f ca="1">IFERROR(__xludf.DUMMYFUNCTION("""COMPUTED_VALUE"""),42284.625)</f>
        <v>42284.625</v>
      </c>
      <c r="B189" s="2">
        <f ca="1">IFERROR(__xludf.DUMMYFUNCTION("""COMPUTED_VALUE"""),1925)</f>
        <v>1925</v>
      </c>
      <c r="C189" s="2">
        <f ca="1">IFERROR(__xludf.DUMMYFUNCTION("""COMPUTED_VALUE"""),1970)</f>
        <v>1970</v>
      </c>
      <c r="D189" s="2">
        <f ca="1">IFERROR(__xludf.DUMMYFUNCTION("""COMPUTED_VALUE"""),1890)</f>
        <v>1890</v>
      </c>
      <c r="E189" s="2">
        <f ca="1">IFERROR(__xludf.DUMMYFUNCTION("""COMPUTED_VALUE"""),1970)</f>
        <v>1970</v>
      </c>
      <c r="F189" s="2">
        <f ca="1">IFERROR(__xludf.DUMMYFUNCTION("""COMPUTED_VALUE"""),47067400)</f>
        <v>47067400</v>
      </c>
    </row>
    <row r="190" spans="1:6">
      <c r="A190" s="5">
        <f ca="1">IFERROR(__xludf.DUMMYFUNCTION("""COMPUTED_VALUE"""),42285.625)</f>
        <v>42285.625</v>
      </c>
      <c r="B190" s="2">
        <f ca="1">IFERROR(__xludf.DUMMYFUNCTION("""COMPUTED_VALUE"""),2000)</f>
        <v>2000</v>
      </c>
      <c r="C190" s="2">
        <f ca="1">IFERROR(__xludf.DUMMYFUNCTION("""COMPUTED_VALUE"""),2005)</f>
        <v>2005</v>
      </c>
      <c r="D190" s="2">
        <f ca="1">IFERROR(__xludf.DUMMYFUNCTION("""COMPUTED_VALUE"""),1970)</f>
        <v>1970</v>
      </c>
      <c r="E190" s="2">
        <f ca="1">IFERROR(__xludf.DUMMYFUNCTION("""COMPUTED_VALUE"""),1995)</f>
        <v>1995</v>
      </c>
      <c r="F190" s="2">
        <f ca="1">IFERROR(__xludf.DUMMYFUNCTION("""COMPUTED_VALUE"""),39838100)</f>
        <v>39838100</v>
      </c>
    </row>
    <row r="191" spans="1:6">
      <c r="A191" s="5">
        <f ca="1">IFERROR(__xludf.DUMMYFUNCTION("""COMPUTED_VALUE"""),42286.625)</f>
        <v>42286.625</v>
      </c>
      <c r="B191" s="2">
        <f ca="1">IFERROR(__xludf.DUMMYFUNCTION("""COMPUTED_VALUE"""),2020)</f>
        <v>2020</v>
      </c>
      <c r="C191" s="2">
        <f ca="1">IFERROR(__xludf.DUMMYFUNCTION("""COMPUTED_VALUE"""),2115)</f>
        <v>2115</v>
      </c>
      <c r="D191" s="2">
        <f ca="1">IFERROR(__xludf.DUMMYFUNCTION("""COMPUTED_VALUE"""),2015)</f>
        <v>2015</v>
      </c>
      <c r="E191" s="2">
        <f ca="1">IFERROR(__xludf.DUMMYFUNCTION("""COMPUTED_VALUE"""),2110)</f>
        <v>2110</v>
      </c>
      <c r="F191" s="2">
        <f ca="1">IFERROR(__xludf.DUMMYFUNCTION("""COMPUTED_VALUE"""),50084800)</f>
        <v>50084800</v>
      </c>
    </row>
    <row r="192" spans="1:6">
      <c r="A192" s="5">
        <f ca="1">IFERROR(__xludf.DUMMYFUNCTION("""COMPUTED_VALUE"""),42289.625)</f>
        <v>42289.625</v>
      </c>
      <c r="B192" s="2">
        <f ca="1">IFERROR(__xludf.DUMMYFUNCTION("""COMPUTED_VALUE"""),2125)</f>
        <v>2125</v>
      </c>
      <c r="C192" s="2">
        <f ca="1">IFERROR(__xludf.DUMMYFUNCTION("""COMPUTED_VALUE"""),2170)</f>
        <v>2170</v>
      </c>
      <c r="D192" s="2">
        <f ca="1">IFERROR(__xludf.DUMMYFUNCTION("""COMPUTED_VALUE"""),2120)</f>
        <v>2120</v>
      </c>
      <c r="E192" s="2">
        <f ca="1">IFERROR(__xludf.DUMMYFUNCTION("""COMPUTED_VALUE"""),2160)</f>
        <v>2160</v>
      </c>
      <c r="F192" s="2">
        <f ca="1">IFERROR(__xludf.DUMMYFUNCTION("""COMPUTED_VALUE"""),34451600)</f>
        <v>34451600</v>
      </c>
    </row>
    <row r="193" spans="1:6">
      <c r="A193" s="5">
        <f ca="1">IFERROR(__xludf.DUMMYFUNCTION("""COMPUTED_VALUE"""),42290.625)</f>
        <v>42290.625</v>
      </c>
      <c r="B193" s="2">
        <f ca="1">IFERROR(__xludf.DUMMYFUNCTION("""COMPUTED_VALUE"""),2140)</f>
        <v>2140</v>
      </c>
      <c r="C193" s="2">
        <f ca="1">IFERROR(__xludf.DUMMYFUNCTION("""COMPUTED_VALUE"""),2140)</f>
        <v>2140</v>
      </c>
      <c r="D193" s="2">
        <f ca="1">IFERROR(__xludf.DUMMYFUNCTION("""COMPUTED_VALUE"""),2005)</f>
        <v>2005</v>
      </c>
      <c r="E193" s="2">
        <f ca="1">IFERROR(__xludf.DUMMYFUNCTION("""COMPUTED_VALUE"""),2005)</f>
        <v>2005</v>
      </c>
      <c r="F193" s="2">
        <f ca="1">IFERROR(__xludf.DUMMYFUNCTION("""COMPUTED_VALUE"""),40793700)</f>
        <v>40793700</v>
      </c>
    </row>
    <row r="194" spans="1:6">
      <c r="A194" s="5">
        <f ca="1">IFERROR(__xludf.DUMMYFUNCTION("""COMPUTED_VALUE"""),42292.625)</f>
        <v>42292.625</v>
      </c>
      <c r="B194" s="2">
        <f ca="1">IFERROR(__xludf.DUMMYFUNCTION("""COMPUTED_VALUE"""),2070)</f>
        <v>2070</v>
      </c>
      <c r="C194" s="2">
        <f ca="1">IFERROR(__xludf.DUMMYFUNCTION("""COMPUTED_VALUE"""),2110)</f>
        <v>2110</v>
      </c>
      <c r="D194" s="2">
        <f ca="1">IFERROR(__xludf.DUMMYFUNCTION("""COMPUTED_VALUE"""),2020)</f>
        <v>2020</v>
      </c>
      <c r="E194" s="2">
        <f ca="1">IFERROR(__xludf.DUMMYFUNCTION("""COMPUTED_VALUE"""),2025)</f>
        <v>2025</v>
      </c>
      <c r="F194" s="2">
        <f ca="1">IFERROR(__xludf.DUMMYFUNCTION("""COMPUTED_VALUE"""),26747200)</f>
        <v>26747200</v>
      </c>
    </row>
    <row r="195" spans="1:6">
      <c r="A195" s="5">
        <f ca="1">IFERROR(__xludf.DUMMYFUNCTION("""COMPUTED_VALUE"""),42293.625)</f>
        <v>42293.625</v>
      </c>
      <c r="B195" s="2">
        <f ca="1">IFERROR(__xludf.DUMMYFUNCTION("""COMPUTED_VALUE"""),2040)</f>
        <v>2040</v>
      </c>
      <c r="C195" s="2">
        <f ca="1">IFERROR(__xludf.DUMMYFUNCTION("""COMPUTED_VALUE"""),2085)</f>
        <v>2085</v>
      </c>
      <c r="D195" s="2">
        <f ca="1">IFERROR(__xludf.DUMMYFUNCTION("""COMPUTED_VALUE"""),2035)</f>
        <v>2035</v>
      </c>
      <c r="E195" s="2">
        <f ca="1">IFERROR(__xludf.DUMMYFUNCTION("""COMPUTED_VALUE"""),2060)</f>
        <v>2060</v>
      </c>
      <c r="F195" s="2">
        <f ca="1">IFERROR(__xludf.DUMMYFUNCTION("""COMPUTED_VALUE"""),17356300)</f>
        <v>17356300</v>
      </c>
    </row>
    <row r="196" spans="1:6">
      <c r="A196" s="5">
        <f ca="1">IFERROR(__xludf.DUMMYFUNCTION("""COMPUTED_VALUE"""),42296.625)</f>
        <v>42296.625</v>
      </c>
      <c r="B196" s="2">
        <f ca="1">IFERROR(__xludf.DUMMYFUNCTION("""COMPUTED_VALUE"""),2085)</f>
        <v>2085</v>
      </c>
      <c r="C196" s="2">
        <f ca="1">IFERROR(__xludf.DUMMYFUNCTION("""COMPUTED_VALUE"""),2095)</f>
        <v>2095</v>
      </c>
      <c r="D196" s="2">
        <f ca="1">IFERROR(__xludf.DUMMYFUNCTION("""COMPUTED_VALUE"""),2070)</f>
        <v>2070</v>
      </c>
      <c r="E196" s="2">
        <f ca="1">IFERROR(__xludf.DUMMYFUNCTION("""COMPUTED_VALUE"""),2085)</f>
        <v>2085</v>
      </c>
      <c r="F196" s="2">
        <f ca="1">IFERROR(__xludf.DUMMYFUNCTION("""COMPUTED_VALUE"""),15397100)</f>
        <v>15397100</v>
      </c>
    </row>
    <row r="197" spans="1:6">
      <c r="A197" s="5">
        <f ca="1">IFERROR(__xludf.DUMMYFUNCTION("""COMPUTED_VALUE"""),42297.625)</f>
        <v>42297.625</v>
      </c>
      <c r="B197" s="2">
        <f ca="1">IFERROR(__xludf.DUMMYFUNCTION("""COMPUTED_VALUE"""),2075)</f>
        <v>2075</v>
      </c>
      <c r="C197" s="2">
        <f ca="1">IFERROR(__xludf.DUMMYFUNCTION("""COMPUTED_VALUE"""),2135)</f>
        <v>2135</v>
      </c>
      <c r="D197" s="2">
        <f ca="1">IFERROR(__xludf.DUMMYFUNCTION("""COMPUTED_VALUE"""),2065)</f>
        <v>2065</v>
      </c>
      <c r="E197" s="2">
        <f ca="1">IFERROR(__xludf.DUMMYFUNCTION("""COMPUTED_VALUE"""),2125)</f>
        <v>2125</v>
      </c>
      <c r="F197" s="2">
        <f ca="1">IFERROR(__xludf.DUMMYFUNCTION("""COMPUTED_VALUE"""),19559500)</f>
        <v>19559500</v>
      </c>
    </row>
    <row r="198" spans="1:6">
      <c r="A198" s="5">
        <f ca="1">IFERROR(__xludf.DUMMYFUNCTION("""COMPUTED_VALUE"""),42298.625)</f>
        <v>42298.625</v>
      </c>
      <c r="B198" s="2">
        <f ca="1">IFERROR(__xludf.DUMMYFUNCTION("""COMPUTED_VALUE"""),2140)</f>
        <v>2140</v>
      </c>
      <c r="C198" s="2">
        <f ca="1">IFERROR(__xludf.DUMMYFUNCTION("""COMPUTED_VALUE"""),2160)</f>
        <v>2160</v>
      </c>
      <c r="D198" s="2">
        <f ca="1">IFERROR(__xludf.DUMMYFUNCTION("""COMPUTED_VALUE"""),2110)</f>
        <v>2110</v>
      </c>
      <c r="E198" s="2">
        <f ca="1">IFERROR(__xludf.DUMMYFUNCTION("""COMPUTED_VALUE"""),2110)</f>
        <v>2110</v>
      </c>
      <c r="F198" s="2">
        <f ca="1">IFERROR(__xludf.DUMMYFUNCTION("""COMPUTED_VALUE"""),18405200)</f>
        <v>18405200</v>
      </c>
    </row>
    <row r="199" spans="1:6">
      <c r="A199" s="5">
        <f ca="1">IFERROR(__xludf.DUMMYFUNCTION("""COMPUTED_VALUE"""),42299.625)</f>
        <v>42299.625</v>
      </c>
      <c r="B199" s="2">
        <f ca="1">IFERROR(__xludf.DUMMYFUNCTION("""COMPUTED_VALUE"""),2140)</f>
        <v>2140</v>
      </c>
      <c r="C199" s="2">
        <f ca="1">IFERROR(__xludf.DUMMYFUNCTION("""COMPUTED_VALUE"""),2140)</f>
        <v>2140</v>
      </c>
      <c r="D199" s="2">
        <f ca="1">IFERROR(__xludf.DUMMYFUNCTION("""COMPUTED_VALUE"""),2110)</f>
        <v>2110</v>
      </c>
      <c r="E199" s="2">
        <f ca="1">IFERROR(__xludf.DUMMYFUNCTION("""COMPUTED_VALUE"""),2140)</f>
        <v>2140</v>
      </c>
      <c r="F199" s="2">
        <f ca="1">IFERROR(__xludf.DUMMYFUNCTION("""COMPUTED_VALUE"""),14176600)</f>
        <v>14176600</v>
      </c>
    </row>
    <row r="200" spans="1:6">
      <c r="A200" s="5">
        <f ca="1">IFERROR(__xludf.DUMMYFUNCTION("""COMPUTED_VALUE"""),42300.625)</f>
        <v>42300.625</v>
      </c>
      <c r="B200" s="2">
        <f ca="1">IFERROR(__xludf.DUMMYFUNCTION("""COMPUTED_VALUE"""),2180)</f>
        <v>2180</v>
      </c>
      <c r="C200" s="2">
        <f ca="1">IFERROR(__xludf.DUMMYFUNCTION("""COMPUTED_VALUE"""),2240)</f>
        <v>2240</v>
      </c>
      <c r="D200" s="2">
        <f ca="1">IFERROR(__xludf.DUMMYFUNCTION("""COMPUTED_VALUE"""),2170)</f>
        <v>2170</v>
      </c>
      <c r="E200" s="2">
        <f ca="1">IFERROR(__xludf.DUMMYFUNCTION("""COMPUTED_VALUE"""),2240)</f>
        <v>2240</v>
      </c>
      <c r="F200" s="2">
        <f ca="1">IFERROR(__xludf.DUMMYFUNCTION("""COMPUTED_VALUE"""),27458000)</f>
        <v>27458000</v>
      </c>
    </row>
    <row r="201" spans="1:6">
      <c r="A201" s="5">
        <f ca="1">IFERROR(__xludf.DUMMYFUNCTION("""COMPUTED_VALUE"""),42303.625)</f>
        <v>42303.625</v>
      </c>
      <c r="B201" s="2">
        <f ca="1">IFERROR(__xludf.DUMMYFUNCTION("""COMPUTED_VALUE"""),2310)</f>
        <v>2310</v>
      </c>
      <c r="C201" s="2">
        <f ca="1">IFERROR(__xludf.DUMMYFUNCTION("""COMPUTED_VALUE"""),2340)</f>
        <v>2340</v>
      </c>
      <c r="D201" s="2">
        <f ca="1">IFERROR(__xludf.DUMMYFUNCTION("""COMPUTED_VALUE"""),2305)</f>
        <v>2305</v>
      </c>
      <c r="E201" s="2">
        <f ca="1">IFERROR(__xludf.DUMMYFUNCTION("""COMPUTED_VALUE"""),2320)</f>
        <v>2320</v>
      </c>
      <c r="F201" s="2">
        <f ca="1">IFERROR(__xludf.DUMMYFUNCTION("""COMPUTED_VALUE"""),43600800)</f>
        <v>43600800</v>
      </c>
    </row>
    <row r="202" spans="1:6">
      <c r="A202" s="5">
        <f ca="1">IFERROR(__xludf.DUMMYFUNCTION("""COMPUTED_VALUE"""),42304.625)</f>
        <v>42304.625</v>
      </c>
      <c r="B202" s="2">
        <f ca="1">IFERROR(__xludf.DUMMYFUNCTION("""COMPUTED_VALUE"""),2300)</f>
        <v>2300</v>
      </c>
      <c r="C202" s="2">
        <f ca="1">IFERROR(__xludf.DUMMYFUNCTION("""COMPUTED_VALUE"""),2320)</f>
        <v>2320</v>
      </c>
      <c r="D202" s="2">
        <f ca="1">IFERROR(__xludf.DUMMYFUNCTION("""COMPUTED_VALUE"""),2270)</f>
        <v>2270</v>
      </c>
      <c r="E202" s="2">
        <f ca="1">IFERROR(__xludf.DUMMYFUNCTION("""COMPUTED_VALUE"""),2320)</f>
        <v>2320</v>
      </c>
      <c r="F202" s="2">
        <f ca="1">IFERROR(__xludf.DUMMYFUNCTION("""COMPUTED_VALUE"""),23690700)</f>
        <v>23690700</v>
      </c>
    </row>
    <row r="203" spans="1:6">
      <c r="A203" s="5">
        <f ca="1">IFERROR(__xludf.DUMMYFUNCTION("""COMPUTED_VALUE"""),42305.625)</f>
        <v>42305.625</v>
      </c>
      <c r="B203" s="2">
        <f ca="1">IFERROR(__xludf.DUMMYFUNCTION("""COMPUTED_VALUE"""),2290)</f>
        <v>2290</v>
      </c>
      <c r="C203" s="2">
        <f ca="1">IFERROR(__xludf.DUMMYFUNCTION("""COMPUTED_VALUE"""),2300)</f>
        <v>2300</v>
      </c>
      <c r="D203" s="2">
        <f ca="1">IFERROR(__xludf.DUMMYFUNCTION("""COMPUTED_VALUE"""),2190)</f>
        <v>2190</v>
      </c>
      <c r="E203" s="2">
        <f ca="1">IFERROR(__xludf.DUMMYFUNCTION("""COMPUTED_VALUE"""),2220)</f>
        <v>2220</v>
      </c>
      <c r="F203" s="2">
        <f ca="1">IFERROR(__xludf.DUMMYFUNCTION("""COMPUTED_VALUE"""),27643500)</f>
        <v>27643500</v>
      </c>
    </row>
    <row r="204" spans="1:6">
      <c r="A204" s="5">
        <f ca="1">IFERROR(__xludf.DUMMYFUNCTION("""COMPUTED_VALUE"""),42306.625)</f>
        <v>42306.625</v>
      </c>
      <c r="B204" s="2">
        <f ca="1">IFERROR(__xludf.DUMMYFUNCTION("""COMPUTED_VALUE"""),2200)</f>
        <v>2200</v>
      </c>
      <c r="C204" s="2">
        <f ca="1">IFERROR(__xludf.DUMMYFUNCTION("""COMPUTED_VALUE"""),2210)</f>
        <v>2210</v>
      </c>
      <c r="D204" s="2">
        <f ca="1">IFERROR(__xludf.DUMMYFUNCTION("""COMPUTED_VALUE"""),2125)</f>
        <v>2125</v>
      </c>
      <c r="E204" s="2">
        <f ca="1">IFERROR(__xludf.DUMMYFUNCTION("""COMPUTED_VALUE"""),2150)</f>
        <v>2150</v>
      </c>
      <c r="F204" s="2">
        <f ca="1">IFERROR(__xludf.DUMMYFUNCTION("""COMPUTED_VALUE"""),38694700)</f>
        <v>38694700</v>
      </c>
    </row>
    <row r="205" spans="1:6">
      <c r="A205" s="5">
        <f ca="1">IFERROR(__xludf.DUMMYFUNCTION("""COMPUTED_VALUE"""),42307.625)</f>
        <v>42307.625</v>
      </c>
      <c r="B205" s="2">
        <f ca="1">IFERROR(__xludf.DUMMYFUNCTION("""COMPUTED_VALUE"""),2100)</f>
        <v>2100</v>
      </c>
      <c r="C205" s="2">
        <f ca="1">IFERROR(__xludf.DUMMYFUNCTION("""COMPUTED_VALUE"""),2160)</f>
        <v>2160</v>
      </c>
      <c r="D205" s="2">
        <f ca="1">IFERROR(__xludf.DUMMYFUNCTION("""COMPUTED_VALUE"""),2090)</f>
        <v>2090</v>
      </c>
      <c r="E205" s="2">
        <f ca="1">IFERROR(__xludf.DUMMYFUNCTION("""COMPUTED_VALUE"""),2105)</f>
        <v>2105</v>
      </c>
      <c r="F205" s="2">
        <f ca="1">IFERROR(__xludf.DUMMYFUNCTION("""COMPUTED_VALUE"""),35267300)</f>
        <v>35267300</v>
      </c>
    </row>
    <row r="206" spans="1:6">
      <c r="A206" s="5">
        <f ca="1">IFERROR(__xludf.DUMMYFUNCTION("""COMPUTED_VALUE"""),42310.625)</f>
        <v>42310.625</v>
      </c>
      <c r="B206" s="2">
        <f ca="1">IFERROR(__xludf.DUMMYFUNCTION("""COMPUTED_VALUE"""),2070)</f>
        <v>2070</v>
      </c>
      <c r="C206" s="2">
        <f ca="1">IFERROR(__xludf.DUMMYFUNCTION("""COMPUTED_VALUE"""),2100)</f>
        <v>2100</v>
      </c>
      <c r="D206" s="2">
        <f ca="1">IFERROR(__xludf.DUMMYFUNCTION("""COMPUTED_VALUE"""),2040)</f>
        <v>2040</v>
      </c>
      <c r="E206" s="2">
        <f ca="1">IFERROR(__xludf.DUMMYFUNCTION("""COMPUTED_VALUE"""),2055)</f>
        <v>2055</v>
      </c>
      <c r="F206" s="2">
        <f ca="1">IFERROR(__xludf.DUMMYFUNCTION("""COMPUTED_VALUE"""),29823800)</f>
        <v>29823800</v>
      </c>
    </row>
    <row r="207" spans="1:6">
      <c r="A207" s="5">
        <f ca="1">IFERROR(__xludf.DUMMYFUNCTION("""COMPUTED_VALUE"""),42311.625)</f>
        <v>42311.625</v>
      </c>
      <c r="B207" s="2">
        <f ca="1">IFERROR(__xludf.DUMMYFUNCTION("""COMPUTED_VALUE"""),2110)</f>
        <v>2110</v>
      </c>
      <c r="C207" s="2">
        <f ca="1">IFERROR(__xludf.DUMMYFUNCTION("""COMPUTED_VALUE"""),2175)</f>
        <v>2175</v>
      </c>
      <c r="D207" s="2">
        <f ca="1">IFERROR(__xludf.DUMMYFUNCTION("""COMPUTED_VALUE"""),2090)</f>
        <v>2090</v>
      </c>
      <c r="E207" s="2">
        <f ca="1">IFERROR(__xludf.DUMMYFUNCTION("""COMPUTED_VALUE"""),2140)</f>
        <v>2140</v>
      </c>
      <c r="F207" s="2">
        <f ca="1">IFERROR(__xludf.DUMMYFUNCTION("""COMPUTED_VALUE"""),41884600)</f>
        <v>41884600</v>
      </c>
    </row>
    <row r="208" spans="1:6">
      <c r="A208" s="5">
        <f ca="1">IFERROR(__xludf.DUMMYFUNCTION("""COMPUTED_VALUE"""),42312.625)</f>
        <v>42312.625</v>
      </c>
      <c r="B208" s="2">
        <f ca="1">IFERROR(__xludf.DUMMYFUNCTION("""COMPUTED_VALUE"""),2200)</f>
        <v>2200</v>
      </c>
      <c r="C208" s="2">
        <f ca="1">IFERROR(__xludf.DUMMYFUNCTION("""COMPUTED_VALUE"""),2220)</f>
        <v>2220</v>
      </c>
      <c r="D208" s="2">
        <f ca="1">IFERROR(__xludf.DUMMYFUNCTION("""COMPUTED_VALUE"""),2195)</f>
        <v>2195</v>
      </c>
      <c r="E208" s="2">
        <f ca="1">IFERROR(__xludf.DUMMYFUNCTION("""COMPUTED_VALUE"""),2210)</f>
        <v>2210</v>
      </c>
      <c r="F208" s="2">
        <f ca="1">IFERROR(__xludf.DUMMYFUNCTION("""COMPUTED_VALUE"""),29867400)</f>
        <v>29867400</v>
      </c>
    </row>
    <row r="209" spans="1:6">
      <c r="A209" s="5">
        <f ca="1">IFERROR(__xludf.DUMMYFUNCTION("""COMPUTED_VALUE"""),42313.625)</f>
        <v>42313.625</v>
      </c>
      <c r="B209" s="2">
        <f ca="1">IFERROR(__xludf.DUMMYFUNCTION("""COMPUTED_VALUE"""),2180)</f>
        <v>2180</v>
      </c>
      <c r="C209" s="2">
        <f ca="1">IFERROR(__xludf.DUMMYFUNCTION("""COMPUTED_VALUE"""),2195)</f>
        <v>2195</v>
      </c>
      <c r="D209" s="2">
        <f ca="1">IFERROR(__xludf.DUMMYFUNCTION("""COMPUTED_VALUE"""),2140)</f>
        <v>2140</v>
      </c>
      <c r="E209" s="2">
        <f ca="1">IFERROR(__xludf.DUMMYFUNCTION("""COMPUTED_VALUE"""),2145)</f>
        <v>2145</v>
      </c>
      <c r="F209" s="2">
        <f ca="1">IFERROR(__xludf.DUMMYFUNCTION("""COMPUTED_VALUE"""),20425000)</f>
        <v>20425000</v>
      </c>
    </row>
    <row r="210" spans="1:6">
      <c r="A210" s="5">
        <f ca="1">IFERROR(__xludf.DUMMYFUNCTION("""COMPUTED_VALUE"""),42314.625)</f>
        <v>42314.625</v>
      </c>
      <c r="B210" s="2">
        <f ca="1">IFERROR(__xludf.DUMMYFUNCTION("""COMPUTED_VALUE"""),2185)</f>
        <v>2185</v>
      </c>
      <c r="C210" s="2">
        <f ca="1">IFERROR(__xludf.DUMMYFUNCTION("""COMPUTED_VALUE"""),2195)</f>
        <v>2195</v>
      </c>
      <c r="D210" s="2">
        <f ca="1">IFERROR(__xludf.DUMMYFUNCTION("""COMPUTED_VALUE"""),2135)</f>
        <v>2135</v>
      </c>
      <c r="E210" s="2">
        <f ca="1">IFERROR(__xludf.DUMMYFUNCTION("""COMPUTED_VALUE"""),2140)</f>
        <v>2140</v>
      </c>
      <c r="F210" s="2">
        <f ca="1">IFERROR(__xludf.DUMMYFUNCTION("""COMPUTED_VALUE"""),11402800)</f>
        <v>11402800</v>
      </c>
    </row>
    <row r="211" spans="1:6">
      <c r="A211" s="5">
        <f ca="1">IFERROR(__xludf.DUMMYFUNCTION("""COMPUTED_VALUE"""),42317.625)</f>
        <v>42317.625</v>
      </c>
      <c r="B211" s="2">
        <f ca="1">IFERROR(__xludf.DUMMYFUNCTION("""COMPUTED_VALUE"""),2140)</f>
        <v>2140</v>
      </c>
      <c r="C211" s="2">
        <f ca="1">IFERROR(__xludf.DUMMYFUNCTION("""COMPUTED_VALUE"""),2150)</f>
        <v>2150</v>
      </c>
      <c r="D211" s="2">
        <f ca="1">IFERROR(__xludf.DUMMYFUNCTION("""COMPUTED_VALUE"""),2110)</f>
        <v>2110</v>
      </c>
      <c r="E211" s="2">
        <f ca="1">IFERROR(__xludf.DUMMYFUNCTION("""COMPUTED_VALUE"""),2115)</f>
        <v>2115</v>
      </c>
      <c r="F211" s="2">
        <f ca="1">IFERROR(__xludf.DUMMYFUNCTION("""COMPUTED_VALUE"""),11058100)</f>
        <v>11058100</v>
      </c>
    </row>
    <row r="212" spans="1:6">
      <c r="A212" s="5">
        <f ca="1">IFERROR(__xludf.DUMMYFUNCTION("""COMPUTED_VALUE"""),42318.625)</f>
        <v>42318.625</v>
      </c>
      <c r="B212" s="2">
        <f ca="1">IFERROR(__xludf.DUMMYFUNCTION("""COMPUTED_VALUE"""),2080)</f>
        <v>2080</v>
      </c>
      <c r="C212" s="2">
        <f ca="1">IFERROR(__xludf.DUMMYFUNCTION("""COMPUTED_VALUE"""),2130)</f>
        <v>2130</v>
      </c>
      <c r="D212" s="2">
        <f ca="1">IFERROR(__xludf.DUMMYFUNCTION("""COMPUTED_VALUE"""),2070)</f>
        <v>2070</v>
      </c>
      <c r="E212" s="2">
        <f ca="1">IFERROR(__xludf.DUMMYFUNCTION("""COMPUTED_VALUE"""),2090)</f>
        <v>2090</v>
      </c>
      <c r="F212" s="2">
        <f ca="1">IFERROR(__xludf.DUMMYFUNCTION("""COMPUTED_VALUE"""),20508400)</f>
        <v>20508400</v>
      </c>
    </row>
    <row r="213" spans="1:6">
      <c r="A213" s="5">
        <f ca="1">IFERROR(__xludf.DUMMYFUNCTION("""COMPUTED_VALUE"""),42319.625)</f>
        <v>42319.625</v>
      </c>
      <c r="B213" s="2">
        <f ca="1">IFERROR(__xludf.DUMMYFUNCTION("""COMPUTED_VALUE"""),2080)</f>
        <v>2080</v>
      </c>
      <c r="C213" s="2">
        <f ca="1">IFERROR(__xludf.DUMMYFUNCTION("""COMPUTED_VALUE"""),2110)</f>
        <v>2110</v>
      </c>
      <c r="D213" s="2">
        <f ca="1">IFERROR(__xludf.DUMMYFUNCTION("""COMPUTED_VALUE"""),2055)</f>
        <v>2055</v>
      </c>
      <c r="E213" s="2">
        <f ca="1">IFERROR(__xludf.DUMMYFUNCTION("""COMPUTED_VALUE"""),2095)</f>
        <v>2095</v>
      </c>
      <c r="F213" s="2">
        <f ca="1">IFERROR(__xludf.DUMMYFUNCTION("""COMPUTED_VALUE"""),16609400)</f>
        <v>16609400</v>
      </c>
    </row>
    <row r="214" spans="1:6">
      <c r="A214" s="5">
        <f ca="1">IFERROR(__xludf.DUMMYFUNCTION("""COMPUTED_VALUE"""),42320.625)</f>
        <v>42320.625</v>
      </c>
      <c r="B214" s="2">
        <f ca="1">IFERROR(__xludf.DUMMYFUNCTION("""COMPUTED_VALUE"""),2090)</f>
        <v>2090</v>
      </c>
      <c r="C214" s="2">
        <f ca="1">IFERROR(__xludf.DUMMYFUNCTION("""COMPUTED_VALUE"""),2130)</f>
        <v>2130</v>
      </c>
      <c r="D214" s="2">
        <f ca="1">IFERROR(__xludf.DUMMYFUNCTION("""COMPUTED_VALUE"""),2090)</f>
        <v>2090</v>
      </c>
      <c r="E214" s="2">
        <f ca="1">IFERROR(__xludf.DUMMYFUNCTION("""COMPUTED_VALUE"""),2105)</f>
        <v>2105</v>
      </c>
      <c r="F214" s="2">
        <f ca="1">IFERROR(__xludf.DUMMYFUNCTION("""COMPUTED_VALUE"""),19437100)</f>
        <v>19437100</v>
      </c>
    </row>
    <row r="215" spans="1:6">
      <c r="A215" s="5">
        <f ca="1">IFERROR(__xludf.DUMMYFUNCTION("""COMPUTED_VALUE"""),42321.625)</f>
        <v>42321.625</v>
      </c>
      <c r="B215" s="2">
        <f ca="1">IFERROR(__xludf.DUMMYFUNCTION("""COMPUTED_VALUE"""),2095)</f>
        <v>2095</v>
      </c>
      <c r="C215" s="2">
        <f ca="1">IFERROR(__xludf.DUMMYFUNCTION("""COMPUTED_VALUE"""),2135)</f>
        <v>2135</v>
      </c>
      <c r="D215" s="2">
        <f ca="1">IFERROR(__xludf.DUMMYFUNCTION("""COMPUTED_VALUE"""),2090)</f>
        <v>2090</v>
      </c>
      <c r="E215" s="2">
        <f ca="1">IFERROR(__xludf.DUMMYFUNCTION("""COMPUTED_VALUE"""),2105)</f>
        <v>2105</v>
      </c>
      <c r="F215" s="2">
        <f ca="1">IFERROR(__xludf.DUMMYFUNCTION("""COMPUTED_VALUE"""),16690500)</f>
        <v>16690500</v>
      </c>
    </row>
    <row r="216" spans="1:6">
      <c r="A216" s="5">
        <f ca="1">IFERROR(__xludf.DUMMYFUNCTION("""COMPUTED_VALUE"""),42324.625)</f>
        <v>42324.625</v>
      </c>
      <c r="B216" s="2">
        <f ca="1">IFERROR(__xludf.DUMMYFUNCTION("""COMPUTED_VALUE"""),2060)</f>
        <v>2060</v>
      </c>
      <c r="C216" s="2">
        <f ca="1">IFERROR(__xludf.DUMMYFUNCTION("""COMPUTED_VALUE"""),2110)</f>
        <v>2110</v>
      </c>
      <c r="D216" s="2">
        <f ca="1">IFERROR(__xludf.DUMMYFUNCTION("""COMPUTED_VALUE"""),2045)</f>
        <v>2045</v>
      </c>
      <c r="E216" s="2">
        <f ca="1">IFERROR(__xludf.DUMMYFUNCTION("""COMPUTED_VALUE"""),2105)</f>
        <v>2105</v>
      </c>
      <c r="F216" s="2">
        <f ca="1">IFERROR(__xludf.DUMMYFUNCTION("""COMPUTED_VALUE"""),20479200)</f>
        <v>20479200</v>
      </c>
    </row>
    <row r="217" spans="1:6">
      <c r="A217" s="5">
        <f ca="1">IFERROR(__xludf.DUMMYFUNCTION("""COMPUTED_VALUE"""),42325.625)</f>
        <v>42325.625</v>
      </c>
      <c r="B217" s="2">
        <f ca="1">IFERROR(__xludf.DUMMYFUNCTION("""COMPUTED_VALUE"""),2130)</f>
        <v>2130</v>
      </c>
      <c r="C217" s="2">
        <f ca="1">IFERROR(__xludf.DUMMYFUNCTION("""COMPUTED_VALUE"""),2185)</f>
        <v>2185</v>
      </c>
      <c r="D217" s="2">
        <f ca="1">IFERROR(__xludf.DUMMYFUNCTION("""COMPUTED_VALUE"""),2130)</f>
        <v>2130</v>
      </c>
      <c r="E217" s="2">
        <f ca="1">IFERROR(__xludf.DUMMYFUNCTION("""COMPUTED_VALUE"""),2180)</f>
        <v>2180</v>
      </c>
      <c r="F217" s="2">
        <f ca="1">IFERROR(__xludf.DUMMYFUNCTION("""COMPUTED_VALUE"""),19936000)</f>
        <v>19936000</v>
      </c>
    </row>
    <row r="218" spans="1:6">
      <c r="A218" s="5">
        <f ca="1">IFERROR(__xludf.DUMMYFUNCTION("""COMPUTED_VALUE"""),42326.625)</f>
        <v>42326.625</v>
      </c>
      <c r="B218" s="2">
        <f ca="1">IFERROR(__xludf.DUMMYFUNCTION("""COMPUTED_VALUE"""),2215)</f>
        <v>2215</v>
      </c>
      <c r="C218" s="2">
        <f ca="1">IFERROR(__xludf.DUMMYFUNCTION("""COMPUTED_VALUE"""),2215)</f>
        <v>2215</v>
      </c>
      <c r="D218" s="2">
        <f ca="1">IFERROR(__xludf.DUMMYFUNCTION("""COMPUTED_VALUE"""),2155)</f>
        <v>2155</v>
      </c>
      <c r="E218" s="2">
        <f ca="1">IFERROR(__xludf.DUMMYFUNCTION("""COMPUTED_VALUE"""),2190)</f>
        <v>2190</v>
      </c>
      <c r="F218" s="2">
        <f ca="1">IFERROR(__xludf.DUMMYFUNCTION("""COMPUTED_VALUE"""),25641500)</f>
        <v>25641500</v>
      </c>
    </row>
    <row r="219" spans="1:6">
      <c r="A219" s="5">
        <f ca="1">IFERROR(__xludf.DUMMYFUNCTION("""COMPUTED_VALUE"""),42327.625)</f>
        <v>42327.625</v>
      </c>
      <c r="B219" s="2">
        <f ca="1">IFERROR(__xludf.DUMMYFUNCTION("""COMPUTED_VALUE"""),2190)</f>
        <v>2190</v>
      </c>
      <c r="C219" s="2">
        <f ca="1">IFERROR(__xludf.DUMMYFUNCTION("""COMPUTED_VALUE"""),2205)</f>
        <v>2205</v>
      </c>
      <c r="D219" s="2">
        <f ca="1">IFERROR(__xludf.DUMMYFUNCTION("""COMPUTED_VALUE"""),2165)</f>
        <v>2165</v>
      </c>
      <c r="E219" s="2">
        <f ca="1">IFERROR(__xludf.DUMMYFUNCTION("""COMPUTED_VALUE"""),2195)</f>
        <v>2195</v>
      </c>
      <c r="F219" s="2">
        <f ca="1">IFERROR(__xludf.DUMMYFUNCTION("""COMPUTED_VALUE"""),21597500)</f>
        <v>21597500</v>
      </c>
    </row>
    <row r="220" spans="1:6">
      <c r="A220" s="5">
        <f ca="1">IFERROR(__xludf.DUMMYFUNCTION("""COMPUTED_VALUE"""),42328.625)</f>
        <v>42328.625</v>
      </c>
      <c r="B220" s="2">
        <f ca="1">IFERROR(__xludf.DUMMYFUNCTION("""COMPUTED_VALUE"""),2100)</f>
        <v>2100</v>
      </c>
      <c r="C220" s="2">
        <f ca="1">IFERROR(__xludf.DUMMYFUNCTION("""COMPUTED_VALUE"""),2200)</f>
        <v>2200</v>
      </c>
      <c r="D220" s="2">
        <f ca="1">IFERROR(__xludf.DUMMYFUNCTION("""COMPUTED_VALUE"""),2100)</f>
        <v>2100</v>
      </c>
      <c r="E220" s="2">
        <f ca="1">IFERROR(__xludf.DUMMYFUNCTION("""COMPUTED_VALUE"""),2200)</f>
        <v>2200</v>
      </c>
      <c r="F220" s="2">
        <f ca="1">IFERROR(__xludf.DUMMYFUNCTION("""COMPUTED_VALUE"""),15017600)</f>
        <v>15017600</v>
      </c>
    </row>
    <row r="221" spans="1:6">
      <c r="A221" s="5">
        <f ca="1">IFERROR(__xludf.DUMMYFUNCTION("""COMPUTED_VALUE"""),42331.625)</f>
        <v>42331.625</v>
      </c>
      <c r="B221" s="2">
        <f ca="1">IFERROR(__xludf.DUMMYFUNCTION("""COMPUTED_VALUE"""),2195)</f>
        <v>2195</v>
      </c>
      <c r="C221" s="2">
        <f ca="1">IFERROR(__xludf.DUMMYFUNCTION("""COMPUTED_VALUE"""),2230)</f>
        <v>2230</v>
      </c>
      <c r="D221" s="2">
        <f ca="1">IFERROR(__xludf.DUMMYFUNCTION("""COMPUTED_VALUE"""),2190)</f>
        <v>2190</v>
      </c>
      <c r="E221" s="2">
        <f ca="1">IFERROR(__xludf.DUMMYFUNCTION("""COMPUTED_VALUE"""),2200)</f>
        <v>2200</v>
      </c>
      <c r="F221" s="2">
        <f ca="1">IFERROR(__xludf.DUMMYFUNCTION("""COMPUTED_VALUE"""),10405600)</f>
        <v>10405600</v>
      </c>
    </row>
    <row r="222" spans="1:6">
      <c r="A222" s="5">
        <f ca="1">IFERROR(__xludf.DUMMYFUNCTION("""COMPUTED_VALUE"""),42332.625)</f>
        <v>42332.625</v>
      </c>
      <c r="B222" s="2">
        <f ca="1">IFERROR(__xludf.DUMMYFUNCTION("""COMPUTED_VALUE"""),2175)</f>
        <v>2175</v>
      </c>
      <c r="C222" s="2">
        <f ca="1">IFERROR(__xludf.DUMMYFUNCTION("""COMPUTED_VALUE"""),2215)</f>
        <v>2215</v>
      </c>
      <c r="D222" s="2">
        <f ca="1">IFERROR(__xludf.DUMMYFUNCTION("""COMPUTED_VALUE"""),2175)</f>
        <v>2175</v>
      </c>
      <c r="E222" s="2">
        <f ca="1">IFERROR(__xludf.DUMMYFUNCTION("""COMPUTED_VALUE"""),2210)</f>
        <v>2210</v>
      </c>
      <c r="F222" s="2">
        <f ca="1">IFERROR(__xludf.DUMMYFUNCTION("""COMPUTED_VALUE"""),8164300)</f>
        <v>8164300</v>
      </c>
    </row>
    <row r="223" spans="1:6">
      <c r="A223" s="5">
        <f ca="1">IFERROR(__xludf.DUMMYFUNCTION("""COMPUTED_VALUE"""),42333.625)</f>
        <v>42333.625</v>
      </c>
      <c r="B223" s="2">
        <f ca="1">IFERROR(__xludf.DUMMYFUNCTION("""COMPUTED_VALUE"""),2235)</f>
        <v>2235</v>
      </c>
      <c r="C223" s="2">
        <f ca="1">IFERROR(__xludf.DUMMYFUNCTION("""COMPUTED_VALUE"""),2295)</f>
        <v>2295</v>
      </c>
      <c r="D223" s="2">
        <f ca="1">IFERROR(__xludf.DUMMYFUNCTION("""COMPUTED_VALUE"""),2220)</f>
        <v>2220</v>
      </c>
      <c r="E223" s="2">
        <f ca="1">IFERROR(__xludf.DUMMYFUNCTION("""COMPUTED_VALUE"""),2295)</f>
        <v>2295</v>
      </c>
      <c r="F223" s="2">
        <f ca="1">IFERROR(__xludf.DUMMYFUNCTION("""COMPUTED_VALUE"""),20929400)</f>
        <v>20929400</v>
      </c>
    </row>
    <row r="224" spans="1:6">
      <c r="A224" s="5">
        <f ca="1">IFERROR(__xludf.DUMMYFUNCTION("""COMPUTED_VALUE"""),42334.625)</f>
        <v>42334.625</v>
      </c>
      <c r="B224" s="2">
        <f ca="1">IFERROR(__xludf.DUMMYFUNCTION("""COMPUTED_VALUE"""),2300)</f>
        <v>2300</v>
      </c>
      <c r="C224" s="2">
        <f ca="1">IFERROR(__xludf.DUMMYFUNCTION("""COMPUTED_VALUE"""),2320)</f>
        <v>2320</v>
      </c>
      <c r="D224" s="2">
        <f ca="1">IFERROR(__xludf.DUMMYFUNCTION("""COMPUTED_VALUE"""),2270)</f>
        <v>2270</v>
      </c>
      <c r="E224" s="2">
        <f ca="1">IFERROR(__xludf.DUMMYFUNCTION("""COMPUTED_VALUE"""),2295)</f>
        <v>2295</v>
      </c>
      <c r="F224" s="2">
        <f ca="1">IFERROR(__xludf.DUMMYFUNCTION("""COMPUTED_VALUE"""),23566400)</f>
        <v>23566400</v>
      </c>
    </row>
    <row r="225" spans="1:6">
      <c r="A225" s="5">
        <f ca="1">IFERROR(__xludf.DUMMYFUNCTION("""COMPUTED_VALUE"""),42335.625)</f>
        <v>42335.625</v>
      </c>
      <c r="B225" s="2">
        <f ca="1">IFERROR(__xludf.DUMMYFUNCTION("""COMPUTED_VALUE"""),2280)</f>
        <v>2280</v>
      </c>
      <c r="C225" s="2">
        <f ca="1">IFERROR(__xludf.DUMMYFUNCTION("""COMPUTED_VALUE"""),2295)</f>
        <v>2295</v>
      </c>
      <c r="D225" s="2">
        <f ca="1">IFERROR(__xludf.DUMMYFUNCTION("""COMPUTED_VALUE"""),2250)</f>
        <v>2250</v>
      </c>
      <c r="E225" s="2">
        <f ca="1">IFERROR(__xludf.DUMMYFUNCTION("""COMPUTED_VALUE"""),2260)</f>
        <v>2260</v>
      </c>
      <c r="F225" s="2">
        <f ca="1">IFERROR(__xludf.DUMMYFUNCTION("""COMPUTED_VALUE"""),19428600)</f>
        <v>19428600</v>
      </c>
    </row>
    <row r="226" spans="1:6">
      <c r="A226" s="5">
        <f ca="1">IFERROR(__xludf.DUMMYFUNCTION("""COMPUTED_VALUE"""),42338.625)</f>
        <v>42338.625</v>
      </c>
      <c r="B226" s="2">
        <f ca="1">IFERROR(__xludf.DUMMYFUNCTION("""COMPUTED_VALUE"""),2215)</f>
        <v>2215</v>
      </c>
      <c r="C226" s="2">
        <f ca="1">IFERROR(__xludf.DUMMYFUNCTION("""COMPUTED_VALUE"""),2270)</f>
        <v>2270</v>
      </c>
      <c r="D226" s="2">
        <f ca="1">IFERROR(__xludf.DUMMYFUNCTION("""COMPUTED_VALUE"""),2155)</f>
        <v>2155</v>
      </c>
      <c r="E226" s="2">
        <f ca="1">IFERROR(__xludf.DUMMYFUNCTION("""COMPUTED_VALUE"""),2155)</f>
        <v>2155</v>
      </c>
      <c r="F226" s="2">
        <f ca="1">IFERROR(__xludf.DUMMYFUNCTION("""COMPUTED_VALUE"""),70097800)</f>
        <v>70097800</v>
      </c>
    </row>
    <row r="227" spans="1:6">
      <c r="A227" s="5">
        <f ca="1">IFERROR(__xludf.DUMMYFUNCTION("""COMPUTED_VALUE"""),42339.625)</f>
        <v>42339.625</v>
      </c>
      <c r="B227" s="2">
        <f ca="1">IFERROR(__xludf.DUMMYFUNCTION("""COMPUTED_VALUE"""),2205)</f>
        <v>2205</v>
      </c>
      <c r="C227" s="2">
        <f ca="1">IFERROR(__xludf.DUMMYFUNCTION("""COMPUTED_VALUE"""),2260)</f>
        <v>2260</v>
      </c>
      <c r="D227" s="2">
        <f ca="1">IFERROR(__xludf.DUMMYFUNCTION("""COMPUTED_VALUE"""),2205)</f>
        <v>2205</v>
      </c>
      <c r="E227" s="2">
        <f ca="1">IFERROR(__xludf.DUMMYFUNCTION("""COMPUTED_VALUE"""),2250)</f>
        <v>2250</v>
      </c>
      <c r="F227" s="2">
        <f ca="1">IFERROR(__xludf.DUMMYFUNCTION("""COMPUTED_VALUE"""),37179100)</f>
        <v>37179100</v>
      </c>
    </row>
    <row r="228" spans="1:6">
      <c r="A228" s="5">
        <f ca="1">IFERROR(__xludf.DUMMYFUNCTION("""COMPUTED_VALUE"""),42340.625)</f>
        <v>42340.625</v>
      </c>
      <c r="B228" s="2">
        <f ca="1">IFERROR(__xludf.DUMMYFUNCTION("""COMPUTED_VALUE"""),2255)</f>
        <v>2255</v>
      </c>
      <c r="C228" s="2">
        <f ca="1">IFERROR(__xludf.DUMMYFUNCTION("""COMPUTED_VALUE"""),2265)</f>
        <v>2265</v>
      </c>
      <c r="D228" s="2">
        <f ca="1">IFERROR(__xludf.DUMMYFUNCTION("""COMPUTED_VALUE"""),2240)</f>
        <v>2240</v>
      </c>
      <c r="E228" s="2">
        <f ca="1">IFERROR(__xludf.DUMMYFUNCTION("""COMPUTED_VALUE"""),2255)</f>
        <v>2255</v>
      </c>
      <c r="F228" s="2">
        <f ca="1">IFERROR(__xludf.DUMMYFUNCTION("""COMPUTED_VALUE"""),20344600)</f>
        <v>20344600</v>
      </c>
    </row>
    <row r="229" spans="1:6">
      <c r="A229" s="5">
        <f ca="1">IFERROR(__xludf.DUMMYFUNCTION("""COMPUTED_VALUE"""),42341.625)</f>
        <v>42341.625</v>
      </c>
      <c r="B229" s="2">
        <f ca="1">IFERROR(__xludf.DUMMYFUNCTION("""COMPUTED_VALUE"""),2235)</f>
        <v>2235</v>
      </c>
      <c r="C229" s="2">
        <f ca="1">IFERROR(__xludf.DUMMYFUNCTION("""COMPUTED_VALUE"""),2260)</f>
        <v>2260</v>
      </c>
      <c r="D229" s="2">
        <f ca="1">IFERROR(__xludf.DUMMYFUNCTION("""COMPUTED_VALUE"""),2235)</f>
        <v>2235</v>
      </c>
      <c r="E229" s="2">
        <f ca="1">IFERROR(__xludf.DUMMYFUNCTION("""COMPUTED_VALUE"""),2255)</f>
        <v>2255</v>
      </c>
      <c r="F229" s="2">
        <f ca="1">IFERROR(__xludf.DUMMYFUNCTION("""COMPUTED_VALUE"""),14105000)</f>
        <v>14105000</v>
      </c>
    </row>
    <row r="230" spans="1:6">
      <c r="A230" s="5">
        <f ca="1">IFERROR(__xludf.DUMMYFUNCTION("""COMPUTED_VALUE"""),42342.625)</f>
        <v>42342.625</v>
      </c>
      <c r="B230" s="2">
        <f ca="1">IFERROR(__xludf.DUMMYFUNCTION("""COMPUTED_VALUE"""),2230)</f>
        <v>2230</v>
      </c>
      <c r="C230" s="2">
        <f ca="1">IFERROR(__xludf.DUMMYFUNCTION("""COMPUTED_VALUE"""),2260)</f>
        <v>2260</v>
      </c>
      <c r="D230" s="2">
        <f ca="1">IFERROR(__xludf.DUMMYFUNCTION("""COMPUTED_VALUE"""),2225)</f>
        <v>2225</v>
      </c>
      <c r="E230" s="2">
        <f ca="1">IFERROR(__xludf.DUMMYFUNCTION("""COMPUTED_VALUE"""),2260)</f>
        <v>2260</v>
      </c>
      <c r="F230" s="2">
        <f ca="1">IFERROR(__xludf.DUMMYFUNCTION("""COMPUTED_VALUE"""),20633700)</f>
        <v>20633700</v>
      </c>
    </row>
    <row r="231" spans="1:6">
      <c r="A231" s="5">
        <f ca="1">IFERROR(__xludf.DUMMYFUNCTION("""COMPUTED_VALUE"""),42345.625)</f>
        <v>42345.625</v>
      </c>
      <c r="B231" s="2">
        <f ca="1">IFERROR(__xludf.DUMMYFUNCTION("""COMPUTED_VALUE"""),2240)</f>
        <v>2240</v>
      </c>
      <c r="C231" s="2">
        <f ca="1">IFERROR(__xludf.DUMMYFUNCTION("""COMPUTED_VALUE"""),2275)</f>
        <v>2275</v>
      </c>
      <c r="D231" s="2">
        <f ca="1">IFERROR(__xludf.DUMMYFUNCTION("""COMPUTED_VALUE"""),2205)</f>
        <v>2205</v>
      </c>
      <c r="E231" s="2">
        <f ca="1">IFERROR(__xludf.DUMMYFUNCTION("""COMPUTED_VALUE"""),2210)</f>
        <v>2210</v>
      </c>
      <c r="F231" s="2">
        <f ca="1">IFERROR(__xludf.DUMMYFUNCTION("""COMPUTED_VALUE"""),16029600)</f>
        <v>16029600</v>
      </c>
    </row>
    <row r="232" spans="1:6">
      <c r="A232" s="5">
        <f ca="1">IFERROR(__xludf.DUMMYFUNCTION("""COMPUTED_VALUE"""),42346.625)</f>
        <v>42346.625</v>
      </c>
      <c r="B232" s="2">
        <f ca="1">IFERROR(__xludf.DUMMYFUNCTION("""COMPUTED_VALUE"""),2180)</f>
        <v>2180</v>
      </c>
      <c r="C232" s="2">
        <f ca="1">IFERROR(__xludf.DUMMYFUNCTION("""COMPUTED_VALUE"""),2200)</f>
        <v>2200</v>
      </c>
      <c r="D232" s="2">
        <f ca="1">IFERROR(__xludf.DUMMYFUNCTION("""COMPUTED_VALUE"""),2170)</f>
        <v>2170</v>
      </c>
      <c r="E232" s="2">
        <f ca="1">IFERROR(__xludf.DUMMYFUNCTION("""COMPUTED_VALUE"""),2180)</f>
        <v>2180</v>
      </c>
      <c r="F232" s="2">
        <f ca="1">IFERROR(__xludf.DUMMYFUNCTION("""COMPUTED_VALUE"""),23470000)</f>
        <v>23470000</v>
      </c>
    </row>
    <row r="233" spans="1:6">
      <c r="A233" s="5">
        <f ca="1">IFERROR(__xludf.DUMMYFUNCTION("""COMPUTED_VALUE"""),42348.625)</f>
        <v>42348.625</v>
      </c>
      <c r="B233" s="2">
        <f ca="1">IFERROR(__xludf.DUMMYFUNCTION("""COMPUTED_VALUE"""),2160)</f>
        <v>2160</v>
      </c>
      <c r="C233" s="2">
        <f ca="1">IFERROR(__xludf.DUMMYFUNCTION("""COMPUTED_VALUE"""),2190)</f>
        <v>2190</v>
      </c>
      <c r="D233" s="2">
        <f ca="1">IFERROR(__xludf.DUMMYFUNCTION("""COMPUTED_VALUE"""),2155)</f>
        <v>2155</v>
      </c>
      <c r="E233" s="2">
        <f ca="1">IFERROR(__xludf.DUMMYFUNCTION("""COMPUTED_VALUE"""),2175)</f>
        <v>2175</v>
      </c>
      <c r="F233" s="2">
        <f ca="1">IFERROR(__xludf.DUMMYFUNCTION("""COMPUTED_VALUE"""),20753100)</f>
        <v>20753100</v>
      </c>
    </row>
    <row r="234" spans="1:6">
      <c r="A234" s="5">
        <f ca="1">IFERROR(__xludf.DUMMYFUNCTION("""COMPUTED_VALUE"""),42349.625)</f>
        <v>42349.625</v>
      </c>
      <c r="B234" s="2">
        <f ca="1">IFERROR(__xludf.DUMMYFUNCTION("""COMPUTED_VALUE"""),2175)</f>
        <v>2175</v>
      </c>
      <c r="C234" s="2">
        <f ca="1">IFERROR(__xludf.DUMMYFUNCTION("""COMPUTED_VALUE"""),2185)</f>
        <v>2185</v>
      </c>
      <c r="D234" s="2">
        <f ca="1">IFERROR(__xludf.DUMMYFUNCTION("""COMPUTED_VALUE"""),2160)</f>
        <v>2160</v>
      </c>
      <c r="E234" s="2">
        <f ca="1">IFERROR(__xludf.DUMMYFUNCTION("""COMPUTED_VALUE"""),2165)</f>
        <v>2165</v>
      </c>
      <c r="F234" s="2">
        <f ca="1">IFERROR(__xludf.DUMMYFUNCTION("""COMPUTED_VALUE"""),20779900)</f>
        <v>20779900</v>
      </c>
    </row>
    <row r="235" spans="1:6">
      <c r="A235" s="5">
        <f ca="1">IFERROR(__xludf.DUMMYFUNCTION("""COMPUTED_VALUE"""),42352.625)</f>
        <v>42352.625</v>
      </c>
      <c r="B235" s="2">
        <f ca="1">IFERROR(__xludf.DUMMYFUNCTION("""COMPUTED_VALUE"""),2125)</f>
        <v>2125</v>
      </c>
      <c r="C235" s="2">
        <f ca="1">IFERROR(__xludf.DUMMYFUNCTION("""COMPUTED_VALUE"""),2145)</f>
        <v>2145</v>
      </c>
      <c r="D235" s="2">
        <f ca="1">IFERROR(__xludf.DUMMYFUNCTION("""COMPUTED_VALUE"""),2085)</f>
        <v>2085</v>
      </c>
      <c r="E235" s="2">
        <f ca="1">IFERROR(__xludf.DUMMYFUNCTION("""COMPUTED_VALUE"""),2135)</f>
        <v>2135</v>
      </c>
      <c r="F235" s="2">
        <f ca="1">IFERROR(__xludf.DUMMYFUNCTION("""COMPUTED_VALUE"""),29231600)</f>
        <v>29231600</v>
      </c>
    </row>
    <row r="236" spans="1:6">
      <c r="A236" s="5">
        <f ca="1">IFERROR(__xludf.DUMMYFUNCTION("""COMPUTED_VALUE"""),42353.625)</f>
        <v>42353.625</v>
      </c>
      <c r="B236" s="2">
        <f ca="1">IFERROR(__xludf.DUMMYFUNCTION("""COMPUTED_VALUE"""),2130)</f>
        <v>2130</v>
      </c>
      <c r="C236" s="2">
        <f ca="1">IFERROR(__xludf.DUMMYFUNCTION("""COMPUTED_VALUE"""),2150)</f>
        <v>2150</v>
      </c>
      <c r="D236" s="2">
        <f ca="1">IFERROR(__xludf.DUMMYFUNCTION("""COMPUTED_VALUE"""),2115)</f>
        <v>2115</v>
      </c>
      <c r="E236" s="2">
        <f ca="1">IFERROR(__xludf.DUMMYFUNCTION("""COMPUTED_VALUE"""),2150)</f>
        <v>2150</v>
      </c>
      <c r="F236" s="2">
        <f ca="1">IFERROR(__xludf.DUMMYFUNCTION("""COMPUTED_VALUE"""),18095300)</f>
        <v>18095300</v>
      </c>
    </row>
    <row r="237" spans="1:6">
      <c r="A237" s="5">
        <f ca="1">IFERROR(__xludf.DUMMYFUNCTION("""COMPUTED_VALUE"""),42354.625)</f>
        <v>42354.625</v>
      </c>
      <c r="B237" s="2">
        <f ca="1">IFERROR(__xludf.DUMMYFUNCTION("""COMPUTED_VALUE"""),2175)</f>
        <v>2175</v>
      </c>
      <c r="C237" s="2">
        <f ca="1">IFERROR(__xludf.DUMMYFUNCTION("""COMPUTED_VALUE"""),2270)</f>
        <v>2270</v>
      </c>
      <c r="D237" s="2">
        <f ca="1">IFERROR(__xludf.DUMMYFUNCTION("""COMPUTED_VALUE"""),2170)</f>
        <v>2170</v>
      </c>
      <c r="E237" s="2">
        <f ca="1">IFERROR(__xludf.DUMMYFUNCTION("""COMPUTED_VALUE"""),2270)</f>
        <v>2270</v>
      </c>
      <c r="F237" s="2">
        <f ca="1">IFERROR(__xludf.DUMMYFUNCTION("""COMPUTED_VALUE"""),29671500)</f>
        <v>29671500</v>
      </c>
    </row>
    <row r="238" spans="1:6">
      <c r="A238" s="5">
        <f ca="1">IFERROR(__xludf.DUMMYFUNCTION("""COMPUTED_VALUE"""),42355.625)</f>
        <v>42355.625</v>
      </c>
      <c r="B238" s="2">
        <f ca="1">IFERROR(__xludf.DUMMYFUNCTION("""COMPUTED_VALUE"""),2310)</f>
        <v>2310</v>
      </c>
      <c r="C238" s="2">
        <f ca="1">IFERROR(__xludf.DUMMYFUNCTION("""COMPUTED_VALUE"""),2320)</f>
        <v>2320</v>
      </c>
      <c r="D238" s="2">
        <f ca="1">IFERROR(__xludf.DUMMYFUNCTION("""COMPUTED_VALUE"""),2300)</f>
        <v>2300</v>
      </c>
      <c r="E238" s="2">
        <f ca="1">IFERROR(__xludf.DUMMYFUNCTION("""COMPUTED_VALUE"""),2310)</f>
        <v>2310</v>
      </c>
      <c r="F238" s="2">
        <f ca="1">IFERROR(__xludf.DUMMYFUNCTION("""COMPUTED_VALUE"""),29405200)</f>
        <v>29405200</v>
      </c>
    </row>
    <row r="239" spans="1:6">
      <c r="A239" s="5">
        <f ca="1">IFERROR(__xludf.DUMMYFUNCTION("""COMPUTED_VALUE"""),42356.625)</f>
        <v>42356.625</v>
      </c>
      <c r="B239" s="2">
        <f ca="1">IFERROR(__xludf.DUMMYFUNCTION("""COMPUTED_VALUE"""),2245)</f>
        <v>2245</v>
      </c>
      <c r="C239" s="2">
        <f ca="1">IFERROR(__xludf.DUMMYFUNCTION("""COMPUTED_VALUE"""),2265)</f>
        <v>2265</v>
      </c>
      <c r="D239" s="2">
        <f ca="1">IFERROR(__xludf.DUMMYFUNCTION("""COMPUTED_VALUE"""),2175)</f>
        <v>2175</v>
      </c>
      <c r="E239" s="2">
        <f ca="1">IFERROR(__xludf.DUMMYFUNCTION("""COMPUTED_VALUE"""),2175)</f>
        <v>2175</v>
      </c>
      <c r="F239" s="2">
        <f ca="1">IFERROR(__xludf.DUMMYFUNCTION("""COMPUTED_VALUE"""),26342400)</f>
        <v>26342400</v>
      </c>
    </row>
    <row r="240" spans="1:6">
      <c r="A240" s="5">
        <f ca="1">IFERROR(__xludf.DUMMYFUNCTION("""COMPUTED_VALUE"""),42359.625)</f>
        <v>42359.625</v>
      </c>
      <c r="B240" s="2">
        <f ca="1">IFERROR(__xludf.DUMMYFUNCTION("""COMPUTED_VALUE"""),2175)</f>
        <v>2175</v>
      </c>
      <c r="C240" s="2">
        <f ca="1">IFERROR(__xludf.DUMMYFUNCTION("""COMPUTED_VALUE"""),2225)</f>
        <v>2225</v>
      </c>
      <c r="D240" s="2">
        <f ca="1">IFERROR(__xludf.DUMMYFUNCTION("""COMPUTED_VALUE"""),2175)</f>
        <v>2175</v>
      </c>
      <c r="E240" s="2">
        <f ca="1">IFERROR(__xludf.DUMMYFUNCTION("""COMPUTED_VALUE"""),2220)</f>
        <v>2220</v>
      </c>
      <c r="F240" s="2">
        <f ca="1">IFERROR(__xludf.DUMMYFUNCTION("""COMPUTED_VALUE"""),10989300)</f>
        <v>10989300</v>
      </c>
    </row>
    <row r="241" spans="1:6">
      <c r="A241" s="5">
        <f ca="1">IFERROR(__xludf.DUMMYFUNCTION("""COMPUTED_VALUE"""),42360.625)</f>
        <v>42360.625</v>
      </c>
      <c r="B241" s="2">
        <f ca="1">IFERROR(__xludf.DUMMYFUNCTION("""COMPUTED_VALUE"""),2210)</f>
        <v>2210</v>
      </c>
      <c r="C241" s="2">
        <f ca="1">IFERROR(__xludf.DUMMYFUNCTION("""COMPUTED_VALUE"""),2220)</f>
        <v>2220</v>
      </c>
      <c r="D241" s="2">
        <f ca="1">IFERROR(__xludf.DUMMYFUNCTION("""COMPUTED_VALUE"""),2185)</f>
        <v>2185</v>
      </c>
      <c r="E241" s="2">
        <f ca="1">IFERROR(__xludf.DUMMYFUNCTION("""COMPUTED_VALUE"""),2210)</f>
        <v>2210</v>
      </c>
      <c r="F241" s="2">
        <f ca="1">IFERROR(__xludf.DUMMYFUNCTION("""COMPUTED_VALUE"""),14565500)</f>
        <v>14565500</v>
      </c>
    </row>
    <row r="242" spans="1:6">
      <c r="A242" s="5">
        <f ca="1">IFERROR(__xludf.DUMMYFUNCTION("""COMPUTED_VALUE"""),42361.625)</f>
        <v>42361.625</v>
      </c>
      <c r="B242" s="2">
        <f ca="1">IFERROR(__xludf.DUMMYFUNCTION("""COMPUTED_VALUE"""),2210)</f>
        <v>2210</v>
      </c>
      <c r="C242" s="2">
        <f ca="1">IFERROR(__xludf.DUMMYFUNCTION("""COMPUTED_VALUE"""),2225)</f>
        <v>2225</v>
      </c>
      <c r="D242" s="2">
        <f ca="1">IFERROR(__xludf.DUMMYFUNCTION("""COMPUTED_VALUE"""),2195)</f>
        <v>2195</v>
      </c>
      <c r="E242" s="2">
        <f ca="1">IFERROR(__xludf.DUMMYFUNCTION("""COMPUTED_VALUE"""),2220)</f>
        <v>2220</v>
      </c>
      <c r="F242" s="2">
        <f ca="1">IFERROR(__xludf.DUMMYFUNCTION("""COMPUTED_VALUE"""),6534000)</f>
        <v>6534000</v>
      </c>
    </row>
    <row r="243" spans="1:6">
      <c r="A243" s="5">
        <f ca="1">IFERROR(__xludf.DUMMYFUNCTION("""COMPUTED_VALUE"""),42366.625)</f>
        <v>42366.625</v>
      </c>
      <c r="B243" s="2">
        <f ca="1">IFERROR(__xludf.DUMMYFUNCTION("""COMPUTED_VALUE"""),2200)</f>
        <v>2200</v>
      </c>
      <c r="C243" s="2">
        <f ca="1">IFERROR(__xludf.DUMMYFUNCTION("""COMPUTED_VALUE"""),2290)</f>
        <v>2290</v>
      </c>
      <c r="D243" s="2">
        <f ca="1">IFERROR(__xludf.DUMMYFUNCTION("""COMPUTED_VALUE"""),2195)</f>
        <v>2195</v>
      </c>
      <c r="E243" s="2">
        <f ca="1">IFERROR(__xludf.DUMMYFUNCTION("""COMPUTED_VALUE"""),2280)</f>
        <v>2280</v>
      </c>
      <c r="F243" s="2">
        <f ca="1">IFERROR(__xludf.DUMMYFUNCTION("""COMPUTED_VALUE"""),20106600)</f>
        <v>20106600</v>
      </c>
    </row>
    <row r="244" spans="1:6">
      <c r="A244" s="5">
        <f ca="1">IFERROR(__xludf.DUMMYFUNCTION("""COMPUTED_VALUE"""),42367.625)</f>
        <v>42367.625</v>
      </c>
      <c r="B244" s="2">
        <f ca="1">IFERROR(__xludf.DUMMYFUNCTION("""COMPUTED_VALUE"""),2270)</f>
        <v>2270</v>
      </c>
      <c r="C244" s="2">
        <f ca="1">IFERROR(__xludf.DUMMYFUNCTION("""COMPUTED_VALUE"""),2285)</f>
        <v>2285</v>
      </c>
      <c r="D244" s="2">
        <f ca="1">IFERROR(__xludf.DUMMYFUNCTION("""COMPUTED_VALUE"""),2265)</f>
        <v>2265</v>
      </c>
      <c r="E244" s="2">
        <f ca="1">IFERROR(__xludf.DUMMYFUNCTION("""COMPUTED_VALUE"""),2280)</f>
        <v>2280</v>
      </c>
      <c r="F244" s="2">
        <f ca="1">IFERROR(__xludf.DUMMYFUNCTION("""COMPUTED_VALUE"""),11757300)</f>
        <v>11757300</v>
      </c>
    </row>
    <row r="245" spans="1:6">
      <c r="A245" s="5">
        <f ca="1">IFERROR(__xludf.DUMMYFUNCTION("""COMPUTED_VALUE"""),42368.625)</f>
        <v>42368.625</v>
      </c>
      <c r="B245" s="2">
        <f ca="1">IFERROR(__xludf.DUMMYFUNCTION("""COMPUTED_VALUE"""),2290)</f>
        <v>2290</v>
      </c>
      <c r="C245" s="2">
        <f ca="1">IFERROR(__xludf.DUMMYFUNCTION("""COMPUTED_VALUE"""),2305)</f>
        <v>2305</v>
      </c>
      <c r="D245" s="2">
        <f ca="1">IFERROR(__xludf.DUMMYFUNCTION("""COMPUTED_VALUE"""),2285)</f>
        <v>2285</v>
      </c>
      <c r="E245" s="2">
        <f ca="1">IFERROR(__xludf.DUMMYFUNCTION("""COMPUTED_VALUE"""),2285)</f>
        <v>2285</v>
      </c>
      <c r="F245" s="2">
        <f ca="1">IFERROR(__xludf.DUMMYFUNCTION("""COMPUTED_VALUE"""),26468300)</f>
        <v>26468300</v>
      </c>
    </row>
    <row r="246" spans="1:6">
      <c r="A246" s="5">
        <f ca="1">IFERROR(__xludf.DUMMYFUNCTION("""COMPUTED_VALUE"""),42373.625)</f>
        <v>42373.625</v>
      </c>
      <c r="B246" s="2">
        <f ca="1">IFERROR(__xludf.DUMMYFUNCTION("""COMPUTED_VALUE"""),2280)</f>
        <v>2280</v>
      </c>
      <c r="C246" s="2">
        <f ca="1">IFERROR(__xludf.DUMMYFUNCTION("""COMPUTED_VALUE"""),2320)</f>
        <v>2320</v>
      </c>
      <c r="D246" s="2">
        <f ca="1">IFERROR(__xludf.DUMMYFUNCTION("""COMPUTED_VALUE"""),2240)</f>
        <v>2240</v>
      </c>
      <c r="E246" s="2">
        <f ca="1">IFERROR(__xludf.DUMMYFUNCTION("""COMPUTED_VALUE"""),2295)</f>
        <v>2295</v>
      </c>
      <c r="F246" s="2">
        <f ca="1">IFERROR(__xludf.DUMMYFUNCTION("""COMPUTED_VALUE"""),20075800)</f>
        <v>20075800</v>
      </c>
    </row>
    <row r="247" spans="1:6">
      <c r="A247" s="5">
        <f ca="1">IFERROR(__xludf.DUMMYFUNCTION("""COMPUTED_VALUE"""),42374.625)</f>
        <v>42374.625</v>
      </c>
      <c r="B247" s="2">
        <f ca="1">IFERROR(__xludf.DUMMYFUNCTION("""COMPUTED_VALUE"""),2315)</f>
        <v>2315</v>
      </c>
      <c r="C247" s="2">
        <f ca="1">IFERROR(__xludf.DUMMYFUNCTION("""COMPUTED_VALUE"""),2365)</f>
        <v>2365</v>
      </c>
      <c r="D247" s="2">
        <f ca="1">IFERROR(__xludf.DUMMYFUNCTION("""COMPUTED_VALUE"""),2315)</f>
        <v>2315</v>
      </c>
      <c r="E247" s="2">
        <f ca="1">IFERROR(__xludf.DUMMYFUNCTION("""COMPUTED_VALUE"""),2315)</f>
        <v>2315</v>
      </c>
      <c r="F247" s="2">
        <f ca="1">IFERROR(__xludf.DUMMYFUNCTION("""COMPUTED_VALUE"""),21608600)</f>
        <v>21608600</v>
      </c>
    </row>
    <row r="248" spans="1:6">
      <c r="A248" s="5">
        <f ca="1">IFERROR(__xludf.DUMMYFUNCTION("""COMPUTED_VALUE"""),42375.625)</f>
        <v>42375.625</v>
      </c>
      <c r="B248" s="2">
        <f ca="1">IFERROR(__xludf.DUMMYFUNCTION("""COMPUTED_VALUE"""),2280)</f>
        <v>2280</v>
      </c>
      <c r="C248" s="2">
        <f ca="1">IFERROR(__xludf.DUMMYFUNCTION("""COMPUTED_VALUE"""),2355)</f>
        <v>2355</v>
      </c>
      <c r="D248" s="2">
        <f ca="1">IFERROR(__xludf.DUMMYFUNCTION("""COMPUTED_VALUE"""),2280)</f>
        <v>2280</v>
      </c>
      <c r="E248" s="2">
        <f ca="1">IFERROR(__xludf.DUMMYFUNCTION("""COMPUTED_VALUE"""),2305)</f>
        <v>2305</v>
      </c>
      <c r="F248" s="2">
        <f ca="1">IFERROR(__xludf.DUMMYFUNCTION("""COMPUTED_VALUE"""),21025100)</f>
        <v>21025100</v>
      </c>
    </row>
    <row r="249" spans="1:6">
      <c r="A249" s="5">
        <f ca="1">IFERROR(__xludf.DUMMYFUNCTION("""COMPUTED_VALUE"""),42376.625)</f>
        <v>42376.625</v>
      </c>
      <c r="B249" s="2">
        <f ca="1">IFERROR(__xludf.DUMMYFUNCTION("""COMPUTED_VALUE"""),2270)</f>
        <v>2270</v>
      </c>
      <c r="C249" s="2">
        <f ca="1">IFERROR(__xludf.DUMMYFUNCTION("""COMPUTED_VALUE"""),2305)</f>
        <v>2305</v>
      </c>
      <c r="D249" s="2">
        <f ca="1">IFERROR(__xludf.DUMMYFUNCTION("""COMPUTED_VALUE"""),2250)</f>
        <v>2250</v>
      </c>
      <c r="E249" s="2">
        <f ca="1">IFERROR(__xludf.DUMMYFUNCTION("""COMPUTED_VALUE"""),2250)</f>
        <v>2250</v>
      </c>
      <c r="F249" s="2">
        <f ca="1">IFERROR(__xludf.DUMMYFUNCTION("""COMPUTED_VALUE"""),14255100)</f>
        <v>14255100</v>
      </c>
    </row>
    <row r="250" spans="1:6">
      <c r="A250" s="5">
        <f ca="1">IFERROR(__xludf.DUMMYFUNCTION("""COMPUTED_VALUE"""),42377.625)</f>
        <v>42377.625</v>
      </c>
      <c r="B250" s="2">
        <f ca="1">IFERROR(__xludf.DUMMYFUNCTION("""COMPUTED_VALUE"""),2250)</f>
        <v>2250</v>
      </c>
      <c r="C250" s="2">
        <f ca="1">IFERROR(__xludf.DUMMYFUNCTION("""COMPUTED_VALUE"""),2340)</f>
        <v>2340</v>
      </c>
      <c r="D250" s="2">
        <f ca="1">IFERROR(__xludf.DUMMYFUNCTION("""COMPUTED_VALUE"""),2250)</f>
        <v>2250</v>
      </c>
      <c r="E250" s="2">
        <f ca="1">IFERROR(__xludf.DUMMYFUNCTION("""COMPUTED_VALUE"""),2320)</f>
        <v>2320</v>
      </c>
      <c r="F250" s="2">
        <f ca="1">IFERROR(__xludf.DUMMYFUNCTION("""COMPUTED_VALUE"""),21300200)</f>
        <v>21300200</v>
      </c>
    </row>
    <row r="251" spans="1:6">
      <c r="A251" s="5">
        <f ca="1">IFERROR(__xludf.DUMMYFUNCTION("""COMPUTED_VALUE"""),42380.625)</f>
        <v>42380.625</v>
      </c>
      <c r="B251" s="2">
        <f ca="1">IFERROR(__xludf.DUMMYFUNCTION("""COMPUTED_VALUE"""),2280)</f>
        <v>2280</v>
      </c>
      <c r="C251" s="2">
        <f ca="1">IFERROR(__xludf.DUMMYFUNCTION("""COMPUTED_VALUE"""),2305)</f>
        <v>2305</v>
      </c>
      <c r="D251" s="2">
        <f ca="1">IFERROR(__xludf.DUMMYFUNCTION("""COMPUTED_VALUE"""),2255)</f>
        <v>2255</v>
      </c>
      <c r="E251" s="2">
        <f ca="1">IFERROR(__xludf.DUMMYFUNCTION("""COMPUTED_VALUE"""),2275)</f>
        <v>2275</v>
      </c>
      <c r="F251" s="2">
        <f ca="1">IFERROR(__xludf.DUMMYFUNCTION("""COMPUTED_VALUE"""),22636600)</f>
        <v>22636600</v>
      </c>
    </row>
    <row r="252" spans="1:6">
      <c r="A252" s="5">
        <f ca="1">IFERROR(__xludf.DUMMYFUNCTION("""COMPUTED_VALUE"""),42381.625)</f>
        <v>42381.625</v>
      </c>
      <c r="B252" s="2">
        <f ca="1">IFERROR(__xludf.DUMMYFUNCTION("""COMPUTED_VALUE"""),2295)</f>
        <v>2295</v>
      </c>
      <c r="C252" s="2">
        <f ca="1">IFERROR(__xludf.DUMMYFUNCTION("""COMPUTED_VALUE"""),2345)</f>
        <v>2345</v>
      </c>
      <c r="D252" s="2">
        <f ca="1">IFERROR(__xludf.DUMMYFUNCTION("""COMPUTED_VALUE"""),2285)</f>
        <v>2285</v>
      </c>
      <c r="E252" s="2">
        <f ca="1">IFERROR(__xludf.DUMMYFUNCTION("""COMPUTED_VALUE"""),2320)</f>
        <v>2320</v>
      </c>
      <c r="F252" s="2">
        <f ca="1">IFERROR(__xludf.DUMMYFUNCTION("""COMPUTED_VALUE"""),23450200)</f>
        <v>23450200</v>
      </c>
    </row>
    <row r="253" spans="1:6">
      <c r="A253" s="5">
        <f ca="1">IFERROR(__xludf.DUMMYFUNCTION("""COMPUTED_VALUE"""),42382.625)</f>
        <v>42382.625</v>
      </c>
      <c r="B253" s="2">
        <f ca="1">IFERROR(__xludf.DUMMYFUNCTION("""COMPUTED_VALUE"""),2335)</f>
        <v>2335</v>
      </c>
      <c r="C253" s="2">
        <f ca="1">IFERROR(__xludf.DUMMYFUNCTION("""COMPUTED_VALUE"""),2340)</f>
        <v>2340</v>
      </c>
      <c r="D253" s="2">
        <f ca="1">IFERROR(__xludf.DUMMYFUNCTION("""COMPUTED_VALUE"""),2315)</f>
        <v>2315</v>
      </c>
      <c r="E253" s="2">
        <f ca="1">IFERROR(__xludf.DUMMYFUNCTION("""COMPUTED_VALUE"""),2320)</f>
        <v>2320</v>
      </c>
      <c r="F253" s="2">
        <f ca="1">IFERROR(__xludf.DUMMYFUNCTION("""COMPUTED_VALUE"""),13700700)</f>
        <v>13700700</v>
      </c>
    </row>
    <row r="254" spans="1:6">
      <c r="A254" s="5">
        <f ca="1">IFERROR(__xludf.DUMMYFUNCTION("""COMPUTED_VALUE"""),42383.625)</f>
        <v>42383.625</v>
      </c>
      <c r="B254" s="2">
        <f ca="1">IFERROR(__xludf.DUMMYFUNCTION("""COMPUTED_VALUE"""),2270)</f>
        <v>2270</v>
      </c>
      <c r="C254" s="2">
        <f ca="1">IFERROR(__xludf.DUMMYFUNCTION("""COMPUTED_VALUE"""),2355)</f>
        <v>2355</v>
      </c>
      <c r="D254" s="2">
        <f ca="1">IFERROR(__xludf.DUMMYFUNCTION("""COMPUTED_VALUE"""),2270)</f>
        <v>2270</v>
      </c>
      <c r="E254" s="2">
        <f ca="1">IFERROR(__xludf.DUMMYFUNCTION("""COMPUTED_VALUE"""),2345)</f>
        <v>2345</v>
      </c>
      <c r="F254" s="2">
        <f ca="1">IFERROR(__xludf.DUMMYFUNCTION("""COMPUTED_VALUE"""),31863000)</f>
        <v>31863000</v>
      </c>
    </row>
    <row r="255" spans="1:6">
      <c r="A255" s="5">
        <f ca="1">IFERROR(__xludf.DUMMYFUNCTION("""COMPUTED_VALUE"""),42384.625)</f>
        <v>42384.625</v>
      </c>
      <c r="B255" s="2">
        <f ca="1">IFERROR(__xludf.DUMMYFUNCTION("""COMPUTED_VALUE"""),2300)</f>
        <v>2300</v>
      </c>
      <c r="C255" s="2">
        <f ca="1">IFERROR(__xludf.DUMMYFUNCTION("""COMPUTED_VALUE"""),2330)</f>
        <v>2330</v>
      </c>
      <c r="D255" s="2">
        <f ca="1">IFERROR(__xludf.DUMMYFUNCTION("""COMPUTED_VALUE"""),2290)</f>
        <v>2290</v>
      </c>
      <c r="E255" s="2">
        <f ca="1">IFERROR(__xludf.DUMMYFUNCTION("""COMPUTED_VALUE"""),2290)</f>
        <v>2290</v>
      </c>
      <c r="F255" s="2">
        <f ca="1">IFERROR(__xludf.DUMMYFUNCTION("""COMPUTED_VALUE"""),20389700)</f>
        <v>20389700</v>
      </c>
    </row>
    <row r="256" spans="1:6">
      <c r="A256" s="5">
        <f ca="1">IFERROR(__xludf.DUMMYFUNCTION("""COMPUTED_VALUE"""),42387.625)</f>
        <v>42387.625</v>
      </c>
      <c r="B256" s="2">
        <f ca="1">IFERROR(__xludf.DUMMYFUNCTION("""COMPUTED_VALUE"""),2290)</f>
        <v>2290</v>
      </c>
      <c r="C256" s="2">
        <f ca="1">IFERROR(__xludf.DUMMYFUNCTION("""COMPUTED_VALUE"""),2305)</f>
        <v>2305</v>
      </c>
      <c r="D256" s="2">
        <f ca="1">IFERROR(__xludf.DUMMYFUNCTION("""COMPUTED_VALUE"""),2270)</f>
        <v>2270</v>
      </c>
      <c r="E256" s="2">
        <f ca="1">IFERROR(__xludf.DUMMYFUNCTION("""COMPUTED_VALUE"""),2280)</f>
        <v>2280</v>
      </c>
      <c r="F256" s="2">
        <f ca="1">IFERROR(__xludf.DUMMYFUNCTION("""COMPUTED_VALUE"""),12543300)</f>
        <v>12543300</v>
      </c>
    </row>
    <row r="257" spans="1:6">
      <c r="A257" s="5">
        <f ca="1">IFERROR(__xludf.DUMMYFUNCTION("""COMPUTED_VALUE"""),42388.625)</f>
        <v>42388.625</v>
      </c>
      <c r="B257" s="2">
        <f ca="1">IFERROR(__xludf.DUMMYFUNCTION("""COMPUTED_VALUE"""),2265)</f>
        <v>2265</v>
      </c>
      <c r="C257" s="2">
        <f ca="1">IFERROR(__xludf.DUMMYFUNCTION("""COMPUTED_VALUE"""),2300)</f>
        <v>2300</v>
      </c>
      <c r="D257" s="2">
        <f ca="1">IFERROR(__xludf.DUMMYFUNCTION("""COMPUTED_VALUE"""),2265)</f>
        <v>2265</v>
      </c>
      <c r="E257" s="2">
        <f ca="1">IFERROR(__xludf.DUMMYFUNCTION("""COMPUTED_VALUE"""),2300)</f>
        <v>2300</v>
      </c>
      <c r="F257" s="2">
        <f ca="1">IFERROR(__xludf.DUMMYFUNCTION("""COMPUTED_VALUE"""),12262600)</f>
        <v>12262600</v>
      </c>
    </row>
    <row r="258" spans="1:6">
      <c r="A258" s="5">
        <f ca="1">IFERROR(__xludf.DUMMYFUNCTION("""COMPUTED_VALUE"""),42389.625)</f>
        <v>42389.625</v>
      </c>
      <c r="B258" s="2">
        <f ca="1">IFERROR(__xludf.DUMMYFUNCTION("""COMPUTED_VALUE"""),2280)</f>
        <v>2280</v>
      </c>
      <c r="C258" s="2">
        <f ca="1">IFERROR(__xludf.DUMMYFUNCTION("""COMPUTED_VALUE"""),2295)</f>
        <v>2295</v>
      </c>
      <c r="D258" s="2">
        <f ca="1">IFERROR(__xludf.DUMMYFUNCTION("""COMPUTED_VALUE"""),2200)</f>
        <v>2200</v>
      </c>
      <c r="E258" s="2">
        <f ca="1">IFERROR(__xludf.DUMMYFUNCTION("""COMPUTED_VALUE"""),2200)</f>
        <v>2200</v>
      </c>
      <c r="F258" s="2">
        <f ca="1">IFERROR(__xludf.DUMMYFUNCTION("""COMPUTED_VALUE"""),18536900)</f>
        <v>18536900</v>
      </c>
    </row>
    <row r="259" spans="1:6">
      <c r="A259" s="5">
        <f ca="1">IFERROR(__xludf.DUMMYFUNCTION("""COMPUTED_VALUE"""),42390.625)</f>
        <v>42390.625</v>
      </c>
      <c r="B259" s="2">
        <f ca="1">IFERROR(__xludf.DUMMYFUNCTION("""COMPUTED_VALUE"""),2240)</f>
        <v>2240</v>
      </c>
      <c r="C259" s="2">
        <f ca="1">IFERROR(__xludf.DUMMYFUNCTION("""COMPUTED_VALUE"""),2255)</f>
        <v>2255</v>
      </c>
      <c r="D259" s="2">
        <f ca="1">IFERROR(__xludf.DUMMYFUNCTION("""COMPUTED_VALUE"""),2150)</f>
        <v>2150</v>
      </c>
      <c r="E259" s="2">
        <f ca="1">IFERROR(__xludf.DUMMYFUNCTION("""COMPUTED_VALUE"""),2165)</f>
        <v>2165</v>
      </c>
      <c r="F259" s="2">
        <f ca="1">IFERROR(__xludf.DUMMYFUNCTION("""COMPUTED_VALUE"""),30890700)</f>
        <v>30890700</v>
      </c>
    </row>
    <row r="260" spans="1:6">
      <c r="A260" s="5">
        <f ca="1">IFERROR(__xludf.DUMMYFUNCTION("""COMPUTED_VALUE"""),42391.625)</f>
        <v>42391.625</v>
      </c>
      <c r="B260" s="2">
        <f ca="1">IFERROR(__xludf.DUMMYFUNCTION("""COMPUTED_VALUE"""),2220)</f>
        <v>2220</v>
      </c>
      <c r="C260" s="2">
        <f ca="1">IFERROR(__xludf.DUMMYFUNCTION("""COMPUTED_VALUE"""),2255)</f>
        <v>2255</v>
      </c>
      <c r="D260" s="2">
        <f ca="1">IFERROR(__xludf.DUMMYFUNCTION("""COMPUTED_VALUE"""),2185)</f>
        <v>2185</v>
      </c>
      <c r="E260" s="2">
        <f ca="1">IFERROR(__xludf.DUMMYFUNCTION("""COMPUTED_VALUE"""),2255)</f>
        <v>2255</v>
      </c>
      <c r="F260" s="2">
        <f ca="1">IFERROR(__xludf.DUMMYFUNCTION("""COMPUTED_VALUE"""),25883200)</f>
        <v>25883200</v>
      </c>
    </row>
    <row r="261" spans="1:6">
      <c r="A261" s="5">
        <f ca="1">IFERROR(__xludf.DUMMYFUNCTION("""COMPUTED_VALUE"""),42394.625)</f>
        <v>42394.625</v>
      </c>
      <c r="B261" s="2">
        <f ca="1">IFERROR(__xludf.DUMMYFUNCTION("""COMPUTED_VALUE"""),2280)</f>
        <v>2280</v>
      </c>
      <c r="C261" s="2">
        <f ca="1">IFERROR(__xludf.DUMMYFUNCTION("""COMPUTED_VALUE"""),2285)</f>
        <v>2285</v>
      </c>
      <c r="D261" s="2">
        <f ca="1">IFERROR(__xludf.DUMMYFUNCTION("""COMPUTED_VALUE"""),2255)</f>
        <v>2255</v>
      </c>
      <c r="E261" s="2">
        <f ca="1">IFERROR(__xludf.DUMMYFUNCTION("""COMPUTED_VALUE"""),2285)</f>
        <v>2285</v>
      </c>
      <c r="F261" s="2">
        <f ca="1">IFERROR(__xludf.DUMMYFUNCTION("""COMPUTED_VALUE"""),18415700)</f>
        <v>18415700</v>
      </c>
    </row>
    <row r="262" spans="1:6">
      <c r="A262" s="5">
        <f ca="1">IFERROR(__xludf.DUMMYFUNCTION("""COMPUTED_VALUE"""),42395.625)</f>
        <v>42395.625</v>
      </c>
      <c r="B262" s="2">
        <f ca="1">IFERROR(__xludf.DUMMYFUNCTION("""COMPUTED_VALUE"""),2280)</f>
        <v>2280</v>
      </c>
      <c r="C262" s="2">
        <f ca="1">IFERROR(__xludf.DUMMYFUNCTION("""COMPUTED_VALUE"""),2280)</f>
        <v>2280</v>
      </c>
      <c r="D262" s="2">
        <f ca="1">IFERROR(__xludf.DUMMYFUNCTION("""COMPUTED_VALUE"""),2240)</f>
        <v>2240</v>
      </c>
      <c r="E262" s="2">
        <f ca="1">IFERROR(__xludf.DUMMYFUNCTION("""COMPUTED_VALUE"""),2260)</f>
        <v>2260</v>
      </c>
      <c r="F262" s="2">
        <f ca="1">IFERROR(__xludf.DUMMYFUNCTION("""COMPUTED_VALUE"""),13178400)</f>
        <v>13178400</v>
      </c>
    </row>
    <row r="263" spans="1:6">
      <c r="A263" s="5">
        <f ca="1">IFERROR(__xludf.DUMMYFUNCTION("""COMPUTED_VALUE"""),42396.625)</f>
        <v>42396.625</v>
      </c>
      <c r="B263" s="2">
        <f ca="1">IFERROR(__xludf.DUMMYFUNCTION("""COMPUTED_VALUE"""),2280)</f>
        <v>2280</v>
      </c>
      <c r="C263" s="2">
        <f ca="1">IFERROR(__xludf.DUMMYFUNCTION("""COMPUTED_VALUE"""),2290)</f>
        <v>2290</v>
      </c>
      <c r="D263" s="2">
        <f ca="1">IFERROR(__xludf.DUMMYFUNCTION("""COMPUTED_VALUE"""),2260)</f>
        <v>2260</v>
      </c>
      <c r="E263" s="2">
        <f ca="1">IFERROR(__xludf.DUMMYFUNCTION("""COMPUTED_VALUE"""),2275)</f>
        <v>2275</v>
      </c>
      <c r="F263" s="2">
        <f ca="1">IFERROR(__xludf.DUMMYFUNCTION("""COMPUTED_VALUE"""),16194000)</f>
        <v>16194000</v>
      </c>
    </row>
    <row r="264" spans="1:6">
      <c r="A264" s="5">
        <f ca="1">IFERROR(__xludf.DUMMYFUNCTION("""COMPUTED_VALUE"""),42397.625)</f>
        <v>42397.625</v>
      </c>
      <c r="B264" s="2">
        <f ca="1">IFERROR(__xludf.DUMMYFUNCTION("""COMPUTED_VALUE"""),2255)</f>
        <v>2255</v>
      </c>
      <c r="C264" s="2">
        <f ca="1">IFERROR(__xludf.DUMMYFUNCTION("""COMPUTED_VALUE"""),2270)</f>
        <v>2270</v>
      </c>
      <c r="D264" s="2">
        <f ca="1">IFERROR(__xludf.DUMMYFUNCTION("""COMPUTED_VALUE"""),2245)</f>
        <v>2245</v>
      </c>
      <c r="E264" s="2">
        <f ca="1">IFERROR(__xludf.DUMMYFUNCTION("""COMPUTED_VALUE"""),2250)</f>
        <v>2250</v>
      </c>
      <c r="F264" s="2">
        <f ca="1">IFERROR(__xludf.DUMMYFUNCTION("""COMPUTED_VALUE"""),17794300)</f>
        <v>17794300</v>
      </c>
    </row>
    <row r="265" spans="1:6">
      <c r="A265" s="5">
        <f ca="1">IFERROR(__xludf.DUMMYFUNCTION("""COMPUTED_VALUE"""),42398.625)</f>
        <v>42398.625</v>
      </c>
      <c r="B265" s="2">
        <f ca="1">IFERROR(__xludf.DUMMYFUNCTION("""COMPUTED_VALUE"""),2250)</f>
        <v>2250</v>
      </c>
      <c r="C265" s="2">
        <f ca="1">IFERROR(__xludf.DUMMYFUNCTION("""COMPUTED_VALUE"""),2270)</f>
        <v>2270</v>
      </c>
      <c r="D265" s="2">
        <f ca="1">IFERROR(__xludf.DUMMYFUNCTION("""COMPUTED_VALUE"""),2205)</f>
        <v>2205</v>
      </c>
      <c r="E265" s="2">
        <f ca="1">IFERROR(__xludf.DUMMYFUNCTION("""COMPUTED_VALUE"""),2245)</f>
        <v>2245</v>
      </c>
      <c r="F265" s="2">
        <f ca="1">IFERROR(__xludf.DUMMYFUNCTION("""COMPUTED_VALUE"""),46598700)</f>
        <v>46598700</v>
      </c>
    </row>
    <row r="266" spans="1:6">
      <c r="A266" s="5">
        <f ca="1">IFERROR(__xludf.DUMMYFUNCTION("""COMPUTED_VALUE"""),42401.625)</f>
        <v>42401.625</v>
      </c>
      <c r="B266" s="2">
        <f ca="1">IFERROR(__xludf.DUMMYFUNCTION("""COMPUTED_VALUE"""),2270)</f>
        <v>2270</v>
      </c>
      <c r="C266" s="2">
        <f ca="1">IFERROR(__xludf.DUMMYFUNCTION("""COMPUTED_VALUE"""),2270)</f>
        <v>2270</v>
      </c>
      <c r="D266" s="2">
        <f ca="1">IFERROR(__xludf.DUMMYFUNCTION("""COMPUTED_VALUE"""),2225)</f>
        <v>2225</v>
      </c>
      <c r="E266" s="2">
        <f ca="1">IFERROR(__xludf.DUMMYFUNCTION("""COMPUTED_VALUE"""),2245)</f>
        <v>2245</v>
      </c>
      <c r="F266" s="2">
        <f ca="1">IFERROR(__xludf.DUMMYFUNCTION("""COMPUTED_VALUE"""),16706700)</f>
        <v>16706700</v>
      </c>
    </row>
    <row r="267" spans="1:6">
      <c r="A267" s="5">
        <f ca="1">IFERROR(__xludf.DUMMYFUNCTION("""COMPUTED_VALUE"""),42402.625)</f>
        <v>42402.625</v>
      </c>
      <c r="B267" s="2">
        <f ca="1">IFERROR(__xludf.DUMMYFUNCTION("""COMPUTED_VALUE"""),2220)</f>
        <v>2220</v>
      </c>
      <c r="C267" s="2">
        <f ca="1">IFERROR(__xludf.DUMMYFUNCTION("""COMPUTED_VALUE"""),2240)</f>
        <v>2240</v>
      </c>
      <c r="D267" s="2">
        <f ca="1">IFERROR(__xludf.DUMMYFUNCTION("""COMPUTED_VALUE"""),2205)</f>
        <v>2205</v>
      </c>
      <c r="E267" s="2">
        <f ca="1">IFERROR(__xludf.DUMMYFUNCTION("""COMPUTED_VALUE"""),2205)</f>
        <v>2205</v>
      </c>
      <c r="F267" s="2">
        <f ca="1">IFERROR(__xludf.DUMMYFUNCTION("""COMPUTED_VALUE"""),12064700)</f>
        <v>12064700</v>
      </c>
    </row>
    <row r="268" spans="1:6">
      <c r="A268" s="5">
        <f ca="1">IFERROR(__xludf.DUMMYFUNCTION("""COMPUTED_VALUE"""),42403.625)</f>
        <v>42403.625</v>
      </c>
      <c r="B268" s="2">
        <f ca="1">IFERROR(__xludf.DUMMYFUNCTION("""COMPUTED_VALUE"""),2200)</f>
        <v>2200</v>
      </c>
      <c r="C268" s="2">
        <f ca="1">IFERROR(__xludf.DUMMYFUNCTION("""COMPUTED_VALUE"""),2205)</f>
        <v>2205</v>
      </c>
      <c r="D268" s="2">
        <f ca="1">IFERROR(__xludf.DUMMYFUNCTION("""COMPUTED_VALUE"""),2175)</f>
        <v>2175</v>
      </c>
      <c r="E268" s="2">
        <f ca="1">IFERROR(__xludf.DUMMYFUNCTION("""COMPUTED_VALUE"""),2185)</f>
        <v>2185</v>
      </c>
      <c r="F268" s="2">
        <f ca="1">IFERROR(__xludf.DUMMYFUNCTION("""COMPUTED_VALUE"""),30849600)</f>
        <v>30849600</v>
      </c>
    </row>
    <row r="269" spans="1:6">
      <c r="A269" s="5">
        <f ca="1">IFERROR(__xludf.DUMMYFUNCTION("""COMPUTED_VALUE"""),42404.625)</f>
        <v>42404.625</v>
      </c>
      <c r="B269" s="2">
        <f ca="1">IFERROR(__xludf.DUMMYFUNCTION("""COMPUTED_VALUE"""),2210)</f>
        <v>2210</v>
      </c>
      <c r="C269" s="2">
        <f ca="1">IFERROR(__xludf.DUMMYFUNCTION("""COMPUTED_VALUE"""),2280)</f>
        <v>2280</v>
      </c>
      <c r="D269" s="2">
        <f ca="1">IFERROR(__xludf.DUMMYFUNCTION("""COMPUTED_VALUE"""),2210)</f>
        <v>2210</v>
      </c>
      <c r="E269" s="2">
        <f ca="1">IFERROR(__xludf.DUMMYFUNCTION("""COMPUTED_VALUE"""),2280)</f>
        <v>2280</v>
      </c>
      <c r="F269" s="2">
        <f ca="1">IFERROR(__xludf.DUMMYFUNCTION("""COMPUTED_VALUE"""),30129900)</f>
        <v>30129900</v>
      </c>
    </row>
    <row r="270" spans="1:6">
      <c r="A270" s="5">
        <f ca="1">IFERROR(__xludf.DUMMYFUNCTION("""COMPUTED_VALUE"""),42405.625)</f>
        <v>42405.625</v>
      </c>
      <c r="B270" s="2">
        <f ca="1">IFERROR(__xludf.DUMMYFUNCTION("""COMPUTED_VALUE"""),2325)</f>
        <v>2325</v>
      </c>
      <c r="C270" s="2">
        <f ca="1">IFERROR(__xludf.DUMMYFUNCTION("""COMPUTED_VALUE"""),2460)</f>
        <v>2460</v>
      </c>
      <c r="D270" s="2">
        <f ca="1">IFERROR(__xludf.DUMMYFUNCTION("""COMPUTED_VALUE"""),2320)</f>
        <v>2320</v>
      </c>
      <c r="E270" s="2">
        <f ca="1">IFERROR(__xludf.DUMMYFUNCTION("""COMPUTED_VALUE"""),2460)</f>
        <v>2460</v>
      </c>
      <c r="F270" s="2">
        <f ca="1">IFERROR(__xludf.DUMMYFUNCTION("""COMPUTED_VALUE"""),93187000)</f>
        <v>93187000</v>
      </c>
    </row>
    <row r="271" spans="1:6">
      <c r="A271" s="5">
        <f ca="1">IFERROR(__xludf.DUMMYFUNCTION("""COMPUTED_VALUE"""),42409.625)</f>
        <v>42409.625</v>
      </c>
      <c r="B271" s="2">
        <f ca="1">IFERROR(__xludf.DUMMYFUNCTION("""COMPUTED_VALUE"""),2420)</f>
        <v>2420</v>
      </c>
      <c r="C271" s="2">
        <f ca="1">IFERROR(__xludf.DUMMYFUNCTION("""COMPUTED_VALUE"""),2420)</f>
        <v>2420</v>
      </c>
      <c r="D271" s="2">
        <f ca="1">IFERROR(__xludf.DUMMYFUNCTION("""COMPUTED_VALUE"""),2360)</f>
        <v>2360</v>
      </c>
      <c r="E271" s="2">
        <f ca="1">IFERROR(__xludf.DUMMYFUNCTION("""COMPUTED_VALUE"""),2395)</f>
        <v>2395</v>
      </c>
      <c r="F271" s="2">
        <f ca="1">IFERROR(__xludf.DUMMYFUNCTION("""COMPUTED_VALUE"""),24723300)</f>
        <v>24723300</v>
      </c>
    </row>
    <row r="272" spans="1:6">
      <c r="A272" s="5">
        <f ca="1">IFERROR(__xludf.DUMMYFUNCTION("""COMPUTED_VALUE"""),42410.625)</f>
        <v>42410.625</v>
      </c>
      <c r="B272" s="2">
        <f ca="1">IFERROR(__xludf.DUMMYFUNCTION("""COMPUTED_VALUE"""),2365)</f>
        <v>2365</v>
      </c>
      <c r="C272" s="2">
        <f ca="1">IFERROR(__xludf.DUMMYFUNCTION("""COMPUTED_VALUE"""),2400)</f>
        <v>2400</v>
      </c>
      <c r="D272" s="2">
        <f ca="1">IFERROR(__xludf.DUMMYFUNCTION("""COMPUTED_VALUE"""),2350)</f>
        <v>2350</v>
      </c>
      <c r="E272" s="2">
        <f ca="1">IFERROR(__xludf.DUMMYFUNCTION("""COMPUTED_VALUE"""),2355)</f>
        <v>2355</v>
      </c>
      <c r="F272" s="2">
        <f ca="1">IFERROR(__xludf.DUMMYFUNCTION("""COMPUTED_VALUE"""),18511600)</f>
        <v>18511600</v>
      </c>
    </row>
    <row r="273" spans="1:6">
      <c r="A273" s="5">
        <f ca="1">IFERROR(__xludf.DUMMYFUNCTION("""COMPUTED_VALUE"""),42411.625)</f>
        <v>42411.625</v>
      </c>
      <c r="B273" s="2">
        <f ca="1">IFERROR(__xludf.DUMMYFUNCTION("""COMPUTED_VALUE"""),2345)</f>
        <v>2345</v>
      </c>
      <c r="C273" s="2">
        <f ca="1">IFERROR(__xludf.DUMMYFUNCTION("""COMPUTED_VALUE"""),2395)</f>
        <v>2395</v>
      </c>
      <c r="D273" s="2">
        <f ca="1">IFERROR(__xludf.DUMMYFUNCTION("""COMPUTED_VALUE"""),2345)</f>
        <v>2345</v>
      </c>
      <c r="E273" s="2">
        <f ca="1">IFERROR(__xludf.DUMMYFUNCTION("""COMPUTED_VALUE"""),2375)</f>
        <v>2375</v>
      </c>
      <c r="F273" s="2">
        <f ca="1">IFERROR(__xludf.DUMMYFUNCTION("""COMPUTED_VALUE"""),31627500)</f>
        <v>31627500</v>
      </c>
    </row>
    <row r="274" spans="1:6">
      <c r="A274" s="5">
        <f ca="1">IFERROR(__xludf.DUMMYFUNCTION("""COMPUTED_VALUE"""),42412.625)</f>
        <v>42412.625</v>
      </c>
      <c r="B274" s="2">
        <f ca="1">IFERROR(__xludf.DUMMYFUNCTION("""COMPUTED_VALUE"""),2370)</f>
        <v>2370</v>
      </c>
      <c r="C274" s="2">
        <f ca="1">IFERROR(__xludf.DUMMYFUNCTION("""COMPUTED_VALUE"""),2400)</f>
        <v>2400</v>
      </c>
      <c r="D274" s="2">
        <f ca="1">IFERROR(__xludf.DUMMYFUNCTION("""COMPUTED_VALUE"""),2345)</f>
        <v>2345</v>
      </c>
      <c r="E274" s="2">
        <f ca="1">IFERROR(__xludf.DUMMYFUNCTION("""COMPUTED_VALUE"""),2360)</f>
        <v>2360</v>
      </c>
      <c r="F274" s="2">
        <f ca="1">IFERROR(__xludf.DUMMYFUNCTION("""COMPUTED_VALUE"""),28761200)</f>
        <v>28761200</v>
      </c>
    </row>
    <row r="275" spans="1:6">
      <c r="A275" s="5">
        <f ca="1">IFERROR(__xludf.DUMMYFUNCTION("""COMPUTED_VALUE"""),42415.625)</f>
        <v>42415.625</v>
      </c>
      <c r="B275" s="2">
        <f ca="1">IFERROR(__xludf.DUMMYFUNCTION("""COMPUTED_VALUE"""),2380)</f>
        <v>2380</v>
      </c>
      <c r="C275" s="2">
        <f ca="1">IFERROR(__xludf.DUMMYFUNCTION("""COMPUTED_VALUE"""),2390)</f>
        <v>2390</v>
      </c>
      <c r="D275" s="2">
        <f ca="1">IFERROR(__xludf.DUMMYFUNCTION("""COMPUTED_VALUE"""),2360)</f>
        <v>2360</v>
      </c>
      <c r="E275" s="2">
        <f ca="1">IFERROR(__xludf.DUMMYFUNCTION("""COMPUTED_VALUE"""),2375)</f>
        <v>2375</v>
      </c>
      <c r="F275" s="2">
        <f ca="1">IFERROR(__xludf.DUMMYFUNCTION("""COMPUTED_VALUE"""),19602200)</f>
        <v>19602200</v>
      </c>
    </row>
    <row r="276" spans="1:6">
      <c r="A276" s="5">
        <f ca="1">IFERROR(__xludf.DUMMYFUNCTION("""COMPUTED_VALUE"""),42416.625)</f>
        <v>42416.625</v>
      </c>
      <c r="B276" s="2">
        <f ca="1">IFERROR(__xludf.DUMMYFUNCTION("""COMPUTED_VALUE"""),2375)</f>
        <v>2375</v>
      </c>
      <c r="C276" s="2">
        <f ca="1">IFERROR(__xludf.DUMMYFUNCTION("""COMPUTED_VALUE"""),2395)</f>
        <v>2395</v>
      </c>
      <c r="D276" s="2">
        <f ca="1">IFERROR(__xludf.DUMMYFUNCTION("""COMPUTED_VALUE"""),2375)</f>
        <v>2375</v>
      </c>
      <c r="E276" s="2">
        <f ca="1">IFERROR(__xludf.DUMMYFUNCTION("""COMPUTED_VALUE"""),2385)</f>
        <v>2385</v>
      </c>
      <c r="F276" s="2">
        <f ca="1">IFERROR(__xludf.DUMMYFUNCTION("""COMPUTED_VALUE"""),15191400)</f>
        <v>15191400</v>
      </c>
    </row>
    <row r="277" spans="1:6">
      <c r="A277" s="5">
        <f ca="1">IFERROR(__xludf.DUMMYFUNCTION("""COMPUTED_VALUE"""),42417.625)</f>
        <v>42417.625</v>
      </c>
      <c r="B277" s="2">
        <f ca="1">IFERROR(__xludf.DUMMYFUNCTION("""COMPUTED_VALUE"""),2385)</f>
        <v>2385</v>
      </c>
      <c r="C277" s="2">
        <f ca="1">IFERROR(__xludf.DUMMYFUNCTION("""COMPUTED_VALUE"""),2390)</f>
        <v>2390</v>
      </c>
      <c r="D277" s="2">
        <f ca="1">IFERROR(__xludf.DUMMYFUNCTION("""COMPUTED_VALUE"""),2370)</f>
        <v>2370</v>
      </c>
      <c r="E277" s="2">
        <f ca="1">IFERROR(__xludf.DUMMYFUNCTION("""COMPUTED_VALUE"""),2390)</f>
        <v>2390</v>
      </c>
      <c r="F277" s="2">
        <f ca="1">IFERROR(__xludf.DUMMYFUNCTION("""COMPUTED_VALUE"""),15390200)</f>
        <v>15390200</v>
      </c>
    </row>
    <row r="278" spans="1:6">
      <c r="A278" s="5">
        <f ca="1">IFERROR(__xludf.DUMMYFUNCTION("""COMPUTED_VALUE"""),42418.625)</f>
        <v>42418.625</v>
      </c>
      <c r="B278" s="2">
        <f ca="1">IFERROR(__xludf.DUMMYFUNCTION("""COMPUTED_VALUE"""),2400)</f>
        <v>2400</v>
      </c>
      <c r="C278" s="2">
        <f ca="1">IFERROR(__xludf.DUMMYFUNCTION("""COMPUTED_VALUE"""),2410)</f>
        <v>2410</v>
      </c>
      <c r="D278" s="2">
        <f ca="1">IFERROR(__xludf.DUMMYFUNCTION("""COMPUTED_VALUE"""),2375)</f>
        <v>2375</v>
      </c>
      <c r="E278" s="2">
        <f ca="1">IFERROR(__xludf.DUMMYFUNCTION("""COMPUTED_VALUE"""),2400)</f>
        <v>2400</v>
      </c>
      <c r="F278" s="2">
        <f ca="1">IFERROR(__xludf.DUMMYFUNCTION("""COMPUTED_VALUE"""),24567200)</f>
        <v>24567200</v>
      </c>
    </row>
    <row r="279" spans="1:6">
      <c r="A279" s="5">
        <f ca="1">IFERROR(__xludf.DUMMYFUNCTION("""COMPUTED_VALUE"""),42419.625)</f>
        <v>42419.625</v>
      </c>
      <c r="B279" s="2">
        <f ca="1">IFERROR(__xludf.DUMMYFUNCTION("""COMPUTED_VALUE"""),2270)</f>
        <v>2270</v>
      </c>
      <c r="C279" s="2">
        <f ca="1">IFERROR(__xludf.DUMMYFUNCTION("""COMPUTED_VALUE"""),2325)</f>
        <v>2325</v>
      </c>
      <c r="D279" s="2">
        <f ca="1">IFERROR(__xludf.DUMMYFUNCTION("""COMPUTED_VALUE"""),2250)</f>
        <v>2250</v>
      </c>
      <c r="E279" s="2">
        <f ca="1">IFERROR(__xludf.DUMMYFUNCTION("""COMPUTED_VALUE"""),2290)</f>
        <v>2290</v>
      </c>
      <c r="F279" s="2">
        <f ca="1">IFERROR(__xludf.DUMMYFUNCTION("""COMPUTED_VALUE"""),66613600)</f>
        <v>66613600</v>
      </c>
    </row>
    <row r="280" spans="1:6">
      <c r="A280" s="5">
        <f ca="1">IFERROR(__xludf.DUMMYFUNCTION("""COMPUTED_VALUE"""),42422.625)</f>
        <v>42422.625</v>
      </c>
      <c r="B280" s="2">
        <f ca="1">IFERROR(__xludf.DUMMYFUNCTION("""COMPUTED_VALUE"""),2290)</f>
        <v>2290</v>
      </c>
      <c r="C280" s="2">
        <f ca="1">IFERROR(__xludf.DUMMYFUNCTION("""COMPUTED_VALUE"""),2290)</f>
        <v>2290</v>
      </c>
      <c r="D280" s="2">
        <f ca="1">IFERROR(__xludf.DUMMYFUNCTION("""COMPUTED_VALUE"""),2190)</f>
        <v>2190</v>
      </c>
      <c r="E280" s="2">
        <f ca="1">IFERROR(__xludf.DUMMYFUNCTION("""COMPUTED_VALUE"""),2195)</f>
        <v>2195</v>
      </c>
      <c r="F280" s="2">
        <f ca="1">IFERROR(__xludf.DUMMYFUNCTION("""COMPUTED_VALUE"""),51743400)</f>
        <v>51743400</v>
      </c>
    </row>
    <row r="281" spans="1:6">
      <c r="A281" s="5">
        <f ca="1">IFERROR(__xludf.DUMMYFUNCTION("""COMPUTED_VALUE"""),42423.625)</f>
        <v>42423.625</v>
      </c>
      <c r="B281" s="2">
        <f ca="1">IFERROR(__xludf.DUMMYFUNCTION("""COMPUTED_VALUE"""),2200)</f>
        <v>2200</v>
      </c>
      <c r="C281" s="2">
        <f ca="1">IFERROR(__xludf.DUMMYFUNCTION("""COMPUTED_VALUE"""),2205)</f>
        <v>2205</v>
      </c>
      <c r="D281" s="2">
        <f ca="1">IFERROR(__xludf.DUMMYFUNCTION("""COMPUTED_VALUE"""),2105)</f>
        <v>2105</v>
      </c>
      <c r="E281" s="2">
        <f ca="1">IFERROR(__xludf.DUMMYFUNCTION("""COMPUTED_VALUE"""),2120)</f>
        <v>2120</v>
      </c>
      <c r="F281" s="2">
        <f ca="1">IFERROR(__xludf.DUMMYFUNCTION("""COMPUTED_VALUE"""),54608200)</f>
        <v>54608200</v>
      </c>
    </row>
    <row r="282" spans="1:6">
      <c r="A282" s="5">
        <f ca="1">IFERROR(__xludf.DUMMYFUNCTION("""COMPUTED_VALUE"""),42424.625)</f>
        <v>42424.625</v>
      </c>
      <c r="B282" s="2">
        <f ca="1">IFERROR(__xludf.DUMMYFUNCTION("""COMPUTED_VALUE"""),2120)</f>
        <v>2120</v>
      </c>
      <c r="C282" s="2">
        <f ca="1">IFERROR(__xludf.DUMMYFUNCTION("""COMPUTED_VALUE"""),2155)</f>
        <v>2155</v>
      </c>
      <c r="D282" s="2">
        <f ca="1">IFERROR(__xludf.DUMMYFUNCTION("""COMPUTED_VALUE"""),2105)</f>
        <v>2105</v>
      </c>
      <c r="E282" s="2">
        <f ca="1">IFERROR(__xludf.DUMMYFUNCTION("""COMPUTED_VALUE"""),2135)</f>
        <v>2135</v>
      </c>
      <c r="F282" s="2">
        <f ca="1">IFERROR(__xludf.DUMMYFUNCTION("""COMPUTED_VALUE"""),51762600)</f>
        <v>51762600</v>
      </c>
    </row>
    <row r="283" spans="1:6">
      <c r="A283" s="5">
        <f ca="1">IFERROR(__xludf.DUMMYFUNCTION("""COMPUTED_VALUE"""),42425.625)</f>
        <v>42425.625</v>
      </c>
      <c r="B283" s="2">
        <f ca="1">IFERROR(__xludf.DUMMYFUNCTION("""COMPUTED_VALUE"""),2140)</f>
        <v>2140</v>
      </c>
      <c r="C283" s="2">
        <f ca="1">IFERROR(__xludf.DUMMYFUNCTION("""COMPUTED_VALUE"""),2145)</f>
        <v>2145</v>
      </c>
      <c r="D283" s="2">
        <f ca="1">IFERROR(__xludf.DUMMYFUNCTION("""COMPUTED_VALUE"""),2085)</f>
        <v>2085</v>
      </c>
      <c r="E283" s="2">
        <f ca="1">IFERROR(__xludf.DUMMYFUNCTION("""COMPUTED_VALUE"""),2090)</f>
        <v>2090</v>
      </c>
      <c r="F283" s="2">
        <f ca="1">IFERROR(__xludf.DUMMYFUNCTION("""COMPUTED_VALUE"""),35460700)</f>
        <v>35460700</v>
      </c>
    </row>
    <row r="284" spans="1:6">
      <c r="A284" s="5">
        <f ca="1">IFERROR(__xludf.DUMMYFUNCTION("""COMPUTED_VALUE"""),42426.625)</f>
        <v>42426.625</v>
      </c>
      <c r="B284" s="2">
        <f ca="1">IFERROR(__xludf.DUMMYFUNCTION("""COMPUTED_VALUE"""),2105)</f>
        <v>2105</v>
      </c>
      <c r="C284" s="2">
        <f ca="1">IFERROR(__xludf.DUMMYFUNCTION("""COMPUTED_VALUE"""),2170)</f>
        <v>2170</v>
      </c>
      <c r="D284" s="2">
        <f ca="1">IFERROR(__xludf.DUMMYFUNCTION("""COMPUTED_VALUE"""),2100)</f>
        <v>2100</v>
      </c>
      <c r="E284" s="2">
        <f ca="1">IFERROR(__xludf.DUMMYFUNCTION("""COMPUTED_VALUE"""),2170)</f>
        <v>2170</v>
      </c>
      <c r="F284" s="2">
        <f ca="1">IFERROR(__xludf.DUMMYFUNCTION("""COMPUTED_VALUE"""),39547500)</f>
        <v>39547500</v>
      </c>
    </row>
    <row r="285" spans="1:6">
      <c r="A285" s="5">
        <f ca="1">IFERROR(__xludf.DUMMYFUNCTION("""COMPUTED_VALUE"""),42429.625)</f>
        <v>42429.625</v>
      </c>
      <c r="B285" s="2">
        <f ca="1">IFERROR(__xludf.DUMMYFUNCTION("""COMPUTED_VALUE"""),2170)</f>
        <v>2170</v>
      </c>
      <c r="C285" s="2">
        <f ca="1">IFERROR(__xludf.DUMMYFUNCTION("""COMPUTED_VALUE"""),2215)</f>
        <v>2215</v>
      </c>
      <c r="D285" s="2">
        <f ca="1">IFERROR(__xludf.DUMMYFUNCTION("""COMPUTED_VALUE"""),2165)</f>
        <v>2165</v>
      </c>
      <c r="E285" s="2">
        <f ca="1">IFERROR(__xludf.DUMMYFUNCTION("""COMPUTED_VALUE"""),2215)</f>
        <v>2215</v>
      </c>
      <c r="F285" s="2">
        <f ca="1">IFERROR(__xludf.DUMMYFUNCTION("""COMPUTED_VALUE"""),37155300)</f>
        <v>37155300</v>
      </c>
    </row>
    <row r="286" spans="1:6">
      <c r="A286" s="5">
        <f ca="1">IFERROR(__xludf.DUMMYFUNCTION("""COMPUTED_VALUE"""),42430.625)</f>
        <v>42430.625</v>
      </c>
      <c r="B286" s="2">
        <f ca="1">IFERROR(__xludf.DUMMYFUNCTION("""COMPUTED_VALUE"""),2200)</f>
        <v>2200</v>
      </c>
      <c r="C286" s="2">
        <f ca="1">IFERROR(__xludf.DUMMYFUNCTION("""COMPUTED_VALUE"""),2220)</f>
        <v>2220</v>
      </c>
      <c r="D286" s="2">
        <f ca="1">IFERROR(__xludf.DUMMYFUNCTION("""COMPUTED_VALUE"""),2130)</f>
        <v>2130</v>
      </c>
      <c r="E286" s="2">
        <f ca="1">IFERROR(__xludf.DUMMYFUNCTION("""COMPUTED_VALUE"""),2140)</f>
        <v>2140</v>
      </c>
      <c r="F286" s="2">
        <f ca="1">IFERROR(__xludf.DUMMYFUNCTION("""COMPUTED_VALUE"""),29626300)</f>
        <v>29626300</v>
      </c>
    </row>
    <row r="287" spans="1:6">
      <c r="A287" s="5">
        <f ca="1">IFERROR(__xludf.DUMMYFUNCTION("""COMPUTED_VALUE"""),42431.625)</f>
        <v>42431.625</v>
      </c>
      <c r="B287" s="2">
        <f ca="1">IFERROR(__xludf.DUMMYFUNCTION("""COMPUTED_VALUE"""),2180)</f>
        <v>2180</v>
      </c>
      <c r="C287" s="2">
        <f ca="1">IFERROR(__xludf.DUMMYFUNCTION("""COMPUTED_VALUE"""),2215)</f>
        <v>2215</v>
      </c>
      <c r="D287" s="2">
        <f ca="1">IFERROR(__xludf.DUMMYFUNCTION("""COMPUTED_VALUE"""),2180)</f>
        <v>2180</v>
      </c>
      <c r="E287" s="2">
        <f ca="1">IFERROR(__xludf.DUMMYFUNCTION("""COMPUTED_VALUE"""),2195)</f>
        <v>2195</v>
      </c>
      <c r="F287" s="2">
        <f ca="1">IFERROR(__xludf.DUMMYFUNCTION("""COMPUTED_VALUE"""),32279100)</f>
        <v>32279100</v>
      </c>
    </row>
    <row r="288" spans="1:6">
      <c r="A288" s="5">
        <f ca="1">IFERROR(__xludf.DUMMYFUNCTION("""COMPUTED_VALUE"""),42432.625)</f>
        <v>42432.625</v>
      </c>
      <c r="B288" s="2">
        <f ca="1">IFERROR(__xludf.DUMMYFUNCTION("""COMPUTED_VALUE"""),2230)</f>
        <v>2230</v>
      </c>
      <c r="C288" s="2">
        <f ca="1">IFERROR(__xludf.DUMMYFUNCTION("""COMPUTED_VALUE"""),2240)</f>
        <v>2240</v>
      </c>
      <c r="D288" s="2">
        <f ca="1">IFERROR(__xludf.DUMMYFUNCTION("""COMPUTED_VALUE"""),2185)</f>
        <v>2185</v>
      </c>
      <c r="E288" s="2">
        <f ca="1">IFERROR(__xludf.DUMMYFUNCTION("""COMPUTED_VALUE"""),2230)</f>
        <v>2230</v>
      </c>
      <c r="F288" s="2">
        <f ca="1">IFERROR(__xludf.DUMMYFUNCTION("""COMPUTED_VALUE"""),26535200)</f>
        <v>26535200</v>
      </c>
    </row>
    <row r="289" spans="1:6">
      <c r="A289" s="5">
        <f ca="1">IFERROR(__xludf.DUMMYFUNCTION("""COMPUTED_VALUE"""),42433.625)</f>
        <v>42433.625</v>
      </c>
      <c r="B289" s="2">
        <f ca="1">IFERROR(__xludf.DUMMYFUNCTION("""COMPUTED_VALUE"""),2235)</f>
        <v>2235</v>
      </c>
      <c r="C289" s="2">
        <f ca="1">IFERROR(__xludf.DUMMYFUNCTION("""COMPUTED_VALUE"""),2275)</f>
        <v>2275</v>
      </c>
      <c r="D289" s="2">
        <f ca="1">IFERROR(__xludf.DUMMYFUNCTION("""COMPUTED_VALUE"""),2215)</f>
        <v>2215</v>
      </c>
      <c r="E289" s="2">
        <f ca="1">IFERROR(__xludf.DUMMYFUNCTION("""COMPUTED_VALUE"""),2275)</f>
        <v>2275</v>
      </c>
      <c r="F289" s="2">
        <f ca="1">IFERROR(__xludf.DUMMYFUNCTION("""COMPUTED_VALUE"""),19247200)</f>
        <v>19247200</v>
      </c>
    </row>
    <row r="290" spans="1:6">
      <c r="A290" s="5">
        <f ca="1">IFERROR(__xludf.DUMMYFUNCTION("""COMPUTED_VALUE"""),42436.625)</f>
        <v>42436.625</v>
      </c>
      <c r="B290" s="2">
        <f ca="1">IFERROR(__xludf.DUMMYFUNCTION("""COMPUTED_VALUE"""),2300)</f>
        <v>2300</v>
      </c>
      <c r="C290" s="2">
        <f ca="1">IFERROR(__xludf.DUMMYFUNCTION("""COMPUTED_VALUE"""),2300)</f>
        <v>2300</v>
      </c>
      <c r="D290" s="2">
        <f ca="1">IFERROR(__xludf.DUMMYFUNCTION("""COMPUTED_VALUE"""),2275)</f>
        <v>2275</v>
      </c>
      <c r="E290" s="2">
        <f ca="1">IFERROR(__xludf.DUMMYFUNCTION("""COMPUTED_VALUE"""),2280)</f>
        <v>2280</v>
      </c>
      <c r="F290" s="2">
        <f ca="1">IFERROR(__xludf.DUMMYFUNCTION("""COMPUTED_VALUE"""),20180200)</f>
        <v>20180200</v>
      </c>
    </row>
    <row r="291" spans="1:6">
      <c r="A291" s="5">
        <f ca="1">IFERROR(__xludf.DUMMYFUNCTION("""COMPUTED_VALUE"""),42437.625)</f>
        <v>42437.625</v>
      </c>
      <c r="B291" s="2">
        <f ca="1">IFERROR(__xludf.DUMMYFUNCTION("""COMPUTED_VALUE"""),2290)</f>
        <v>2290</v>
      </c>
      <c r="C291" s="2">
        <f ca="1">IFERROR(__xludf.DUMMYFUNCTION("""COMPUTED_VALUE"""),2300)</f>
        <v>2300</v>
      </c>
      <c r="D291" s="2">
        <f ca="1">IFERROR(__xludf.DUMMYFUNCTION("""COMPUTED_VALUE"""),2230)</f>
        <v>2230</v>
      </c>
      <c r="E291" s="2">
        <f ca="1">IFERROR(__xludf.DUMMYFUNCTION("""COMPUTED_VALUE"""),2265)</f>
        <v>2265</v>
      </c>
      <c r="F291" s="2">
        <f ca="1">IFERROR(__xludf.DUMMYFUNCTION("""COMPUTED_VALUE"""),27630600)</f>
        <v>27630600</v>
      </c>
    </row>
    <row r="292" spans="1:6">
      <c r="A292" s="5">
        <f ca="1">IFERROR(__xludf.DUMMYFUNCTION("""COMPUTED_VALUE"""),42439.625)</f>
        <v>42439.625</v>
      </c>
      <c r="B292" s="2">
        <f ca="1">IFERROR(__xludf.DUMMYFUNCTION("""COMPUTED_VALUE"""),2250)</f>
        <v>2250</v>
      </c>
      <c r="C292" s="2">
        <f ca="1">IFERROR(__xludf.DUMMYFUNCTION("""COMPUTED_VALUE"""),2250)</f>
        <v>2250</v>
      </c>
      <c r="D292" s="2">
        <f ca="1">IFERROR(__xludf.DUMMYFUNCTION("""COMPUTED_VALUE"""),2185)</f>
        <v>2185</v>
      </c>
      <c r="E292" s="2">
        <f ca="1">IFERROR(__xludf.DUMMYFUNCTION("""COMPUTED_VALUE"""),2200)</f>
        <v>2200</v>
      </c>
      <c r="F292" s="2">
        <f ca="1">IFERROR(__xludf.DUMMYFUNCTION("""COMPUTED_VALUE"""),47776300)</f>
        <v>47776300</v>
      </c>
    </row>
    <row r="293" spans="1:6">
      <c r="A293" s="5">
        <f ca="1">IFERROR(__xludf.DUMMYFUNCTION("""COMPUTED_VALUE"""),42440.625)</f>
        <v>42440.625</v>
      </c>
      <c r="B293" s="2">
        <f ca="1">IFERROR(__xludf.DUMMYFUNCTION("""COMPUTED_VALUE"""),2180)</f>
        <v>2180</v>
      </c>
      <c r="C293" s="2">
        <f ca="1">IFERROR(__xludf.DUMMYFUNCTION("""COMPUTED_VALUE"""),2230)</f>
        <v>2230</v>
      </c>
      <c r="D293" s="2">
        <f ca="1">IFERROR(__xludf.DUMMYFUNCTION("""COMPUTED_VALUE"""),2170)</f>
        <v>2170</v>
      </c>
      <c r="E293" s="2">
        <f ca="1">IFERROR(__xludf.DUMMYFUNCTION("""COMPUTED_VALUE"""),2225)</f>
        <v>2225</v>
      </c>
      <c r="F293" s="2">
        <f ca="1">IFERROR(__xludf.DUMMYFUNCTION("""COMPUTED_VALUE"""),30581400)</f>
        <v>30581400</v>
      </c>
    </row>
    <row r="294" spans="1:6">
      <c r="A294" s="5">
        <f ca="1">IFERROR(__xludf.DUMMYFUNCTION("""COMPUTED_VALUE"""),42443.625)</f>
        <v>42443.625</v>
      </c>
      <c r="B294" s="2">
        <f ca="1">IFERROR(__xludf.DUMMYFUNCTION("""COMPUTED_VALUE"""),2225)</f>
        <v>2225</v>
      </c>
      <c r="C294" s="2">
        <f ca="1">IFERROR(__xludf.DUMMYFUNCTION("""COMPUTED_VALUE"""),2250)</f>
        <v>2250</v>
      </c>
      <c r="D294" s="2">
        <f ca="1">IFERROR(__xludf.DUMMYFUNCTION("""COMPUTED_VALUE"""),2230)</f>
        <v>2230</v>
      </c>
      <c r="E294" s="2">
        <f ca="1">IFERROR(__xludf.DUMMYFUNCTION("""COMPUTED_VALUE"""),2235)</f>
        <v>2235</v>
      </c>
      <c r="F294" s="2">
        <f ca="1">IFERROR(__xludf.DUMMYFUNCTION("""COMPUTED_VALUE"""),18841600)</f>
        <v>18841600</v>
      </c>
    </row>
    <row r="295" spans="1:6">
      <c r="A295" s="5">
        <f ca="1">IFERROR(__xludf.DUMMYFUNCTION("""COMPUTED_VALUE"""),42444.625)</f>
        <v>42444.625</v>
      </c>
      <c r="B295" s="2">
        <f ca="1">IFERROR(__xludf.DUMMYFUNCTION("""COMPUTED_VALUE"""),2225)</f>
        <v>2225</v>
      </c>
      <c r="C295" s="2">
        <f ca="1">IFERROR(__xludf.DUMMYFUNCTION("""COMPUTED_VALUE"""),2235)</f>
        <v>2235</v>
      </c>
      <c r="D295" s="2">
        <f ca="1">IFERROR(__xludf.DUMMYFUNCTION("""COMPUTED_VALUE"""),2205)</f>
        <v>2205</v>
      </c>
      <c r="E295" s="2">
        <f ca="1">IFERROR(__xludf.DUMMYFUNCTION("""COMPUTED_VALUE"""),2215)</f>
        <v>2215</v>
      </c>
      <c r="F295" s="2">
        <f ca="1">IFERROR(__xludf.DUMMYFUNCTION("""COMPUTED_VALUE"""),21636800)</f>
        <v>21636800</v>
      </c>
    </row>
    <row r="296" spans="1:6">
      <c r="A296" s="5">
        <f ca="1">IFERROR(__xludf.DUMMYFUNCTION("""COMPUTED_VALUE"""),42445.625)</f>
        <v>42445.625</v>
      </c>
      <c r="B296" s="2">
        <f ca="1">IFERROR(__xludf.DUMMYFUNCTION("""COMPUTED_VALUE"""),2200)</f>
        <v>2200</v>
      </c>
      <c r="C296" s="2">
        <f ca="1">IFERROR(__xludf.DUMMYFUNCTION("""COMPUTED_VALUE"""),2215)</f>
        <v>2215</v>
      </c>
      <c r="D296" s="2">
        <f ca="1">IFERROR(__xludf.DUMMYFUNCTION("""COMPUTED_VALUE"""),2185)</f>
        <v>2185</v>
      </c>
      <c r="E296" s="2">
        <f ca="1">IFERROR(__xludf.DUMMYFUNCTION("""COMPUTED_VALUE"""),2210)</f>
        <v>2210</v>
      </c>
      <c r="F296" s="2">
        <f ca="1">IFERROR(__xludf.DUMMYFUNCTION("""COMPUTED_VALUE"""),24008200)</f>
        <v>24008200</v>
      </c>
    </row>
    <row r="297" spans="1:6">
      <c r="A297" s="5">
        <f ca="1">IFERROR(__xludf.DUMMYFUNCTION("""COMPUTED_VALUE"""),42446.625)</f>
        <v>42446.625</v>
      </c>
      <c r="B297" s="2">
        <f ca="1">IFERROR(__xludf.DUMMYFUNCTION("""COMPUTED_VALUE"""),2220)</f>
        <v>2220</v>
      </c>
      <c r="C297" s="2">
        <f ca="1">IFERROR(__xludf.DUMMYFUNCTION("""COMPUTED_VALUE"""),2235)</f>
        <v>2235</v>
      </c>
      <c r="D297" s="2">
        <f ca="1">IFERROR(__xludf.DUMMYFUNCTION("""COMPUTED_VALUE"""),2200)</f>
        <v>2200</v>
      </c>
      <c r="E297" s="2">
        <f ca="1">IFERROR(__xludf.DUMMYFUNCTION("""COMPUTED_VALUE"""),2200)</f>
        <v>2200</v>
      </c>
      <c r="F297" s="2">
        <f ca="1">IFERROR(__xludf.DUMMYFUNCTION("""COMPUTED_VALUE"""),29495600)</f>
        <v>29495600</v>
      </c>
    </row>
    <row r="298" spans="1:6">
      <c r="A298" s="5">
        <f ca="1">IFERROR(__xludf.DUMMYFUNCTION("""COMPUTED_VALUE"""),42447.625)</f>
        <v>42447.625</v>
      </c>
      <c r="B298" s="2">
        <f ca="1">IFERROR(__xludf.DUMMYFUNCTION("""COMPUTED_VALUE"""),2220)</f>
        <v>2220</v>
      </c>
      <c r="C298" s="2">
        <f ca="1">IFERROR(__xludf.DUMMYFUNCTION("""COMPUTED_VALUE"""),2240)</f>
        <v>2240</v>
      </c>
      <c r="D298" s="2">
        <f ca="1">IFERROR(__xludf.DUMMYFUNCTION("""COMPUTED_VALUE"""),2210)</f>
        <v>2210</v>
      </c>
      <c r="E298" s="2">
        <f ca="1">IFERROR(__xludf.DUMMYFUNCTION("""COMPUTED_VALUE"""),2225)</f>
        <v>2225</v>
      </c>
      <c r="F298" s="2">
        <f ca="1">IFERROR(__xludf.DUMMYFUNCTION("""COMPUTED_VALUE"""),47118000)</f>
        <v>47118000</v>
      </c>
    </row>
    <row r="299" spans="1:6">
      <c r="A299" s="5">
        <f ca="1">IFERROR(__xludf.DUMMYFUNCTION("""COMPUTED_VALUE"""),42450.625)</f>
        <v>42450.625</v>
      </c>
      <c r="B299" s="2">
        <f ca="1">IFERROR(__xludf.DUMMYFUNCTION("""COMPUTED_VALUE"""),2220)</f>
        <v>2220</v>
      </c>
      <c r="C299" s="2">
        <f ca="1">IFERROR(__xludf.DUMMYFUNCTION("""COMPUTED_VALUE"""),2250)</f>
        <v>2250</v>
      </c>
      <c r="D299" s="2">
        <f ca="1">IFERROR(__xludf.DUMMYFUNCTION("""COMPUTED_VALUE"""),2215)</f>
        <v>2215</v>
      </c>
      <c r="E299" s="2">
        <f ca="1">IFERROR(__xludf.DUMMYFUNCTION("""COMPUTED_VALUE"""),2230)</f>
        <v>2230</v>
      </c>
      <c r="F299" s="2">
        <f ca="1">IFERROR(__xludf.DUMMYFUNCTION("""COMPUTED_VALUE"""),23809000)</f>
        <v>23809000</v>
      </c>
    </row>
    <row r="300" spans="1:6">
      <c r="A300" s="5">
        <f ca="1">IFERROR(__xludf.DUMMYFUNCTION("""COMPUTED_VALUE"""),42451.625)</f>
        <v>42451.625</v>
      </c>
      <c r="B300" s="2">
        <f ca="1">IFERROR(__xludf.DUMMYFUNCTION("""COMPUTED_VALUE"""),2235)</f>
        <v>2235</v>
      </c>
      <c r="C300" s="2">
        <f ca="1">IFERROR(__xludf.DUMMYFUNCTION("""COMPUTED_VALUE"""),2240)</f>
        <v>2240</v>
      </c>
      <c r="D300" s="2">
        <f ca="1">IFERROR(__xludf.DUMMYFUNCTION("""COMPUTED_VALUE"""),2220)</f>
        <v>2220</v>
      </c>
      <c r="E300" s="2">
        <f ca="1">IFERROR(__xludf.DUMMYFUNCTION("""COMPUTED_VALUE"""),2235)</f>
        <v>2235</v>
      </c>
      <c r="F300" s="2">
        <f ca="1">IFERROR(__xludf.DUMMYFUNCTION("""COMPUTED_VALUE"""),27541200)</f>
        <v>27541200</v>
      </c>
    </row>
    <row r="301" spans="1:6">
      <c r="A301" s="5">
        <f ca="1">IFERROR(__xludf.DUMMYFUNCTION("""COMPUTED_VALUE"""),42452.625)</f>
        <v>42452.625</v>
      </c>
      <c r="B301" s="2">
        <f ca="1">IFERROR(__xludf.DUMMYFUNCTION("""COMPUTED_VALUE"""),2235)</f>
        <v>2235</v>
      </c>
      <c r="C301" s="2">
        <f ca="1">IFERROR(__xludf.DUMMYFUNCTION("""COMPUTED_VALUE"""),2255)</f>
        <v>2255</v>
      </c>
      <c r="D301" s="2">
        <f ca="1">IFERROR(__xludf.DUMMYFUNCTION("""COMPUTED_VALUE"""),2230)</f>
        <v>2230</v>
      </c>
      <c r="E301" s="2">
        <f ca="1">IFERROR(__xludf.DUMMYFUNCTION("""COMPUTED_VALUE"""),2255)</f>
        <v>2255</v>
      </c>
      <c r="F301" s="2">
        <f ca="1">IFERROR(__xludf.DUMMYFUNCTION("""COMPUTED_VALUE"""),25585100)</f>
        <v>25585100</v>
      </c>
    </row>
    <row r="302" spans="1:6">
      <c r="A302" s="5">
        <f ca="1">IFERROR(__xludf.DUMMYFUNCTION("""COMPUTED_VALUE"""),42453.625)</f>
        <v>42453.625</v>
      </c>
      <c r="B302" s="2">
        <f ca="1">IFERROR(__xludf.DUMMYFUNCTION("""COMPUTED_VALUE"""),2265)</f>
        <v>2265</v>
      </c>
      <c r="C302" s="2">
        <f ca="1">IFERROR(__xludf.DUMMYFUNCTION("""COMPUTED_VALUE"""),2265)</f>
        <v>2265</v>
      </c>
      <c r="D302" s="2">
        <f ca="1">IFERROR(__xludf.DUMMYFUNCTION("""COMPUTED_VALUE"""),2250)</f>
        <v>2250</v>
      </c>
      <c r="E302" s="2">
        <f ca="1">IFERROR(__xludf.DUMMYFUNCTION("""COMPUTED_VALUE"""),2255)</f>
        <v>2255</v>
      </c>
      <c r="F302" s="2">
        <f ca="1">IFERROR(__xludf.DUMMYFUNCTION("""COMPUTED_VALUE"""),20476100)</f>
        <v>20476100</v>
      </c>
    </row>
    <row r="303" spans="1:6">
      <c r="A303" s="5">
        <f ca="1">IFERROR(__xludf.DUMMYFUNCTION("""COMPUTED_VALUE"""),42457.625)</f>
        <v>42457.625</v>
      </c>
      <c r="B303" s="2">
        <f ca="1">IFERROR(__xludf.DUMMYFUNCTION("""COMPUTED_VALUE"""),2260)</f>
        <v>2260</v>
      </c>
      <c r="C303" s="2">
        <f ca="1">IFERROR(__xludf.DUMMYFUNCTION("""COMPUTED_VALUE"""),2260)</f>
        <v>2260</v>
      </c>
      <c r="D303" s="2">
        <f ca="1">IFERROR(__xludf.DUMMYFUNCTION("""COMPUTED_VALUE"""),2210)</f>
        <v>2210</v>
      </c>
      <c r="E303" s="2">
        <f ca="1">IFERROR(__xludf.DUMMYFUNCTION("""COMPUTED_VALUE"""),2220)</f>
        <v>2220</v>
      </c>
      <c r="F303" s="2">
        <f ca="1">IFERROR(__xludf.DUMMYFUNCTION("""COMPUTED_VALUE"""),9919900)</f>
        <v>9919900</v>
      </c>
    </row>
    <row r="304" spans="1:6">
      <c r="A304" s="5">
        <f ca="1">IFERROR(__xludf.DUMMYFUNCTION("""COMPUTED_VALUE"""),42458.625)</f>
        <v>42458.625</v>
      </c>
      <c r="B304" s="2">
        <f ca="1">IFERROR(__xludf.DUMMYFUNCTION("""COMPUTED_VALUE"""),2220)</f>
        <v>2220</v>
      </c>
      <c r="C304" s="2">
        <f ca="1">IFERROR(__xludf.DUMMYFUNCTION("""COMPUTED_VALUE"""),2225)</f>
        <v>2225</v>
      </c>
      <c r="D304" s="2">
        <f ca="1">IFERROR(__xludf.DUMMYFUNCTION("""COMPUTED_VALUE"""),2185)</f>
        <v>2185</v>
      </c>
      <c r="E304" s="2">
        <f ca="1">IFERROR(__xludf.DUMMYFUNCTION("""COMPUTED_VALUE"""),2195)</f>
        <v>2195</v>
      </c>
      <c r="F304" s="2">
        <f ca="1">IFERROR(__xludf.DUMMYFUNCTION("""COMPUTED_VALUE"""),19004900)</f>
        <v>19004900</v>
      </c>
    </row>
    <row r="305" spans="1:6">
      <c r="A305" s="5">
        <f ca="1">IFERROR(__xludf.DUMMYFUNCTION("""COMPUTED_VALUE"""),42459.625)</f>
        <v>42459.625</v>
      </c>
      <c r="B305" s="2">
        <f ca="1">IFERROR(__xludf.DUMMYFUNCTION("""COMPUTED_VALUE"""),2195)</f>
        <v>2195</v>
      </c>
      <c r="C305" s="2">
        <f ca="1">IFERROR(__xludf.DUMMYFUNCTION("""COMPUTED_VALUE"""),2240)</f>
        <v>2240</v>
      </c>
      <c r="D305" s="2">
        <f ca="1">IFERROR(__xludf.DUMMYFUNCTION("""COMPUTED_VALUE"""),2195)</f>
        <v>2195</v>
      </c>
      <c r="E305" s="2">
        <f ca="1">IFERROR(__xludf.DUMMYFUNCTION("""COMPUTED_VALUE"""),2230)</f>
        <v>2230</v>
      </c>
      <c r="F305" s="2">
        <f ca="1">IFERROR(__xludf.DUMMYFUNCTION("""COMPUTED_VALUE"""),29634000)</f>
        <v>29634000</v>
      </c>
    </row>
    <row r="306" spans="1:6">
      <c r="A306" s="5">
        <f ca="1">IFERROR(__xludf.DUMMYFUNCTION("""COMPUTED_VALUE"""),42460.625)</f>
        <v>42460.625</v>
      </c>
      <c r="B306" s="2">
        <f ca="1">IFERROR(__xludf.DUMMYFUNCTION("""COMPUTED_VALUE"""),2210)</f>
        <v>2210</v>
      </c>
      <c r="C306" s="2">
        <f ca="1">IFERROR(__xludf.DUMMYFUNCTION("""COMPUTED_VALUE"""),2285)</f>
        <v>2285</v>
      </c>
      <c r="D306" s="2">
        <f ca="1">IFERROR(__xludf.DUMMYFUNCTION("""COMPUTED_VALUE"""),2210)</f>
        <v>2210</v>
      </c>
      <c r="E306" s="2">
        <f ca="1">IFERROR(__xludf.DUMMYFUNCTION("""COMPUTED_VALUE"""),2285)</f>
        <v>2285</v>
      </c>
      <c r="F306" s="2">
        <f ca="1">IFERROR(__xludf.DUMMYFUNCTION("""COMPUTED_VALUE"""),31797600)</f>
        <v>31797600</v>
      </c>
    </row>
    <row r="307" spans="1:6">
      <c r="A307" s="5">
        <f ca="1">IFERROR(__xludf.DUMMYFUNCTION("""COMPUTED_VALUE"""),42461.625)</f>
        <v>42461.625</v>
      </c>
      <c r="B307" s="2">
        <f ca="1">IFERROR(__xludf.DUMMYFUNCTION("""COMPUTED_VALUE"""),2260)</f>
        <v>2260</v>
      </c>
      <c r="C307" s="2">
        <f ca="1">IFERROR(__xludf.DUMMYFUNCTION("""COMPUTED_VALUE"""),2260)</f>
        <v>2260</v>
      </c>
      <c r="D307" s="2">
        <f ca="1">IFERROR(__xludf.DUMMYFUNCTION("""COMPUTED_VALUE"""),2200)</f>
        <v>2200</v>
      </c>
      <c r="E307" s="2">
        <f ca="1">IFERROR(__xludf.DUMMYFUNCTION("""COMPUTED_VALUE"""),2220)</f>
        <v>2220</v>
      </c>
      <c r="F307" s="2">
        <f ca="1">IFERROR(__xludf.DUMMYFUNCTION("""COMPUTED_VALUE"""),24352600)</f>
        <v>24352600</v>
      </c>
    </row>
    <row r="308" spans="1:6">
      <c r="A308" s="5">
        <f ca="1">IFERROR(__xludf.DUMMYFUNCTION("""COMPUTED_VALUE"""),42464.625)</f>
        <v>42464.625</v>
      </c>
      <c r="B308" s="2">
        <f ca="1">IFERROR(__xludf.DUMMYFUNCTION("""COMPUTED_VALUE"""),2200)</f>
        <v>2200</v>
      </c>
      <c r="C308" s="2">
        <f ca="1">IFERROR(__xludf.DUMMYFUNCTION("""COMPUTED_VALUE"""),2225)</f>
        <v>2225</v>
      </c>
      <c r="D308" s="2">
        <f ca="1">IFERROR(__xludf.DUMMYFUNCTION("""COMPUTED_VALUE"""),2200)</f>
        <v>2200</v>
      </c>
      <c r="E308" s="2">
        <f ca="1">IFERROR(__xludf.DUMMYFUNCTION("""COMPUTED_VALUE"""),2220)</f>
        <v>2220</v>
      </c>
      <c r="F308" s="2">
        <f ca="1">IFERROR(__xludf.DUMMYFUNCTION("""COMPUTED_VALUE"""),11959700)</f>
        <v>11959700</v>
      </c>
    </row>
    <row r="309" spans="1:6">
      <c r="A309" s="5">
        <f ca="1">IFERROR(__xludf.DUMMYFUNCTION("""COMPUTED_VALUE"""),42465.625)</f>
        <v>42465.625</v>
      </c>
      <c r="B309" s="2">
        <f ca="1">IFERROR(__xludf.DUMMYFUNCTION("""COMPUTED_VALUE"""),2220)</f>
        <v>2220</v>
      </c>
      <c r="C309" s="2">
        <f ca="1">IFERROR(__xludf.DUMMYFUNCTION("""COMPUTED_VALUE"""),2235)</f>
        <v>2235</v>
      </c>
      <c r="D309" s="2">
        <f ca="1">IFERROR(__xludf.DUMMYFUNCTION("""COMPUTED_VALUE"""),2210)</f>
        <v>2210</v>
      </c>
      <c r="E309" s="2">
        <f ca="1">IFERROR(__xludf.DUMMYFUNCTION("""COMPUTED_VALUE"""),2220)</f>
        <v>2220</v>
      </c>
      <c r="F309" s="2">
        <f ca="1">IFERROR(__xludf.DUMMYFUNCTION("""COMPUTED_VALUE"""),15940200)</f>
        <v>15940200</v>
      </c>
    </row>
    <row r="310" spans="1:6">
      <c r="A310" s="5">
        <f ca="1">IFERROR(__xludf.DUMMYFUNCTION("""COMPUTED_VALUE"""),42466.625)</f>
        <v>42466.625</v>
      </c>
      <c r="B310" s="2">
        <f ca="1">IFERROR(__xludf.DUMMYFUNCTION("""COMPUTED_VALUE"""),2230)</f>
        <v>2230</v>
      </c>
      <c r="C310" s="2">
        <f ca="1">IFERROR(__xludf.DUMMYFUNCTION("""COMPUTED_VALUE"""),2235)</f>
        <v>2235</v>
      </c>
      <c r="D310" s="2">
        <f ca="1">IFERROR(__xludf.DUMMYFUNCTION("""COMPUTED_VALUE"""),2220)</f>
        <v>2220</v>
      </c>
      <c r="E310" s="2">
        <f ca="1">IFERROR(__xludf.DUMMYFUNCTION("""COMPUTED_VALUE"""),2230)</f>
        <v>2230</v>
      </c>
      <c r="F310" s="2">
        <f ca="1">IFERROR(__xludf.DUMMYFUNCTION("""COMPUTED_VALUE"""),16815000)</f>
        <v>16815000</v>
      </c>
    </row>
    <row r="311" spans="1:6">
      <c r="A311" s="5">
        <f ca="1">IFERROR(__xludf.DUMMYFUNCTION("""COMPUTED_VALUE"""),42467.625)</f>
        <v>42467.625</v>
      </c>
      <c r="B311" s="2">
        <f ca="1">IFERROR(__xludf.DUMMYFUNCTION("""COMPUTED_VALUE"""),2225)</f>
        <v>2225</v>
      </c>
      <c r="C311" s="2">
        <f ca="1">IFERROR(__xludf.DUMMYFUNCTION("""COMPUTED_VALUE"""),2235)</f>
        <v>2235</v>
      </c>
      <c r="D311" s="2">
        <f ca="1">IFERROR(__xludf.DUMMYFUNCTION("""COMPUTED_VALUE"""),2200)</f>
        <v>2200</v>
      </c>
      <c r="E311" s="2">
        <f ca="1">IFERROR(__xludf.DUMMYFUNCTION("""COMPUTED_VALUE"""),2220)</f>
        <v>2220</v>
      </c>
      <c r="F311" s="2">
        <f ca="1">IFERROR(__xludf.DUMMYFUNCTION("""COMPUTED_VALUE"""),19468000)</f>
        <v>19468000</v>
      </c>
    </row>
    <row r="312" spans="1:6">
      <c r="A312" s="5">
        <f ca="1">IFERROR(__xludf.DUMMYFUNCTION("""COMPUTED_VALUE"""),42468.625)</f>
        <v>42468.625</v>
      </c>
      <c r="B312" s="2">
        <f ca="1">IFERROR(__xludf.DUMMYFUNCTION("""COMPUTED_VALUE"""),2200)</f>
        <v>2200</v>
      </c>
      <c r="C312" s="2">
        <f ca="1">IFERROR(__xludf.DUMMYFUNCTION("""COMPUTED_VALUE"""),2215)</f>
        <v>2215</v>
      </c>
      <c r="D312" s="2">
        <f ca="1">IFERROR(__xludf.DUMMYFUNCTION("""COMPUTED_VALUE"""),2155)</f>
        <v>2155</v>
      </c>
      <c r="E312" s="2">
        <f ca="1">IFERROR(__xludf.DUMMYFUNCTION("""COMPUTED_VALUE"""),2160)</f>
        <v>2160</v>
      </c>
      <c r="F312" s="2">
        <f ca="1">IFERROR(__xludf.DUMMYFUNCTION("""COMPUTED_VALUE"""),35800400)</f>
        <v>35800400</v>
      </c>
    </row>
    <row r="313" spans="1:6">
      <c r="A313" s="5">
        <f ca="1">IFERROR(__xludf.DUMMYFUNCTION("""COMPUTED_VALUE"""),42471.625)</f>
        <v>42471.625</v>
      </c>
      <c r="B313" s="2">
        <f ca="1">IFERROR(__xludf.DUMMYFUNCTION("""COMPUTED_VALUE"""),2160)</f>
        <v>2160</v>
      </c>
      <c r="C313" s="2">
        <f ca="1">IFERROR(__xludf.DUMMYFUNCTION("""COMPUTED_VALUE"""),2175)</f>
        <v>2175</v>
      </c>
      <c r="D313" s="2">
        <f ca="1">IFERROR(__xludf.DUMMYFUNCTION("""COMPUTED_VALUE"""),2090)</f>
        <v>2090</v>
      </c>
      <c r="E313" s="2">
        <f ca="1">IFERROR(__xludf.DUMMYFUNCTION("""COMPUTED_VALUE"""),2095)</f>
        <v>2095</v>
      </c>
      <c r="F313" s="2">
        <f ca="1">IFERROR(__xludf.DUMMYFUNCTION("""COMPUTED_VALUE"""),28162200)</f>
        <v>28162200</v>
      </c>
    </row>
    <row r="314" spans="1:6">
      <c r="A314" s="5">
        <f ca="1">IFERROR(__xludf.DUMMYFUNCTION("""COMPUTED_VALUE"""),42472.625)</f>
        <v>42472.625</v>
      </c>
      <c r="B314" s="2">
        <f ca="1">IFERROR(__xludf.DUMMYFUNCTION("""COMPUTED_VALUE"""),2100)</f>
        <v>2100</v>
      </c>
      <c r="C314" s="2">
        <f ca="1">IFERROR(__xludf.DUMMYFUNCTION("""COMPUTED_VALUE"""),2140)</f>
        <v>2140</v>
      </c>
      <c r="D314" s="2">
        <f ca="1">IFERROR(__xludf.DUMMYFUNCTION("""COMPUTED_VALUE"""),2080)</f>
        <v>2080</v>
      </c>
      <c r="E314" s="2">
        <f ca="1">IFERROR(__xludf.DUMMYFUNCTION("""COMPUTED_VALUE"""),2125)</f>
        <v>2125</v>
      </c>
      <c r="F314" s="2">
        <f ca="1">IFERROR(__xludf.DUMMYFUNCTION("""COMPUTED_VALUE"""),24302800)</f>
        <v>24302800</v>
      </c>
    </row>
    <row r="315" spans="1:6">
      <c r="A315" s="5">
        <f ca="1">IFERROR(__xludf.DUMMYFUNCTION("""COMPUTED_VALUE"""),42480.625)</f>
        <v>42480.625</v>
      </c>
      <c r="B315" s="2">
        <f ca="1">IFERROR(__xludf.DUMMYFUNCTION("""COMPUTED_VALUE"""),2030)</f>
        <v>2030</v>
      </c>
      <c r="C315" s="2">
        <f ca="1">IFERROR(__xludf.DUMMYFUNCTION("""COMPUTED_VALUE"""),2100)</f>
        <v>2100</v>
      </c>
      <c r="D315" s="2">
        <f ca="1">IFERROR(__xludf.DUMMYFUNCTION("""COMPUTED_VALUE"""),2035)</f>
        <v>2035</v>
      </c>
      <c r="E315" s="2">
        <f ca="1">IFERROR(__xludf.DUMMYFUNCTION("""COMPUTED_VALUE"""),2095)</f>
        <v>2095</v>
      </c>
      <c r="F315" s="2">
        <f ca="1">IFERROR(__xludf.DUMMYFUNCTION("""COMPUTED_VALUE"""),47855800)</f>
        <v>47855800</v>
      </c>
    </row>
    <row r="316" spans="1:6">
      <c r="A316" s="5">
        <f ca="1">IFERROR(__xludf.DUMMYFUNCTION("""COMPUTED_VALUE"""),42481.625)</f>
        <v>42481.625</v>
      </c>
      <c r="B316" s="2">
        <f ca="1">IFERROR(__xludf.DUMMYFUNCTION("""COMPUTED_VALUE"""),2145)</f>
        <v>2145</v>
      </c>
      <c r="C316" s="2">
        <f ca="1">IFERROR(__xludf.DUMMYFUNCTION("""COMPUTED_VALUE"""),2145)</f>
        <v>2145</v>
      </c>
      <c r="D316" s="2">
        <f ca="1">IFERROR(__xludf.DUMMYFUNCTION("""COMPUTED_VALUE"""),2100)</f>
        <v>2100</v>
      </c>
      <c r="E316" s="2">
        <f ca="1">IFERROR(__xludf.DUMMYFUNCTION("""COMPUTED_VALUE"""),2140)</f>
        <v>2140</v>
      </c>
      <c r="F316" s="2">
        <f ca="1">IFERROR(__xludf.DUMMYFUNCTION("""COMPUTED_VALUE"""),41401200)</f>
        <v>41401200</v>
      </c>
    </row>
    <row r="317" spans="1:6">
      <c r="A317" s="5">
        <f ca="1">IFERROR(__xludf.DUMMYFUNCTION("""COMPUTED_VALUE"""),42482.625)</f>
        <v>42482.625</v>
      </c>
      <c r="B317" s="2">
        <f ca="1">IFERROR(__xludf.DUMMYFUNCTION("""COMPUTED_VALUE"""),2140)</f>
        <v>2140</v>
      </c>
      <c r="C317" s="2">
        <f ca="1">IFERROR(__xludf.DUMMYFUNCTION("""COMPUTED_VALUE"""),2185)</f>
        <v>2185</v>
      </c>
      <c r="D317" s="2">
        <f ca="1">IFERROR(__xludf.DUMMYFUNCTION("""COMPUTED_VALUE"""),2130)</f>
        <v>2130</v>
      </c>
      <c r="E317" s="2">
        <f ca="1">IFERROR(__xludf.DUMMYFUNCTION("""COMPUTED_VALUE"""),2180)</f>
        <v>2180</v>
      </c>
      <c r="F317" s="2">
        <f ca="1">IFERROR(__xludf.DUMMYFUNCTION("""COMPUTED_VALUE"""),40285500)</f>
        <v>40285500</v>
      </c>
    </row>
    <row r="318" spans="1:6">
      <c r="A318" s="5">
        <f ca="1">IFERROR(__xludf.DUMMYFUNCTION("""COMPUTED_VALUE"""),42485.625)</f>
        <v>42485.625</v>
      </c>
      <c r="B318" s="2">
        <f ca="1">IFERROR(__xludf.DUMMYFUNCTION("""COMPUTED_VALUE"""),2170)</f>
        <v>2170</v>
      </c>
      <c r="C318" s="2">
        <f ca="1">IFERROR(__xludf.DUMMYFUNCTION("""COMPUTED_VALUE"""),2175)</f>
        <v>2175</v>
      </c>
      <c r="D318" s="2">
        <f ca="1">IFERROR(__xludf.DUMMYFUNCTION("""COMPUTED_VALUE"""),2080)</f>
        <v>2080</v>
      </c>
      <c r="E318" s="2">
        <f ca="1">IFERROR(__xludf.DUMMYFUNCTION("""COMPUTED_VALUE"""),2100)</f>
        <v>2100</v>
      </c>
      <c r="F318" s="2">
        <f ca="1">IFERROR(__xludf.DUMMYFUNCTION("""COMPUTED_VALUE"""),53850100)</f>
        <v>53850100</v>
      </c>
    </row>
    <row r="319" spans="1:6">
      <c r="A319" s="5">
        <f ca="1">IFERROR(__xludf.DUMMYFUNCTION("""COMPUTED_VALUE"""),42486.625)</f>
        <v>42486.625</v>
      </c>
      <c r="B319" s="2">
        <f ca="1">IFERROR(__xludf.DUMMYFUNCTION("""COMPUTED_VALUE"""),2090)</f>
        <v>2090</v>
      </c>
      <c r="C319" s="2">
        <f ca="1">IFERROR(__xludf.DUMMYFUNCTION("""COMPUTED_VALUE"""),2090)</f>
        <v>2090</v>
      </c>
      <c r="D319" s="2">
        <f ca="1">IFERROR(__xludf.DUMMYFUNCTION("""COMPUTED_VALUE"""),2010)</f>
        <v>2010</v>
      </c>
      <c r="E319" s="2">
        <f ca="1">IFERROR(__xludf.DUMMYFUNCTION("""COMPUTED_VALUE"""),2040)</f>
        <v>2040</v>
      </c>
      <c r="F319" s="2">
        <f ca="1">IFERROR(__xludf.DUMMYFUNCTION("""COMPUTED_VALUE"""),33759000)</f>
        <v>33759000</v>
      </c>
    </row>
    <row r="320" spans="1:6">
      <c r="A320" s="5">
        <f ca="1">IFERROR(__xludf.DUMMYFUNCTION("""COMPUTED_VALUE"""),42487.625)</f>
        <v>42487.625</v>
      </c>
      <c r="B320" s="2">
        <f ca="1">IFERROR(__xludf.DUMMYFUNCTION("""COMPUTED_VALUE"""),2030)</f>
        <v>2030</v>
      </c>
      <c r="C320" s="2">
        <f ca="1">IFERROR(__xludf.DUMMYFUNCTION("""COMPUTED_VALUE"""),2065)</f>
        <v>2065</v>
      </c>
      <c r="D320" s="2">
        <f ca="1">IFERROR(__xludf.DUMMYFUNCTION("""COMPUTED_VALUE"""),2025)</f>
        <v>2025</v>
      </c>
      <c r="E320" s="2">
        <f ca="1">IFERROR(__xludf.DUMMYFUNCTION("""COMPUTED_VALUE"""),2040)</f>
        <v>2040</v>
      </c>
      <c r="F320" s="2">
        <f ca="1">IFERROR(__xludf.DUMMYFUNCTION("""COMPUTED_VALUE"""),28365700)</f>
        <v>28365700</v>
      </c>
    </row>
    <row r="321" spans="1:6">
      <c r="A321" s="5">
        <f ca="1">IFERROR(__xludf.DUMMYFUNCTION("""COMPUTED_VALUE"""),42488.625)</f>
        <v>42488.625</v>
      </c>
      <c r="B321" s="2">
        <f ca="1">IFERROR(__xludf.DUMMYFUNCTION("""COMPUTED_VALUE"""),2060)</f>
        <v>2060</v>
      </c>
      <c r="C321" s="2">
        <f ca="1">IFERROR(__xludf.DUMMYFUNCTION("""COMPUTED_VALUE"""),2095)</f>
        <v>2095</v>
      </c>
      <c r="D321" s="2">
        <f ca="1">IFERROR(__xludf.DUMMYFUNCTION("""COMPUTED_VALUE"""),2045)</f>
        <v>2045</v>
      </c>
      <c r="E321" s="2">
        <f ca="1">IFERROR(__xludf.DUMMYFUNCTION("""COMPUTED_VALUE"""),2075)</f>
        <v>2075</v>
      </c>
      <c r="F321" s="2">
        <f ca="1">IFERROR(__xludf.DUMMYFUNCTION("""COMPUTED_VALUE"""),31136400)</f>
        <v>31136400</v>
      </c>
    </row>
    <row r="322" spans="1:6">
      <c r="A322" s="5">
        <f ca="1">IFERROR(__xludf.DUMMYFUNCTION("""COMPUTED_VALUE"""),42489.625)</f>
        <v>42489.625</v>
      </c>
      <c r="B322" s="2">
        <f ca="1">IFERROR(__xludf.DUMMYFUNCTION("""COMPUTED_VALUE"""),2065)</f>
        <v>2065</v>
      </c>
      <c r="C322" s="2">
        <f ca="1">IFERROR(__xludf.DUMMYFUNCTION("""COMPUTED_VALUE"""),2075)</f>
        <v>2075</v>
      </c>
      <c r="D322" s="2">
        <f ca="1">IFERROR(__xludf.DUMMYFUNCTION("""COMPUTED_VALUE"""),2050)</f>
        <v>2050</v>
      </c>
      <c r="E322" s="2">
        <f ca="1">IFERROR(__xludf.DUMMYFUNCTION("""COMPUTED_VALUE"""),2070)</f>
        <v>2070</v>
      </c>
      <c r="F322" s="2">
        <f ca="1">IFERROR(__xludf.DUMMYFUNCTION("""COMPUTED_VALUE"""),15680600)</f>
        <v>15680600</v>
      </c>
    </row>
    <row r="323" spans="1:6">
      <c r="A323" s="5">
        <f ca="1">IFERROR(__xludf.DUMMYFUNCTION("""COMPUTED_VALUE"""),42492.625)</f>
        <v>42492.625</v>
      </c>
      <c r="B323" s="2">
        <f ca="1">IFERROR(__xludf.DUMMYFUNCTION("""COMPUTED_VALUE"""),2090)</f>
        <v>2090</v>
      </c>
      <c r="C323" s="2">
        <f ca="1">IFERROR(__xludf.DUMMYFUNCTION("""COMPUTED_VALUE"""),2090)</f>
        <v>2090</v>
      </c>
      <c r="D323" s="2">
        <f ca="1">IFERROR(__xludf.DUMMYFUNCTION("""COMPUTED_VALUE"""),2035)</f>
        <v>2035</v>
      </c>
      <c r="E323" s="2">
        <f ca="1">IFERROR(__xludf.DUMMYFUNCTION("""COMPUTED_VALUE"""),2055)</f>
        <v>2055</v>
      </c>
      <c r="F323" s="2">
        <f ca="1">IFERROR(__xludf.DUMMYFUNCTION("""COMPUTED_VALUE"""),12043700)</f>
        <v>12043700</v>
      </c>
    </row>
    <row r="324" spans="1:6">
      <c r="A324" s="5">
        <f ca="1">IFERROR(__xludf.DUMMYFUNCTION("""COMPUTED_VALUE"""),42493.625)</f>
        <v>42493.625</v>
      </c>
      <c r="B324" s="2">
        <f ca="1">IFERROR(__xludf.DUMMYFUNCTION("""COMPUTED_VALUE"""),2080)</f>
        <v>2080</v>
      </c>
      <c r="C324" s="2">
        <f ca="1">IFERROR(__xludf.DUMMYFUNCTION("""COMPUTED_VALUE"""),2110)</f>
        <v>2110</v>
      </c>
      <c r="D324" s="2">
        <f ca="1">IFERROR(__xludf.DUMMYFUNCTION("""COMPUTED_VALUE"""),2060)</f>
        <v>2060</v>
      </c>
      <c r="E324" s="2">
        <f ca="1">IFERROR(__xludf.DUMMYFUNCTION("""COMPUTED_VALUE"""),2105)</f>
        <v>2105</v>
      </c>
      <c r="F324" s="2">
        <f ca="1">IFERROR(__xludf.DUMMYFUNCTION("""COMPUTED_VALUE"""),29254400)</f>
        <v>29254400</v>
      </c>
    </row>
    <row r="325" spans="1:6">
      <c r="A325" s="5">
        <f ca="1">IFERROR(__xludf.DUMMYFUNCTION("""COMPUTED_VALUE"""),42494.625)</f>
        <v>42494.625</v>
      </c>
      <c r="B325" s="2">
        <f ca="1">IFERROR(__xludf.DUMMYFUNCTION("""COMPUTED_VALUE"""),2100)</f>
        <v>2100</v>
      </c>
      <c r="C325" s="2">
        <f ca="1">IFERROR(__xludf.DUMMYFUNCTION("""COMPUTED_VALUE"""),2105)</f>
        <v>2105</v>
      </c>
      <c r="D325" s="2">
        <f ca="1">IFERROR(__xludf.DUMMYFUNCTION("""COMPUTED_VALUE"""),2040)</f>
        <v>2040</v>
      </c>
      <c r="E325" s="2">
        <f ca="1">IFERROR(__xludf.DUMMYFUNCTION("""COMPUTED_VALUE"""),2070)</f>
        <v>2070</v>
      </c>
      <c r="F325" s="2">
        <f ca="1">IFERROR(__xludf.DUMMYFUNCTION("""COMPUTED_VALUE"""),22988800)</f>
        <v>22988800</v>
      </c>
    </row>
    <row r="326" spans="1:6">
      <c r="A326" s="5">
        <f ca="1">IFERROR(__xludf.DUMMYFUNCTION("""COMPUTED_VALUE"""),42499.625)</f>
        <v>42499.625</v>
      </c>
      <c r="B326" s="2">
        <f ca="1">IFERROR(__xludf.DUMMYFUNCTION("""COMPUTED_VALUE"""),2070)</f>
        <v>2070</v>
      </c>
      <c r="C326" s="2">
        <f ca="1">IFERROR(__xludf.DUMMYFUNCTION("""COMPUTED_VALUE"""),2075)</f>
        <v>2075</v>
      </c>
      <c r="D326" s="2">
        <f ca="1">IFERROR(__xludf.DUMMYFUNCTION("""COMPUTED_VALUE"""),2005)</f>
        <v>2005</v>
      </c>
      <c r="E326" s="2">
        <f ca="1">IFERROR(__xludf.DUMMYFUNCTION("""COMPUTED_VALUE"""),2010)</f>
        <v>2010</v>
      </c>
      <c r="F326" s="2">
        <f ca="1">IFERROR(__xludf.DUMMYFUNCTION("""COMPUTED_VALUE"""),27600600)</f>
        <v>27600600</v>
      </c>
    </row>
    <row r="327" spans="1:6">
      <c r="A327" s="5">
        <f ca="1">IFERROR(__xludf.DUMMYFUNCTION("""COMPUTED_VALUE"""),42500.625)</f>
        <v>42500.625</v>
      </c>
      <c r="B327" s="2">
        <f ca="1">IFERROR(__xludf.DUMMYFUNCTION("""COMPUTED_VALUE"""),2000)</f>
        <v>2000</v>
      </c>
      <c r="C327" s="2">
        <f ca="1">IFERROR(__xludf.DUMMYFUNCTION("""COMPUTED_VALUE"""),2025)</f>
        <v>2025</v>
      </c>
      <c r="D327" s="2">
        <f ca="1">IFERROR(__xludf.DUMMYFUNCTION("""COMPUTED_VALUE"""),1995)</f>
        <v>1995</v>
      </c>
      <c r="E327" s="2">
        <f ca="1">IFERROR(__xludf.DUMMYFUNCTION("""COMPUTED_VALUE"""),2010)</f>
        <v>2010</v>
      </c>
      <c r="F327" s="2">
        <f ca="1">IFERROR(__xludf.DUMMYFUNCTION("""COMPUTED_VALUE"""),24356400)</f>
        <v>24356400</v>
      </c>
    </row>
    <row r="328" spans="1:6">
      <c r="A328" s="5">
        <f ca="1">IFERROR(__xludf.DUMMYFUNCTION("""COMPUTED_VALUE"""),42501.625)</f>
        <v>42501.625</v>
      </c>
      <c r="B328" s="2">
        <f ca="1">IFERROR(__xludf.DUMMYFUNCTION("""COMPUTED_VALUE"""),2020)</f>
        <v>2020</v>
      </c>
      <c r="C328" s="2">
        <f ca="1">IFERROR(__xludf.DUMMYFUNCTION("""COMPUTED_VALUE"""),2025)</f>
        <v>2025</v>
      </c>
      <c r="D328" s="2">
        <f ca="1">IFERROR(__xludf.DUMMYFUNCTION("""COMPUTED_VALUE"""),1995)</f>
        <v>1995</v>
      </c>
      <c r="E328" s="2">
        <f ca="1">IFERROR(__xludf.DUMMYFUNCTION("""COMPUTED_VALUE"""),2000)</f>
        <v>2000</v>
      </c>
      <c r="F328" s="2">
        <f ca="1">IFERROR(__xludf.DUMMYFUNCTION("""COMPUTED_VALUE"""),31884700)</f>
        <v>31884700</v>
      </c>
    </row>
    <row r="329" spans="1:6">
      <c r="A329" s="5">
        <f ca="1">IFERROR(__xludf.DUMMYFUNCTION("""COMPUTED_VALUE"""),42502.625)</f>
        <v>42502.625</v>
      </c>
      <c r="B329" s="2">
        <f ca="1">IFERROR(__xludf.DUMMYFUNCTION("""COMPUTED_VALUE"""),1995)</f>
        <v>1995</v>
      </c>
      <c r="C329" s="2">
        <f ca="1">IFERROR(__xludf.DUMMYFUNCTION("""COMPUTED_VALUE"""),2010)</f>
        <v>2010</v>
      </c>
      <c r="D329" s="2">
        <f ca="1">IFERROR(__xludf.DUMMYFUNCTION("""COMPUTED_VALUE"""),1970)</f>
        <v>1970</v>
      </c>
      <c r="E329" s="2">
        <f ca="1">IFERROR(__xludf.DUMMYFUNCTION("""COMPUTED_VALUE"""),1980)</f>
        <v>1980</v>
      </c>
      <c r="F329" s="2">
        <f ca="1">IFERROR(__xludf.DUMMYFUNCTION("""COMPUTED_VALUE"""),28788800)</f>
        <v>28788800</v>
      </c>
    </row>
    <row r="330" spans="1:6">
      <c r="A330" s="5">
        <f ca="1">IFERROR(__xludf.DUMMYFUNCTION("""COMPUTED_VALUE"""),42503.625)</f>
        <v>42503.625</v>
      </c>
      <c r="B330" s="2">
        <f ca="1">IFERROR(__xludf.DUMMYFUNCTION("""COMPUTED_VALUE"""),1980)</f>
        <v>1980</v>
      </c>
      <c r="C330" s="2">
        <f ca="1">IFERROR(__xludf.DUMMYFUNCTION("""COMPUTED_VALUE"""),1990)</f>
        <v>1990</v>
      </c>
      <c r="D330" s="2">
        <f ca="1">IFERROR(__xludf.DUMMYFUNCTION("""COMPUTED_VALUE"""),1950)</f>
        <v>1950</v>
      </c>
      <c r="E330" s="2">
        <f ca="1">IFERROR(__xludf.DUMMYFUNCTION("""COMPUTED_VALUE"""),1975)</f>
        <v>1975</v>
      </c>
      <c r="F330" s="2">
        <f ca="1">IFERROR(__xludf.DUMMYFUNCTION("""COMPUTED_VALUE"""),25595400)</f>
        <v>25595400</v>
      </c>
    </row>
    <row r="331" spans="1:6">
      <c r="A331" s="5">
        <f ca="1">IFERROR(__xludf.DUMMYFUNCTION("""COMPUTED_VALUE"""),42506.625)</f>
        <v>42506.625</v>
      </c>
      <c r="B331" s="2">
        <f ca="1">IFERROR(__xludf.DUMMYFUNCTION("""COMPUTED_VALUE"""),1970)</f>
        <v>1970</v>
      </c>
      <c r="C331" s="2">
        <f ca="1">IFERROR(__xludf.DUMMYFUNCTION("""COMPUTED_VALUE"""),1990)</f>
        <v>1990</v>
      </c>
      <c r="D331" s="2">
        <f ca="1">IFERROR(__xludf.DUMMYFUNCTION("""COMPUTED_VALUE"""),1960)</f>
        <v>1960</v>
      </c>
      <c r="E331" s="2">
        <f ca="1">IFERROR(__xludf.DUMMYFUNCTION("""COMPUTED_VALUE"""),1990)</f>
        <v>1990</v>
      </c>
      <c r="F331" s="2">
        <f ca="1">IFERROR(__xludf.DUMMYFUNCTION("""COMPUTED_VALUE"""),16527500)</f>
        <v>16527500</v>
      </c>
    </row>
    <row r="332" spans="1:6">
      <c r="A332" s="5">
        <f ca="1">IFERROR(__xludf.DUMMYFUNCTION("""COMPUTED_VALUE"""),42507.625)</f>
        <v>42507.625</v>
      </c>
      <c r="B332" s="2">
        <f ca="1">IFERROR(__xludf.DUMMYFUNCTION("""COMPUTED_VALUE"""),1980)</f>
        <v>1980</v>
      </c>
      <c r="C332" s="2">
        <f ca="1">IFERROR(__xludf.DUMMYFUNCTION("""COMPUTED_VALUE"""),1990)</f>
        <v>1990</v>
      </c>
      <c r="D332" s="2">
        <f ca="1">IFERROR(__xludf.DUMMYFUNCTION("""COMPUTED_VALUE"""),1930)</f>
        <v>1930</v>
      </c>
      <c r="E332" s="2">
        <f ca="1">IFERROR(__xludf.DUMMYFUNCTION("""COMPUTED_VALUE"""),1940)</f>
        <v>1940</v>
      </c>
      <c r="F332" s="2">
        <f ca="1">IFERROR(__xludf.DUMMYFUNCTION("""COMPUTED_VALUE"""),20313700)</f>
        <v>20313700</v>
      </c>
    </row>
    <row r="333" spans="1:6">
      <c r="A333" s="5">
        <f ca="1">IFERROR(__xludf.DUMMYFUNCTION("""COMPUTED_VALUE"""),42508.625)</f>
        <v>42508.625</v>
      </c>
      <c r="B333" s="2">
        <f ca="1">IFERROR(__xludf.DUMMYFUNCTION("""COMPUTED_VALUE"""),1920)</f>
        <v>1920</v>
      </c>
      <c r="C333" s="2">
        <f ca="1">IFERROR(__xludf.DUMMYFUNCTION("""COMPUTED_VALUE"""),1950)</f>
        <v>1950</v>
      </c>
      <c r="D333" s="2">
        <f ca="1">IFERROR(__xludf.DUMMYFUNCTION("""COMPUTED_VALUE"""),1905)</f>
        <v>1905</v>
      </c>
      <c r="E333" s="2">
        <f ca="1">IFERROR(__xludf.DUMMYFUNCTION("""COMPUTED_VALUE"""),1905)</f>
        <v>1905</v>
      </c>
      <c r="F333" s="2">
        <f ca="1">IFERROR(__xludf.DUMMYFUNCTION("""COMPUTED_VALUE"""),43366500)</f>
        <v>43366500</v>
      </c>
    </row>
    <row r="334" spans="1:6">
      <c r="A334" s="5">
        <f ca="1">IFERROR(__xludf.DUMMYFUNCTION("""COMPUTED_VALUE"""),42509.625)</f>
        <v>42509.625</v>
      </c>
      <c r="B334" s="2">
        <f ca="1">IFERROR(__xludf.DUMMYFUNCTION("""COMPUTED_VALUE"""),1915)</f>
        <v>1915</v>
      </c>
      <c r="C334" s="2">
        <f ca="1">IFERROR(__xludf.DUMMYFUNCTION("""COMPUTED_VALUE"""),1940)</f>
        <v>1940</v>
      </c>
      <c r="D334" s="2">
        <f ca="1">IFERROR(__xludf.DUMMYFUNCTION("""COMPUTED_VALUE"""),1910)</f>
        <v>1910</v>
      </c>
      <c r="E334" s="2">
        <f ca="1">IFERROR(__xludf.DUMMYFUNCTION("""COMPUTED_VALUE"""),1935)</f>
        <v>1935</v>
      </c>
      <c r="F334" s="2">
        <f ca="1">IFERROR(__xludf.DUMMYFUNCTION("""COMPUTED_VALUE"""),33133000)</f>
        <v>33133000</v>
      </c>
    </row>
    <row r="335" spans="1:6">
      <c r="A335" s="5">
        <f ca="1">IFERROR(__xludf.DUMMYFUNCTION("""COMPUTED_VALUE"""),42510.625)</f>
        <v>42510.625</v>
      </c>
      <c r="B335" s="2">
        <f ca="1">IFERROR(__xludf.DUMMYFUNCTION("""COMPUTED_VALUE"""),1920)</f>
        <v>1920</v>
      </c>
      <c r="C335" s="2">
        <f ca="1">IFERROR(__xludf.DUMMYFUNCTION("""COMPUTED_VALUE"""),1970)</f>
        <v>1970</v>
      </c>
      <c r="D335" s="2">
        <f ca="1">IFERROR(__xludf.DUMMYFUNCTION("""COMPUTED_VALUE"""),1920)</f>
        <v>1920</v>
      </c>
      <c r="E335" s="2">
        <f ca="1">IFERROR(__xludf.DUMMYFUNCTION("""COMPUTED_VALUE"""),1960)</f>
        <v>1960</v>
      </c>
      <c r="F335" s="2">
        <f ca="1">IFERROR(__xludf.DUMMYFUNCTION("""COMPUTED_VALUE"""),33291700)</f>
        <v>33291700</v>
      </c>
    </row>
    <row r="336" spans="1:6">
      <c r="A336" s="5">
        <f ca="1">IFERROR(__xludf.DUMMYFUNCTION("""COMPUTED_VALUE"""),42513.625)</f>
        <v>42513.625</v>
      </c>
      <c r="B336" s="2">
        <f ca="1">IFERROR(__xludf.DUMMYFUNCTION("""COMPUTED_VALUE"""),1960)</f>
        <v>1960</v>
      </c>
      <c r="C336" s="2">
        <f ca="1">IFERROR(__xludf.DUMMYFUNCTION("""COMPUTED_VALUE"""),1985)</f>
        <v>1985</v>
      </c>
      <c r="D336" s="2">
        <f ca="1">IFERROR(__xludf.DUMMYFUNCTION("""COMPUTED_VALUE"""),1960)</f>
        <v>1960</v>
      </c>
      <c r="E336" s="2">
        <f ca="1">IFERROR(__xludf.DUMMYFUNCTION("""COMPUTED_VALUE"""),1985)</f>
        <v>1985</v>
      </c>
      <c r="F336" s="2">
        <f ca="1">IFERROR(__xludf.DUMMYFUNCTION("""COMPUTED_VALUE"""),13752000)</f>
        <v>13752000</v>
      </c>
    </row>
    <row r="337" spans="1:6">
      <c r="A337" s="5">
        <f ca="1">IFERROR(__xludf.DUMMYFUNCTION("""COMPUTED_VALUE"""),42514.625)</f>
        <v>42514.625</v>
      </c>
      <c r="B337" s="2">
        <f ca="1">IFERROR(__xludf.DUMMYFUNCTION("""COMPUTED_VALUE"""),1990)</f>
        <v>1990</v>
      </c>
      <c r="C337" s="2">
        <f ca="1">IFERROR(__xludf.DUMMYFUNCTION("""COMPUTED_VALUE"""),2005)</f>
        <v>2005</v>
      </c>
      <c r="D337" s="2">
        <f ca="1">IFERROR(__xludf.DUMMYFUNCTION("""COMPUTED_VALUE"""),1965)</f>
        <v>1965</v>
      </c>
      <c r="E337" s="2">
        <f ca="1">IFERROR(__xludf.DUMMYFUNCTION("""COMPUTED_VALUE"""),1965)</f>
        <v>1965</v>
      </c>
      <c r="F337" s="2">
        <f ca="1">IFERROR(__xludf.DUMMYFUNCTION("""COMPUTED_VALUE"""),19371000)</f>
        <v>19371000</v>
      </c>
    </row>
    <row r="338" spans="1:6">
      <c r="A338" s="5">
        <f ca="1">IFERROR(__xludf.DUMMYFUNCTION("""COMPUTED_VALUE"""),42515.625)</f>
        <v>42515.625</v>
      </c>
      <c r="B338" s="2">
        <f ca="1">IFERROR(__xludf.DUMMYFUNCTION("""COMPUTED_VALUE"""),1985)</f>
        <v>1985</v>
      </c>
      <c r="C338" s="2">
        <f ca="1">IFERROR(__xludf.DUMMYFUNCTION("""COMPUTED_VALUE"""),1990)</f>
        <v>1990</v>
      </c>
      <c r="D338" s="2">
        <f ca="1">IFERROR(__xludf.DUMMYFUNCTION("""COMPUTED_VALUE"""),1975)</f>
        <v>1975</v>
      </c>
      <c r="E338" s="2">
        <f ca="1">IFERROR(__xludf.DUMMYFUNCTION("""COMPUTED_VALUE"""),1985)</f>
        <v>1985</v>
      </c>
      <c r="F338" s="2">
        <f ca="1">IFERROR(__xludf.DUMMYFUNCTION("""COMPUTED_VALUE"""),14242300)</f>
        <v>14242300</v>
      </c>
    </row>
    <row r="339" spans="1:6">
      <c r="A339" s="5">
        <f ca="1">IFERROR(__xludf.DUMMYFUNCTION("""COMPUTED_VALUE"""),42516.625)</f>
        <v>42516.625</v>
      </c>
      <c r="B339" s="2">
        <f ca="1">IFERROR(__xludf.DUMMYFUNCTION("""COMPUTED_VALUE"""),2000)</f>
        <v>2000</v>
      </c>
      <c r="C339" s="2">
        <f ca="1">IFERROR(__xludf.DUMMYFUNCTION("""COMPUTED_VALUE"""),2060)</f>
        <v>2060</v>
      </c>
      <c r="D339" s="2">
        <f ca="1">IFERROR(__xludf.DUMMYFUNCTION("""COMPUTED_VALUE"""),1995)</f>
        <v>1995</v>
      </c>
      <c r="E339" s="2">
        <f ca="1">IFERROR(__xludf.DUMMYFUNCTION("""COMPUTED_VALUE"""),2060)</f>
        <v>2060</v>
      </c>
      <c r="F339" s="2">
        <f ca="1">IFERROR(__xludf.DUMMYFUNCTION("""COMPUTED_VALUE"""),32858400)</f>
        <v>32858400</v>
      </c>
    </row>
    <row r="340" spans="1:6">
      <c r="A340" s="5">
        <f ca="1">IFERROR(__xludf.DUMMYFUNCTION("""COMPUTED_VALUE"""),42517.625)</f>
        <v>42517.625</v>
      </c>
      <c r="B340" s="2">
        <f ca="1">IFERROR(__xludf.DUMMYFUNCTION("""COMPUTED_VALUE"""),2050)</f>
        <v>2050</v>
      </c>
      <c r="C340" s="2">
        <f ca="1">IFERROR(__xludf.DUMMYFUNCTION("""COMPUTED_VALUE"""),2080)</f>
        <v>2080</v>
      </c>
      <c r="D340" s="2">
        <f ca="1">IFERROR(__xludf.DUMMYFUNCTION("""COMPUTED_VALUE"""),2035)</f>
        <v>2035</v>
      </c>
      <c r="E340" s="2">
        <f ca="1">IFERROR(__xludf.DUMMYFUNCTION("""COMPUTED_VALUE"""),2080)</f>
        <v>2080</v>
      </c>
      <c r="F340" s="2">
        <f ca="1">IFERROR(__xludf.DUMMYFUNCTION("""COMPUTED_VALUE"""),19817600)</f>
        <v>19817600</v>
      </c>
    </row>
    <row r="341" spans="1:6">
      <c r="A341" s="5">
        <f ca="1">IFERROR(__xludf.DUMMYFUNCTION("""COMPUTED_VALUE"""),42520.625)</f>
        <v>42520.625</v>
      </c>
      <c r="B341" s="2">
        <f ca="1">IFERROR(__xludf.DUMMYFUNCTION("""COMPUTED_VALUE"""),2090)</f>
        <v>2090</v>
      </c>
      <c r="C341" s="2">
        <f ca="1">IFERROR(__xludf.DUMMYFUNCTION("""COMPUTED_VALUE"""),2135)</f>
        <v>2135</v>
      </c>
      <c r="D341" s="2">
        <f ca="1">IFERROR(__xludf.DUMMYFUNCTION("""COMPUTED_VALUE"""),2080)</f>
        <v>2080</v>
      </c>
      <c r="E341" s="2">
        <f ca="1">IFERROR(__xludf.DUMMYFUNCTION("""COMPUTED_VALUE"""),2125)</f>
        <v>2125</v>
      </c>
      <c r="F341" s="2">
        <f ca="1">IFERROR(__xludf.DUMMYFUNCTION("""COMPUTED_VALUE"""),43144900)</f>
        <v>43144900</v>
      </c>
    </row>
    <row r="342" spans="1:6">
      <c r="A342" s="5">
        <f ca="1">IFERROR(__xludf.DUMMYFUNCTION("""COMPUTED_VALUE"""),42521.625)</f>
        <v>42521.625</v>
      </c>
      <c r="B342" s="2">
        <f ca="1">IFERROR(__xludf.DUMMYFUNCTION("""COMPUTED_VALUE"""),2125)</f>
        <v>2125</v>
      </c>
      <c r="C342" s="2">
        <f ca="1">IFERROR(__xludf.DUMMYFUNCTION("""COMPUTED_VALUE"""),2125)</f>
        <v>2125</v>
      </c>
      <c r="D342" s="2">
        <f ca="1">IFERROR(__xludf.DUMMYFUNCTION("""COMPUTED_VALUE"""),2065)</f>
        <v>2065</v>
      </c>
      <c r="E342" s="2">
        <f ca="1">IFERROR(__xludf.DUMMYFUNCTION("""COMPUTED_VALUE"""),2070)</f>
        <v>2070</v>
      </c>
      <c r="F342" s="2">
        <f ca="1">IFERROR(__xludf.DUMMYFUNCTION("""COMPUTED_VALUE"""),37929400)</f>
        <v>37929400</v>
      </c>
    </row>
    <row r="343" spans="1:6">
      <c r="A343" s="5">
        <f ca="1">IFERROR(__xludf.DUMMYFUNCTION("""COMPUTED_VALUE"""),42522.625)</f>
        <v>42522.625</v>
      </c>
      <c r="B343" s="2">
        <f ca="1">IFERROR(__xludf.DUMMYFUNCTION("""COMPUTED_VALUE"""),2070)</f>
        <v>2070</v>
      </c>
      <c r="C343" s="2">
        <f ca="1">IFERROR(__xludf.DUMMYFUNCTION("""COMPUTED_VALUE"""),2100)</f>
        <v>2100</v>
      </c>
      <c r="D343" s="2">
        <f ca="1">IFERROR(__xludf.DUMMYFUNCTION("""COMPUTED_VALUE"""),2065)</f>
        <v>2065</v>
      </c>
      <c r="E343" s="2">
        <f ca="1">IFERROR(__xludf.DUMMYFUNCTION("""COMPUTED_VALUE"""),2090)</f>
        <v>2090</v>
      </c>
      <c r="F343" s="2">
        <f ca="1">IFERROR(__xludf.DUMMYFUNCTION("""COMPUTED_VALUE"""),24240300)</f>
        <v>24240300</v>
      </c>
    </row>
    <row r="344" spans="1:6">
      <c r="A344" s="5">
        <f ca="1">IFERROR(__xludf.DUMMYFUNCTION("""COMPUTED_VALUE"""),42523.625)</f>
        <v>42523.625</v>
      </c>
      <c r="B344" s="2">
        <f ca="1">IFERROR(__xludf.DUMMYFUNCTION("""COMPUTED_VALUE"""),2070)</f>
        <v>2070</v>
      </c>
      <c r="C344" s="2">
        <f ca="1">IFERROR(__xludf.DUMMYFUNCTION("""COMPUTED_VALUE"""),2080)</f>
        <v>2080</v>
      </c>
      <c r="D344" s="2">
        <f ca="1">IFERROR(__xludf.DUMMYFUNCTION("""COMPUTED_VALUE"""),2040)</f>
        <v>2040</v>
      </c>
      <c r="E344" s="2">
        <f ca="1">IFERROR(__xludf.DUMMYFUNCTION("""COMPUTED_VALUE"""),2055)</f>
        <v>2055</v>
      </c>
      <c r="F344" s="2">
        <f ca="1">IFERROR(__xludf.DUMMYFUNCTION("""COMPUTED_VALUE"""),17682900)</f>
        <v>17682900</v>
      </c>
    </row>
    <row r="345" spans="1:6">
      <c r="A345" s="5">
        <f ca="1">IFERROR(__xludf.DUMMYFUNCTION("""COMPUTED_VALUE"""),42524.625)</f>
        <v>42524.625</v>
      </c>
      <c r="B345" s="2">
        <f ca="1">IFERROR(__xludf.DUMMYFUNCTION("""COMPUTED_VALUE"""),2065)</f>
        <v>2065</v>
      </c>
      <c r="C345" s="2">
        <f ca="1">IFERROR(__xludf.DUMMYFUNCTION("""COMPUTED_VALUE"""),2090)</f>
        <v>2090</v>
      </c>
      <c r="D345" s="2">
        <f ca="1">IFERROR(__xludf.DUMMYFUNCTION("""COMPUTED_VALUE"""),2050)</f>
        <v>2050</v>
      </c>
      <c r="E345" s="2">
        <f ca="1">IFERROR(__xludf.DUMMYFUNCTION("""COMPUTED_VALUE"""),2080)</f>
        <v>2080</v>
      </c>
      <c r="F345" s="2">
        <f ca="1">IFERROR(__xludf.DUMMYFUNCTION("""COMPUTED_VALUE"""),12347500)</f>
        <v>12347500</v>
      </c>
    </row>
    <row r="346" spans="1:6">
      <c r="A346" s="5">
        <f ca="1">IFERROR(__xludf.DUMMYFUNCTION("""COMPUTED_VALUE"""),42527.625)</f>
        <v>42527.625</v>
      </c>
      <c r="B346" s="2">
        <f ca="1">IFERROR(__xludf.DUMMYFUNCTION("""COMPUTED_VALUE"""),2090)</f>
        <v>2090</v>
      </c>
      <c r="C346" s="2">
        <f ca="1">IFERROR(__xludf.DUMMYFUNCTION("""COMPUTED_VALUE"""),2120)</f>
        <v>2120</v>
      </c>
      <c r="D346" s="2">
        <f ca="1">IFERROR(__xludf.DUMMYFUNCTION("""COMPUTED_VALUE"""),2075)</f>
        <v>2075</v>
      </c>
      <c r="E346" s="2">
        <f ca="1">IFERROR(__xludf.DUMMYFUNCTION("""COMPUTED_VALUE"""),2120)</f>
        <v>2120</v>
      </c>
      <c r="F346" s="2">
        <f ca="1">IFERROR(__xludf.DUMMYFUNCTION("""COMPUTED_VALUE"""),19534700)</f>
        <v>19534700</v>
      </c>
    </row>
    <row r="347" spans="1:6">
      <c r="A347" s="5">
        <f ca="1">IFERROR(__xludf.DUMMYFUNCTION("""COMPUTED_VALUE"""),42528.625)</f>
        <v>42528.625</v>
      </c>
      <c r="B347" s="2">
        <f ca="1">IFERROR(__xludf.DUMMYFUNCTION("""COMPUTED_VALUE"""),2125)</f>
        <v>2125</v>
      </c>
      <c r="C347" s="2">
        <f ca="1">IFERROR(__xludf.DUMMYFUNCTION("""COMPUTED_VALUE"""),2135)</f>
        <v>2135</v>
      </c>
      <c r="D347" s="2">
        <f ca="1">IFERROR(__xludf.DUMMYFUNCTION("""COMPUTED_VALUE"""),2115)</f>
        <v>2115</v>
      </c>
      <c r="E347" s="2">
        <f ca="1">IFERROR(__xludf.DUMMYFUNCTION("""COMPUTED_VALUE"""),2130)</f>
        <v>2130</v>
      </c>
      <c r="F347" s="2">
        <f ca="1">IFERROR(__xludf.DUMMYFUNCTION("""COMPUTED_VALUE"""),23375200)</f>
        <v>23375200</v>
      </c>
    </row>
    <row r="348" spans="1:6">
      <c r="A348" s="5">
        <f ca="1">IFERROR(__xludf.DUMMYFUNCTION("""COMPUTED_VALUE"""),42529.625)</f>
        <v>42529.625</v>
      </c>
      <c r="B348" s="2">
        <f ca="1">IFERROR(__xludf.DUMMYFUNCTION("""COMPUTED_VALUE"""),2120)</f>
        <v>2120</v>
      </c>
      <c r="C348" s="2">
        <f ca="1">IFERROR(__xludf.DUMMYFUNCTION("""COMPUTED_VALUE"""),2130)</f>
        <v>2130</v>
      </c>
      <c r="D348" s="2">
        <f ca="1">IFERROR(__xludf.DUMMYFUNCTION("""COMPUTED_VALUE"""),2105)</f>
        <v>2105</v>
      </c>
      <c r="E348" s="2">
        <f ca="1">IFERROR(__xludf.DUMMYFUNCTION("""COMPUTED_VALUE"""),2130)</f>
        <v>2130</v>
      </c>
      <c r="F348" s="2">
        <f ca="1">IFERROR(__xludf.DUMMYFUNCTION("""COMPUTED_VALUE"""),22585100)</f>
        <v>22585100</v>
      </c>
    </row>
    <row r="349" spans="1:6">
      <c r="A349" s="5">
        <f ca="1">IFERROR(__xludf.DUMMYFUNCTION("""COMPUTED_VALUE"""),42530.625)</f>
        <v>42530.625</v>
      </c>
      <c r="B349" s="2">
        <f ca="1">IFERROR(__xludf.DUMMYFUNCTION("""COMPUTED_VALUE"""),2130)</f>
        <v>2130</v>
      </c>
      <c r="C349" s="2">
        <f ca="1">IFERROR(__xludf.DUMMYFUNCTION("""COMPUTED_VALUE"""),2130)</f>
        <v>2130</v>
      </c>
      <c r="D349" s="2">
        <f ca="1">IFERROR(__xludf.DUMMYFUNCTION("""COMPUTED_VALUE"""),2075)</f>
        <v>2075</v>
      </c>
      <c r="E349" s="2">
        <f ca="1">IFERROR(__xludf.DUMMYFUNCTION("""COMPUTED_VALUE"""),2075)</f>
        <v>2075</v>
      </c>
      <c r="F349" s="2">
        <f ca="1">IFERROR(__xludf.DUMMYFUNCTION("""COMPUTED_VALUE"""),14185500)</f>
        <v>14185500</v>
      </c>
    </row>
    <row r="350" spans="1:6">
      <c r="A350" s="5">
        <f ca="1">IFERROR(__xludf.DUMMYFUNCTION("""COMPUTED_VALUE"""),42531.625)</f>
        <v>42531.625</v>
      </c>
      <c r="B350" s="2">
        <f ca="1">IFERROR(__xludf.DUMMYFUNCTION("""COMPUTED_VALUE"""),2070)</f>
        <v>2070</v>
      </c>
      <c r="C350" s="2">
        <f ca="1">IFERROR(__xludf.DUMMYFUNCTION("""COMPUTED_VALUE"""),2090)</f>
        <v>2090</v>
      </c>
      <c r="D350" s="2">
        <f ca="1">IFERROR(__xludf.DUMMYFUNCTION("""COMPUTED_VALUE"""),2065)</f>
        <v>2065</v>
      </c>
      <c r="E350" s="2">
        <f ca="1">IFERROR(__xludf.DUMMYFUNCTION("""COMPUTED_VALUE"""),2065)</f>
        <v>2065</v>
      </c>
      <c r="F350" s="2">
        <f ca="1">IFERROR(__xludf.DUMMYFUNCTION("""COMPUTED_VALUE"""),11476800)</f>
        <v>11476800</v>
      </c>
    </row>
    <row r="351" spans="1:6">
      <c r="A351" s="5">
        <f ca="1">IFERROR(__xludf.DUMMYFUNCTION("""COMPUTED_VALUE"""),42534.625)</f>
        <v>42534.625</v>
      </c>
      <c r="B351" s="2">
        <f ca="1">IFERROR(__xludf.DUMMYFUNCTION("""COMPUTED_VALUE"""),2065)</f>
        <v>2065</v>
      </c>
      <c r="C351" s="2">
        <f ca="1">IFERROR(__xludf.DUMMYFUNCTION("""COMPUTED_VALUE"""),2065)</f>
        <v>2065</v>
      </c>
      <c r="D351" s="2">
        <f ca="1">IFERROR(__xludf.DUMMYFUNCTION("""COMPUTED_VALUE"""),2015)</f>
        <v>2015</v>
      </c>
      <c r="E351" s="2">
        <f ca="1">IFERROR(__xludf.DUMMYFUNCTION("""COMPUTED_VALUE"""),2020)</f>
        <v>2020</v>
      </c>
      <c r="F351" s="2">
        <f ca="1">IFERROR(__xludf.DUMMYFUNCTION("""COMPUTED_VALUE"""),19337300)</f>
        <v>19337300</v>
      </c>
    </row>
    <row r="352" spans="1:6">
      <c r="A352" s="5">
        <f ca="1">IFERROR(__xludf.DUMMYFUNCTION("""COMPUTED_VALUE"""),42535.625)</f>
        <v>42535.625</v>
      </c>
      <c r="B352" s="2">
        <f ca="1">IFERROR(__xludf.DUMMYFUNCTION("""COMPUTED_VALUE"""),2010)</f>
        <v>2010</v>
      </c>
      <c r="C352" s="2">
        <f ca="1">IFERROR(__xludf.DUMMYFUNCTION("""COMPUTED_VALUE"""),2025)</f>
        <v>2025</v>
      </c>
      <c r="D352" s="2">
        <f ca="1">IFERROR(__xludf.DUMMYFUNCTION("""COMPUTED_VALUE"""),1985)</f>
        <v>1985</v>
      </c>
      <c r="E352" s="2">
        <f ca="1">IFERROR(__xludf.DUMMYFUNCTION("""COMPUTED_VALUE"""),1995)</f>
        <v>1995</v>
      </c>
      <c r="F352" s="2">
        <f ca="1">IFERROR(__xludf.DUMMYFUNCTION("""COMPUTED_VALUE"""),20075600)</f>
        <v>20075600</v>
      </c>
    </row>
    <row r="353" spans="1:6">
      <c r="A353" s="5">
        <f ca="1">IFERROR(__xludf.DUMMYFUNCTION("""COMPUTED_VALUE"""),42536.625)</f>
        <v>42536.625</v>
      </c>
      <c r="B353" s="2">
        <f ca="1">IFERROR(__xludf.DUMMYFUNCTION("""COMPUTED_VALUE"""),1980)</f>
        <v>1980</v>
      </c>
      <c r="C353" s="2">
        <f ca="1">IFERROR(__xludf.DUMMYFUNCTION("""COMPUTED_VALUE"""),2025)</f>
        <v>2025</v>
      </c>
      <c r="D353" s="2">
        <f ca="1">IFERROR(__xludf.DUMMYFUNCTION("""COMPUTED_VALUE"""),1980)</f>
        <v>1980</v>
      </c>
      <c r="E353" s="2">
        <f ca="1">IFERROR(__xludf.DUMMYFUNCTION("""COMPUTED_VALUE"""),2010)</f>
        <v>2010</v>
      </c>
      <c r="F353" s="2">
        <f ca="1">IFERROR(__xludf.DUMMYFUNCTION("""COMPUTED_VALUE"""),17553000)</f>
        <v>17553000</v>
      </c>
    </row>
    <row r="354" spans="1:6">
      <c r="A354" s="5">
        <f ca="1">IFERROR(__xludf.DUMMYFUNCTION("""COMPUTED_VALUE"""),42537.625)</f>
        <v>42537.625</v>
      </c>
      <c r="B354" s="2">
        <f ca="1">IFERROR(__xludf.DUMMYFUNCTION("""COMPUTED_VALUE"""),2035)</f>
        <v>2035</v>
      </c>
      <c r="C354" s="2">
        <f ca="1">IFERROR(__xludf.DUMMYFUNCTION("""COMPUTED_VALUE"""),2045)</f>
        <v>2045</v>
      </c>
      <c r="D354" s="2">
        <f ca="1">IFERROR(__xludf.DUMMYFUNCTION("""COMPUTED_VALUE"""),2025)</f>
        <v>2025</v>
      </c>
      <c r="E354" s="2">
        <f ca="1">IFERROR(__xludf.DUMMYFUNCTION("""COMPUTED_VALUE"""),2040)</f>
        <v>2040</v>
      </c>
      <c r="F354" s="2">
        <f ca="1">IFERROR(__xludf.DUMMYFUNCTION("""COMPUTED_VALUE"""),29429800)</f>
        <v>29429800</v>
      </c>
    </row>
    <row r="355" spans="1:6">
      <c r="A355" s="5">
        <f ca="1">IFERROR(__xludf.DUMMYFUNCTION("""COMPUTED_VALUE"""),42538.625)</f>
        <v>42538.625</v>
      </c>
      <c r="B355" s="2">
        <f ca="1">IFERROR(__xludf.DUMMYFUNCTION("""COMPUTED_VALUE"""),2050)</f>
        <v>2050</v>
      </c>
      <c r="C355" s="2">
        <f ca="1">IFERROR(__xludf.DUMMYFUNCTION("""COMPUTED_VALUE"""),2060)</f>
        <v>2060</v>
      </c>
      <c r="D355" s="2">
        <f ca="1">IFERROR(__xludf.DUMMYFUNCTION("""COMPUTED_VALUE"""),2000)</f>
        <v>2000</v>
      </c>
      <c r="E355" s="2">
        <f ca="1">IFERROR(__xludf.DUMMYFUNCTION("""COMPUTED_VALUE"""),2050)</f>
        <v>2050</v>
      </c>
      <c r="F355" s="2">
        <f ca="1">IFERROR(__xludf.DUMMYFUNCTION("""COMPUTED_VALUE"""),22676300)</f>
        <v>22676300</v>
      </c>
    </row>
    <row r="356" spans="1:6">
      <c r="A356" s="5">
        <f ca="1">IFERROR(__xludf.DUMMYFUNCTION("""COMPUTED_VALUE"""),42541.625)</f>
        <v>42541.625</v>
      </c>
      <c r="B356" s="2">
        <f ca="1">IFERROR(__xludf.DUMMYFUNCTION("""COMPUTED_VALUE"""),2080)</f>
        <v>2080</v>
      </c>
      <c r="C356" s="2">
        <f ca="1">IFERROR(__xludf.DUMMYFUNCTION("""COMPUTED_VALUE"""),2085)</f>
        <v>2085</v>
      </c>
      <c r="D356" s="2">
        <f ca="1">IFERROR(__xludf.DUMMYFUNCTION("""COMPUTED_VALUE"""),2035)</f>
        <v>2035</v>
      </c>
      <c r="E356" s="2">
        <f ca="1">IFERROR(__xludf.DUMMYFUNCTION("""COMPUTED_VALUE"""),2065)</f>
        <v>2065</v>
      </c>
      <c r="F356" s="2">
        <f ca="1">IFERROR(__xludf.DUMMYFUNCTION("""COMPUTED_VALUE"""),14816600)</f>
        <v>14816600</v>
      </c>
    </row>
    <row r="357" spans="1:6">
      <c r="A357" s="5">
        <f ca="1">IFERROR(__xludf.DUMMYFUNCTION("""COMPUTED_VALUE"""),42542.625)</f>
        <v>42542.625</v>
      </c>
      <c r="B357" s="2">
        <f ca="1">IFERROR(__xludf.DUMMYFUNCTION("""COMPUTED_VALUE"""),2060)</f>
        <v>2060</v>
      </c>
      <c r="C357" s="2">
        <f ca="1">IFERROR(__xludf.DUMMYFUNCTION("""COMPUTED_VALUE"""),2080)</f>
        <v>2080</v>
      </c>
      <c r="D357" s="2">
        <f ca="1">IFERROR(__xludf.DUMMYFUNCTION("""COMPUTED_VALUE"""),2055)</f>
        <v>2055</v>
      </c>
      <c r="E357" s="2">
        <f ca="1">IFERROR(__xludf.DUMMYFUNCTION("""COMPUTED_VALUE"""),2080)</f>
        <v>2080</v>
      </c>
      <c r="F357" s="2">
        <f ca="1">IFERROR(__xludf.DUMMYFUNCTION("""COMPUTED_VALUE"""),18990000)</f>
        <v>18990000</v>
      </c>
    </row>
    <row r="358" spans="1:6">
      <c r="A358" s="5">
        <f ca="1">IFERROR(__xludf.DUMMYFUNCTION("""COMPUTED_VALUE"""),42543.625)</f>
        <v>42543.625</v>
      </c>
      <c r="B358" s="2">
        <f ca="1">IFERROR(__xludf.DUMMYFUNCTION("""COMPUTED_VALUE"""),2080)</f>
        <v>2080</v>
      </c>
      <c r="C358" s="2">
        <f ca="1">IFERROR(__xludf.DUMMYFUNCTION("""COMPUTED_VALUE"""),2100)</f>
        <v>2100</v>
      </c>
      <c r="D358" s="2">
        <f ca="1">IFERROR(__xludf.DUMMYFUNCTION("""COMPUTED_VALUE"""),2070)</f>
        <v>2070</v>
      </c>
      <c r="E358" s="2">
        <f ca="1">IFERROR(__xludf.DUMMYFUNCTION("""COMPUTED_VALUE"""),2100)</f>
        <v>2100</v>
      </c>
      <c r="F358" s="2">
        <f ca="1">IFERROR(__xludf.DUMMYFUNCTION("""COMPUTED_VALUE"""),13161800)</f>
        <v>13161800</v>
      </c>
    </row>
    <row r="359" spans="1:6">
      <c r="A359" s="5">
        <f ca="1">IFERROR(__xludf.DUMMYFUNCTION("""COMPUTED_VALUE"""),42544.625)</f>
        <v>42544.625</v>
      </c>
      <c r="B359" s="2">
        <f ca="1">IFERROR(__xludf.DUMMYFUNCTION("""COMPUTED_VALUE"""),2100)</f>
        <v>2100</v>
      </c>
      <c r="C359" s="2">
        <f ca="1">IFERROR(__xludf.DUMMYFUNCTION("""COMPUTED_VALUE"""),2100)</f>
        <v>2100</v>
      </c>
      <c r="D359" s="2">
        <f ca="1">IFERROR(__xludf.DUMMYFUNCTION("""COMPUTED_VALUE"""),2060)</f>
        <v>2060</v>
      </c>
      <c r="E359" s="2">
        <f ca="1">IFERROR(__xludf.DUMMYFUNCTION("""COMPUTED_VALUE"""),2085)</f>
        <v>2085</v>
      </c>
      <c r="F359" s="2">
        <f ca="1">IFERROR(__xludf.DUMMYFUNCTION("""COMPUTED_VALUE"""),9510700)</f>
        <v>9510700</v>
      </c>
    </row>
    <row r="360" spans="1:6">
      <c r="A360" s="5">
        <f ca="1">IFERROR(__xludf.DUMMYFUNCTION("""COMPUTED_VALUE"""),42545.625)</f>
        <v>42545.625</v>
      </c>
      <c r="B360" s="2">
        <f ca="1">IFERROR(__xludf.DUMMYFUNCTION("""COMPUTED_VALUE"""),2060)</f>
        <v>2060</v>
      </c>
      <c r="C360" s="2">
        <f ca="1">IFERROR(__xludf.DUMMYFUNCTION("""COMPUTED_VALUE"""),2085)</f>
        <v>2085</v>
      </c>
      <c r="D360" s="2">
        <f ca="1">IFERROR(__xludf.DUMMYFUNCTION("""COMPUTED_VALUE"""),2000)</f>
        <v>2000</v>
      </c>
      <c r="E360" s="2">
        <f ca="1">IFERROR(__xludf.DUMMYFUNCTION("""COMPUTED_VALUE"""),2060)</f>
        <v>2060</v>
      </c>
      <c r="F360" s="2">
        <f ca="1">IFERROR(__xludf.DUMMYFUNCTION("""COMPUTED_VALUE"""),22675700)</f>
        <v>22675700</v>
      </c>
    </row>
    <row r="361" spans="1:6">
      <c r="A361" s="5">
        <f ca="1">IFERROR(__xludf.DUMMYFUNCTION("""COMPUTED_VALUE"""),42548.625)</f>
        <v>42548.625</v>
      </c>
      <c r="B361" s="2">
        <f ca="1">IFERROR(__xludf.DUMMYFUNCTION("""COMPUTED_VALUE"""),2010)</f>
        <v>2010</v>
      </c>
      <c r="C361" s="2">
        <f ca="1">IFERROR(__xludf.DUMMYFUNCTION("""COMPUTED_VALUE"""),2055)</f>
        <v>2055</v>
      </c>
      <c r="D361" s="2">
        <f ca="1">IFERROR(__xludf.DUMMYFUNCTION("""COMPUTED_VALUE"""),2010)</f>
        <v>2010</v>
      </c>
      <c r="E361" s="2">
        <f ca="1">IFERROR(__xludf.DUMMYFUNCTION("""COMPUTED_VALUE"""),2045)</f>
        <v>2045</v>
      </c>
      <c r="F361" s="2">
        <f ca="1">IFERROR(__xludf.DUMMYFUNCTION("""COMPUTED_VALUE"""),7109500)</f>
        <v>7109500</v>
      </c>
    </row>
    <row r="362" spans="1:6">
      <c r="A362" s="5">
        <f ca="1">IFERROR(__xludf.DUMMYFUNCTION("""COMPUTED_VALUE"""),42549.625)</f>
        <v>42549.625</v>
      </c>
      <c r="B362" s="2">
        <f ca="1">IFERROR(__xludf.DUMMYFUNCTION("""COMPUTED_VALUE"""),2030)</f>
        <v>2030</v>
      </c>
      <c r="C362" s="2">
        <f ca="1">IFERROR(__xludf.DUMMYFUNCTION("""COMPUTED_VALUE"""),2080)</f>
        <v>2080</v>
      </c>
      <c r="D362" s="2">
        <f ca="1">IFERROR(__xludf.DUMMYFUNCTION("""COMPUTED_VALUE"""),2025)</f>
        <v>2025</v>
      </c>
      <c r="E362" s="2">
        <f ca="1">IFERROR(__xludf.DUMMYFUNCTION("""COMPUTED_VALUE"""),2075)</f>
        <v>2075</v>
      </c>
      <c r="F362" s="2">
        <f ca="1">IFERROR(__xludf.DUMMYFUNCTION("""COMPUTED_VALUE"""),30635400)</f>
        <v>30635400</v>
      </c>
    </row>
    <row r="363" spans="1:6">
      <c r="A363" s="5">
        <f ca="1">IFERROR(__xludf.DUMMYFUNCTION("""COMPUTED_VALUE"""),42550.625)</f>
        <v>42550.625</v>
      </c>
      <c r="B363" s="2">
        <f ca="1">IFERROR(__xludf.DUMMYFUNCTION("""COMPUTED_VALUE"""),2085)</f>
        <v>2085</v>
      </c>
      <c r="C363" s="2">
        <f ca="1">IFERROR(__xludf.DUMMYFUNCTION("""COMPUTED_VALUE"""),2135)</f>
        <v>2135</v>
      </c>
      <c r="D363" s="2">
        <f ca="1">IFERROR(__xludf.DUMMYFUNCTION("""COMPUTED_VALUE"""),2085)</f>
        <v>2085</v>
      </c>
      <c r="E363" s="2">
        <f ca="1">IFERROR(__xludf.DUMMYFUNCTION("""COMPUTED_VALUE"""),2135)</f>
        <v>2135</v>
      </c>
      <c r="F363" s="2">
        <f ca="1">IFERROR(__xludf.DUMMYFUNCTION("""COMPUTED_VALUE"""),37635400)</f>
        <v>37635400</v>
      </c>
    </row>
    <row r="364" spans="1:6">
      <c r="A364" s="5">
        <f ca="1">IFERROR(__xludf.DUMMYFUNCTION("""COMPUTED_VALUE"""),42551.625)</f>
        <v>42551.625</v>
      </c>
      <c r="B364" s="2">
        <f ca="1">IFERROR(__xludf.DUMMYFUNCTION("""COMPUTED_VALUE"""),2160)</f>
        <v>2160</v>
      </c>
      <c r="C364" s="2">
        <f ca="1">IFERROR(__xludf.DUMMYFUNCTION("""COMPUTED_VALUE"""),2185)</f>
        <v>2185</v>
      </c>
      <c r="D364" s="2">
        <f ca="1">IFERROR(__xludf.DUMMYFUNCTION("""COMPUTED_VALUE"""),2145)</f>
        <v>2145</v>
      </c>
      <c r="E364" s="2">
        <f ca="1">IFERROR(__xludf.DUMMYFUNCTION("""COMPUTED_VALUE"""),2160)</f>
        <v>2160</v>
      </c>
      <c r="F364" s="2">
        <f ca="1">IFERROR(__xludf.DUMMYFUNCTION("""COMPUTED_VALUE"""),51831600)</f>
        <v>51831600</v>
      </c>
    </row>
    <row r="365" spans="1:6">
      <c r="A365" s="5">
        <f ca="1">IFERROR(__xludf.DUMMYFUNCTION("""COMPUTED_VALUE"""),42552.625)</f>
        <v>42552.625</v>
      </c>
      <c r="B365" s="2">
        <f ca="1">IFERROR(__xludf.DUMMYFUNCTION("""COMPUTED_VALUE"""),2180)</f>
        <v>2180</v>
      </c>
      <c r="C365" s="2">
        <f ca="1">IFERROR(__xludf.DUMMYFUNCTION("""COMPUTED_VALUE"""),2190)</f>
        <v>2190</v>
      </c>
      <c r="D365" s="2">
        <f ca="1">IFERROR(__xludf.DUMMYFUNCTION("""COMPUTED_VALUE"""),2140)</f>
        <v>2140</v>
      </c>
      <c r="E365" s="2">
        <f ca="1">IFERROR(__xludf.DUMMYFUNCTION("""COMPUTED_VALUE"""),2150)</f>
        <v>2150</v>
      </c>
      <c r="F365" s="2">
        <f ca="1">IFERROR(__xludf.DUMMYFUNCTION("""COMPUTED_VALUE"""),20531700)</f>
        <v>20531700</v>
      </c>
    </row>
    <row r="366" spans="1:6">
      <c r="A366" s="5">
        <f ca="1">IFERROR(__xludf.DUMMYFUNCTION("""COMPUTED_VALUE"""),42562.625)</f>
        <v>42562.625</v>
      </c>
      <c r="B366" s="2">
        <f ca="1">IFERROR(__xludf.DUMMYFUNCTION("""COMPUTED_VALUE"""),2190)</f>
        <v>2190</v>
      </c>
      <c r="C366" s="2">
        <f ca="1">IFERROR(__xludf.DUMMYFUNCTION("""COMPUTED_VALUE"""),2280)</f>
        <v>2280</v>
      </c>
      <c r="D366" s="2">
        <f ca="1">IFERROR(__xludf.DUMMYFUNCTION("""COMPUTED_VALUE"""),2180)</f>
        <v>2180</v>
      </c>
      <c r="E366" s="2">
        <f ca="1">IFERROR(__xludf.DUMMYFUNCTION("""COMPUTED_VALUE"""),2270)</f>
        <v>2270</v>
      </c>
      <c r="F366" s="2">
        <f ca="1">IFERROR(__xludf.DUMMYFUNCTION("""COMPUTED_VALUE"""),67449000)</f>
        <v>67449000</v>
      </c>
    </row>
    <row r="367" spans="1:6">
      <c r="A367" s="5">
        <f ca="1">IFERROR(__xludf.DUMMYFUNCTION("""COMPUTED_VALUE"""),42563.625)</f>
        <v>42563.625</v>
      </c>
      <c r="B367" s="2">
        <f ca="1">IFERROR(__xludf.DUMMYFUNCTION("""COMPUTED_VALUE"""),2300)</f>
        <v>2300</v>
      </c>
      <c r="C367" s="2">
        <f ca="1">IFERROR(__xludf.DUMMYFUNCTION("""COMPUTED_VALUE"""),2320)</f>
        <v>2320</v>
      </c>
      <c r="D367" s="2">
        <f ca="1">IFERROR(__xludf.DUMMYFUNCTION("""COMPUTED_VALUE"""),2285)</f>
        <v>2285</v>
      </c>
      <c r="E367" s="2">
        <f ca="1">IFERROR(__xludf.DUMMYFUNCTION("""COMPUTED_VALUE"""),2300)</f>
        <v>2300</v>
      </c>
      <c r="F367" s="2">
        <f ca="1">IFERROR(__xludf.DUMMYFUNCTION("""COMPUTED_VALUE"""),31827000)</f>
        <v>31827000</v>
      </c>
    </row>
    <row r="368" spans="1:6">
      <c r="A368" s="5">
        <f ca="1">IFERROR(__xludf.DUMMYFUNCTION("""COMPUTED_VALUE"""),42564.625)</f>
        <v>42564.625</v>
      </c>
      <c r="B368" s="2">
        <f ca="1">IFERROR(__xludf.DUMMYFUNCTION("""COMPUTED_VALUE"""),2300)</f>
        <v>2300</v>
      </c>
      <c r="C368" s="2">
        <f ca="1">IFERROR(__xludf.DUMMYFUNCTION("""COMPUTED_VALUE"""),2310)</f>
        <v>2310</v>
      </c>
      <c r="D368" s="2">
        <f ca="1">IFERROR(__xludf.DUMMYFUNCTION("""COMPUTED_VALUE"""),2280)</f>
        <v>2280</v>
      </c>
      <c r="E368" s="2">
        <f ca="1">IFERROR(__xludf.DUMMYFUNCTION("""COMPUTED_VALUE"""),2310)</f>
        <v>2310</v>
      </c>
      <c r="F368" s="2">
        <f ca="1">IFERROR(__xludf.DUMMYFUNCTION("""COMPUTED_VALUE"""),21606800)</f>
        <v>21606800</v>
      </c>
    </row>
    <row r="369" spans="1:6">
      <c r="A369" s="5">
        <f ca="1">IFERROR(__xludf.DUMMYFUNCTION("""COMPUTED_VALUE"""),42565.625)</f>
        <v>42565.625</v>
      </c>
      <c r="B369" s="2">
        <f ca="1">IFERROR(__xludf.DUMMYFUNCTION("""COMPUTED_VALUE"""),2320)</f>
        <v>2320</v>
      </c>
      <c r="C369" s="2">
        <f ca="1">IFERROR(__xludf.DUMMYFUNCTION("""COMPUTED_VALUE"""),2320)</f>
        <v>2320</v>
      </c>
      <c r="D369" s="2">
        <f ca="1">IFERROR(__xludf.DUMMYFUNCTION("""COMPUTED_VALUE"""),2265)</f>
        <v>2265</v>
      </c>
      <c r="E369" s="2">
        <f ca="1">IFERROR(__xludf.DUMMYFUNCTION("""COMPUTED_VALUE"""),2275)</f>
        <v>2275</v>
      </c>
      <c r="F369" s="2">
        <f ca="1">IFERROR(__xludf.DUMMYFUNCTION("""COMPUTED_VALUE"""),21399500)</f>
        <v>21399500</v>
      </c>
    </row>
    <row r="370" spans="1:6">
      <c r="A370" s="5">
        <f ca="1">IFERROR(__xludf.DUMMYFUNCTION("""COMPUTED_VALUE"""),42566.625)</f>
        <v>42566.625</v>
      </c>
      <c r="B370" s="2">
        <f ca="1">IFERROR(__xludf.DUMMYFUNCTION("""COMPUTED_VALUE"""),2290)</f>
        <v>2290</v>
      </c>
      <c r="C370" s="2">
        <f ca="1">IFERROR(__xludf.DUMMYFUNCTION("""COMPUTED_VALUE"""),2305)</f>
        <v>2305</v>
      </c>
      <c r="D370" s="2">
        <f ca="1">IFERROR(__xludf.DUMMYFUNCTION("""COMPUTED_VALUE"""),2290)</f>
        <v>2290</v>
      </c>
      <c r="E370" s="2">
        <f ca="1">IFERROR(__xludf.DUMMYFUNCTION("""COMPUTED_VALUE"""),2300)</f>
        <v>2300</v>
      </c>
      <c r="F370" s="2">
        <f ca="1">IFERROR(__xludf.DUMMYFUNCTION("""COMPUTED_VALUE"""),16148700)</f>
        <v>16148700</v>
      </c>
    </row>
    <row r="371" spans="1:6">
      <c r="A371" s="5">
        <f ca="1">IFERROR(__xludf.DUMMYFUNCTION("""COMPUTED_VALUE"""),42569.625)</f>
        <v>42569.625</v>
      </c>
      <c r="B371" s="2">
        <f ca="1">IFERROR(__xludf.DUMMYFUNCTION("""COMPUTED_VALUE"""),2260)</f>
        <v>2260</v>
      </c>
      <c r="C371" s="2">
        <f ca="1">IFERROR(__xludf.DUMMYFUNCTION("""COMPUTED_VALUE"""),2320)</f>
        <v>2320</v>
      </c>
      <c r="D371" s="2">
        <f ca="1">IFERROR(__xludf.DUMMYFUNCTION("""COMPUTED_VALUE"""),2260)</f>
        <v>2260</v>
      </c>
      <c r="E371" s="2">
        <f ca="1">IFERROR(__xludf.DUMMYFUNCTION("""COMPUTED_VALUE"""),2295)</f>
        <v>2295</v>
      </c>
      <c r="F371" s="2">
        <f ca="1">IFERROR(__xludf.DUMMYFUNCTION("""COMPUTED_VALUE"""),21720800)</f>
        <v>21720800</v>
      </c>
    </row>
    <row r="372" spans="1:6">
      <c r="A372" s="5">
        <f ca="1">IFERROR(__xludf.DUMMYFUNCTION("""COMPUTED_VALUE"""),42570.625)</f>
        <v>42570.625</v>
      </c>
      <c r="B372" s="2">
        <f ca="1">IFERROR(__xludf.DUMMYFUNCTION("""COMPUTED_VALUE"""),2265)</f>
        <v>2265</v>
      </c>
      <c r="C372" s="2">
        <f ca="1">IFERROR(__xludf.DUMMYFUNCTION("""COMPUTED_VALUE"""),2370)</f>
        <v>2370</v>
      </c>
      <c r="D372" s="2">
        <f ca="1">IFERROR(__xludf.DUMMYFUNCTION("""COMPUTED_VALUE"""),2265)</f>
        <v>2265</v>
      </c>
      <c r="E372" s="2">
        <f ca="1">IFERROR(__xludf.DUMMYFUNCTION("""COMPUTED_VALUE"""),2360)</f>
        <v>2360</v>
      </c>
      <c r="F372" s="2">
        <f ca="1">IFERROR(__xludf.DUMMYFUNCTION("""COMPUTED_VALUE"""),50028400)</f>
        <v>50028400</v>
      </c>
    </row>
    <row r="373" spans="1:6">
      <c r="A373" s="5">
        <f ca="1">IFERROR(__xludf.DUMMYFUNCTION("""COMPUTED_VALUE"""),42571.625)</f>
        <v>42571.625</v>
      </c>
      <c r="B373" s="2">
        <f ca="1">IFERROR(__xludf.DUMMYFUNCTION("""COMPUTED_VALUE"""),2360)</f>
        <v>2360</v>
      </c>
      <c r="C373" s="2">
        <f ca="1">IFERROR(__xludf.DUMMYFUNCTION("""COMPUTED_VALUE"""),2400)</f>
        <v>2400</v>
      </c>
      <c r="D373" s="2">
        <f ca="1">IFERROR(__xludf.DUMMYFUNCTION("""COMPUTED_VALUE"""),2360)</f>
        <v>2360</v>
      </c>
      <c r="E373" s="2">
        <f ca="1">IFERROR(__xludf.DUMMYFUNCTION("""COMPUTED_VALUE"""),2375)</f>
        <v>2375</v>
      </c>
      <c r="F373" s="2">
        <f ca="1">IFERROR(__xludf.DUMMYFUNCTION("""COMPUTED_VALUE"""),27737400)</f>
        <v>27737400</v>
      </c>
    </row>
    <row r="374" spans="1:6">
      <c r="A374" s="5">
        <f ca="1">IFERROR(__xludf.DUMMYFUNCTION("""COMPUTED_VALUE"""),42572.625)</f>
        <v>42572.625</v>
      </c>
      <c r="B374" s="2">
        <f ca="1">IFERROR(__xludf.DUMMYFUNCTION("""COMPUTED_VALUE"""),2355)</f>
        <v>2355</v>
      </c>
      <c r="C374" s="2">
        <f ca="1">IFERROR(__xludf.DUMMYFUNCTION("""COMPUTED_VALUE"""),2375)</f>
        <v>2375</v>
      </c>
      <c r="D374" s="2">
        <f ca="1">IFERROR(__xludf.DUMMYFUNCTION("""COMPUTED_VALUE"""),2300)</f>
        <v>2300</v>
      </c>
      <c r="E374" s="2">
        <f ca="1">IFERROR(__xludf.DUMMYFUNCTION("""COMPUTED_VALUE"""),2300)</f>
        <v>2300</v>
      </c>
      <c r="F374" s="2">
        <f ca="1">IFERROR(__xludf.DUMMYFUNCTION("""COMPUTED_VALUE"""),21088500)</f>
        <v>21088500</v>
      </c>
    </row>
    <row r="375" spans="1:6">
      <c r="A375" s="5">
        <f ca="1">IFERROR(__xludf.DUMMYFUNCTION("""COMPUTED_VALUE"""),42573.625)</f>
        <v>42573.625</v>
      </c>
      <c r="B375" s="2">
        <f ca="1">IFERROR(__xludf.DUMMYFUNCTION("""COMPUTED_VALUE"""),2285)</f>
        <v>2285</v>
      </c>
      <c r="C375" s="2">
        <f ca="1">IFERROR(__xludf.DUMMYFUNCTION("""COMPUTED_VALUE"""),2295)</f>
        <v>2295</v>
      </c>
      <c r="D375" s="2">
        <f ca="1">IFERROR(__xludf.DUMMYFUNCTION("""COMPUTED_VALUE"""),2250)</f>
        <v>2250</v>
      </c>
      <c r="E375" s="2">
        <f ca="1">IFERROR(__xludf.DUMMYFUNCTION("""COMPUTED_VALUE"""),2285)</f>
        <v>2285</v>
      </c>
      <c r="F375" s="2">
        <f ca="1">IFERROR(__xludf.DUMMYFUNCTION("""COMPUTED_VALUE"""),19538100)</f>
        <v>19538100</v>
      </c>
    </row>
    <row r="376" spans="1:6">
      <c r="A376" s="5">
        <f ca="1">IFERROR(__xludf.DUMMYFUNCTION("""COMPUTED_VALUE"""),42576.625)</f>
        <v>42576.625</v>
      </c>
      <c r="B376" s="2">
        <f ca="1">IFERROR(__xludf.DUMMYFUNCTION("""COMPUTED_VALUE"""),2270)</f>
        <v>2270</v>
      </c>
      <c r="C376" s="2">
        <f ca="1">IFERROR(__xludf.DUMMYFUNCTION("""COMPUTED_VALUE"""),2290)</f>
        <v>2290</v>
      </c>
      <c r="D376" s="2">
        <f ca="1">IFERROR(__xludf.DUMMYFUNCTION("""COMPUTED_VALUE"""),2235)</f>
        <v>2235</v>
      </c>
      <c r="E376" s="2">
        <f ca="1">IFERROR(__xludf.DUMMYFUNCTION("""COMPUTED_VALUE"""),2270)</f>
        <v>2270</v>
      </c>
      <c r="F376" s="2">
        <f ca="1">IFERROR(__xludf.DUMMYFUNCTION("""COMPUTED_VALUE"""),16277400)</f>
        <v>16277400</v>
      </c>
    </row>
    <row r="377" spans="1:6">
      <c r="A377" s="5">
        <f ca="1">IFERROR(__xludf.DUMMYFUNCTION("""COMPUTED_VALUE"""),42577.625)</f>
        <v>42577.625</v>
      </c>
      <c r="B377" s="2">
        <f ca="1">IFERROR(__xludf.DUMMYFUNCTION("""COMPUTED_VALUE"""),2260)</f>
        <v>2260</v>
      </c>
      <c r="C377" s="2">
        <f ca="1">IFERROR(__xludf.DUMMYFUNCTION("""COMPUTED_VALUE"""),2310)</f>
        <v>2310</v>
      </c>
      <c r="D377" s="2">
        <f ca="1">IFERROR(__xludf.DUMMYFUNCTION("""COMPUTED_VALUE"""),2250)</f>
        <v>2250</v>
      </c>
      <c r="E377" s="2">
        <f ca="1">IFERROR(__xludf.DUMMYFUNCTION("""COMPUTED_VALUE"""),2310)</f>
        <v>2310</v>
      </c>
      <c r="F377" s="2">
        <f ca="1">IFERROR(__xludf.DUMMYFUNCTION("""COMPUTED_VALUE"""),12569900)</f>
        <v>12569900</v>
      </c>
    </row>
    <row r="378" spans="1:6">
      <c r="A378" s="5">
        <f ca="1">IFERROR(__xludf.DUMMYFUNCTION("""COMPUTED_VALUE"""),42578.625)</f>
        <v>42578.625</v>
      </c>
      <c r="B378" s="2">
        <f ca="1">IFERROR(__xludf.DUMMYFUNCTION("""COMPUTED_VALUE"""),2320)</f>
        <v>2320</v>
      </c>
      <c r="C378" s="2">
        <f ca="1">IFERROR(__xludf.DUMMYFUNCTION("""COMPUTED_VALUE"""),2350)</f>
        <v>2350</v>
      </c>
      <c r="D378" s="2">
        <f ca="1">IFERROR(__xludf.DUMMYFUNCTION("""COMPUTED_VALUE"""),2310)</f>
        <v>2310</v>
      </c>
      <c r="E378" s="2">
        <f ca="1">IFERROR(__xludf.DUMMYFUNCTION("""COMPUTED_VALUE"""),2320)</f>
        <v>2320</v>
      </c>
      <c r="F378" s="2">
        <f ca="1">IFERROR(__xludf.DUMMYFUNCTION("""COMPUTED_VALUE"""),55359000)</f>
        <v>55359000</v>
      </c>
    </row>
    <row r="379" spans="1:6">
      <c r="A379" s="5">
        <f ca="1">IFERROR(__xludf.DUMMYFUNCTION("""COMPUTED_VALUE"""),42579.625)</f>
        <v>42579.625</v>
      </c>
      <c r="B379" s="2">
        <f ca="1">IFERROR(__xludf.DUMMYFUNCTION("""COMPUTED_VALUE"""),2280)</f>
        <v>2280</v>
      </c>
      <c r="C379" s="2">
        <f ca="1">IFERROR(__xludf.DUMMYFUNCTION("""COMPUTED_VALUE"""),2300)</f>
        <v>2300</v>
      </c>
      <c r="D379" s="2">
        <f ca="1">IFERROR(__xludf.DUMMYFUNCTION("""COMPUTED_VALUE"""),2255)</f>
        <v>2255</v>
      </c>
      <c r="E379" s="2">
        <f ca="1">IFERROR(__xludf.DUMMYFUNCTION("""COMPUTED_VALUE"""),2280)</f>
        <v>2280</v>
      </c>
      <c r="F379" s="2">
        <f ca="1">IFERROR(__xludf.DUMMYFUNCTION("""COMPUTED_VALUE"""),24140800)</f>
        <v>24140800</v>
      </c>
    </row>
    <row r="380" spans="1:6">
      <c r="A380" s="5">
        <f ca="1">IFERROR(__xludf.DUMMYFUNCTION("""COMPUTED_VALUE"""),42580.625)</f>
        <v>42580.625</v>
      </c>
      <c r="B380" s="2">
        <f ca="1">IFERROR(__xludf.DUMMYFUNCTION("""COMPUTED_VALUE"""),2290)</f>
        <v>2290</v>
      </c>
      <c r="C380" s="2">
        <f ca="1">IFERROR(__xludf.DUMMYFUNCTION("""COMPUTED_VALUE"""),2330)</f>
        <v>2330</v>
      </c>
      <c r="D380" s="2">
        <f ca="1">IFERROR(__xludf.DUMMYFUNCTION("""COMPUTED_VALUE"""),2290)</f>
        <v>2290</v>
      </c>
      <c r="E380" s="2">
        <f ca="1">IFERROR(__xludf.DUMMYFUNCTION("""COMPUTED_VALUE"""),2305)</f>
        <v>2305</v>
      </c>
      <c r="F380" s="2">
        <f ca="1">IFERROR(__xludf.DUMMYFUNCTION("""COMPUTED_VALUE"""),46580300)</f>
        <v>46580300</v>
      </c>
    </row>
    <row r="381" spans="1:6">
      <c r="A381" s="5">
        <f ca="1">IFERROR(__xludf.DUMMYFUNCTION("""COMPUTED_VALUE"""),42583.625)</f>
        <v>42583.625</v>
      </c>
      <c r="B381" s="2">
        <f ca="1">IFERROR(__xludf.DUMMYFUNCTION("""COMPUTED_VALUE"""),2320)</f>
        <v>2320</v>
      </c>
      <c r="C381" s="2">
        <f ca="1">IFERROR(__xludf.DUMMYFUNCTION("""COMPUTED_VALUE"""),2355)</f>
        <v>2355</v>
      </c>
      <c r="D381" s="2">
        <f ca="1">IFERROR(__xludf.DUMMYFUNCTION("""COMPUTED_VALUE"""),2315)</f>
        <v>2315</v>
      </c>
      <c r="E381" s="2">
        <f ca="1">IFERROR(__xludf.DUMMYFUNCTION("""COMPUTED_VALUE"""),2345)</f>
        <v>2345</v>
      </c>
      <c r="F381" s="2">
        <f ca="1">IFERROR(__xludf.DUMMYFUNCTION("""COMPUTED_VALUE"""),59058800)</f>
        <v>59058800</v>
      </c>
    </row>
    <row r="382" spans="1:6">
      <c r="A382" s="5">
        <f ca="1">IFERROR(__xludf.DUMMYFUNCTION("""COMPUTED_VALUE"""),42584.625)</f>
        <v>42584.625</v>
      </c>
      <c r="B382" s="2">
        <f ca="1">IFERROR(__xludf.DUMMYFUNCTION("""COMPUTED_VALUE"""),2345)</f>
        <v>2345</v>
      </c>
      <c r="C382" s="2">
        <f ca="1">IFERROR(__xludf.DUMMYFUNCTION("""COMPUTED_VALUE"""),2365)</f>
        <v>2365</v>
      </c>
      <c r="D382" s="2">
        <f ca="1">IFERROR(__xludf.DUMMYFUNCTION("""COMPUTED_VALUE"""),2340)</f>
        <v>2340</v>
      </c>
      <c r="E382" s="2">
        <f ca="1">IFERROR(__xludf.DUMMYFUNCTION("""COMPUTED_VALUE"""),2350)</f>
        <v>2350</v>
      </c>
      <c r="F382" s="2">
        <f ca="1">IFERROR(__xludf.DUMMYFUNCTION("""COMPUTED_VALUE"""),24408800)</f>
        <v>24408800</v>
      </c>
    </row>
    <row r="383" spans="1:6">
      <c r="A383" s="5">
        <f ca="1">IFERROR(__xludf.DUMMYFUNCTION("""COMPUTED_VALUE"""),42585.625)</f>
        <v>42585.625</v>
      </c>
      <c r="B383" s="2">
        <f ca="1">IFERROR(__xludf.DUMMYFUNCTION("""COMPUTED_VALUE"""),2360)</f>
        <v>2360</v>
      </c>
      <c r="C383" s="2">
        <f ca="1">IFERROR(__xludf.DUMMYFUNCTION("""COMPUTED_VALUE"""),2360)</f>
        <v>2360</v>
      </c>
      <c r="D383" s="2">
        <f ca="1">IFERROR(__xludf.DUMMYFUNCTION("""COMPUTED_VALUE"""),2310)</f>
        <v>2310</v>
      </c>
      <c r="E383" s="2">
        <f ca="1">IFERROR(__xludf.DUMMYFUNCTION("""COMPUTED_VALUE"""),2330)</f>
        <v>2330</v>
      </c>
      <c r="F383" s="2">
        <f ca="1">IFERROR(__xludf.DUMMYFUNCTION("""COMPUTED_VALUE"""),14112000)</f>
        <v>14112000</v>
      </c>
    </row>
    <row r="384" spans="1:6">
      <c r="A384" s="5">
        <f ca="1">IFERROR(__xludf.DUMMYFUNCTION("""COMPUTED_VALUE"""),42586.625)</f>
        <v>42586.625</v>
      </c>
      <c r="B384" s="2">
        <f ca="1">IFERROR(__xludf.DUMMYFUNCTION("""COMPUTED_VALUE"""),2370)</f>
        <v>2370</v>
      </c>
      <c r="C384" s="2">
        <f ca="1">IFERROR(__xludf.DUMMYFUNCTION("""COMPUTED_VALUE"""),2375)</f>
        <v>2375</v>
      </c>
      <c r="D384" s="2">
        <f ca="1">IFERROR(__xludf.DUMMYFUNCTION("""COMPUTED_VALUE"""),2345)</f>
        <v>2345</v>
      </c>
      <c r="E384" s="2">
        <f ca="1">IFERROR(__xludf.DUMMYFUNCTION("""COMPUTED_VALUE"""),2360)</f>
        <v>2360</v>
      </c>
      <c r="F384" s="2">
        <f ca="1">IFERROR(__xludf.DUMMYFUNCTION("""COMPUTED_VALUE"""),33869800)</f>
        <v>33869800</v>
      </c>
    </row>
    <row r="385" spans="1:6">
      <c r="A385" s="5">
        <f ca="1">IFERROR(__xludf.DUMMYFUNCTION("""COMPUTED_VALUE"""),42587.625)</f>
        <v>42587.625</v>
      </c>
      <c r="B385" s="2">
        <f ca="1">IFERROR(__xludf.DUMMYFUNCTION("""COMPUTED_VALUE"""),2375)</f>
        <v>2375</v>
      </c>
      <c r="C385" s="2">
        <f ca="1">IFERROR(__xludf.DUMMYFUNCTION("""COMPUTED_VALUE"""),2405)</f>
        <v>2405</v>
      </c>
      <c r="D385" s="2">
        <f ca="1">IFERROR(__xludf.DUMMYFUNCTION("""COMPUTED_VALUE"""),2370)</f>
        <v>2370</v>
      </c>
      <c r="E385" s="2">
        <f ca="1">IFERROR(__xludf.DUMMYFUNCTION("""COMPUTED_VALUE"""),2395)</f>
        <v>2395</v>
      </c>
      <c r="F385" s="2">
        <f ca="1">IFERROR(__xludf.DUMMYFUNCTION("""COMPUTED_VALUE"""),51326300)</f>
        <v>51326300</v>
      </c>
    </row>
    <row r="386" spans="1:6">
      <c r="A386" s="5">
        <f ca="1">IFERROR(__xludf.DUMMYFUNCTION("""COMPUTED_VALUE"""),42590.625)</f>
        <v>42590.625</v>
      </c>
      <c r="B386" s="2">
        <f ca="1">IFERROR(__xludf.DUMMYFUNCTION("""COMPUTED_VALUE"""),2420)</f>
        <v>2420</v>
      </c>
      <c r="C386" s="2">
        <f ca="1">IFERROR(__xludf.DUMMYFUNCTION("""COMPUTED_VALUE"""),2450)</f>
        <v>2450</v>
      </c>
      <c r="D386" s="2">
        <f ca="1">IFERROR(__xludf.DUMMYFUNCTION("""COMPUTED_VALUE"""),2410)</f>
        <v>2410</v>
      </c>
      <c r="E386" s="2">
        <f ca="1">IFERROR(__xludf.DUMMYFUNCTION("""COMPUTED_VALUE"""),2430)</f>
        <v>2430</v>
      </c>
      <c r="F386" s="2">
        <f ca="1">IFERROR(__xludf.DUMMYFUNCTION("""COMPUTED_VALUE"""),41424700)</f>
        <v>41424700</v>
      </c>
    </row>
    <row r="387" spans="1:6">
      <c r="A387" s="5">
        <f ca="1">IFERROR(__xludf.DUMMYFUNCTION("""COMPUTED_VALUE"""),42591.625)</f>
        <v>42591.625</v>
      </c>
      <c r="B387" s="2">
        <f ca="1">IFERROR(__xludf.DUMMYFUNCTION("""COMPUTED_VALUE"""),2430)</f>
        <v>2430</v>
      </c>
      <c r="C387" s="2">
        <f ca="1">IFERROR(__xludf.DUMMYFUNCTION("""COMPUTED_VALUE"""),2445)</f>
        <v>2445</v>
      </c>
      <c r="D387" s="2">
        <f ca="1">IFERROR(__xludf.DUMMYFUNCTION("""COMPUTED_VALUE"""),2395)</f>
        <v>2395</v>
      </c>
      <c r="E387" s="2">
        <f ca="1">IFERROR(__xludf.DUMMYFUNCTION("""COMPUTED_VALUE"""),2400)</f>
        <v>2400</v>
      </c>
      <c r="F387" s="2">
        <f ca="1">IFERROR(__xludf.DUMMYFUNCTION("""COMPUTED_VALUE"""),28101700)</f>
        <v>28101700</v>
      </c>
    </row>
    <row r="388" spans="1:6">
      <c r="A388" s="5">
        <f ca="1">IFERROR(__xludf.DUMMYFUNCTION("""COMPUTED_VALUE"""),42592.625)</f>
        <v>42592.625</v>
      </c>
      <c r="B388" s="2">
        <f ca="1">IFERROR(__xludf.DUMMYFUNCTION("""COMPUTED_VALUE"""),2410)</f>
        <v>2410</v>
      </c>
      <c r="C388" s="2">
        <f ca="1">IFERROR(__xludf.DUMMYFUNCTION("""COMPUTED_VALUE"""),2435)</f>
        <v>2435</v>
      </c>
      <c r="D388" s="2">
        <f ca="1">IFERROR(__xludf.DUMMYFUNCTION("""COMPUTED_VALUE"""),2355)</f>
        <v>2355</v>
      </c>
      <c r="E388" s="2">
        <f ca="1">IFERROR(__xludf.DUMMYFUNCTION("""COMPUTED_VALUE"""),2400)</f>
        <v>2400</v>
      </c>
      <c r="F388" s="2">
        <f ca="1">IFERROR(__xludf.DUMMYFUNCTION("""COMPUTED_VALUE"""),18657400)</f>
        <v>18657400</v>
      </c>
    </row>
    <row r="389" spans="1:6">
      <c r="A389" s="5">
        <f ca="1">IFERROR(__xludf.DUMMYFUNCTION("""COMPUTED_VALUE"""),42593.625)</f>
        <v>42593.625</v>
      </c>
      <c r="B389" s="2">
        <f ca="1">IFERROR(__xludf.DUMMYFUNCTION("""COMPUTED_VALUE"""),2420)</f>
        <v>2420</v>
      </c>
      <c r="C389" s="2">
        <f ca="1">IFERROR(__xludf.DUMMYFUNCTION("""COMPUTED_VALUE"""),2420)</f>
        <v>2420</v>
      </c>
      <c r="D389" s="2">
        <f ca="1">IFERROR(__xludf.DUMMYFUNCTION("""COMPUTED_VALUE"""),2370)</f>
        <v>2370</v>
      </c>
      <c r="E389" s="2">
        <f ca="1">IFERROR(__xludf.DUMMYFUNCTION("""COMPUTED_VALUE"""),2380)</f>
        <v>2380</v>
      </c>
      <c r="F389" s="2">
        <f ca="1">IFERROR(__xludf.DUMMYFUNCTION("""COMPUTED_VALUE"""),22711000)</f>
        <v>22711000</v>
      </c>
    </row>
    <row r="390" spans="1:6">
      <c r="A390" s="5">
        <f ca="1">IFERROR(__xludf.DUMMYFUNCTION("""COMPUTED_VALUE"""),42594.625)</f>
        <v>42594.625</v>
      </c>
      <c r="B390" s="2">
        <f ca="1">IFERROR(__xludf.DUMMYFUNCTION("""COMPUTED_VALUE"""),2350)</f>
        <v>2350</v>
      </c>
      <c r="C390" s="2">
        <f ca="1">IFERROR(__xludf.DUMMYFUNCTION("""COMPUTED_VALUE"""),2430)</f>
        <v>2430</v>
      </c>
      <c r="D390" s="2">
        <f ca="1">IFERROR(__xludf.DUMMYFUNCTION("""COMPUTED_VALUE"""),2350)</f>
        <v>2350</v>
      </c>
      <c r="E390" s="2">
        <f ca="1">IFERROR(__xludf.DUMMYFUNCTION("""COMPUTED_VALUE"""),2390)</f>
        <v>2390</v>
      </c>
      <c r="F390" s="2">
        <f ca="1">IFERROR(__xludf.DUMMYFUNCTION("""COMPUTED_VALUE"""),27050900)</f>
        <v>27050900</v>
      </c>
    </row>
    <row r="391" spans="1:6">
      <c r="A391" s="5">
        <f ca="1">IFERROR(__xludf.DUMMYFUNCTION("""COMPUTED_VALUE"""),42597.625)</f>
        <v>42597.625</v>
      </c>
      <c r="B391" s="2">
        <f ca="1">IFERROR(__xludf.DUMMYFUNCTION("""COMPUTED_VALUE"""),2400)</f>
        <v>2400</v>
      </c>
      <c r="C391" s="2">
        <f ca="1">IFERROR(__xludf.DUMMYFUNCTION("""COMPUTED_VALUE"""),2425)</f>
        <v>2425</v>
      </c>
      <c r="D391" s="2">
        <f ca="1">IFERROR(__xludf.DUMMYFUNCTION("""COMPUTED_VALUE"""),2385)</f>
        <v>2385</v>
      </c>
      <c r="E391" s="2">
        <f ca="1">IFERROR(__xludf.DUMMYFUNCTION("""COMPUTED_VALUE"""),2400)</f>
        <v>2400</v>
      </c>
      <c r="F391" s="2">
        <f ca="1">IFERROR(__xludf.DUMMYFUNCTION("""COMPUTED_VALUE"""),18540100)</f>
        <v>18540100</v>
      </c>
    </row>
    <row r="392" spans="1:6">
      <c r="A392" s="5">
        <f ca="1">IFERROR(__xludf.DUMMYFUNCTION("""COMPUTED_VALUE"""),42598.625)</f>
        <v>42598.625</v>
      </c>
      <c r="B392" s="2">
        <f ca="1">IFERROR(__xludf.DUMMYFUNCTION("""COMPUTED_VALUE"""),2430)</f>
        <v>2430</v>
      </c>
      <c r="C392" s="2">
        <f ca="1">IFERROR(__xludf.DUMMYFUNCTION("""COMPUTED_VALUE"""),2435)</f>
        <v>2435</v>
      </c>
      <c r="D392" s="2">
        <f ca="1">IFERROR(__xludf.DUMMYFUNCTION("""COMPUTED_VALUE"""),2410)</f>
        <v>2410</v>
      </c>
      <c r="E392" s="2">
        <f ca="1">IFERROR(__xludf.DUMMYFUNCTION("""COMPUTED_VALUE"""),2420)</f>
        <v>2420</v>
      </c>
      <c r="F392" s="2">
        <f ca="1">IFERROR(__xludf.DUMMYFUNCTION("""COMPUTED_VALUE"""),35836700)</f>
        <v>35836700</v>
      </c>
    </row>
    <row r="393" spans="1:6">
      <c r="A393" s="5">
        <f ca="1">IFERROR(__xludf.DUMMYFUNCTION("""COMPUTED_VALUE"""),42600.625)</f>
        <v>42600.625</v>
      </c>
      <c r="B393" s="2">
        <f ca="1">IFERROR(__xludf.DUMMYFUNCTION("""COMPUTED_VALUE"""),2430)</f>
        <v>2430</v>
      </c>
      <c r="C393" s="2">
        <f ca="1">IFERROR(__xludf.DUMMYFUNCTION("""COMPUTED_VALUE"""),2435)</f>
        <v>2435</v>
      </c>
      <c r="D393" s="2">
        <f ca="1">IFERROR(__xludf.DUMMYFUNCTION("""COMPUTED_VALUE"""),2410)</f>
        <v>2410</v>
      </c>
      <c r="E393" s="2">
        <f ca="1">IFERROR(__xludf.DUMMYFUNCTION("""COMPUTED_VALUE"""),2420)</f>
        <v>2420</v>
      </c>
      <c r="F393" s="2">
        <f ca="1">IFERROR(__xludf.DUMMYFUNCTION("""COMPUTED_VALUE"""),45956600)</f>
        <v>45956600</v>
      </c>
    </row>
    <row r="394" spans="1:6">
      <c r="A394" s="5">
        <f ca="1">IFERROR(__xludf.DUMMYFUNCTION("""COMPUTED_VALUE"""),42601.625)</f>
        <v>42601.625</v>
      </c>
      <c r="B394" s="2">
        <f ca="1">IFERROR(__xludf.DUMMYFUNCTION("""COMPUTED_VALUE"""),2400)</f>
        <v>2400</v>
      </c>
      <c r="C394" s="2">
        <f ca="1">IFERROR(__xludf.DUMMYFUNCTION("""COMPUTED_VALUE"""),2425)</f>
        <v>2425</v>
      </c>
      <c r="D394" s="2">
        <f ca="1">IFERROR(__xludf.DUMMYFUNCTION("""COMPUTED_VALUE"""),2380)</f>
        <v>2380</v>
      </c>
      <c r="E394" s="2">
        <f ca="1">IFERROR(__xludf.DUMMYFUNCTION("""COMPUTED_VALUE"""),2400)</f>
        <v>2400</v>
      </c>
      <c r="F394" s="2">
        <f ca="1">IFERROR(__xludf.DUMMYFUNCTION("""COMPUTED_VALUE"""),26257200)</f>
        <v>26257200</v>
      </c>
    </row>
    <row r="395" spans="1:6">
      <c r="A395" s="5">
        <f ca="1">IFERROR(__xludf.DUMMYFUNCTION("""COMPUTED_VALUE"""),42604.625)</f>
        <v>42604.625</v>
      </c>
      <c r="B395" s="2">
        <f ca="1">IFERROR(__xludf.DUMMYFUNCTION("""COMPUTED_VALUE"""),2390)</f>
        <v>2390</v>
      </c>
      <c r="C395" s="2">
        <f ca="1">IFERROR(__xludf.DUMMYFUNCTION("""COMPUTED_VALUE"""),2390)</f>
        <v>2390</v>
      </c>
      <c r="D395" s="2">
        <f ca="1">IFERROR(__xludf.DUMMYFUNCTION("""COMPUTED_VALUE"""),2345)</f>
        <v>2345</v>
      </c>
      <c r="E395" s="2">
        <f ca="1">IFERROR(__xludf.DUMMYFUNCTION("""COMPUTED_VALUE"""),2370)</f>
        <v>2370</v>
      </c>
      <c r="F395" s="2">
        <f ca="1">IFERROR(__xludf.DUMMYFUNCTION("""COMPUTED_VALUE"""),27465600)</f>
        <v>27465600</v>
      </c>
    </row>
    <row r="396" spans="1:6">
      <c r="A396" s="5">
        <f ca="1">IFERROR(__xludf.DUMMYFUNCTION("""COMPUTED_VALUE"""),42605.625)</f>
        <v>42605.625</v>
      </c>
      <c r="B396" s="2">
        <f ca="1">IFERROR(__xludf.DUMMYFUNCTION("""COMPUTED_VALUE"""),2320)</f>
        <v>2320</v>
      </c>
      <c r="C396" s="2">
        <f ca="1">IFERROR(__xludf.DUMMYFUNCTION("""COMPUTED_VALUE"""),2340)</f>
        <v>2340</v>
      </c>
      <c r="D396" s="2">
        <f ca="1">IFERROR(__xludf.DUMMYFUNCTION("""COMPUTED_VALUE"""),2300)</f>
        <v>2300</v>
      </c>
      <c r="E396" s="2">
        <f ca="1">IFERROR(__xludf.DUMMYFUNCTION("""COMPUTED_VALUE"""),2310)</f>
        <v>2310</v>
      </c>
      <c r="F396" s="2">
        <f ca="1">IFERROR(__xludf.DUMMYFUNCTION("""COMPUTED_VALUE"""),37240300)</f>
        <v>37240300</v>
      </c>
    </row>
    <row r="397" spans="1:6">
      <c r="A397" s="5">
        <f ca="1">IFERROR(__xludf.DUMMYFUNCTION("""COMPUTED_VALUE"""),42606.625)</f>
        <v>42606.625</v>
      </c>
      <c r="B397" s="2">
        <f ca="1">IFERROR(__xludf.DUMMYFUNCTION("""COMPUTED_VALUE"""),2325)</f>
        <v>2325</v>
      </c>
      <c r="C397" s="2">
        <f ca="1">IFERROR(__xludf.DUMMYFUNCTION("""COMPUTED_VALUE"""),2355)</f>
        <v>2355</v>
      </c>
      <c r="D397" s="2">
        <f ca="1">IFERROR(__xludf.DUMMYFUNCTION("""COMPUTED_VALUE"""),2305)</f>
        <v>2305</v>
      </c>
      <c r="E397" s="2">
        <f ca="1">IFERROR(__xludf.DUMMYFUNCTION("""COMPUTED_VALUE"""),2330)</f>
        <v>2330</v>
      </c>
      <c r="F397" s="2">
        <f ca="1">IFERROR(__xludf.DUMMYFUNCTION("""COMPUTED_VALUE"""),17897600)</f>
        <v>17897600</v>
      </c>
    </row>
    <row r="398" spans="1:6">
      <c r="A398" s="5">
        <f ca="1">IFERROR(__xludf.DUMMYFUNCTION("""COMPUTED_VALUE"""),42607.625)</f>
        <v>42607.625</v>
      </c>
      <c r="B398" s="2">
        <f ca="1">IFERROR(__xludf.DUMMYFUNCTION("""COMPUTED_VALUE"""),2350)</f>
        <v>2350</v>
      </c>
      <c r="C398" s="2">
        <f ca="1">IFERROR(__xludf.DUMMYFUNCTION("""COMPUTED_VALUE"""),2380)</f>
        <v>2380</v>
      </c>
      <c r="D398" s="2">
        <f ca="1">IFERROR(__xludf.DUMMYFUNCTION("""COMPUTED_VALUE"""),2345)</f>
        <v>2345</v>
      </c>
      <c r="E398" s="2">
        <f ca="1">IFERROR(__xludf.DUMMYFUNCTION("""COMPUTED_VALUE"""),2370)</f>
        <v>2370</v>
      </c>
      <c r="F398" s="2">
        <f ca="1">IFERROR(__xludf.DUMMYFUNCTION("""COMPUTED_VALUE"""),25570700)</f>
        <v>25570700</v>
      </c>
    </row>
    <row r="399" spans="1:6">
      <c r="A399" s="5">
        <f ca="1">IFERROR(__xludf.DUMMYFUNCTION("""COMPUTED_VALUE"""),42608.625)</f>
        <v>42608.625</v>
      </c>
      <c r="B399" s="2">
        <f ca="1">IFERROR(__xludf.DUMMYFUNCTION("""COMPUTED_VALUE"""),2350)</f>
        <v>2350</v>
      </c>
      <c r="C399" s="2">
        <f ca="1">IFERROR(__xludf.DUMMYFUNCTION("""COMPUTED_VALUE"""),2365)</f>
        <v>2365</v>
      </c>
      <c r="D399" s="2">
        <f ca="1">IFERROR(__xludf.DUMMYFUNCTION("""COMPUTED_VALUE"""),2335)</f>
        <v>2335</v>
      </c>
      <c r="E399" s="2">
        <f ca="1">IFERROR(__xludf.DUMMYFUNCTION("""COMPUTED_VALUE"""),2350)</f>
        <v>2350</v>
      </c>
      <c r="F399" s="2">
        <f ca="1">IFERROR(__xludf.DUMMYFUNCTION("""COMPUTED_VALUE"""),18471800)</f>
        <v>18471800</v>
      </c>
    </row>
    <row r="400" spans="1:6">
      <c r="A400" s="5">
        <f ca="1">IFERROR(__xludf.DUMMYFUNCTION("""COMPUTED_VALUE"""),42611.625)</f>
        <v>42611.625</v>
      </c>
      <c r="B400" s="2">
        <f ca="1">IFERROR(__xludf.DUMMYFUNCTION("""COMPUTED_VALUE"""),2320)</f>
        <v>2320</v>
      </c>
      <c r="C400" s="2">
        <f ca="1">IFERROR(__xludf.DUMMYFUNCTION("""COMPUTED_VALUE"""),2325)</f>
        <v>2325</v>
      </c>
      <c r="D400" s="2">
        <f ca="1">IFERROR(__xludf.DUMMYFUNCTION("""COMPUTED_VALUE"""),2295)</f>
        <v>2295</v>
      </c>
      <c r="E400" s="2">
        <f ca="1">IFERROR(__xludf.DUMMYFUNCTION("""COMPUTED_VALUE"""),2300)</f>
        <v>2300</v>
      </c>
      <c r="F400" s="2">
        <f ca="1">IFERROR(__xludf.DUMMYFUNCTION("""COMPUTED_VALUE"""),29211800)</f>
        <v>29211800</v>
      </c>
    </row>
    <row r="401" spans="1:6">
      <c r="A401" s="5">
        <f ca="1">IFERROR(__xludf.DUMMYFUNCTION("""COMPUTED_VALUE"""),42612.625)</f>
        <v>42612.625</v>
      </c>
      <c r="B401" s="2">
        <f ca="1">IFERROR(__xludf.DUMMYFUNCTION("""COMPUTED_VALUE"""),2320)</f>
        <v>2320</v>
      </c>
      <c r="C401" s="2">
        <f ca="1">IFERROR(__xludf.DUMMYFUNCTION("""COMPUTED_VALUE"""),2325)</f>
        <v>2325</v>
      </c>
      <c r="D401" s="2">
        <f ca="1">IFERROR(__xludf.DUMMYFUNCTION("""COMPUTED_VALUE"""),2295)</f>
        <v>2295</v>
      </c>
      <c r="E401" s="2">
        <f ca="1">IFERROR(__xludf.DUMMYFUNCTION("""COMPUTED_VALUE"""),2305)</f>
        <v>2305</v>
      </c>
      <c r="F401" s="2">
        <f ca="1">IFERROR(__xludf.DUMMYFUNCTION("""COMPUTED_VALUE"""),25371800)</f>
        <v>25371800</v>
      </c>
    </row>
    <row r="402" spans="1:6">
      <c r="A402" s="5">
        <f ca="1">IFERROR(__xludf.DUMMYFUNCTION("""COMPUTED_VALUE"""),42613.625)</f>
        <v>42613.625</v>
      </c>
      <c r="B402" s="2">
        <f ca="1">IFERROR(__xludf.DUMMYFUNCTION("""COMPUTED_VALUE"""),2330)</f>
        <v>2330</v>
      </c>
      <c r="C402" s="2">
        <f ca="1">IFERROR(__xludf.DUMMYFUNCTION("""COMPUTED_VALUE"""),2355)</f>
        <v>2355</v>
      </c>
      <c r="D402" s="2">
        <f ca="1">IFERROR(__xludf.DUMMYFUNCTION("""COMPUTED_VALUE"""),2325)</f>
        <v>2325</v>
      </c>
      <c r="E402" s="2">
        <f ca="1">IFERROR(__xludf.DUMMYFUNCTION("""COMPUTED_VALUE"""),2330)</f>
        <v>2330</v>
      </c>
      <c r="F402" s="2">
        <f ca="1">IFERROR(__xludf.DUMMYFUNCTION("""COMPUTED_VALUE"""),31006400)</f>
        <v>31006400</v>
      </c>
    </row>
    <row r="403" spans="1:6">
      <c r="A403" s="5">
        <f ca="1">IFERROR(__xludf.DUMMYFUNCTION("""COMPUTED_VALUE"""),42614.625)</f>
        <v>42614.625</v>
      </c>
      <c r="B403" s="2">
        <f ca="1">IFERROR(__xludf.DUMMYFUNCTION("""COMPUTED_VALUE"""),2310)</f>
        <v>2310</v>
      </c>
      <c r="C403" s="2">
        <f ca="1">IFERROR(__xludf.DUMMYFUNCTION("""COMPUTED_VALUE"""),2345)</f>
        <v>2345</v>
      </c>
      <c r="D403" s="2">
        <f ca="1">IFERROR(__xludf.DUMMYFUNCTION("""COMPUTED_VALUE"""),2305)</f>
        <v>2305</v>
      </c>
      <c r="E403" s="2">
        <f ca="1">IFERROR(__xludf.DUMMYFUNCTION("""COMPUTED_VALUE"""),2340)</f>
        <v>2340</v>
      </c>
      <c r="F403" s="2">
        <f ca="1">IFERROR(__xludf.DUMMYFUNCTION("""COMPUTED_VALUE"""),21216600)</f>
        <v>21216600</v>
      </c>
    </row>
    <row r="404" spans="1:6">
      <c r="A404" s="5">
        <f ca="1">IFERROR(__xludf.DUMMYFUNCTION("""COMPUTED_VALUE"""),42615.625)</f>
        <v>42615.625</v>
      </c>
      <c r="B404" s="2">
        <f ca="1">IFERROR(__xludf.DUMMYFUNCTION("""COMPUTED_VALUE"""),2300)</f>
        <v>2300</v>
      </c>
      <c r="C404" s="2">
        <f ca="1">IFERROR(__xludf.DUMMYFUNCTION("""COMPUTED_VALUE"""),2340)</f>
        <v>2340</v>
      </c>
      <c r="D404" s="2">
        <f ca="1">IFERROR(__xludf.DUMMYFUNCTION("""COMPUTED_VALUE"""),2300)</f>
        <v>2300</v>
      </c>
      <c r="E404" s="2">
        <f ca="1">IFERROR(__xludf.DUMMYFUNCTION("""COMPUTED_VALUE"""),2325)</f>
        <v>2325</v>
      </c>
      <c r="F404" s="2">
        <f ca="1">IFERROR(__xludf.DUMMYFUNCTION("""COMPUTED_VALUE"""),22321400)</f>
        <v>22321400</v>
      </c>
    </row>
    <row r="405" spans="1:6">
      <c r="A405" s="5">
        <f ca="1">IFERROR(__xludf.DUMMYFUNCTION("""COMPUTED_VALUE"""),42618.625)</f>
        <v>42618.625</v>
      </c>
      <c r="B405" s="2">
        <f ca="1">IFERROR(__xludf.DUMMYFUNCTION("""COMPUTED_VALUE"""),2360)</f>
        <v>2360</v>
      </c>
      <c r="C405" s="2">
        <f ca="1">IFERROR(__xludf.DUMMYFUNCTION("""COMPUTED_VALUE"""),2365)</f>
        <v>2365</v>
      </c>
      <c r="D405" s="2">
        <f ca="1">IFERROR(__xludf.DUMMYFUNCTION("""COMPUTED_VALUE"""),2345)</f>
        <v>2345</v>
      </c>
      <c r="E405" s="2">
        <f ca="1">IFERROR(__xludf.DUMMYFUNCTION("""COMPUTED_VALUE"""),2360)</f>
        <v>2360</v>
      </c>
      <c r="F405" s="2">
        <f ca="1">IFERROR(__xludf.DUMMYFUNCTION("""COMPUTED_VALUE"""),25040800)</f>
        <v>25040800</v>
      </c>
    </row>
    <row r="406" spans="1:6">
      <c r="A406" s="5">
        <f ca="1">IFERROR(__xludf.DUMMYFUNCTION("""COMPUTED_VALUE"""),42619.625)</f>
        <v>42619.625</v>
      </c>
      <c r="B406" s="2">
        <f ca="1">IFERROR(__xludf.DUMMYFUNCTION("""COMPUTED_VALUE"""),2370)</f>
        <v>2370</v>
      </c>
      <c r="C406" s="2">
        <f ca="1">IFERROR(__xludf.DUMMYFUNCTION("""COMPUTED_VALUE"""),2375)</f>
        <v>2375</v>
      </c>
      <c r="D406" s="2">
        <f ca="1">IFERROR(__xludf.DUMMYFUNCTION("""COMPUTED_VALUE"""),2350)</f>
        <v>2350</v>
      </c>
      <c r="E406" s="2">
        <f ca="1">IFERROR(__xludf.DUMMYFUNCTION("""COMPUTED_VALUE"""),2375)</f>
        <v>2375</v>
      </c>
      <c r="F406" s="2">
        <f ca="1">IFERROR(__xludf.DUMMYFUNCTION("""COMPUTED_VALUE"""),14568900)</f>
        <v>14568900</v>
      </c>
    </row>
    <row r="407" spans="1:6">
      <c r="A407" s="5">
        <f ca="1">IFERROR(__xludf.DUMMYFUNCTION("""COMPUTED_VALUE"""),42620.625)</f>
        <v>42620.625</v>
      </c>
      <c r="B407" s="2">
        <f ca="1">IFERROR(__xludf.DUMMYFUNCTION("""COMPUTED_VALUE"""),2385)</f>
        <v>2385</v>
      </c>
      <c r="C407" s="2">
        <f ca="1">IFERROR(__xludf.DUMMYFUNCTION("""COMPUTED_VALUE"""),2395)</f>
        <v>2395</v>
      </c>
      <c r="D407" s="2">
        <f ca="1">IFERROR(__xludf.DUMMYFUNCTION("""COMPUTED_VALUE"""),2365)</f>
        <v>2365</v>
      </c>
      <c r="E407" s="2">
        <f ca="1">IFERROR(__xludf.DUMMYFUNCTION("""COMPUTED_VALUE"""),2395)</f>
        <v>2395</v>
      </c>
      <c r="F407" s="2">
        <f ca="1">IFERROR(__xludf.DUMMYFUNCTION("""COMPUTED_VALUE"""),23487600)</f>
        <v>23487600</v>
      </c>
    </row>
    <row r="408" spans="1:6">
      <c r="A408" s="5">
        <f ca="1">IFERROR(__xludf.DUMMYFUNCTION("""COMPUTED_VALUE"""),42621.625)</f>
        <v>42621.625</v>
      </c>
      <c r="B408" s="2">
        <f ca="1">IFERROR(__xludf.DUMMYFUNCTION("""COMPUTED_VALUE"""),2380)</f>
        <v>2380</v>
      </c>
      <c r="C408" s="2">
        <f ca="1">IFERROR(__xludf.DUMMYFUNCTION("""COMPUTED_VALUE"""),2400)</f>
        <v>2400</v>
      </c>
      <c r="D408" s="2">
        <f ca="1">IFERROR(__xludf.DUMMYFUNCTION("""COMPUTED_VALUE"""),2380)</f>
        <v>2380</v>
      </c>
      <c r="E408" s="2">
        <f ca="1">IFERROR(__xludf.DUMMYFUNCTION("""COMPUTED_VALUE"""),2395)</f>
        <v>2395</v>
      </c>
      <c r="F408" s="2">
        <f ca="1">IFERROR(__xludf.DUMMYFUNCTION("""COMPUTED_VALUE"""),11732100)</f>
        <v>11732100</v>
      </c>
    </row>
    <row r="409" spans="1:6">
      <c r="A409" s="5">
        <f ca="1">IFERROR(__xludf.DUMMYFUNCTION("""COMPUTED_VALUE"""),42622.625)</f>
        <v>42622.625</v>
      </c>
      <c r="B409" s="2">
        <f ca="1">IFERROR(__xludf.DUMMYFUNCTION("""COMPUTED_VALUE"""),2390)</f>
        <v>2390</v>
      </c>
      <c r="C409" s="2">
        <f ca="1">IFERROR(__xludf.DUMMYFUNCTION("""COMPUTED_VALUE"""),2395)</f>
        <v>2395</v>
      </c>
      <c r="D409" s="2">
        <f ca="1">IFERROR(__xludf.DUMMYFUNCTION("""COMPUTED_VALUE"""),2345)</f>
        <v>2345</v>
      </c>
      <c r="E409" s="2">
        <f ca="1">IFERROR(__xludf.DUMMYFUNCTION("""COMPUTED_VALUE"""),2350)</f>
        <v>2350</v>
      </c>
      <c r="F409" s="2">
        <f ca="1">IFERROR(__xludf.DUMMYFUNCTION("""COMPUTED_VALUE"""),19917900)</f>
        <v>19917900</v>
      </c>
    </row>
    <row r="410" spans="1:6">
      <c r="A410" s="5">
        <f ca="1">IFERROR(__xludf.DUMMYFUNCTION("""COMPUTED_VALUE"""),42626.625)</f>
        <v>42626.625</v>
      </c>
      <c r="B410" s="2">
        <f ca="1">IFERROR(__xludf.DUMMYFUNCTION("""COMPUTED_VALUE"""),2335)</f>
        <v>2335</v>
      </c>
      <c r="C410" s="2">
        <f ca="1">IFERROR(__xludf.DUMMYFUNCTION("""COMPUTED_VALUE"""),2355)</f>
        <v>2355</v>
      </c>
      <c r="D410" s="2">
        <f ca="1">IFERROR(__xludf.DUMMYFUNCTION("""COMPUTED_VALUE"""),2320)</f>
        <v>2320</v>
      </c>
      <c r="E410" s="2">
        <f ca="1">IFERROR(__xludf.DUMMYFUNCTION("""COMPUTED_VALUE"""),2335)</f>
        <v>2335</v>
      </c>
      <c r="F410" s="2">
        <f ca="1">IFERROR(__xludf.DUMMYFUNCTION("""COMPUTED_VALUE"""),21751100)</f>
        <v>21751100</v>
      </c>
    </row>
    <row r="411" spans="1:6">
      <c r="A411" s="5">
        <f ca="1">IFERROR(__xludf.DUMMYFUNCTION("""COMPUTED_VALUE"""),42627.625)</f>
        <v>42627.625</v>
      </c>
      <c r="B411" s="2">
        <f ca="1">IFERROR(__xludf.DUMMYFUNCTION("""COMPUTED_VALUE"""),2315)</f>
        <v>2315</v>
      </c>
      <c r="C411" s="2">
        <f ca="1">IFERROR(__xludf.DUMMYFUNCTION("""COMPUTED_VALUE"""),2345)</f>
        <v>2345</v>
      </c>
      <c r="D411" s="2">
        <f ca="1">IFERROR(__xludf.DUMMYFUNCTION("""COMPUTED_VALUE"""),2300)</f>
        <v>2300</v>
      </c>
      <c r="E411" s="2">
        <f ca="1">IFERROR(__xludf.DUMMYFUNCTION("""COMPUTED_VALUE"""),2340)</f>
        <v>2340</v>
      </c>
      <c r="F411" s="2">
        <f ca="1">IFERROR(__xludf.DUMMYFUNCTION("""COMPUTED_VALUE"""),18295600)</f>
        <v>18295600</v>
      </c>
    </row>
    <row r="412" spans="1:6">
      <c r="A412" s="5">
        <f ca="1">IFERROR(__xludf.DUMMYFUNCTION("""COMPUTED_VALUE"""),42628.625)</f>
        <v>42628.625</v>
      </c>
      <c r="B412" s="2">
        <f ca="1">IFERROR(__xludf.DUMMYFUNCTION("""COMPUTED_VALUE"""),2340)</f>
        <v>2340</v>
      </c>
      <c r="C412" s="2">
        <f ca="1">IFERROR(__xludf.DUMMYFUNCTION("""COMPUTED_VALUE"""),2410)</f>
        <v>2410</v>
      </c>
      <c r="D412" s="2">
        <f ca="1">IFERROR(__xludf.DUMMYFUNCTION("""COMPUTED_VALUE"""),2335)</f>
        <v>2335</v>
      </c>
      <c r="E412" s="2">
        <f ca="1">IFERROR(__xludf.DUMMYFUNCTION("""COMPUTED_VALUE"""),2395)</f>
        <v>2395</v>
      </c>
      <c r="F412" s="2">
        <f ca="1">IFERROR(__xludf.DUMMYFUNCTION("""COMPUTED_VALUE"""),28220400)</f>
        <v>28220400</v>
      </c>
    </row>
    <row r="413" spans="1:6">
      <c r="A413" s="5">
        <f ca="1">IFERROR(__xludf.DUMMYFUNCTION("""COMPUTED_VALUE"""),42629.625)</f>
        <v>42629.625</v>
      </c>
      <c r="B413" s="2">
        <f ca="1">IFERROR(__xludf.DUMMYFUNCTION("""COMPUTED_VALUE"""),2400)</f>
        <v>2400</v>
      </c>
      <c r="C413" s="2">
        <f ca="1">IFERROR(__xludf.DUMMYFUNCTION("""COMPUTED_VALUE"""),2410)</f>
        <v>2410</v>
      </c>
      <c r="D413" s="2">
        <f ca="1">IFERROR(__xludf.DUMMYFUNCTION("""COMPUTED_VALUE"""),2380)</f>
        <v>2380</v>
      </c>
      <c r="E413" s="2">
        <f ca="1">IFERROR(__xludf.DUMMYFUNCTION("""COMPUTED_VALUE"""),2385)</f>
        <v>2385</v>
      </c>
      <c r="F413" s="2">
        <f ca="1">IFERROR(__xludf.DUMMYFUNCTION("""COMPUTED_VALUE"""),27597900)</f>
        <v>27597900</v>
      </c>
    </row>
    <row r="414" spans="1:6">
      <c r="A414" s="5">
        <f ca="1">IFERROR(__xludf.DUMMYFUNCTION("""COMPUTED_VALUE"""),42632.625)</f>
        <v>42632.625</v>
      </c>
      <c r="B414" s="2">
        <f ca="1">IFERROR(__xludf.DUMMYFUNCTION("""COMPUTED_VALUE"""),2400)</f>
        <v>2400</v>
      </c>
      <c r="C414" s="2">
        <f ca="1">IFERROR(__xludf.DUMMYFUNCTION("""COMPUTED_VALUE"""),2415)</f>
        <v>2415</v>
      </c>
      <c r="D414" s="2">
        <f ca="1">IFERROR(__xludf.DUMMYFUNCTION("""COMPUTED_VALUE"""),2370)</f>
        <v>2370</v>
      </c>
      <c r="E414" s="2">
        <f ca="1">IFERROR(__xludf.DUMMYFUNCTION("""COMPUTED_VALUE"""),2370)</f>
        <v>2370</v>
      </c>
      <c r="F414" s="2">
        <f ca="1">IFERROR(__xludf.DUMMYFUNCTION("""COMPUTED_VALUE"""),13655200)</f>
        <v>13655200</v>
      </c>
    </row>
    <row r="415" spans="1:6">
      <c r="A415" s="5">
        <f ca="1">IFERROR(__xludf.DUMMYFUNCTION("""COMPUTED_VALUE"""),42633.625)</f>
        <v>42633.625</v>
      </c>
      <c r="B415" s="2">
        <f ca="1">IFERROR(__xludf.DUMMYFUNCTION("""COMPUTED_VALUE"""),2400)</f>
        <v>2400</v>
      </c>
      <c r="C415" s="2">
        <f ca="1">IFERROR(__xludf.DUMMYFUNCTION("""COMPUTED_VALUE"""),2405)</f>
        <v>2405</v>
      </c>
      <c r="D415" s="2">
        <f ca="1">IFERROR(__xludf.DUMMYFUNCTION("""COMPUTED_VALUE"""),2385)</f>
        <v>2385</v>
      </c>
      <c r="E415" s="2">
        <f ca="1">IFERROR(__xludf.DUMMYFUNCTION("""COMPUTED_VALUE"""),2400)</f>
        <v>2400</v>
      </c>
      <c r="F415" s="2">
        <f ca="1">IFERROR(__xludf.DUMMYFUNCTION("""COMPUTED_VALUE"""),24630700)</f>
        <v>24630700</v>
      </c>
    </row>
    <row r="416" spans="1:6">
      <c r="A416" s="5">
        <f ca="1">IFERROR(__xludf.DUMMYFUNCTION("""COMPUTED_VALUE"""),42634.625)</f>
        <v>42634.625</v>
      </c>
      <c r="B416" s="2">
        <f ca="1">IFERROR(__xludf.DUMMYFUNCTION("""COMPUTED_VALUE"""),2390)</f>
        <v>2390</v>
      </c>
      <c r="C416" s="2">
        <f ca="1">IFERROR(__xludf.DUMMYFUNCTION("""COMPUTED_VALUE"""),2410)</f>
        <v>2410</v>
      </c>
      <c r="D416" s="2">
        <f ca="1">IFERROR(__xludf.DUMMYFUNCTION("""COMPUTED_VALUE"""),2380)</f>
        <v>2380</v>
      </c>
      <c r="E416" s="2">
        <f ca="1">IFERROR(__xludf.DUMMYFUNCTION("""COMPUTED_VALUE"""),2400)</f>
        <v>2400</v>
      </c>
      <c r="F416" s="2">
        <f ca="1">IFERROR(__xludf.DUMMYFUNCTION("""COMPUTED_VALUE"""),31118300)</f>
        <v>31118300</v>
      </c>
    </row>
    <row r="417" spans="1:6">
      <c r="A417" s="5">
        <f ca="1">IFERROR(__xludf.DUMMYFUNCTION("""COMPUTED_VALUE"""),42635.625)</f>
        <v>42635.625</v>
      </c>
      <c r="B417" s="2">
        <f ca="1">IFERROR(__xludf.DUMMYFUNCTION("""COMPUTED_VALUE"""),2420)</f>
        <v>2420</v>
      </c>
      <c r="C417" s="2">
        <f ca="1">IFERROR(__xludf.DUMMYFUNCTION("""COMPUTED_VALUE"""),2440)</f>
        <v>2440</v>
      </c>
      <c r="D417" s="2">
        <f ca="1">IFERROR(__xludf.DUMMYFUNCTION("""COMPUTED_VALUE"""),2410)</f>
        <v>2410</v>
      </c>
      <c r="E417" s="2">
        <f ca="1">IFERROR(__xludf.DUMMYFUNCTION("""COMPUTED_VALUE"""),2415)</f>
        <v>2415</v>
      </c>
      <c r="F417" s="2">
        <f ca="1">IFERROR(__xludf.DUMMYFUNCTION("""COMPUTED_VALUE"""),26920900)</f>
        <v>26920900</v>
      </c>
    </row>
    <row r="418" spans="1:6">
      <c r="A418" s="5">
        <f ca="1">IFERROR(__xludf.DUMMYFUNCTION("""COMPUTED_VALUE"""),42636.625)</f>
        <v>42636.625</v>
      </c>
      <c r="B418" s="2">
        <f ca="1">IFERROR(__xludf.DUMMYFUNCTION("""COMPUTED_VALUE"""),2400)</f>
        <v>2400</v>
      </c>
      <c r="C418" s="2">
        <f ca="1">IFERROR(__xludf.DUMMYFUNCTION("""COMPUTED_VALUE"""),2425)</f>
        <v>2425</v>
      </c>
      <c r="D418" s="2">
        <f ca="1">IFERROR(__xludf.DUMMYFUNCTION("""COMPUTED_VALUE"""),2395)</f>
        <v>2395</v>
      </c>
      <c r="E418" s="2">
        <f ca="1">IFERROR(__xludf.DUMMYFUNCTION("""COMPUTED_VALUE"""),2415)</f>
        <v>2415</v>
      </c>
      <c r="F418" s="2">
        <f ca="1">IFERROR(__xludf.DUMMYFUNCTION("""COMPUTED_VALUE"""),22258800)</f>
        <v>22258800</v>
      </c>
    </row>
    <row r="419" spans="1:6">
      <c r="A419" s="5">
        <f ca="1">IFERROR(__xludf.DUMMYFUNCTION("""COMPUTED_VALUE"""),42639.625)</f>
        <v>42639.625</v>
      </c>
      <c r="B419" s="2">
        <f ca="1">IFERROR(__xludf.DUMMYFUNCTION("""COMPUTED_VALUE"""),2410)</f>
        <v>2410</v>
      </c>
      <c r="C419" s="2">
        <f ca="1">IFERROR(__xludf.DUMMYFUNCTION("""COMPUTED_VALUE"""),2425)</f>
        <v>2425</v>
      </c>
      <c r="D419" s="2">
        <f ca="1">IFERROR(__xludf.DUMMYFUNCTION("""COMPUTED_VALUE"""),2405)</f>
        <v>2405</v>
      </c>
      <c r="E419" s="2">
        <f ca="1">IFERROR(__xludf.DUMMYFUNCTION("""COMPUTED_VALUE"""),2405)</f>
        <v>2405</v>
      </c>
      <c r="F419" s="2">
        <f ca="1">IFERROR(__xludf.DUMMYFUNCTION("""COMPUTED_VALUE"""),14435900)</f>
        <v>14435900</v>
      </c>
    </row>
    <row r="420" spans="1:6">
      <c r="A420" s="5">
        <f ca="1">IFERROR(__xludf.DUMMYFUNCTION("""COMPUTED_VALUE"""),42640.625)</f>
        <v>42640.625</v>
      </c>
      <c r="B420" s="2">
        <f ca="1">IFERROR(__xludf.DUMMYFUNCTION("""COMPUTED_VALUE"""),2375)</f>
        <v>2375</v>
      </c>
      <c r="C420" s="2">
        <f ca="1">IFERROR(__xludf.DUMMYFUNCTION("""COMPUTED_VALUE"""),2430)</f>
        <v>2430</v>
      </c>
      <c r="D420" s="2">
        <f ca="1">IFERROR(__xludf.DUMMYFUNCTION("""COMPUTED_VALUE"""),2355)</f>
        <v>2355</v>
      </c>
      <c r="E420" s="2">
        <f ca="1">IFERROR(__xludf.DUMMYFUNCTION("""COMPUTED_VALUE"""),2420)</f>
        <v>2420</v>
      </c>
      <c r="F420" s="2">
        <f ca="1">IFERROR(__xludf.DUMMYFUNCTION("""COMPUTED_VALUE"""),24057900)</f>
        <v>24057900</v>
      </c>
    </row>
    <row r="421" spans="1:6">
      <c r="A421" s="5">
        <f ca="1">IFERROR(__xludf.DUMMYFUNCTION("""COMPUTED_VALUE"""),42641.625)</f>
        <v>42641.625</v>
      </c>
      <c r="B421" s="2">
        <f ca="1">IFERROR(__xludf.DUMMYFUNCTION("""COMPUTED_VALUE"""),2420)</f>
        <v>2420</v>
      </c>
      <c r="C421" s="2">
        <f ca="1">IFERROR(__xludf.DUMMYFUNCTION("""COMPUTED_VALUE"""),2435)</f>
        <v>2435</v>
      </c>
      <c r="D421" s="2">
        <f ca="1">IFERROR(__xludf.DUMMYFUNCTION("""COMPUTED_VALUE"""),2410)</f>
        <v>2410</v>
      </c>
      <c r="E421" s="2">
        <f ca="1">IFERROR(__xludf.DUMMYFUNCTION("""COMPUTED_VALUE"""),2420)</f>
        <v>2420</v>
      </c>
      <c r="F421" s="2">
        <f ca="1">IFERROR(__xludf.DUMMYFUNCTION("""COMPUTED_VALUE"""),41531900)</f>
        <v>41531900</v>
      </c>
    </row>
    <row r="422" spans="1:6">
      <c r="A422" s="5">
        <f ca="1">IFERROR(__xludf.DUMMYFUNCTION("""COMPUTED_VALUE"""),42642.625)</f>
        <v>42642.625</v>
      </c>
      <c r="B422" s="2">
        <f ca="1">IFERROR(__xludf.DUMMYFUNCTION("""COMPUTED_VALUE"""),2440)</f>
        <v>2440</v>
      </c>
      <c r="C422" s="2">
        <f ca="1">IFERROR(__xludf.DUMMYFUNCTION("""COMPUTED_VALUE"""),2450)</f>
        <v>2450</v>
      </c>
      <c r="D422" s="2">
        <f ca="1">IFERROR(__xludf.DUMMYFUNCTION("""COMPUTED_VALUE"""),2425)</f>
        <v>2425</v>
      </c>
      <c r="E422" s="2">
        <f ca="1">IFERROR(__xludf.DUMMYFUNCTION("""COMPUTED_VALUE"""),2445)</f>
        <v>2445</v>
      </c>
      <c r="F422" s="2">
        <f ca="1">IFERROR(__xludf.DUMMYFUNCTION("""COMPUTED_VALUE"""),25947500)</f>
        <v>25947500</v>
      </c>
    </row>
    <row r="423" spans="1:6">
      <c r="A423" s="5">
        <f ca="1">IFERROR(__xludf.DUMMYFUNCTION("""COMPUTED_VALUE"""),42643.625)</f>
        <v>42643.625</v>
      </c>
      <c r="B423" s="2">
        <f ca="1">IFERROR(__xludf.DUMMYFUNCTION("""COMPUTED_VALUE"""),2420)</f>
        <v>2420</v>
      </c>
      <c r="C423" s="2">
        <f ca="1">IFERROR(__xludf.DUMMYFUNCTION("""COMPUTED_VALUE"""),2450)</f>
        <v>2450</v>
      </c>
      <c r="D423" s="2">
        <f ca="1">IFERROR(__xludf.DUMMYFUNCTION("""COMPUTED_VALUE"""),2415)</f>
        <v>2415</v>
      </c>
      <c r="E423" s="2">
        <f ca="1">IFERROR(__xludf.DUMMYFUNCTION("""COMPUTED_VALUE"""),2440)</f>
        <v>2440</v>
      </c>
      <c r="F423" s="2">
        <f ca="1">IFERROR(__xludf.DUMMYFUNCTION("""COMPUTED_VALUE"""),22375700)</f>
        <v>22375700</v>
      </c>
    </row>
    <row r="424" spans="1:6">
      <c r="A424" s="5">
        <f ca="1">IFERROR(__xludf.DUMMYFUNCTION("""COMPUTED_VALUE"""),42646.625)</f>
        <v>42646.625</v>
      </c>
      <c r="B424" s="2">
        <f ca="1">IFERROR(__xludf.DUMMYFUNCTION("""COMPUTED_VALUE"""),2440)</f>
        <v>2440</v>
      </c>
      <c r="C424" s="2">
        <f ca="1">IFERROR(__xludf.DUMMYFUNCTION("""COMPUTED_VALUE"""),2465)</f>
        <v>2465</v>
      </c>
      <c r="D424" s="2">
        <f ca="1">IFERROR(__xludf.DUMMYFUNCTION("""COMPUTED_VALUE"""),2440)</f>
        <v>2440</v>
      </c>
      <c r="E424" s="2">
        <f ca="1">IFERROR(__xludf.DUMMYFUNCTION("""COMPUTED_VALUE"""),2455)</f>
        <v>2455</v>
      </c>
      <c r="F424" s="2">
        <f ca="1">IFERROR(__xludf.DUMMYFUNCTION("""COMPUTED_VALUE"""),27899600)</f>
        <v>27899600</v>
      </c>
    </row>
    <row r="425" spans="1:6">
      <c r="A425" s="5">
        <f ca="1">IFERROR(__xludf.DUMMYFUNCTION("""COMPUTED_VALUE"""),42647.625)</f>
        <v>42647.625</v>
      </c>
      <c r="B425" s="2">
        <f ca="1">IFERROR(__xludf.DUMMYFUNCTION("""COMPUTED_VALUE"""),2455)</f>
        <v>2455</v>
      </c>
      <c r="C425" s="2">
        <f ca="1">IFERROR(__xludf.DUMMYFUNCTION("""COMPUTED_VALUE"""),2465)</f>
        <v>2465</v>
      </c>
      <c r="D425" s="2">
        <f ca="1">IFERROR(__xludf.DUMMYFUNCTION("""COMPUTED_VALUE"""),2430)</f>
        <v>2430</v>
      </c>
      <c r="E425" s="2">
        <f ca="1">IFERROR(__xludf.DUMMYFUNCTION("""COMPUTED_VALUE"""),2455)</f>
        <v>2455</v>
      </c>
      <c r="F425" s="2">
        <f ca="1">IFERROR(__xludf.DUMMYFUNCTION("""COMPUTED_VALUE"""),13652700)</f>
        <v>13652700</v>
      </c>
    </row>
    <row r="426" spans="1:6">
      <c r="A426" s="5">
        <f ca="1">IFERROR(__xludf.DUMMYFUNCTION("""COMPUTED_VALUE"""),42648.625)</f>
        <v>42648.625</v>
      </c>
      <c r="B426" s="2">
        <f ca="1">IFERROR(__xludf.DUMMYFUNCTION("""COMPUTED_VALUE"""),2465)</f>
        <v>2465</v>
      </c>
      <c r="C426" s="2">
        <f ca="1">IFERROR(__xludf.DUMMYFUNCTION("""COMPUTED_VALUE"""),2465)</f>
        <v>2465</v>
      </c>
      <c r="D426" s="2">
        <f ca="1">IFERROR(__xludf.DUMMYFUNCTION("""COMPUTED_VALUE"""),2445)</f>
        <v>2445</v>
      </c>
      <c r="E426" s="2">
        <f ca="1">IFERROR(__xludf.DUMMYFUNCTION("""COMPUTED_VALUE"""),2460)</f>
        <v>2460</v>
      </c>
      <c r="F426" s="2">
        <f ca="1">IFERROR(__xludf.DUMMYFUNCTION("""COMPUTED_VALUE"""),27455200)</f>
        <v>27455200</v>
      </c>
    </row>
    <row r="427" spans="1:6">
      <c r="A427" s="5">
        <f ca="1">IFERROR(__xludf.DUMMYFUNCTION("""COMPUTED_VALUE"""),42649.625)</f>
        <v>42649.625</v>
      </c>
      <c r="B427" s="2">
        <f ca="1">IFERROR(__xludf.DUMMYFUNCTION("""COMPUTED_VALUE"""),2460)</f>
        <v>2460</v>
      </c>
      <c r="C427" s="2">
        <f ca="1">IFERROR(__xludf.DUMMYFUNCTION("""COMPUTED_VALUE"""),2480)</f>
        <v>2480</v>
      </c>
      <c r="D427" s="2">
        <f ca="1">IFERROR(__xludf.DUMMYFUNCTION("""COMPUTED_VALUE"""),2455)</f>
        <v>2455</v>
      </c>
      <c r="E427" s="2">
        <f ca="1">IFERROR(__xludf.DUMMYFUNCTION("""COMPUTED_VALUE"""),2480)</f>
        <v>2480</v>
      </c>
      <c r="F427" s="2">
        <f ca="1">IFERROR(__xludf.DUMMYFUNCTION("""COMPUTED_VALUE"""),20926500)</f>
        <v>20926500</v>
      </c>
    </row>
    <row r="428" spans="1:6">
      <c r="A428" s="5">
        <f ca="1">IFERROR(__xludf.DUMMYFUNCTION("""COMPUTED_VALUE"""),42650.625)</f>
        <v>42650.625</v>
      </c>
      <c r="B428" s="2">
        <f ca="1">IFERROR(__xludf.DUMMYFUNCTION("""COMPUTED_VALUE"""),2480)</f>
        <v>2480</v>
      </c>
      <c r="C428" s="2">
        <f ca="1">IFERROR(__xludf.DUMMYFUNCTION("""COMPUTED_VALUE"""),2480)</f>
        <v>2480</v>
      </c>
      <c r="D428" s="2">
        <f ca="1">IFERROR(__xludf.DUMMYFUNCTION("""COMPUTED_VALUE"""),2390)</f>
        <v>2390</v>
      </c>
      <c r="E428" s="2">
        <f ca="1">IFERROR(__xludf.DUMMYFUNCTION("""COMPUTED_VALUE"""),2395)</f>
        <v>2395</v>
      </c>
      <c r="F428" s="2">
        <f ca="1">IFERROR(__xludf.DUMMYFUNCTION("""COMPUTED_VALUE"""),25879400)</f>
        <v>25879400</v>
      </c>
    </row>
    <row r="429" spans="1:6">
      <c r="A429" s="5">
        <f ca="1">IFERROR(__xludf.DUMMYFUNCTION("""COMPUTED_VALUE"""),42653.625)</f>
        <v>42653.625</v>
      </c>
      <c r="B429" s="2">
        <f ca="1">IFERROR(__xludf.DUMMYFUNCTION("""COMPUTED_VALUE"""),2380)</f>
        <v>2380</v>
      </c>
      <c r="C429" s="2">
        <f ca="1">IFERROR(__xludf.DUMMYFUNCTION("""COMPUTED_VALUE"""),2405)</f>
        <v>2405</v>
      </c>
      <c r="D429" s="2">
        <f ca="1">IFERROR(__xludf.DUMMYFUNCTION("""COMPUTED_VALUE"""),2365)</f>
        <v>2365</v>
      </c>
      <c r="E429" s="2">
        <f ca="1">IFERROR(__xludf.DUMMYFUNCTION("""COMPUTED_VALUE"""),2370)</f>
        <v>2370</v>
      </c>
      <c r="F429" s="2">
        <f ca="1">IFERROR(__xludf.DUMMYFUNCTION("""COMPUTED_VALUE"""),12134100)</f>
        <v>12134100</v>
      </c>
    </row>
    <row r="430" spans="1:6">
      <c r="A430" s="5">
        <f ca="1">IFERROR(__xludf.DUMMYFUNCTION("""COMPUTED_VALUE"""),42654.625)</f>
        <v>42654.625</v>
      </c>
      <c r="B430" s="2">
        <f ca="1">IFERROR(__xludf.DUMMYFUNCTION("""COMPUTED_VALUE"""),2380)</f>
        <v>2380</v>
      </c>
      <c r="C430" s="2">
        <f ca="1">IFERROR(__xludf.DUMMYFUNCTION("""COMPUTED_VALUE"""),2400)</f>
        <v>2400</v>
      </c>
      <c r="D430" s="2">
        <f ca="1">IFERROR(__xludf.DUMMYFUNCTION("""COMPUTED_VALUE"""),2380)</f>
        <v>2380</v>
      </c>
      <c r="E430" s="2">
        <f ca="1">IFERROR(__xludf.DUMMYFUNCTION("""COMPUTED_VALUE"""),2390)</f>
        <v>2390</v>
      </c>
      <c r="F430" s="2">
        <f ca="1">IFERROR(__xludf.DUMMYFUNCTION("""COMPUTED_VALUE"""),31740800)</f>
        <v>31740800</v>
      </c>
    </row>
    <row r="431" spans="1:6">
      <c r="A431" s="5">
        <f ca="1">IFERROR(__xludf.DUMMYFUNCTION("""COMPUTED_VALUE"""),42655.625)</f>
        <v>42655.625</v>
      </c>
      <c r="B431" s="2">
        <f ca="1">IFERROR(__xludf.DUMMYFUNCTION("""COMPUTED_VALUE"""),2385)</f>
        <v>2385</v>
      </c>
      <c r="C431" s="2">
        <f ca="1">IFERROR(__xludf.DUMMYFUNCTION("""COMPUTED_VALUE"""),2425)</f>
        <v>2425</v>
      </c>
      <c r="D431" s="2">
        <f ca="1">IFERROR(__xludf.DUMMYFUNCTION("""COMPUTED_VALUE"""),2365)</f>
        <v>2365</v>
      </c>
      <c r="E431" s="2">
        <f ca="1">IFERROR(__xludf.DUMMYFUNCTION("""COMPUTED_VALUE"""),2400)</f>
        <v>2400</v>
      </c>
      <c r="F431" s="2">
        <f ca="1">IFERROR(__xludf.DUMMYFUNCTION("""COMPUTED_VALUE"""),12757900)</f>
        <v>12757900</v>
      </c>
    </row>
    <row r="432" spans="1:6">
      <c r="A432" s="5">
        <f ca="1">IFERROR(__xludf.DUMMYFUNCTION("""COMPUTED_VALUE"""),42656.625)</f>
        <v>42656.625</v>
      </c>
      <c r="B432" s="2">
        <f ca="1">IFERROR(__xludf.DUMMYFUNCTION("""COMPUTED_VALUE"""),2410)</f>
        <v>2410</v>
      </c>
      <c r="C432" s="2">
        <f ca="1">IFERROR(__xludf.DUMMYFUNCTION("""COMPUTED_VALUE"""),2430)</f>
        <v>2430</v>
      </c>
      <c r="D432" s="2">
        <f ca="1">IFERROR(__xludf.DUMMYFUNCTION("""COMPUTED_VALUE"""),2370)</f>
        <v>2370</v>
      </c>
      <c r="E432" s="2">
        <f ca="1">IFERROR(__xludf.DUMMYFUNCTION("""COMPUTED_VALUE"""),2395)</f>
        <v>2395</v>
      </c>
      <c r="F432" s="2">
        <f ca="1">IFERROR(__xludf.DUMMYFUNCTION("""COMPUTED_VALUE"""),17981400)</f>
        <v>17981400</v>
      </c>
    </row>
    <row r="433" spans="1:6">
      <c r="A433" s="5">
        <f ca="1">IFERROR(__xludf.DUMMYFUNCTION("""COMPUTED_VALUE"""),42657.625)</f>
        <v>42657.625</v>
      </c>
      <c r="B433" s="2">
        <f ca="1">IFERROR(__xludf.DUMMYFUNCTION("""COMPUTED_VALUE"""),2380)</f>
        <v>2380</v>
      </c>
      <c r="C433" s="2">
        <f ca="1">IFERROR(__xludf.DUMMYFUNCTION("""COMPUTED_VALUE"""),2465)</f>
        <v>2465</v>
      </c>
      <c r="D433" s="2">
        <f ca="1">IFERROR(__xludf.DUMMYFUNCTION("""COMPUTED_VALUE"""),2370)</f>
        <v>2370</v>
      </c>
      <c r="E433" s="2">
        <f ca="1">IFERROR(__xludf.DUMMYFUNCTION("""COMPUTED_VALUE"""),2445)</f>
        <v>2445</v>
      </c>
      <c r="F433" s="2">
        <f ca="1">IFERROR(__xludf.DUMMYFUNCTION("""COMPUTED_VALUE"""),17618400)</f>
        <v>17618400</v>
      </c>
    </row>
    <row r="434" spans="1:6">
      <c r="A434" s="5">
        <f ca="1">IFERROR(__xludf.DUMMYFUNCTION("""COMPUTED_VALUE"""),42660.625)</f>
        <v>42660.625</v>
      </c>
      <c r="B434" s="2">
        <f ca="1">IFERROR(__xludf.DUMMYFUNCTION("""COMPUTED_VALUE"""),2430)</f>
        <v>2430</v>
      </c>
      <c r="C434" s="2">
        <f ca="1">IFERROR(__xludf.DUMMYFUNCTION("""COMPUTED_VALUE"""),2455)</f>
        <v>2455</v>
      </c>
      <c r="D434" s="2">
        <f ca="1">IFERROR(__xludf.DUMMYFUNCTION("""COMPUTED_VALUE"""),2430)</f>
        <v>2430</v>
      </c>
      <c r="E434" s="2">
        <f ca="1">IFERROR(__xludf.DUMMYFUNCTION("""COMPUTED_VALUE"""),2430)</f>
        <v>2430</v>
      </c>
      <c r="F434" s="2">
        <f ca="1">IFERROR(__xludf.DUMMYFUNCTION("""COMPUTED_VALUE"""),20157200)</f>
        <v>20157200</v>
      </c>
    </row>
    <row r="435" spans="1:6">
      <c r="A435" s="5">
        <f ca="1">IFERROR(__xludf.DUMMYFUNCTION("""COMPUTED_VALUE"""),42661.625)</f>
        <v>42661.625</v>
      </c>
      <c r="B435" s="2">
        <f ca="1">IFERROR(__xludf.DUMMYFUNCTION("""COMPUTED_VALUE"""),2455)</f>
        <v>2455</v>
      </c>
      <c r="C435" s="2">
        <f ca="1">IFERROR(__xludf.DUMMYFUNCTION("""COMPUTED_VALUE"""),2455)</f>
        <v>2455</v>
      </c>
      <c r="D435" s="2">
        <f ca="1">IFERROR(__xludf.DUMMYFUNCTION("""COMPUTED_VALUE"""),2430)</f>
        <v>2430</v>
      </c>
      <c r="E435" s="2">
        <f ca="1">IFERROR(__xludf.DUMMYFUNCTION("""COMPUTED_VALUE"""),2440)</f>
        <v>2440</v>
      </c>
      <c r="F435" s="2">
        <f ca="1">IFERROR(__xludf.DUMMYFUNCTION("""COMPUTED_VALUE"""),13763200)</f>
        <v>13763200</v>
      </c>
    </row>
    <row r="436" spans="1:6">
      <c r="A436" s="5">
        <f ca="1">IFERROR(__xludf.DUMMYFUNCTION("""COMPUTED_VALUE"""),42662.625)</f>
        <v>42662.625</v>
      </c>
      <c r="B436" s="2">
        <f ca="1">IFERROR(__xludf.DUMMYFUNCTION("""COMPUTED_VALUE"""),2455)</f>
        <v>2455</v>
      </c>
      <c r="C436" s="2">
        <f ca="1">IFERROR(__xludf.DUMMYFUNCTION("""COMPUTED_VALUE"""),2455)</f>
        <v>2455</v>
      </c>
      <c r="D436" s="2">
        <f ca="1">IFERROR(__xludf.DUMMYFUNCTION("""COMPUTED_VALUE"""),2420)</f>
        <v>2420</v>
      </c>
      <c r="E436" s="2">
        <f ca="1">IFERROR(__xludf.DUMMYFUNCTION("""COMPUTED_VALUE"""),2430)</f>
        <v>2430</v>
      </c>
      <c r="F436" s="2">
        <f ca="1">IFERROR(__xludf.DUMMYFUNCTION("""COMPUTED_VALUE"""),7490800)</f>
        <v>7490800</v>
      </c>
    </row>
    <row r="437" spans="1:6">
      <c r="A437" s="5">
        <f ca="1">IFERROR(__xludf.DUMMYFUNCTION("""COMPUTED_VALUE"""),42663.625)</f>
        <v>42663.625</v>
      </c>
      <c r="B437" s="2">
        <f ca="1">IFERROR(__xludf.DUMMYFUNCTION("""COMPUTED_VALUE"""),2415)</f>
        <v>2415</v>
      </c>
      <c r="C437" s="2">
        <f ca="1">IFERROR(__xludf.DUMMYFUNCTION("""COMPUTED_VALUE"""),2440)</f>
        <v>2440</v>
      </c>
      <c r="D437" s="2">
        <f ca="1">IFERROR(__xludf.DUMMYFUNCTION("""COMPUTED_VALUE"""),2415)</f>
        <v>2415</v>
      </c>
      <c r="E437" s="2">
        <f ca="1">IFERROR(__xludf.DUMMYFUNCTION("""COMPUTED_VALUE"""),2425)</f>
        <v>2425</v>
      </c>
      <c r="F437" s="2">
        <f ca="1">IFERROR(__xludf.DUMMYFUNCTION("""COMPUTED_VALUE"""),12196100)</f>
        <v>12196100</v>
      </c>
    </row>
    <row r="438" spans="1:6">
      <c r="A438" s="5">
        <f ca="1">IFERROR(__xludf.DUMMYFUNCTION("""COMPUTED_VALUE"""),42664.625)</f>
        <v>42664.625</v>
      </c>
      <c r="B438" s="2">
        <f ca="1">IFERROR(__xludf.DUMMYFUNCTION("""COMPUTED_VALUE"""),2435)</f>
        <v>2435</v>
      </c>
      <c r="C438" s="2">
        <f ca="1">IFERROR(__xludf.DUMMYFUNCTION("""COMPUTED_VALUE"""),2445)</f>
        <v>2445</v>
      </c>
      <c r="D438" s="2">
        <f ca="1">IFERROR(__xludf.DUMMYFUNCTION("""COMPUTED_VALUE"""),2425)</f>
        <v>2425</v>
      </c>
      <c r="E438" s="2">
        <f ca="1">IFERROR(__xludf.DUMMYFUNCTION("""COMPUTED_VALUE"""),2445)</f>
        <v>2445</v>
      </c>
      <c r="F438" s="2">
        <f ca="1">IFERROR(__xludf.DUMMYFUNCTION("""COMPUTED_VALUE"""),8841700)</f>
        <v>8841700</v>
      </c>
    </row>
    <row r="439" spans="1:6">
      <c r="A439" s="5">
        <f ca="1">IFERROR(__xludf.DUMMYFUNCTION("""COMPUTED_VALUE"""),42667.625)</f>
        <v>42667.625</v>
      </c>
      <c r="B439" s="2">
        <f ca="1">IFERROR(__xludf.DUMMYFUNCTION("""COMPUTED_VALUE"""),2445)</f>
        <v>2445</v>
      </c>
      <c r="C439" s="2">
        <f ca="1">IFERROR(__xludf.DUMMYFUNCTION("""COMPUTED_VALUE"""),2455)</f>
        <v>2455</v>
      </c>
      <c r="D439" s="2">
        <f ca="1">IFERROR(__xludf.DUMMYFUNCTION("""COMPUTED_VALUE"""),2430)</f>
        <v>2430</v>
      </c>
      <c r="E439" s="2">
        <f ca="1">IFERROR(__xludf.DUMMYFUNCTION("""COMPUTED_VALUE"""),2440)</f>
        <v>2440</v>
      </c>
      <c r="F439" s="2">
        <f ca="1">IFERROR(__xludf.DUMMYFUNCTION("""COMPUTED_VALUE"""),10070300)</f>
        <v>10070300</v>
      </c>
    </row>
    <row r="440" spans="1:6">
      <c r="A440" s="5">
        <f ca="1">IFERROR(__xludf.DUMMYFUNCTION("""COMPUTED_VALUE"""),42668.625)</f>
        <v>42668.625</v>
      </c>
      <c r="B440" s="2">
        <f ca="1">IFERROR(__xludf.DUMMYFUNCTION("""COMPUTED_VALUE"""),2460)</f>
        <v>2460</v>
      </c>
      <c r="C440" s="2">
        <f ca="1">IFERROR(__xludf.DUMMYFUNCTION("""COMPUTED_VALUE"""),2460)</f>
        <v>2460</v>
      </c>
      <c r="D440" s="2">
        <f ca="1">IFERROR(__xludf.DUMMYFUNCTION("""COMPUTED_VALUE"""),2430)</f>
        <v>2430</v>
      </c>
      <c r="E440" s="2">
        <f ca="1">IFERROR(__xludf.DUMMYFUNCTION("""COMPUTED_VALUE"""),2430)</f>
        <v>2430</v>
      </c>
      <c r="F440" s="2">
        <f ca="1">IFERROR(__xludf.DUMMYFUNCTION("""COMPUTED_VALUE"""),11090600)</f>
        <v>11090600</v>
      </c>
    </row>
    <row r="441" spans="1:6">
      <c r="A441" s="5">
        <f ca="1">IFERROR(__xludf.DUMMYFUNCTION("""COMPUTED_VALUE"""),42669.625)</f>
        <v>42669.625</v>
      </c>
      <c r="B441" s="2">
        <f ca="1">IFERROR(__xludf.DUMMYFUNCTION("""COMPUTED_VALUE"""),2400)</f>
        <v>2400</v>
      </c>
      <c r="C441" s="2">
        <f ca="1">IFERROR(__xludf.DUMMYFUNCTION("""COMPUTED_VALUE"""),2445)</f>
        <v>2445</v>
      </c>
      <c r="D441" s="2">
        <f ca="1">IFERROR(__xludf.DUMMYFUNCTION("""COMPUTED_VALUE"""),2400)</f>
        <v>2400</v>
      </c>
      <c r="E441" s="2">
        <f ca="1">IFERROR(__xludf.DUMMYFUNCTION("""COMPUTED_VALUE"""),2415)</f>
        <v>2415</v>
      </c>
      <c r="F441" s="2">
        <f ca="1">IFERROR(__xludf.DUMMYFUNCTION("""COMPUTED_VALUE"""),22725500)</f>
        <v>22725500</v>
      </c>
    </row>
    <row r="442" spans="1:6">
      <c r="A442" s="5">
        <f ca="1">IFERROR(__xludf.DUMMYFUNCTION("""COMPUTED_VALUE"""),42670.625)</f>
        <v>42670.625</v>
      </c>
      <c r="B442" s="2">
        <f ca="1">IFERROR(__xludf.DUMMYFUNCTION("""COMPUTED_VALUE"""),2415)</f>
        <v>2415</v>
      </c>
      <c r="C442" s="2">
        <f ca="1">IFERROR(__xludf.DUMMYFUNCTION("""COMPUTED_VALUE"""),2440)</f>
        <v>2440</v>
      </c>
      <c r="D442" s="2">
        <f ca="1">IFERROR(__xludf.DUMMYFUNCTION("""COMPUTED_VALUE"""),2405)</f>
        <v>2405</v>
      </c>
      <c r="E442" s="2">
        <f ca="1">IFERROR(__xludf.DUMMYFUNCTION("""COMPUTED_VALUE"""),2440)</f>
        <v>2440</v>
      </c>
      <c r="F442" s="2">
        <f ca="1">IFERROR(__xludf.DUMMYFUNCTION("""COMPUTED_VALUE"""),14136200)</f>
        <v>14136200</v>
      </c>
    </row>
    <row r="443" spans="1:6">
      <c r="A443" s="5">
        <f ca="1">IFERROR(__xludf.DUMMYFUNCTION("""COMPUTED_VALUE"""),42671.625)</f>
        <v>42671.625</v>
      </c>
      <c r="B443" s="2">
        <f ca="1">IFERROR(__xludf.DUMMYFUNCTION("""COMPUTED_VALUE"""),2400)</f>
        <v>2400</v>
      </c>
      <c r="C443" s="2">
        <f ca="1">IFERROR(__xludf.DUMMYFUNCTION("""COMPUTED_VALUE"""),2450)</f>
        <v>2450</v>
      </c>
      <c r="D443" s="2">
        <f ca="1">IFERROR(__xludf.DUMMYFUNCTION("""COMPUTED_VALUE"""),2400)</f>
        <v>2400</v>
      </c>
      <c r="E443" s="2">
        <f ca="1">IFERROR(__xludf.DUMMYFUNCTION("""COMPUTED_VALUE"""),2440)</f>
        <v>2440</v>
      </c>
      <c r="F443" s="2">
        <f ca="1">IFERROR(__xludf.DUMMYFUNCTION("""COMPUTED_VALUE"""),13441300)</f>
        <v>13441300</v>
      </c>
    </row>
    <row r="444" spans="1:6">
      <c r="A444" s="5">
        <f ca="1">IFERROR(__xludf.DUMMYFUNCTION("""COMPUTED_VALUE"""),42674.625)</f>
        <v>42674.625</v>
      </c>
      <c r="B444" s="2">
        <f ca="1">IFERROR(__xludf.DUMMYFUNCTION("""COMPUTED_VALUE"""),2460)</f>
        <v>2460</v>
      </c>
      <c r="C444" s="2">
        <f ca="1">IFERROR(__xludf.DUMMYFUNCTION("""COMPUTED_VALUE"""),2460)</f>
        <v>2460</v>
      </c>
      <c r="D444" s="2">
        <f ca="1">IFERROR(__xludf.DUMMYFUNCTION("""COMPUTED_VALUE"""),2415)</f>
        <v>2415</v>
      </c>
      <c r="E444" s="2">
        <f ca="1">IFERROR(__xludf.DUMMYFUNCTION("""COMPUTED_VALUE"""),2440)</f>
        <v>2440</v>
      </c>
      <c r="F444" s="2">
        <f ca="1">IFERROR(__xludf.DUMMYFUNCTION("""COMPUTED_VALUE"""),19327200)</f>
        <v>19327200</v>
      </c>
    </row>
    <row r="445" spans="1:6">
      <c r="A445" s="5">
        <f ca="1">IFERROR(__xludf.DUMMYFUNCTION("""COMPUTED_VALUE"""),42675.625)</f>
        <v>42675.625</v>
      </c>
      <c r="B445" s="2">
        <f ca="1">IFERROR(__xludf.DUMMYFUNCTION("""COMPUTED_VALUE"""),2450)</f>
        <v>2450</v>
      </c>
      <c r="C445" s="2">
        <f ca="1">IFERROR(__xludf.DUMMYFUNCTION("""COMPUTED_VALUE"""),2460)</f>
        <v>2460</v>
      </c>
      <c r="D445" s="2">
        <f ca="1">IFERROR(__xludf.DUMMYFUNCTION("""COMPUTED_VALUE"""),2440)</f>
        <v>2440</v>
      </c>
      <c r="E445" s="2">
        <f ca="1">IFERROR(__xludf.DUMMYFUNCTION("""COMPUTED_VALUE"""),2445)</f>
        <v>2445</v>
      </c>
      <c r="F445" s="2">
        <f ca="1">IFERROR(__xludf.DUMMYFUNCTION("""COMPUTED_VALUE"""),14152800)</f>
        <v>14152800</v>
      </c>
    </row>
    <row r="446" spans="1:6">
      <c r="A446" s="5">
        <f ca="1">IFERROR(__xludf.DUMMYFUNCTION("""COMPUTED_VALUE"""),42676.625)</f>
        <v>42676.625</v>
      </c>
      <c r="B446" s="2">
        <f ca="1">IFERROR(__xludf.DUMMYFUNCTION("""COMPUTED_VALUE"""),2445)</f>
        <v>2445</v>
      </c>
      <c r="C446" s="2">
        <f ca="1">IFERROR(__xludf.DUMMYFUNCTION("""COMPUTED_VALUE"""),2490)</f>
        <v>2490</v>
      </c>
      <c r="D446" s="2">
        <f ca="1">IFERROR(__xludf.DUMMYFUNCTION("""COMPUTED_VALUE"""),2435)</f>
        <v>2435</v>
      </c>
      <c r="E446" s="2">
        <f ca="1">IFERROR(__xludf.DUMMYFUNCTION("""COMPUTED_VALUE"""),2480)</f>
        <v>2480</v>
      </c>
      <c r="F446" s="2">
        <f ca="1">IFERROR(__xludf.DUMMYFUNCTION("""COMPUTED_VALUE"""),19590800)</f>
        <v>19590800</v>
      </c>
    </row>
    <row r="447" spans="1:6">
      <c r="A447" s="5">
        <f ca="1">IFERROR(__xludf.DUMMYFUNCTION("""COMPUTED_VALUE"""),42677.625)</f>
        <v>42677.625</v>
      </c>
      <c r="B447" s="2">
        <f ca="1">IFERROR(__xludf.DUMMYFUNCTION("""COMPUTED_VALUE"""),2480)</f>
        <v>2480</v>
      </c>
      <c r="C447" s="2">
        <f ca="1">IFERROR(__xludf.DUMMYFUNCTION("""COMPUTED_VALUE"""),2480)</f>
        <v>2480</v>
      </c>
      <c r="D447" s="2">
        <f ca="1">IFERROR(__xludf.DUMMYFUNCTION("""COMPUTED_VALUE"""),2450)</f>
        <v>2450</v>
      </c>
      <c r="E447" s="2">
        <f ca="1">IFERROR(__xludf.DUMMYFUNCTION("""COMPUTED_VALUE"""),2465)</f>
        <v>2465</v>
      </c>
      <c r="F447" s="2">
        <f ca="1">IFERROR(__xludf.DUMMYFUNCTION("""COMPUTED_VALUE"""),14408700)</f>
        <v>14408700</v>
      </c>
    </row>
    <row r="448" spans="1:6">
      <c r="A448" s="5">
        <f ca="1">IFERROR(__xludf.DUMMYFUNCTION("""COMPUTED_VALUE"""),42678.625)</f>
        <v>42678.625</v>
      </c>
      <c r="B448" s="2">
        <f ca="1">IFERROR(__xludf.DUMMYFUNCTION("""COMPUTED_VALUE"""),2440)</f>
        <v>2440</v>
      </c>
      <c r="C448" s="2">
        <f ca="1">IFERROR(__xludf.DUMMYFUNCTION("""COMPUTED_VALUE"""),2480)</f>
        <v>2480</v>
      </c>
      <c r="D448" s="2">
        <f ca="1">IFERROR(__xludf.DUMMYFUNCTION("""COMPUTED_VALUE"""),2430)</f>
        <v>2430</v>
      </c>
      <c r="E448" s="2">
        <f ca="1">IFERROR(__xludf.DUMMYFUNCTION("""COMPUTED_VALUE"""),2480)</f>
        <v>2480</v>
      </c>
      <c r="F448" s="2">
        <f ca="1">IFERROR(__xludf.DUMMYFUNCTION("""COMPUTED_VALUE"""),9572800)</f>
        <v>9572800</v>
      </c>
    </row>
    <row r="449" spans="1:6">
      <c r="A449" s="5">
        <f ca="1">IFERROR(__xludf.DUMMYFUNCTION("""COMPUTED_VALUE"""),42681.625)</f>
        <v>42681.625</v>
      </c>
      <c r="B449" s="2">
        <f ca="1">IFERROR(__xludf.DUMMYFUNCTION("""COMPUTED_VALUE"""),2480)</f>
        <v>2480</v>
      </c>
      <c r="C449" s="2">
        <f ca="1">IFERROR(__xludf.DUMMYFUNCTION("""COMPUTED_VALUE"""),2505)</f>
        <v>2505</v>
      </c>
      <c r="D449" s="2">
        <f ca="1">IFERROR(__xludf.DUMMYFUNCTION("""COMPUTED_VALUE"""),2460)</f>
        <v>2460</v>
      </c>
      <c r="E449" s="2">
        <f ca="1">IFERROR(__xludf.DUMMYFUNCTION("""COMPUTED_VALUE"""),2490)</f>
        <v>2490</v>
      </c>
      <c r="F449" s="2">
        <f ca="1">IFERROR(__xludf.DUMMYFUNCTION("""COMPUTED_VALUE"""),19564300)</f>
        <v>19564300</v>
      </c>
    </row>
    <row r="450" spans="1:6">
      <c r="A450" s="5">
        <f ca="1">IFERROR(__xludf.DUMMYFUNCTION("""COMPUTED_VALUE"""),42682.625)</f>
        <v>42682.625</v>
      </c>
      <c r="B450" s="2">
        <f ca="1">IFERROR(__xludf.DUMMYFUNCTION("""COMPUTED_VALUE"""),2500)</f>
        <v>2500</v>
      </c>
      <c r="C450" s="2">
        <f ca="1">IFERROR(__xludf.DUMMYFUNCTION("""COMPUTED_VALUE"""),2595)</f>
        <v>2595</v>
      </c>
      <c r="D450" s="2">
        <f ca="1">IFERROR(__xludf.DUMMYFUNCTION("""COMPUTED_VALUE"""),2500)</f>
        <v>2500</v>
      </c>
      <c r="E450" s="2">
        <f ca="1">IFERROR(__xludf.DUMMYFUNCTION("""COMPUTED_VALUE"""),2575)</f>
        <v>2575</v>
      </c>
      <c r="F450" s="2">
        <f ca="1">IFERROR(__xludf.DUMMYFUNCTION("""COMPUTED_VALUE"""),25765700)</f>
        <v>25765700</v>
      </c>
    </row>
    <row r="451" spans="1:6">
      <c r="A451" s="5">
        <f ca="1">IFERROR(__xludf.DUMMYFUNCTION("""COMPUTED_VALUE"""),42683.625)</f>
        <v>42683.625</v>
      </c>
      <c r="B451" s="2">
        <f ca="1">IFERROR(__xludf.DUMMYFUNCTION("""COMPUTED_VALUE"""),2575)</f>
        <v>2575</v>
      </c>
      <c r="C451" s="2">
        <f ca="1">IFERROR(__xludf.DUMMYFUNCTION("""COMPUTED_VALUE"""),2595)</f>
        <v>2595</v>
      </c>
      <c r="D451" s="2">
        <f ca="1">IFERROR(__xludf.DUMMYFUNCTION("""COMPUTED_VALUE"""),2490)</f>
        <v>2490</v>
      </c>
      <c r="E451" s="2">
        <f ca="1">IFERROR(__xludf.DUMMYFUNCTION("""COMPUTED_VALUE"""),2520)</f>
        <v>2520</v>
      </c>
      <c r="F451" s="2">
        <f ca="1">IFERROR(__xludf.DUMMYFUNCTION("""COMPUTED_VALUE"""),28044100)</f>
        <v>28044100</v>
      </c>
    </row>
    <row r="452" spans="1:6">
      <c r="A452" s="5">
        <f ca="1">IFERROR(__xludf.DUMMYFUNCTION("""COMPUTED_VALUE"""),42684.625)</f>
        <v>42684.625</v>
      </c>
      <c r="B452" s="2">
        <f ca="1">IFERROR(__xludf.DUMMYFUNCTION("""COMPUTED_VALUE"""),2550)</f>
        <v>2550</v>
      </c>
      <c r="C452" s="2">
        <f ca="1">IFERROR(__xludf.DUMMYFUNCTION("""COMPUTED_VALUE"""),2565)</f>
        <v>2565</v>
      </c>
      <c r="D452" s="2">
        <f ca="1">IFERROR(__xludf.DUMMYFUNCTION("""COMPUTED_VALUE"""),2530)</f>
        <v>2530</v>
      </c>
      <c r="E452" s="2">
        <f ca="1">IFERROR(__xludf.DUMMYFUNCTION("""COMPUTED_VALUE"""),2540)</f>
        <v>2540</v>
      </c>
      <c r="F452" s="2">
        <f ca="1">IFERROR(__xludf.DUMMYFUNCTION("""COMPUTED_VALUE"""),17575600)</f>
        <v>17575600</v>
      </c>
    </row>
    <row r="453" spans="1:6">
      <c r="A453" s="5">
        <f ca="1">IFERROR(__xludf.DUMMYFUNCTION("""COMPUTED_VALUE"""),42685.625)</f>
        <v>42685.625</v>
      </c>
      <c r="B453" s="2">
        <f ca="1">IFERROR(__xludf.DUMMYFUNCTION("""COMPUTED_VALUE"""),2480)</f>
        <v>2480</v>
      </c>
      <c r="C453" s="2">
        <f ca="1">IFERROR(__xludf.DUMMYFUNCTION("""COMPUTED_VALUE"""),2480)</f>
        <v>2480</v>
      </c>
      <c r="D453" s="2">
        <f ca="1">IFERROR(__xludf.DUMMYFUNCTION("""COMPUTED_VALUE"""),2385)</f>
        <v>2385</v>
      </c>
      <c r="E453" s="2">
        <f ca="1">IFERROR(__xludf.DUMMYFUNCTION("""COMPUTED_VALUE"""),2395)</f>
        <v>2395</v>
      </c>
      <c r="F453" s="2">
        <f ca="1">IFERROR(__xludf.DUMMYFUNCTION("""COMPUTED_VALUE"""),59533900)</f>
        <v>59533900</v>
      </c>
    </row>
    <row r="454" spans="1:6">
      <c r="A454" s="5">
        <f ca="1">IFERROR(__xludf.DUMMYFUNCTION("""COMPUTED_VALUE"""),42688.625)</f>
        <v>42688.625</v>
      </c>
      <c r="B454" s="2">
        <f ca="1">IFERROR(__xludf.DUMMYFUNCTION("""COMPUTED_VALUE"""),2340)</f>
        <v>2340</v>
      </c>
      <c r="C454" s="2">
        <f ca="1">IFERROR(__xludf.DUMMYFUNCTION("""COMPUTED_VALUE"""),2345)</f>
        <v>2345</v>
      </c>
      <c r="D454" s="2">
        <f ca="1">IFERROR(__xludf.DUMMYFUNCTION("""COMPUTED_VALUE"""),2225)</f>
        <v>2225</v>
      </c>
      <c r="E454" s="2">
        <f ca="1">IFERROR(__xludf.DUMMYFUNCTION("""COMPUTED_VALUE"""),2225)</f>
        <v>2225</v>
      </c>
      <c r="F454" s="2">
        <f ca="1">IFERROR(__xludf.DUMMYFUNCTION("""COMPUTED_VALUE"""),76031700)</f>
        <v>76031700</v>
      </c>
    </row>
    <row r="455" spans="1:6">
      <c r="A455" s="5">
        <f ca="1">IFERROR(__xludf.DUMMYFUNCTION("""COMPUTED_VALUE"""),42689.625)</f>
        <v>42689.625</v>
      </c>
      <c r="B455" s="2">
        <f ca="1">IFERROR(__xludf.DUMMYFUNCTION("""COMPUTED_VALUE"""),2240)</f>
        <v>2240</v>
      </c>
      <c r="C455" s="2">
        <f ca="1">IFERROR(__xludf.DUMMYFUNCTION("""COMPUTED_VALUE"""),2280)</f>
        <v>2280</v>
      </c>
      <c r="D455" s="2">
        <f ca="1">IFERROR(__xludf.DUMMYFUNCTION("""COMPUTED_VALUE"""),2205)</f>
        <v>2205</v>
      </c>
      <c r="E455" s="2">
        <f ca="1">IFERROR(__xludf.DUMMYFUNCTION("""COMPUTED_VALUE"""),2205)</f>
        <v>2205</v>
      </c>
      <c r="F455" s="2">
        <f ca="1">IFERROR(__xludf.DUMMYFUNCTION("""COMPUTED_VALUE"""),44720900)</f>
        <v>44720900</v>
      </c>
    </row>
    <row r="456" spans="1:6">
      <c r="A456" s="5">
        <f ca="1">IFERROR(__xludf.DUMMYFUNCTION("""COMPUTED_VALUE"""),42690.625)</f>
        <v>42690.625</v>
      </c>
      <c r="B456" s="2">
        <f ca="1">IFERROR(__xludf.DUMMYFUNCTION("""COMPUTED_VALUE"""),2240)</f>
        <v>2240</v>
      </c>
      <c r="C456" s="2">
        <f ca="1">IFERROR(__xludf.DUMMYFUNCTION("""COMPUTED_VALUE"""),2310)</f>
        <v>2310</v>
      </c>
      <c r="D456" s="2">
        <f ca="1">IFERROR(__xludf.DUMMYFUNCTION("""COMPUTED_VALUE"""),2240)</f>
        <v>2240</v>
      </c>
      <c r="E456" s="2">
        <f ca="1">IFERROR(__xludf.DUMMYFUNCTION("""COMPUTED_VALUE"""),2300)</f>
        <v>2300</v>
      </c>
      <c r="F456" s="2">
        <f ca="1">IFERROR(__xludf.DUMMYFUNCTION("""COMPUTED_VALUE"""),36341900)</f>
        <v>36341900</v>
      </c>
    </row>
    <row r="457" spans="1:6">
      <c r="A457" s="5">
        <f ca="1">IFERROR(__xludf.DUMMYFUNCTION("""COMPUTED_VALUE"""),42691.625)</f>
        <v>42691.625</v>
      </c>
      <c r="B457" s="2">
        <f ca="1">IFERROR(__xludf.DUMMYFUNCTION("""COMPUTED_VALUE"""),2300)</f>
        <v>2300</v>
      </c>
      <c r="C457" s="2">
        <f ca="1">IFERROR(__xludf.DUMMYFUNCTION("""COMPUTED_VALUE"""),2320)</f>
        <v>2320</v>
      </c>
      <c r="D457" s="2">
        <f ca="1">IFERROR(__xludf.DUMMYFUNCTION("""COMPUTED_VALUE"""),2275)</f>
        <v>2275</v>
      </c>
      <c r="E457" s="2">
        <f ca="1">IFERROR(__xludf.DUMMYFUNCTION("""COMPUTED_VALUE"""),2300)</f>
        <v>2300</v>
      </c>
      <c r="F457" s="2">
        <f ca="1">IFERROR(__xludf.DUMMYFUNCTION("""COMPUTED_VALUE"""),19257400)</f>
        <v>19257400</v>
      </c>
    </row>
    <row r="458" spans="1:6">
      <c r="A458" s="5">
        <f ca="1">IFERROR(__xludf.DUMMYFUNCTION("""COMPUTED_VALUE"""),42692.625)</f>
        <v>42692.625</v>
      </c>
      <c r="B458" s="2">
        <f ca="1">IFERROR(__xludf.DUMMYFUNCTION("""COMPUTED_VALUE"""),2320)</f>
        <v>2320</v>
      </c>
      <c r="C458" s="2">
        <f ca="1">IFERROR(__xludf.DUMMYFUNCTION("""COMPUTED_VALUE"""),2320)</f>
        <v>2320</v>
      </c>
      <c r="D458" s="2">
        <f ca="1">IFERROR(__xludf.DUMMYFUNCTION("""COMPUTED_VALUE"""),2285)</f>
        <v>2285</v>
      </c>
      <c r="E458" s="2">
        <f ca="1">IFERROR(__xludf.DUMMYFUNCTION("""COMPUTED_VALUE"""),2300)</f>
        <v>2300</v>
      </c>
      <c r="F458" s="2">
        <f ca="1">IFERROR(__xludf.DUMMYFUNCTION("""COMPUTED_VALUE"""),19311300)</f>
        <v>19311300</v>
      </c>
    </row>
    <row r="459" spans="1:6">
      <c r="A459" s="5">
        <f ca="1">IFERROR(__xludf.DUMMYFUNCTION("""COMPUTED_VALUE"""),42695.625)</f>
        <v>42695.625</v>
      </c>
      <c r="B459" s="2">
        <f ca="1">IFERROR(__xludf.DUMMYFUNCTION("""COMPUTED_VALUE"""),2285)</f>
        <v>2285</v>
      </c>
      <c r="C459" s="2">
        <f ca="1">IFERROR(__xludf.DUMMYFUNCTION("""COMPUTED_VALUE"""),2295)</f>
        <v>2295</v>
      </c>
      <c r="D459" s="2">
        <f ca="1">IFERROR(__xludf.DUMMYFUNCTION("""COMPUTED_VALUE"""),2270)</f>
        <v>2270</v>
      </c>
      <c r="E459" s="2">
        <f ca="1">IFERROR(__xludf.DUMMYFUNCTION("""COMPUTED_VALUE"""),2290)</f>
        <v>2290</v>
      </c>
      <c r="F459" s="2">
        <f ca="1">IFERROR(__xludf.DUMMYFUNCTION("""COMPUTED_VALUE"""),14679300)</f>
        <v>14679300</v>
      </c>
    </row>
    <row r="460" spans="1:6">
      <c r="A460" s="5">
        <f ca="1">IFERROR(__xludf.DUMMYFUNCTION("""COMPUTED_VALUE"""),42696.625)</f>
        <v>42696.625</v>
      </c>
      <c r="B460" s="2">
        <f ca="1">IFERROR(__xludf.DUMMYFUNCTION("""COMPUTED_VALUE"""),2270)</f>
        <v>2270</v>
      </c>
      <c r="C460" s="2">
        <f ca="1">IFERROR(__xludf.DUMMYFUNCTION("""COMPUTED_VALUE"""),2300)</f>
        <v>2300</v>
      </c>
      <c r="D460" s="2">
        <f ca="1">IFERROR(__xludf.DUMMYFUNCTION("""COMPUTED_VALUE"""),2270)</f>
        <v>2270</v>
      </c>
      <c r="E460" s="2">
        <f ca="1">IFERROR(__xludf.DUMMYFUNCTION("""COMPUTED_VALUE"""),2295)</f>
        <v>2295</v>
      </c>
      <c r="F460" s="2">
        <f ca="1">IFERROR(__xludf.DUMMYFUNCTION("""COMPUTED_VALUE"""),20426300)</f>
        <v>20426300</v>
      </c>
    </row>
    <row r="461" spans="1:6">
      <c r="A461" s="5">
        <f ca="1">IFERROR(__xludf.DUMMYFUNCTION("""COMPUTED_VALUE"""),42697.625)</f>
        <v>42697.625</v>
      </c>
      <c r="B461" s="2">
        <f ca="1">IFERROR(__xludf.DUMMYFUNCTION("""COMPUTED_VALUE"""),2295)</f>
        <v>2295</v>
      </c>
      <c r="C461" s="2">
        <f ca="1">IFERROR(__xludf.DUMMYFUNCTION("""COMPUTED_VALUE"""),2310)</f>
        <v>2310</v>
      </c>
      <c r="D461" s="2">
        <f ca="1">IFERROR(__xludf.DUMMYFUNCTION("""COMPUTED_VALUE"""),2280)</f>
        <v>2280</v>
      </c>
      <c r="E461" s="2">
        <f ca="1">IFERROR(__xludf.DUMMYFUNCTION("""COMPUTED_VALUE"""),2300)</f>
        <v>2300</v>
      </c>
      <c r="F461" s="2">
        <f ca="1">IFERROR(__xludf.DUMMYFUNCTION("""COMPUTED_VALUE"""),17563800)</f>
        <v>17563800</v>
      </c>
    </row>
    <row r="462" spans="1:6">
      <c r="A462" s="5">
        <f ca="1">IFERROR(__xludf.DUMMYFUNCTION("""COMPUTED_VALUE"""),42698.625)</f>
        <v>42698.625</v>
      </c>
      <c r="B462" s="2">
        <f ca="1">IFERROR(__xludf.DUMMYFUNCTION("""COMPUTED_VALUE"""),2270)</f>
        <v>2270</v>
      </c>
      <c r="C462" s="2">
        <f ca="1">IFERROR(__xludf.DUMMYFUNCTION("""COMPUTED_VALUE"""),2290)</f>
        <v>2290</v>
      </c>
      <c r="D462" s="2">
        <f ca="1">IFERROR(__xludf.DUMMYFUNCTION("""COMPUTED_VALUE"""),2245)</f>
        <v>2245</v>
      </c>
      <c r="E462" s="2">
        <f ca="1">IFERROR(__xludf.DUMMYFUNCTION("""COMPUTED_VALUE"""),2260)</f>
        <v>2260</v>
      </c>
      <c r="F462" s="2">
        <f ca="1">IFERROR(__xludf.DUMMYFUNCTION("""COMPUTED_VALUE"""),22662100)</f>
        <v>22662100</v>
      </c>
    </row>
    <row r="463" spans="1:6">
      <c r="A463" s="5">
        <f ca="1">IFERROR(__xludf.DUMMYFUNCTION("""COMPUTED_VALUE"""),42699.625)</f>
        <v>42699.625</v>
      </c>
      <c r="B463" s="2">
        <f ca="1">IFERROR(__xludf.DUMMYFUNCTION("""COMPUTED_VALUE"""),2210)</f>
        <v>2210</v>
      </c>
      <c r="C463" s="2">
        <f ca="1">IFERROR(__xludf.DUMMYFUNCTION("""COMPUTED_VALUE"""),2235)</f>
        <v>2235</v>
      </c>
      <c r="D463" s="2">
        <f ca="1">IFERROR(__xludf.DUMMYFUNCTION("""COMPUTED_VALUE"""),2175)</f>
        <v>2175</v>
      </c>
      <c r="E463" s="2">
        <f ca="1">IFERROR(__xludf.DUMMYFUNCTION("""COMPUTED_VALUE"""),2185)</f>
        <v>2185</v>
      </c>
      <c r="F463" s="2">
        <f ca="1">IFERROR(__xludf.DUMMYFUNCTION("""COMPUTED_VALUE"""),38602700)</f>
        <v>38602700</v>
      </c>
    </row>
    <row r="464" spans="1:6">
      <c r="A464" s="5">
        <f ca="1">IFERROR(__xludf.DUMMYFUNCTION("""COMPUTED_VALUE"""),42702.625)</f>
        <v>42702.625</v>
      </c>
      <c r="B464" s="2">
        <f ca="1">IFERROR(__xludf.DUMMYFUNCTION("""COMPUTED_VALUE"""),2150)</f>
        <v>2150</v>
      </c>
      <c r="C464" s="2">
        <f ca="1">IFERROR(__xludf.DUMMYFUNCTION("""COMPUTED_VALUE"""),2170)</f>
        <v>2170</v>
      </c>
      <c r="D464" s="2">
        <f ca="1">IFERROR(__xludf.DUMMYFUNCTION("""COMPUTED_VALUE"""),2085)</f>
        <v>2085</v>
      </c>
      <c r="E464" s="2">
        <f ca="1">IFERROR(__xludf.DUMMYFUNCTION("""COMPUTED_VALUE"""),2095)</f>
        <v>2095</v>
      </c>
      <c r="F464" s="2">
        <f ca="1">IFERROR(__xludf.DUMMYFUNCTION("""COMPUTED_VALUE"""),58410400)</f>
        <v>58410400</v>
      </c>
    </row>
    <row r="465" spans="1:6">
      <c r="A465" s="5">
        <f ca="1">IFERROR(__xludf.DUMMYFUNCTION("""COMPUTED_VALUE"""),42703.625)</f>
        <v>42703.625</v>
      </c>
      <c r="B465" s="2">
        <f ca="1">IFERROR(__xludf.DUMMYFUNCTION("""COMPUTED_VALUE"""),2085)</f>
        <v>2085</v>
      </c>
      <c r="C465" s="2">
        <f ca="1">IFERROR(__xludf.DUMMYFUNCTION("""COMPUTED_VALUE"""),2135)</f>
        <v>2135</v>
      </c>
      <c r="D465" s="2">
        <f ca="1">IFERROR(__xludf.DUMMYFUNCTION("""COMPUTED_VALUE"""),2085)</f>
        <v>2085</v>
      </c>
      <c r="E465" s="2">
        <f ca="1">IFERROR(__xludf.DUMMYFUNCTION("""COMPUTED_VALUE"""),2110)</f>
        <v>2110</v>
      </c>
      <c r="F465" s="2">
        <f ca="1">IFERROR(__xludf.DUMMYFUNCTION("""COMPUTED_VALUE"""),34022800)</f>
        <v>34022800</v>
      </c>
    </row>
    <row r="466" spans="1:6">
      <c r="A466" s="5">
        <f ca="1">IFERROR(__xludf.DUMMYFUNCTION("""COMPUTED_VALUE"""),42704.625)</f>
        <v>42704.625</v>
      </c>
      <c r="B466" s="2">
        <f ca="1">IFERROR(__xludf.DUMMYFUNCTION("""COMPUTED_VALUE"""),2135)</f>
        <v>2135</v>
      </c>
      <c r="C466" s="2">
        <f ca="1">IFERROR(__xludf.DUMMYFUNCTION("""COMPUTED_VALUE"""),2195)</f>
        <v>2195</v>
      </c>
      <c r="D466" s="2">
        <f ca="1">IFERROR(__xludf.DUMMYFUNCTION("""COMPUTED_VALUE"""),2130)</f>
        <v>2130</v>
      </c>
      <c r="E466" s="2">
        <f ca="1">IFERROR(__xludf.DUMMYFUNCTION("""COMPUTED_VALUE"""),2180)</f>
        <v>2180</v>
      </c>
      <c r="F466" s="2">
        <f ca="1">IFERROR(__xludf.DUMMYFUNCTION("""COMPUTED_VALUE"""),56825100)</f>
        <v>56825100</v>
      </c>
    </row>
    <row r="467" spans="1:6">
      <c r="A467" s="5">
        <f ca="1">IFERROR(__xludf.DUMMYFUNCTION("""COMPUTED_VALUE"""),42705.625)</f>
        <v>42705.625</v>
      </c>
      <c r="B467" s="2">
        <f ca="1">IFERROR(__xludf.DUMMYFUNCTION("""COMPUTED_VALUE"""),2180)</f>
        <v>2180</v>
      </c>
      <c r="C467" s="2">
        <f ca="1">IFERROR(__xludf.DUMMYFUNCTION("""COMPUTED_VALUE"""),2220)</f>
        <v>2220</v>
      </c>
      <c r="D467" s="2">
        <f ca="1">IFERROR(__xludf.DUMMYFUNCTION("""COMPUTED_VALUE"""),2175)</f>
        <v>2175</v>
      </c>
      <c r="E467" s="2">
        <f ca="1">IFERROR(__xludf.DUMMYFUNCTION("""COMPUTED_VALUE"""),2210)</f>
        <v>2210</v>
      </c>
      <c r="F467" s="2">
        <f ca="1">IFERROR(__xludf.DUMMYFUNCTION("""COMPUTED_VALUE"""),25200400)</f>
        <v>25200400</v>
      </c>
    </row>
    <row r="468" spans="1:6">
      <c r="A468" s="5">
        <f ca="1">IFERROR(__xludf.DUMMYFUNCTION("""COMPUTED_VALUE"""),42706.625)</f>
        <v>42706.625</v>
      </c>
      <c r="B468" s="2">
        <f ca="1">IFERROR(__xludf.DUMMYFUNCTION("""COMPUTED_VALUE"""),2210)</f>
        <v>2210</v>
      </c>
      <c r="C468" s="2">
        <f ca="1">IFERROR(__xludf.DUMMYFUNCTION("""COMPUTED_VALUE"""),2275)</f>
        <v>2275</v>
      </c>
      <c r="D468" s="2">
        <f ca="1">IFERROR(__xludf.DUMMYFUNCTION("""COMPUTED_VALUE"""),2200)</f>
        <v>2200</v>
      </c>
      <c r="E468" s="2">
        <f ca="1">IFERROR(__xludf.DUMMYFUNCTION("""COMPUTED_VALUE"""),2260)</f>
        <v>2260</v>
      </c>
      <c r="F468" s="2">
        <f ca="1">IFERROR(__xludf.DUMMYFUNCTION("""COMPUTED_VALUE"""),22200400)</f>
        <v>22200400</v>
      </c>
    </row>
    <row r="469" spans="1:6">
      <c r="A469" s="5">
        <f ca="1">IFERROR(__xludf.DUMMYFUNCTION("""COMPUTED_VALUE"""),42709.625)</f>
        <v>42709.625</v>
      </c>
      <c r="B469" s="2">
        <f ca="1">IFERROR(__xludf.DUMMYFUNCTION("""COMPUTED_VALUE"""),2240)</f>
        <v>2240</v>
      </c>
      <c r="C469" s="2">
        <f ca="1">IFERROR(__xludf.DUMMYFUNCTION("""COMPUTED_VALUE"""),2265)</f>
        <v>2265</v>
      </c>
      <c r="D469" s="2">
        <f ca="1">IFERROR(__xludf.DUMMYFUNCTION("""COMPUTED_VALUE"""),2225)</f>
        <v>2225</v>
      </c>
      <c r="E469" s="2">
        <f ca="1">IFERROR(__xludf.DUMMYFUNCTION("""COMPUTED_VALUE"""),2225)</f>
        <v>2225</v>
      </c>
      <c r="F469" s="2">
        <f ca="1">IFERROR(__xludf.DUMMYFUNCTION("""COMPUTED_VALUE"""),17881000)</f>
        <v>17881000</v>
      </c>
    </row>
    <row r="470" spans="1:6">
      <c r="A470" s="5">
        <f ca="1">IFERROR(__xludf.DUMMYFUNCTION("""COMPUTED_VALUE"""),42710.625)</f>
        <v>42710.625</v>
      </c>
      <c r="B470" s="2">
        <f ca="1">IFERROR(__xludf.DUMMYFUNCTION("""COMPUTED_VALUE"""),2230)</f>
        <v>2230</v>
      </c>
      <c r="C470" s="2">
        <f ca="1">IFERROR(__xludf.DUMMYFUNCTION("""COMPUTED_VALUE"""),2280)</f>
        <v>2280</v>
      </c>
      <c r="D470" s="2">
        <f ca="1">IFERROR(__xludf.DUMMYFUNCTION("""COMPUTED_VALUE"""),2220)</f>
        <v>2220</v>
      </c>
      <c r="E470" s="2">
        <f ca="1">IFERROR(__xludf.DUMMYFUNCTION("""COMPUTED_VALUE"""),2265)</f>
        <v>2265</v>
      </c>
      <c r="F470" s="2">
        <f ca="1">IFERROR(__xludf.DUMMYFUNCTION("""COMPUTED_VALUE"""),20032300)</f>
        <v>20032300</v>
      </c>
    </row>
    <row r="471" spans="1:6">
      <c r="A471" s="5">
        <f ca="1">IFERROR(__xludf.DUMMYFUNCTION("""COMPUTED_VALUE"""),42711.625)</f>
        <v>42711.625</v>
      </c>
      <c r="B471" s="2">
        <f ca="1">IFERROR(__xludf.DUMMYFUNCTION("""COMPUTED_VALUE"""),2270)</f>
        <v>2270</v>
      </c>
      <c r="C471" s="2">
        <f ca="1">IFERROR(__xludf.DUMMYFUNCTION("""COMPUTED_VALUE"""),2285)</f>
        <v>2285</v>
      </c>
      <c r="D471" s="2">
        <f ca="1">IFERROR(__xludf.DUMMYFUNCTION("""COMPUTED_VALUE"""),2255)</f>
        <v>2255</v>
      </c>
      <c r="E471" s="2">
        <f ca="1">IFERROR(__xludf.DUMMYFUNCTION("""COMPUTED_VALUE"""),2285)</f>
        <v>2285</v>
      </c>
      <c r="F471" s="2">
        <f ca="1">IFERROR(__xludf.DUMMYFUNCTION("""COMPUTED_VALUE"""),10128500)</f>
        <v>10128500</v>
      </c>
    </row>
    <row r="472" spans="1:6">
      <c r="A472" s="5">
        <f ca="1">IFERROR(__xludf.DUMMYFUNCTION("""COMPUTED_VALUE"""),42712.625)</f>
        <v>42712.625</v>
      </c>
      <c r="B472" s="2">
        <f ca="1">IFERROR(__xludf.DUMMYFUNCTION("""COMPUTED_VALUE"""),2275)</f>
        <v>2275</v>
      </c>
      <c r="C472" s="2">
        <f ca="1">IFERROR(__xludf.DUMMYFUNCTION("""COMPUTED_VALUE"""),2300)</f>
        <v>2300</v>
      </c>
      <c r="D472" s="2">
        <f ca="1">IFERROR(__xludf.DUMMYFUNCTION("""COMPUTED_VALUE"""),2260)</f>
        <v>2260</v>
      </c>
      <c r="E472" s="2">
        <f ca="1">IFERROR(__xludf.DUMMYFUNCTION("""COMPUTED_VALUE"""),2300)</f>
        <v>2300</v>
      </c>
      <c r="F472" s="2">
        <f ca="1">IFERROR(__xludf.DUMMYFUNCTION("""COMPUTED_VALUE"""),14636200)</f>
        <v>14636200</v>
      </c>
    </row>
    <row r="473" spans="1:6">
      <c r="A473" s="5">
        <f ca="1">IFERROR(__xludf.DUMMYFUNCTION("""COMPUTED_VALUE"""),42713.625)</f>
        <v>42713.625</v>
      </c>
      <c r="B473" s="2">
        <f ca="1">IFERROR(__xludf.DUMMYFUNCTION("""COMPUTED_VALUE"""),2295)</f>
        <v>2295</v>
      </c>
      <c r="C473" s="2">
        <f ca="1">IFERROR(__xludf.DUMMYFUNCTION("""COMPUTED_VALUE"""),2300)</f>
        <v>2300</v>
      </c>
      <c r="D473" s="2">
        <f ca="1">IFERROR(__xludf.DUMMYFUNCTION("""COMPUTED_VALUE"""),2280)</f>
        <v>2280</v>
      </c>
      <c r="E473" s="2">
        <f ca="1">IFERROR(__xludf.DUMMYFUNCTION("""COMPUTED_VALUE"""),2295)</f>
        <v>2295</v>
      </c>
      <c r="F473" s="2">
        <f ca="1">IFERROR(__xludf.DUMMYFUNCTION("""COMPUTED_VALUE"""),16800100)</f>
        <v>16800100</v>
      </c>
    </row>
    <row r="474" spans="1:6">
      <c r="A474" s="5">
        <f ca="1">IFERROR(__xludf.DUMMYFUNCTION("""COMPUTED_VALUE"""),42717.625)</f>
        <v>42717.625</v>
      </c>
      <c r="B474" s="2">
        <f ca="1">IFERROR(__xludf.DUMMYFUNCTION("""COMPUTED_VALUE"""),2290)</f>
        <v>2290</v>
      </c>
      <c r="C474" s="2">
        <f ca="1">IFERROR(__xludf.DUMMYFUNCTION("""COMPUTED_VALUE"""),2345)</f>
        <v>2345</v>
      </c>
      <c r="D474" s="2">
        <f ca="1">IFERROR(__xludf.DUMMYFUNCTION("""COMPUTED_VALUE"""),2280)</f>
        <v>2280</v>
      </c>
      <c r="E474" s="2">
        <f ca="1">IFERROR(__xludf.DUMMYFUNCTION("""COMPUTED_VALUE"""),2345)</f>
        <v>2345</v>
      </c>
      <c r="F474" s="2">
        <f ca="1">IFERROR(__xludf.DUMMYFUNCTION("""COMPUTED_VALUE"""),18685700)</f>
        <v>18685700</v>
      </c>
    </row>
    <row r="475" spans="1:6">
      <c r="A475" s="5">
        <f ca="1">IFERROR(__xludf.DUMMYFUNCTION("""COMPUTED_VALUE"""),42718.625)</f>
        <v>42718.625</v>
      </c>
      <c r="B475" s="2">
        <f ca="1">IFERROR(__xludf.DUMMYFUNCTION("""COMPUTED_VALUE"""),2345)</f>
        <v>2345</v>
      </c>
      <c r="C475" s="2">
        <f ca="1">IFERROR(__xludf.DUMMYFUNCTION("""COMPUTED_VALUE"""),2350)</f>
        <v>2350</v>
      </c>
      <c r="D475" s="2">
        <f ca="1">IFERROR(__xludf.DUMMYFUNCTION("""COMPUTED_VALUE"""),2295)</f>
        <v>2295</v>
      </c>
      <c r="E475" s="2">
        <f ca="1">IFERROR(__xludf.DUMMYFUNCTION("""COMPUTED_VALUE"""),2300)</f>
        <v>2300</v>
      </c>
      <c r="F475" s="2">
        <f ca="1">IFERROR(__xludf.DUMMYFUNCTION("""COMPUTED_VALUE"""),20765000)</f>
        <v>20765000</v>
      </c>
    </row>
    <row r="476" spans="1:6">
      <c r="A476" s="5">
        <f ca="1">IFERROR(__xludf.DUMMYFUNCTION("""COMPUTED_VALUE"""),42719.625)</f>
        <v>42719.625</v>
      </c>
      <c r="B476" s="2">
        <f ca="1">IFERROR(__xludf.DUMMYFUNCTION("""COMPUTED_VALUE"""),2230)</f>
        <v>2230</v>
      </c>
      <c r="C476" s="2">
        <f ca="1">IFERROR(__xludf.DUMMYFUNCTION("""COMPUTED_VALUE"""),2295)</f>
        <v>2295</v>
      </c>
      <c r="D476" s="2">
        <f ca="1">IFERROR(__xludf.DUMMYFUNCTION("""COMPUTED_VALUE"""),2200)</f>
        <v>2200</v>
      </c>
      <c r="E476" s="2">
        <f ca="1">IFERROR(__xludf.DUMMYFUNCTION("""COMPUTED_VALUE"""),2280)</f>
        <v>2280</v>
      </c>
      <c r="F476" s="2">
        <f ca="1">IFERROR(__xludf.DUMMYFUNCTION("""COMPUTED_VALUE"""),19726800)</f>
        <v>19726800</v>
      </c>
    </row>
    <row r="477" spans="1:6">
      <c r="A477" s="5">
        <f ca="1">IFERROR(__xludf.DUMMYFUNCTION("""COMPUTED_VALUE"""),42720.625)</f>
        <v>42720.625</v>
      </c>
      <c r="B477" s="2">
        <f ca="1">IFERROR(__xludf.DUMMYFUNCTION("""COMPUTED_VALUE"""),2280)</f>
        <v>2280</v>
      </c>
      <c r="C477" s="2">
        <f ca="1">IFERROR(__xludf.DUMMYFUNCTION("""COMPUTED_VALUE"""),2280)</f>
        <v>2280</v>
      </c>
      <c r="D477" s="2">
        <f ca="1">IFERROR(__xludf.DUMMYFUNCTION("""COMPUTED_VALUE"""),2245)</f>
        <v>2245</v>
      </c>
      <c r="E477" s="2">
        <f ca="1">IFERROR(__xludf.DUMMYFUNCTION("""COMPUTED_VALUE"""),2255)</f>
        <v>2255</v>
      </c>
      <c r="F477" s="2">
        <f ca="1">IFERROR(__xludf.DUMMYFUNCTION("""COMPUTED_VALUE"""),35122700)</f>
        <v>35122700</v>
      </c>
    </row>
    <row r="478" spans="1:6">
      <c r="A478" s="5">
        <f ca="1">IFERROR(__xludf.DUMMYFUNCTION("""COMPUTED_VALUE"""),42723.625)</f>
        <v>42723.625</v>
      </c>
      <c r="B478" s="2">
        <f ca="1">IFERROR(__xludf.DUMMYFUNCTION("""COMPUTED_VALUE"""),2255)</f>
        <v>2255</v>
      </c>
      <c r="C478" s="2">
        <f ca="1">IFERROR(__xludf.DUMMYFUNCTION("""COMPUTED_VALUE"""),2275)</f>
        <v>2275</v>
      </c>
      <c r="D478" s="2">
        <f ca="1">IFERROR(__xludf.DUMMYFUNCTION("""COMPUTED_VALUE"""),2250)</f>
        <v>2250</v>
      </c>
      <c r="E478" s="2">
        <f ca="1">IFERROR(__xludf.DUMMYFUNCTION("""COMPUTED_VALUE"""),2250)</f>
        <v>2250</v>
      </c>
      <c r="F478" s="2">
        <f ca="1">IFERROR(__xludf.DUMMYFUNCTION("""COMPUTED_VALUE"""),14240000)</f>
        <v>14240000</v>
      </c>
    </row>
    <row r="479" spans="1:6">
      <c r="A479" s="5">
        <f ca="1">IFERROR(__xludf.DUMMYFUNCTION("""COMPUTED_VALUE"""),42724.625)</f>
        <v>42724.625</v>
      </c>
      <c r="B479" s="2">
        <f ca="1">IFERROR(__xludf.DUMMYFUNCTION("""COMPUTED_VALUE"""),2250)</f>
        <v>2250</v>
      </c>
      <c r="C479" s="2">
        <f ca="1">IFERROR(__xludf.DUMMYFUNCTION("""COMPUTED_VALUE"""),2260)</f>
        <v>2260</v>
      </c>
      <c r="D479" s="2">
        <f ca="1">IFERROR(__xludf.DUMMYFUNCTION("""COMPUTED_VALUE"""),2230)</f>
        <v>2230</v>
      </c>
      <c r="E479" s="2">
        <f ca="1">IFERROR(__xludf.DUMMYFUNCTION("""COMPUTED_VALUE"""),2245)</f>
        <v>2245</v>
      </c>
      <c r="F479" s="2">
        <f ca="1">IFERROR(__xludf.DUMMYFUNCTION("""COMPUTED_VALUE"""),15160700)</f>
        <v>15160700</v>
      </c>
    </row>
    <row r="480" spans="1:6">
      <c r="A480" s="5">
        <f ca="1">IFERROR(__xludf.DUMMYFUNCTION("""COMPUTED_VALUE"""),42725.625)</f>
        <v>42725.625</v>
      </c>
      <c r="B480" s="2">
        <f ca="1">IFERROR(__xludf.DUMMYFUNCTION("""COMPUTED_VALUE"""),2285)</f>
        <v>2285</v>
      </c>
      <c r="C480" s="2">
        <f ca="1">IFERROR(__xludf.DUMMYFUNCTION("""COMPUTED_VALUE"""),2290)</f>
        <v>2290</v>
      </c>
      <c r="D480" s="2">
        <f ca="1">IFERROR(__xludf.DUMMYFUNCTION("""COMPUTED_VALUE"""),2200)</f>
        <v>2200</v>
      </c>
      <c r="E480" s="2">
        <f ca="1">IFERROR(__xludf.DUMMYFUNCTION("""COMPUTED_VALUE"""),2200)</f>
        <v>2200</v>
      </c>
      <c r="F480" s="2">
        <f ca="1">IFERROR(__xludf.DUMMYFUNCTION("""COMPUTED_VALUE"""),18975800)</f>
        <v>18975800</v>
      </c>
    </row>
    <row r="481" spans="1:6">
      <c r="A481" s="5">
        <f ca="1">IFERROR(__xludf.DUMMYFUNCTION("""COMPUTED_VALUE"""),42726.625)</f>
        <v>42726.625</v>
      </c>
      <c r="B481" s="2">
        <f ca="1">IFERROR(__xludf.DUMMYFUNCTION("""COMPUTED_VALUE"""),2205)</f>
        <v>2205</v>
      </c>
      <c r="C481" s="2">
        <f ca="1">IFERROR(__xludf.DUMMYFUNCTION("""COMPUTED_VALUE"""),2215)</f>
        <v>2215</v>
      </c>
      <c r="D481" s="2">
        <f ca="1">IFERROR(__xludf.DUMMYFUNCTION("""COMPUTED_VALUE"""),2170)</f>
        <v>2170</v>
      </c>
      <c r="E481" s="2">
        <f ca="1">IFERROR(__xludf.DUMMYFUNCTION("""COMPUTED_VALUE"""),2175)</f>
        <v>2175</v>
      </c>
      <c r="F481" s="2">
        <f ca="1">IFERROR(__xludf.DUMMYFUNCTION("""COMPUTED_VALUE"""),26147900)</f>
        <v>26147900</v>
      </c>
    </row>
    <row r="482" spans="1:6">
      <c r="A482" s="5">
        <f ca="1">IFERROR(__xludf.DUMMYFUNCTION("""COMPUTED_VALUE"""),42727.625)</f>
        <v>42727.625</v>
      </c>
      <c r="B482" s="2">
        <f ca="1">IFERROR(__xludf.DUMMYFUNCTION("""COMPUTED_VALUE"""),2170)</f>
        <v>2170</v>
      </c>
      <c r="C482" s="2">
        <f ca="1">IFERROR(__xludf.DUMMYFUNCTION("""COMPUTED_VALUE"""),2205)</f>
        <v>2205</v>
      </c>
      <c r="D482" s="2">
        <f ca="1">IFERROR(__xludf.DUMMYFUNCTION("""COMPUTED_VALUE"""),2155)</f>
        <v>2155</v>
      </c>
      <c r="E482" s="2">
        <f ca="1">IFERROR(__xludf.DUMMYFUNCTION("""COMPUTED_VALUE"""),2175)</f>
        <v>2175</v>
      </c>
      <c r="F482" s="2">
        <f ca="1">IFERROR(__xludf.DUMMYFUNCTION("""COMPUTED_VALUE"""),20123400)</f>
        <v>20123400</v>
      </c>
    </row>
    <row r="483" spans="1:6">
      <c r="A483" s="5">
        <f ca="1">IFERROR(__xludf.DUMMYFUNCTION("""COMPUTED_VALUE"""),42731.625)</f>
        <v>42731.625</v>
      </c>
      <c r="B483" s="2">
        <f ca="1">IFERROR(__xludf.DUMMYFUNCTION("""COMPUTED_VALUE"""),2170)</f>
        <v>2170</v>
      </c>
      <c r="C483" s="2">
        <f ca="1">IFERROR(__xludf.DUMMYFUNCTION("""COMPUTED_VALUE"""),2215)</f>
        <v>2215</v>
      </c>
      <c r="D483" s="2">
        <f ca="1">IFERROR(__xludf.DUMMYFUNCTION("""COMPUTED_VALUE"""),2165)</f>
        <v>2165</v>
      </c>
      <c r="E483" s="2">
        <f ca="1">IFERROR(__xludf.DUMMYFUNCTION("""COMPUTED_VALUE"""),2200)</f>
        <v>2200</v>
      </c>
      <c r="F483" s="2">
        <f ca="1">IFERROR(__xludf.DUMMYFUNCTION("""COMPUTED_VALUE"""),10269200)</f>
        <v>10269200</v>
      </c>
    </row>
    <row r="484" spans="1:6">
      <c r="A484" s="5">
        <f ca="1">IFERROR(__xludf.DUMMYFUNCTION("""COMPUTED_VALUE"""),42732.625)</f>
        <v>42732.625</v>
      </c>
      <c r="B484" s="2">
        <f ca="1">IFERROR(__xludf.DUMMYFUNCTION("""COMPUTED_VALUE"""),2220)</f>
        <v>2220</v>
      </c>
      <c r="C484" s="2">
        <f ca="1">IFERROR(__xludf.DUMMYFUNCTION("""COMPUTED_VALUE"""),2290)</f>
        <v>2290</v>
      </c>
      <c r="D484" s="2">
        <f ca="1">IFERROR(__xludf.DUMMYFUNCTION("""COMPUTED_VALUE"""),2220)</f>
        <v>2220</v>
      </c>
      <c r="E484" s="2">
        <f ca="1">IFERROR(__xludf.DUMMYFUNCTION("""COMPUTED_VALUE"""),2275)</f>
        <v>2275</v>
      </c>
      <c r="F484" s="2">
        <f ca="1">IFERROR(__xludf.DUMMYFUNCTION("""COMPUTED_VALUE"""),16181900)</f>
        <v>16181900</v>
      </c>
    </row>
    <row r="485" spans="1:6">
      <c r="A485" s="5">
        <f ca="1">IFERROR(__xludf.DUMMYFUNCTION("""COMPUTED_VALUE"""),42733.625)</f>
        <v>42733.625</v>
      </c>
      <c r="B485" s="2">
        <f ca="1">IFERROR(__xludf.DUMMYFUNCTION("""COMPUTED_VALUE"""),2295)</f>
        <v>2295</v>
      </c>
      <c r="C485" s="2">
        <f ca="1">IFERROR(__xludf.DUMMYFUNCTION("""COMPUTED_VALUE"""),2345)</f>
        <v>2345</v>
      </c>
      <c r="D485" s="2">
        <f ca="1">IFERROR(__xludf.DUMMYFUNCTION("""COMPUTED_VALUE"""),2285)</f>
        <v>2285</v>
      </c>
      <c r="E485" s="2">
        <f ca="1">IFERROR(__xludf.DUMMYFUNCTION("""COMPUTED_VALUE"""),2330)</f>
        <v>2330</v>
      </c>
      <c r="F485" s="2">
        <f ca="1">IFERROR(__xludf.DUMMYFUNCTION("""COMPUTED_VALUE"""),26675900)</f>
        <v>26675900</v>
      </c>
    </row>
    <row r="486" spans="1:6">
      <c r="A486" s="5">
        <f ca="1">IFERROR(__xludf.DUMMYFUNCTION("""COMPUTED_VALUE"""),42734.625)</f>
        <v>42734.625</v>
      </c>
      <c r="B486" s="2">
        <f ca="1">IFERROR(__xludf.DUMMYFUNCTION("""COMPUTED_VALUE"""),2345)</f>
        <v>2345</v>
      </c>
      <c r="C486" s="2">
        <f ca="1">IFERROR(__xludf.DUMMYFUNCTION("""COMPUTED_VALUE"""),2375)</f>
        <v>2375</v>
      </c>
      <c r="D486" s="2">
        <f ca="1">IFERROR(__xludf.DUMMYFUNCTION("""COMPUTED_VALUE"""),2325)</f>
        <v>2325</v>
      </c>
      <c r="E486" s="2">
        <f ca="1">IFERROR(__xludf.DUMMYFUNCTION("""COMPUTED_VALUE"""),2335)</f>
        <v>2335</v>
      </c>
      <c r="F486" s="2">
        <f ca="1">IFERROR(__xludf.DUMMYFUNCTION("""COMPUTED_VALUE"""),38741600)</f>
        <v>38741600</v>
      </c>
    </row>
    <row r="487" spans="1:6">
      <c r="A487" s="5">
        <f ca="1">IFERROR(__xludf.DUMMYFUNCTION("""COMPUTED_VALUE"""),42738.625)</f>
        <v>42738.625</v>
      </c>
      <c r="B487" s="2">
        <f ca="1">IFERROR(__xludf.DUMMYFUNCTION("""COMPUTED_VALUE"""),2350)</f>
        <v>2350</v>
      </c>
      <c r="C487" s="2">
        <f ca="1">IFERROR(__xludf.DUMMYFUNCTION("""COMPUTED_VALUE"""),2380)</f>
        <v>2380</v>
      </c>
      <c r="D487" s="2">
        <f ca="1">IFERROR(__xludf.DUMMYFUNCTION("""COMPUTED_VALUE"""),2315)</f>
        <v>2315</v>
      </c>
      <c r="E487" s="2">
        <f ca="1">IFERROR(__xludf.DUMMYFUNCTION("""COMPUTED_VALUE"""),2380)</f>
        <v>2380</v>
      </c>
      <c r="F487" s="2">
        <f ca="1">IFERROR(__xludf.DUMMYFUNCTION("""COMPUTED_VALUE"""),13516100)</f>
        <v>13516100</v>
      </c>
    </row>
    <row r="488" spans="1:6">
      <c r="A488" s="5">
        <f ca="1">IFERROR(__xludf.DUMMYFUNCTION("""COMPUTED_VALUE"""),42739.625)</f>
        <v>42739.625</v>
      </c>
      <c r="B488" s="2">
        <f ca="1">IFERROR(__xludf.DUMMYFUNCTION("""COMPUTED_VALUE"""),2380)</f>
        <v>2380</v>
      </c>
      <c r="C488" s="2">
        <f ca="1">IFERROR(__xludf.DUMMYFUNCTION("""COMPUTED_VALUE"""),2440)</f>
        <v>2440</v>
      </c>
      <c r="D488" s="2">
        <f ca="1">IFERROR(__xludf.DUMMYFUNCTION("""COMPUTED_VALUE"""),2350)</f>
        <v>2350</v>
      </c>
      <c r="E488" s="2">
        <f ca="1">IFERROR(__xludf.DUMMYFUNCTION("""COMPUTED_VALUE"""),2440)</f>
        <v>2440</v>
      </c>
      <c r="F488" s="2">
        <f ca="1">IFERROR(__xludf.DUMMYFUNCTION("""COMPUTED_VALUE"""),15978200)</f>
        <v>15978200</v>
      </c>
    </row>
    <row r="489" spans="1:6">
      <c r="A489" s="5">
        <f ca="1">IFERROR(__xludf.DUMMYFUNCTION("""COMPUTED_VALUE"""),42740.625)</f>
        <v>42740.625</v>
      </c>
      <c r="B489" s="2">
        <f ca="1">IFERROR(__xludf.DUMMYFUNCTION("""COMPUTED_VALUE"""),2460)</f>
        <v>2460</v>
      </c>
      <c r="C489" s="2">
        <f ca="1">IFERROR(__xludf.DUMMYFUNCTION("""COMPUTED_VALUE"""),2465)</f>
        <v>2465</v>
      </c>
      <c r="D489" s="2">
        <f ca="1">IFERROR(__xludf.DUMMYFUNCTION("""COMPUTED_VALUE"""),2405)</f>
        <v>2405</v>
      </c>
      <c r="E489" s="2">
        <f ca="1">IFERROR(__xludf.DUMMYFUNCTION("""COMPUTED_VALUE"""),2420)</f>
        <v>2420</v>
      </c>
      <c r="F489" s="2">
        <f ca="1">IFERROR(__xludf.DUMMYFUNCTION("""COMPUTED_VALUE"""),29071400)</f>
        <v>29071400</v>
      </c>
    </row>
    <row r="490" spans="1:6">
      <c r="A490" s="5">
        <f ca="1">IFERROR(__xludf.DUMMYFUNCTION("""COMPUTED_VALUE"""),42741.625)</f>
        <v>42741.625</v>
      </c>
      <c r="B490" s="2">
        <f ca="1">IFERROR(__xludf.DUMMYFUNCTION("""COMPUTED_VALUE"""),2420)</f>
        <v>2420</v>
      </c>
      <c r="C490" s="2">
        <f ca="1">IFERROR(__xludf.DUMMYFUNCTION("""COMPUTED_VALUE"""),2430)</f>
        <v>2430</v>
      </c>
      <c r="D490" s="2">
        <f ca="1">IFERROR(__xludf.DUMMYFUNCTION("""COMPUTED_VALUE"""),2395)</f>
        <v>2395</v>
      </c>
      <c r="E490" s="2">
        <f ca="1">IFERROR(__xludf.DUMMYFUNCTION("""COMPUTED_VALUE"""),2420)</f>
        <v>2420</v>
      </c>
      <c r="F490" s="2">
        <f ca="1">IFERROR(__xludf.DUMMYFUNCTION("""COMPUTED_VALUE"""),14648200)</f>
        <v>14648200</v>
      </c>
    </row>
    <row r="491" spans="1:6">
      <c r="A491" s="5">
        <f ca="1">IFERROR(__xludf.DUMMYFUNCTION("""COMPUTED_VALUE"""),42744.625)</f>
        <v>42744.625</v>
      </c>
      <c r="B491" s="2">
        <f ca="1">IFERROR(__xludf.DUMMYFUNCTION("""COMPUTED_VALUE"""),2400)</f>
        <v>2400</v>
      </c>
      <c r="C491" s="2">
        <f ca="1">IFERROR(__xludf.DUMMYFUNCTION("""COMPUTED_VALUE"""),2430)</f>
        <v>2430</v>
      </c>
      <c r="D491" s="2">
        <f ca="1">IFERROR(__xludf.DUMMYFUNCTION("""COMPUTED_VALUE"""),2350)</f>
        <v>2350</v>
      </c>
      <c r="E491" s="2">
        <f ca="1">IFERROR(__xludf.DUMMYFUNCTION("""COMPUTED_VALUE"""),2350)</f>
        <v>2350</v>
      </c>
      <c r="F491" s="2">
        <f ca="1">IFERROR(__xludf.DUMMYFUNCTION("""COMPUTED_VALUE"""),14365500)</f>
        <v>14365500</v>
      </c>
    </row>
    <row r="492" spans="1:6">
      <c r="A492" s="5">
        <f ca="1">IFERROR(__xludf.DUMMYFUNCTION("""COMPUTED_VALUE"""),42745.625)</f>
        <v>42745.625</v>
      </c>
      <c r="B492" s="2">
        <f ca="1">IFERROR(__xludf.DUMMYFUNCTION("""COMPUTED_VALUE"""),2370)</f>
        <v>2370</v>
      </c>
      <c r="C492" s="2">
        <f ca="1">IFERROR(__xludf.DUMMYFUNCTION("""COMPUTED_VALUE"""),2390)</f>
        <v>2390</v>
      </c>
      <c r="D492" s="2">
        <f ca="1">IFERROR(__xludf.DUMMYFUNCTION("""COMPUTED_VALUE"""),2355)</f>
        <v>2355</v>
      </c>
      <c r="E492" s="2">
        <f ca="1">IFERROR(__xludf.DUMMYFUNCTION("""COMPUTED_VALUE"""),2360)</f>
        <v>2360</v>
      </c>
      <c r="F492" s="2">
        <f ca="1">IFERROR(__xludf.DUMMYFUNCTION("""COMPUTED_VALUE"""),12558900)</f>
        <v>12558900</v>
      </c>
    </row>
    <row r="493" spans="1:6">
      <c r="A493" s="5">
        <f ca="1">IFERROR(__xludf.DUMMYFUNCTION("""COMPUTED_VALUE"""),42746.625)</f>
        <v>42746.625</v>
      </c>
      <c r="B493" s="2">
        <f ca="1">IFERROR(__xludf.DUMMYFUNCTION("""COMPUTED_VALUE"""),2350)</f>
        <v>2350</v>
      </c>
      <c r="C493" s="2">
        <f ca="1">IFERROR(__xludf.DUMMYFUNCTION("""COMPUTED_VALUE"""),2385)</f>
        <v>2385</v>
      </c>
      <c r="D493" s="2">
        <f ca="1">IFERROR(__xludf.DUMMYFUNCTION("""COMPUTED_VALUE"""),2350)</f>
        <v>2350</v>
      </c>
      <c r="E493" s="2">
        <f ca="1">IFERROR(__xludf.DUMMYFUNCTION("""COMPUTED_VALUE"""),2360)</f>
        <v>2360</v>
      </c>
      <c r="F493" s="2">
        <f ca="1">IFERROR(__xludf.DUMMYFUNCTION("""COMPUTED_VALUE"""),13661800)</f>
        <v>13661800</v>
      </c>
    </row>
    <row r="494" spans="1:6">
      <c r="A494" s="5">
        <f ca="1">IFERROR(__xludf.DUMMYFUNCTION("""COMPUTED_VALUE"""),42747.625)</f>
        <v>42747.625</v>
      </c>
      <c r="B494" s="2">
        <f ca="1">IFERROR(__xludf.DUMMYFUNCTION("""COMPUTED_VALUE"""),2380)</f>
        <v>2380</v>
      </c>
      <c r="C494" s="2">
        <f ca="1">IFERROR(__xludf.DUMMYFUNCTION("""COMPUTED_VALUE"""),2385)</f>
        <v>2385</v>
      </c>
      <c r="D494" s="2">
        <f ca="1">IFERROR(__xludf.DUMMYFUNCTION("""COMPUTED_VALUE"""),2375)</f>
        <v>2375</v>
      </c>
      <c r="E494" s="2">
        <f ca="1">IFERROR(__xludf.DUMMYFUNCTION("""COMPUTED_VALUE"""),2375)</f>
        <v>2375</v>
      </c>
      <c r="F494" s="2">
        <f ca="1">IFERROR(__xludf.DUMMYFUNCTION("""COMPUTED_VALUE"""),13239300)</f>
        <v>13239300</v>
      </c>
    </row>
    <row r="495" spans="1:6">
      <c r="A495" s="5">
        <f ca="1">IFERROR(__xludf.DUMMYFUNCTION("""COMPUTED_VALUE"""),42748.625)</f>
        <v>42748.625</v>
      </c>
      <c r="B495" s="2">
        <f ca="1">IFERROR(__xludf.DUMMYFUNCTION("""COMPUTED_VALUE"""),2390)</f>
        <v>2390</v>
      </c>
      <c r="C495" s="2">
        <f ca="1">IFERROR(__xludf.DUMMYFUNCTION("""COMPUTED_VALUE"""),2400)</f>
        <v>2400</v>
      </c>
      <c r="D495" s="2">
        <f ca="1">IFERROR(__xludf.DUMMYFUNCTION("""COMPUTED_VALUE"""),2375)</f>
        <v>2375</v>
      </c>
      <c r="E495" s="2">
        <f ca="1">IFERROR(__xludf.DUMMYFUNCTION("""COMPUTED_VALUE"""),2390)</f>
        <v>2390</v>
      </c>
      <c r="F495" s="2">
        <f ca="1">IFERROR(__xludf.DUMMYFUNCTION("""COMPUTED_VALUE"""),20088000)</f>
        <v>20088000</v>
      </c>
    </row>
    <row r="496" spans="1:6">
      <c r="A496" s="5">
        <f ca="1">IFERROR(__xludf.DUMMYFUNCTION("""COMPUTED_VALUE"""),42751.625)</f>
        <v>42751.625</v>
      </c>
      <c r="B496" s="2">
        <f ca="1">IFERROR(__xludf.DUMMYFUNCTION("""COMPUTED_VALUE"""),2400)</f>
        <v>2400</v>
      </c>
      <c r="C496" s="2">
        <f ca="1">IFERROR(__xludf.DUMMYFUNCTION("""COMPUTED_VALUE"""),2400)</f>
        <v>2400</v>
      </c>
      <c r="D496" s="2">
        <f ca="1">IFERROR(__xludf.DUMMYFUNCTION("""COMPUTED_VALUE"""),2380)</f>
        <v>2380</v>
      </c>
      <c r="E496" s="2">
        <f ca="1">IFERROR(__xludf.DUMMYFUNCTION("""COMPUTED_VALUE"""),2380)</f>
        <v>2380</v>
      </c>
      <c r="F496" s="2">
        <f ca="1">IFERROR(__xludf.DUMMYFUNCTION("""COMPUTED_VALUE"""),18457100)</f>
        <v>18457100</v>
      </c>
    </row>
    <row r="497" spans="1:6">
      <c r="A497" s="5">
        <f ca="1">IFERROR(__xludf.DUMMYFUNCTION("""COMPUTED_VALUE"""),42752.625)</f>
        <v>42752.625</v>
      </c>
      <c r="B497" s="2">
        <f ca="1">IFERROR(__xludf.DUMMYFUNCTION("""COMPUTED_VALUE"""),2375)</f>
        <v>2375</v>
      </c>
      <c r="C497" s="2">
        <f ca="1">IFERROR(__xludf.DUMMYFUNCTION("""COMPUTED_VALUE"""),2395)</f>
        <v>2395</v>
      </c>
      <c r="D497" s="2">
        <f ca="1">IFERROR(__xludf.DUMMYFUNCTION("""COMPUTED_VALUE"""),2375)</f>
        <v>2375</v>
      </c>
      <c r="E497" s="2">
        <f ca="1">IFERROR(__xludf.DUMMYFUNCTION("""COMPUTED_VALUE"""),2385)</f>
        <v>2385</v>
      </c>
      <c r="F497" s="2">
        <f ca="1">IFERROR(__xludf.DUMMYFUNCTION("""COMPUTED_VALUE"""),7867400)</f>
        <v>7867400</v>
      </c>
    </row>
    <row r="498" spans="1:6">
      <c r="A498" s="5">
        <f ca="1">IFERROR(__xludf.DUMMYFUNCTION("""COMPUTED_VALUE"""),42753.625)</f>
        <v>42753.625</v>
      </c>
      <c r="B498" s="2">
        <f ca="1">IFERROR(__xludf.DUMMYFUNCTION("""COMPUTED_VALUE"""),2380)</f>
        <v>2380</v>
      </c>
      <c r="C498" s="2">
        <f ca="1">IFERROR(__xludf.DUMMYFUNCTION("""COMPUTED_VALUE"""),2395)</f>
        <v>2395</v>
      </c>
      <c r="D498" s="2">
        <f ca="1">IFERROR(__xludf.DUMMYFUNCTION("""COMPUTED_VALUE"""),2370)</f>
        <v>2370</v>
      </c>
      <c r="E498" s="2">
        <f ca="1">IFERROR(__xludf.DUMMYFUNCTION("""COMPUTED_VALUE"""),2390)</f>
        <v>2390</v>
      </c>
      <c r="F498" s="2">
        <f ca="1">IFERROR(__xludf.DUMMYFUNCTION("""COMPUTED_VALUE"""),12772200)</f>
        <v>12772200</v>
      </c>
    </row>
    <row r="499" spans="1:6">
      <c r="A499" s="5">
        <f ca="1">IFERROR(__xludf.DUMMYFUNCTION("""COMPUTED_VALUE"""),42754.625)</f>
        <v>42754.625</v>
      </c>
      <c r="B499" s="2">
        <f ca="1">IFERROR(__xludf.DUMMYFUNCTION("""COMPUTED_VALUE"""),2390)</f>
        <v>2390</v>
      </c>
      <c r="C499" s="2">
        <f ca="1">IFERROR(__xludf.DUMMYFUNCTION("""COMPUTED_VALUE"""),2400)</f>
        <v>2400</v>
      </c>
      <c r="D499" s="2">
        <f ca="1">IFERROR(__xludf.DUMMYFUNCTION("""COMPUTED_VALUE"""),2385)</f>
        <v>2385</v>
      </c>
      <c r="E499" s="2">
        <f ca="1">IFERROR(__xludf.DUMMYFUNCTION("""COMPUTED_VALUE"""),2400)</f>
        <v>2400</v>
      </c>
      <c r="F499" s="2">
        <f ca="1">IFERROR(__xludf.DUMMYFUNCTION("""COMPUTED_VALUE"""),16740700)</f>
        <v>16740700</v>
      </c>
    </row>
    <row r="500" spans="1:6">
      <c r="A500" s="5">
        <f ca="1">IFERROR(__xludf.DUMMYFUNCTION("""COMPUTED_VALUE"""),42755.625)</f>
        <v>42755.625</v>
      </c>
      <c r="B500" s="2">
        <f ca="1">IFERROR(__xludf.DUMMYFUNCTION("""COMPUTED_VALUE"""),2395)</f>
        <v>2395</v>
      </c>
      <c r="C500" s="2">
        <f ca="1">IFERROR(__xludf.DUMMYFUNCTION("""COMPUTED_VALUE"""),2395)</f>
        <v>2395</v>
      </c>
      <c r="D500" s="2">
        <f ca="1">IFERROR(__xludf.DUMMYFUNCTION("""COMPUTED_VALUE"""),2360)</f>
        <v>2360</v>
      </c>
      <c r="E500" s="2">
        <f ca="1">IFERROR(__xludf.DUMMYFUNCTION("""COMPUTED_VALUE"""),2360)</f>
        <v>2360</v>
      </c>
      <c r="F500" s="2">
        <f ca="1">IFERROR(__xludf.DUMMYFUNCTION("""COMPUTED_VALUE"""),7300500)</f>
        <v>7300500</v>
      </c>
    </row>
    <row r="501" spans="1:6">
      <c r="A501" s="5">
        <f ca="1">IFERROR(__xludf.DUMMYFUNCTION("""COMPUTED_VALUE"""),42758.625)</f>
        <v>42758.625</v>
      </c>
      <c r="B501" s="2">
        <f ca="1">IFERROR(__xludf.DUMMYFUNCTION("""COMPUTED_VALUE"""),2350)</f>
        <v>2350</v>
      </c>
      <c r="C501" s="2">
        <f ca="1">IFERROR(__xludf.DUMMYFUNCTION("""COMPUTED_VALUE"""),2380)</f>
        <v>2380</v>
      </c>
      <c r="D501" s="2">
        <f ca="1">IFERROR(__xludf.DUMMYFUNCTION("""COMPUTED_VALUE"""),2350)</f>
        <v>2350</v>
      </c>
      <c r="E501" s="2">
        <f ca="1">IFERROR(__xludf.DUMMYFUNCTION("""COMPUTED_VALUE"""),2360)</f>
        <v>2360</v>
      </c>
      <c r="F501" s="2">
        <f ca="1">IFERROR(__xludf.DUMMYFUNCTION("""COMPUTED_VALUE"""),9343600)</f>
        <v>9343600</v>
      </c>
    </row>
    <row r="502" spans="1:6">
      <c r="A502" s="5">
        <f ca="1">IFERROR(__xludf.DUMMYFUNCTION("""COMPUTED_VALUE"""),42759.625)</f>
        <v>42759.625</v>
      </c>
      <c r="B502" s="2">
        <f ca="1">IFERROR(__xludf.DUMMYFUNCTION("""COMPUTED_VALUE"""),2365)</f>
        <v>2365</v>
      </c>
      <c r="C502" s="2">
        <f ca="1">IFERROR(__xludf.DUMMYFUNCTION("""COMPUTED_VALUE"""),2380)</f>
        <v>2380</v>
      </c>
      <c r="D502" s="2">
        <f ca="1">IFERROR(__xludf.DUMMYFUNCTION("""COMPUTED_VALUE"""),2360)</f>
        <v>2360</v>
      </c>
      <c r="E502" s="2">
        <f ca="1">IFERROR(__xludf.DUMMYFUNCTION("""COMPUTED_VALUE"""),2365)</f>
        <v>2365</v>
      </c>
      <c r="F502" s="2">
        <f ca="1">IFERROR(__xludf.DUMMYFUNCTION("""COMPUTED_VALUE"""),12019100)</f>
        <v>12019100</v>
      </c>
    </row>
    <row r="503" spans="1:6">
      <c r="A503" s="5">
        <f ca="1">IFERROR(__xludf.DUMMYFUNCTION("""COMPUTED_VALUE"""),42760.625)</f>
        <v>42760.625</v>
      </c>
      <c r="B503" s="2">
        <f ca="1">IFERROR(__xludf.DUMMYFUNCTION("""COMPUTED_VALUE"""),2360)</f>
        <v>2360</v>
      </c>
      <c r="C503" s="2">
        <f ca="1">IFERROR(__xludf.DUMMYFUNCTION("""COMPUTED_VALUE"""),2375)</f>
        <v>2375</v>
      </c>
      <c r="D503" s="2">
        <f ca="1">IFERROR(__xludf.DUMMYFUNCTION("""COMPUTED_VALUE"""),2340)</f>
        <v>2340</v>
      </c>
      <c r="E503" s="2">
        <f ca="1">IFERROR(__xludf.DUMMYFUNCTION("""COMPUTED_VALUE"""),2340)</f>
        <v>2340</v>
      </c>
      <c r="F503" s="2">
        <f ca="1">IFERROR(__xludf.DUMMYFUNCTION("""COMPUTED_VALUE"""),22868100)</f>
        <v>22868100</v>
      </c>
    </row>
    <row r="504" spans="1:6">
      <c r="A504" s="5">
        <f ca="1">IFERROR(__xludf.DUMMYFUNCTION("""COMPUTED_VALUE"""),42761.625)</f>
        <v>42761.625</v>
      </c>
      <c r="B504" s="2">
        <f ca="1">IFERROR(__xludf.DUMMYFUNCTION("""COMPUTED_VALUE"""),2355)</f>
        <v>2355</v>
      </c>
      <c r="C504" s="2">
        <f ca="1">IFERROR(__xludf.DUMMYFUNCTION("""COMPUTED_VALUE"""),2365)</f>
        <v>2365</v>
      </c>
      <c r="D504" s="2">
        <f ca="1">IFERROR(__xludf.DUMMYFUNCTION("""COMPUTED_VALUE"""),2345)</f>
        <v>2345</v>
      </c>
      <c r="E504" s="2">
        <f ca="1">IFERROR(__xludf.DUMMYFUNCTION("""COMPUTED_VALUE"""),2350)</f>
        <v>2350</v>
      </c>
      <c r="F504" s="2">
        <f ca="1">IFERROR(__xludf.DUMMYFUNCTION("""COMPUTED_VALUE"""),17099700)</f>
        <v>17099700</v>
      </c>
    </row>
    <row r="505" spans="1:6">
      <c r="A505" s="5">
        <f ca="1">IFERROR(__xludf.DUMMYFUNCTION("""COMPUTED_VALUE"""),42762.625)</f>
        <v>42762.625</v>
      </c>
      <c r="B505" s="2">
        <f ca="1">IFERROR(__xludf.DUMMYFUNCTION("""COMPUTED_VALUE"""),2340)</f>
        <v>2340</v>
      </c>
      <c r="C505" s="2">
        <f ca="1">IFERROR(__xludf.DUMMYFUNCTION("""COMPUTED_VALUE"""),2350)</f>
        <v>2350</v>
      </c>
      <c r="D505" s="2">
        <f ca="1">IFERROR(__xludf.DUMMYFUNCTION("""COMPUTED_VALUE"""),2335)</f>
        <v>2335</v>
      </c>
      <c r="E505" s="2">
        <f ca="1">IFERROR(__xludf.DUMMYFUNCTION("""COMPUTED_VALUE"""),2345)</f>
        <v>2345</v>
      </c>
      <c r="F505" s="2">
        <f ca="1">IFERROR(__xludf.DUMMYFUNCTION("""COMPUTED_VALUE"""),9837500)</f>
        <v>9837500</v>
      </c>
    </row>
    <row r="506" spans="1:6">
      <c r="A506" s="5">
        <f ca="1">IFERROR(__xludf.DUMMYFUNCTION("""COMPUTED_VALUE"""),42765.625)</f>
        <v>42765.625</v>
      </c>
      <c r="B506" s="2">
        <f ca="1">IFERROR(__xludf.DUMMYFUNCTION("""COMPUTED_VALUE"""),2365)</f>
        <v>2365</v>
      </c>
      <c r="C506" s="2">
        <f ca="1">IFERROR(__xludf.DUMMYFUNCTION("""COMPUTED_VALUE"""),2370)</f>
        <v>2370</v>
      </c>
      <c r="D506" s="2">
        <f ca="1">IFERROR(__xludf.DUMMYFUNCTION("""COMPUTED_VALUE"""),2350)</f>
        <v>2350</v>
      </c>
      <c r="E506" s="2">
        <f ca="1">IFERROR(__xludf.DUMMYFUNCTION("""COMPUTED_VALUE"""),2350)</f>
        <v>2350</v>
      </c>
      <c r="F506" s="2">
        <f ca="1">IFERROR(__xludf.DUMMYFUNCTION("""COMPUTED_VALUE"""),11857700)</f>
        <v>11857700</v>
      </c>
    </row>
    <row r="507" spans="1:6">
      <c r="A507" s="5">
        <f ca="1">IFERROR(__xludf.DUMMYFUNCTION("""COMPUTED_VALUE"""),42766.625)</f>
        <v>42766.625</v>
      </c>
      <c r="B507" s="2">
        <f ca="1">IFERROR(__xludf.DUMMYFUNCTION("""COMPUTED_VALUE"""),2350)</f>
        <v>2350</v>
      </c>
      <c r="C507" s="2">
        <f ca="1">IFERROR(__xludf.DUMMYFUNCTION("""COMPUTED_VALUE"""),2365)</f>
        <v>2365</v>
      </c>
      <c r="D507" s="2">
        <f ca="1">IFERROR(__xludf.DUMMYFUNCTION("""COMPUTED_VALUE"""),2340)</f>
        <v>2340</v>
      </c>
      <c r="E507" s="2">
        <f ca="1">IFERROR(__xludf.DUMMYFUNCTION("""COMPUTED_VALUE"""),2345)</f>
        <v>2345</v>
      </c>
      <c r="F507" s="2">
        <f ca="1">IFERROR(__xludf.DUMMYFUNCTION("""COMPUTED_VALUE"""),13676600)</f>
        <v>13676600</v>
      </c>
    </row>
    <row r="508" spans="1:6">
      <c r="A508" s="5">
        <f ca="1">IFERROR(__xludf.DUMMYFUNCTION("""COMPUTED_VALUE"""),42767.625)</f>
        <v>42767.625</v>
      </c>
      <c r="B508" s="2">
        <f ca="1">IFERROR(__xludf.DUMMYFUNCTION("""COMPUTED_VALUE"""),2360)</f>
        <v>2360</v>
      </c>
      <c r="C508" s="2">
        <f ca="1">IFERROR(__xludf.DUMMYFUNCTION("""COMPUTED_VALUE"""),2395)</f>
        <v>2395</v>
      </c>
      <c r="D508" s="2">
        <f ca="1">IFERROR(__xludf.DUMMYFUNCTION("""COMPUTED_VALUE"""),2355)</f>
        <v>2355</v>
      </c>
      <c r="E508" s="2">
        <f ca="1">IFERROR(__xludf.DUMMYFUNCTION("""COMPUTED_VALUE"""),2390)</f>
        <v>2390</v>
      </c>
      <c r="F508" s="2">
        <f ca="1">IFERROR(__xludf.DUMMYFUNCTION("""COMPUTED_VALUE"""),32443300)</f>
        <v>32443300</v>
      </c>
    </row>
    <row r="509" spans="1:6">
      <c r="A509" s="5">
        <f ca="1">IFERROR(__xludf.DUMMYFUNCTION("""COMPUTED_VALUE"""),42768.625)</f>
        <v>42768.625</v>
      </c>
      <c r="B509" s="2">
        <f ca="1">IFERROR(__xludf.DUMMYFUNCTION("""COMPUTED_VALUE"""),2400)</f>
        <v>2400</v>
      </c>
      <c r="C509" s="2">
        <f ca="1">IFERROR(__xludf.DUMMYFUNCTION("""COMPUTED_VALUE"""),2405)</f>
        <v>2405</v>
      </c>
      <c r="D509" s="2">
        <f ca="1">IFERROR(__xludf.DUMMYFUNCTION("""COMPUTED_VALUE"""),2385)</f>
        <v>2385</v>
      </c>
      <c r="E509" s="2">
        <f ca="1">IFERROR(__xludf.DUMMYFUNCTION("""COMPUTED_VALUE"""),2395)</f>
        <v>2395</v>
      </c>
      <c r="F509" s="2">
        <f ca="1">IFERROR(__xludf.DUMMYFUNCTION("""COMPUTED_VALUE"""),23482700)</f>
        <v>23482700</v>
      </c>
    </row>
    <row r="510" spans="1:6">
      <c r="A510" s="5">
        <f ca="1">IFERROR(__xludf.DUMMYFUNCTION("""COMPUTED_VALUE"""),42769.625)</f>
        <v>42769.625</v>
      </c>
      <c r="B510" s="2">
        <f ca="1">IFERROR(__xludf.DUMMYFUNCTION("""COMPUTED_VALUE"""),2400)</f>
        <v>2400</v>
      </c>
      <c r="C510" s="2">
        <f ca="1">IFERROR(__xludf.DUMMYFUNCTION("""COMPUTED_VALUE"""),2410)</f>
        <v>2410</v>
      </c>
      <c r="D510" s="2">
        <f ca="1">IFERROR(__xludf.DUMMYFUNCTION("""COMPUTED_VALUE"""),2395)</f>
        <v>2395</v>
      </c>
      <c r="E510" s="2">
        <f ca="1">IFERROR(__xludf.DUMMYFUNCTION("""COMPUTED_VALUE"""),2400)</f>
        <v>2400</v>
      </c>
      <c r="F510" s="2">
        <f ca="1">IFERROR(__xludf.DUMMYFUNCTION("""COMPUTED_VALUE"""),24575400)</f>
        <v>24575400</v>
      </c>
    </row>
    <row r="511" spans="1:6">
      <c r="A511" s="5">
        <f ca="1">IFERROR(__xludf.DUMMYFUNCTION("""COMPUTED_VALUE"""),42772.625)</f>
        <v>42772.625</v>
      </c>
      <c r="B511" s="2">
        <f ca="1">IFERROR(__xludf.DUMMYFUNCTION("""COMPUTED_VALUE"""),2415)</f>
        <v>2415</v>
      </c>
      <c r="C511" s="2">
        <f ca="1">IFERROR(__xludf.DUMMYFUNCTION("""COMPUTED_VALUE"""),2425)</f>
        <v>2425</v>
      </c>
      <c r="D511" s="2">
        <f ca="1">IFERROR(__xludf.DUMMYFUNCTION("""COMPUTED_VALUE"""),2400)</f>
        <v>2400</v>
      </c>
      <c r="E511" s="2">
        <f ca="1">IFERROR(__xludf.DUMMYFUNCTION("""COMPUTED_VALUE"""),2410)</f>
        <v>2410</v>
      </c>
      <c r="F511" s="2">
        <f ca="1">IFERROR(__xludf.DUMMYFUNCTION("""COMPUTED_VALUE"""),45633200)</f>
        <v>45633200</v>
      </c>
    </row>
    <row r="512" spans="1:6">
      <c r="A512" s="5">
        <f ca="1">IFERROR(__xludf.DUMMYFUNCTION("""COMPUTED_VALUE"""),42773.625)</f>
        <v>42773.625</v>
      </c>
      <c r="B512" s="2">
        <f ca="1">IFERROR(__xludf.DUMMYFUNCTION("""COMPUTED_VALUE"""),2410)</f>
        <v>2410</v>
      </c>
      <c r="C512" s="2">
        <f ca="1">IFERROR(__xludf.DUMMYFUNCTION("""COMPUTED_VALUE"""),2415)</f>
        <v>2415</v>
      </c>
      <c r="D512" s="2">
        <f ca="1">IFERROR(__xludf.DUMMYFUNCTION("""COMPUTED_VALUE"""),2400)</f>
        <v>2400</v>
      </c>
      <c r="E512" s="2">
        <f ca="1">IFERROR(__xludf.DUMMYFUNCTION("""COMPUTED_VALUE"""),2405)</f>
        <v>2405</v>
      </c>
      <c r="F512" s="2">
        <f ca="1">IFERROR(__xludf.DUMMYFUNCTION("""COMPUTED_VALUE"""),15542400)</f>
        <v>15542400</v>
      </c>
    </row>
    <row r="513" spans="1:6">
      <c r="A513" s="5">
        <f ca="1">IFERROR(__xludf.DUMMYFUNCTION("""COMPUTED_VALUE"""),42774.625)</f>
        <v>42774.625</v>
      </c>
      <c r="B513" s="2">
        <f ca="1">IFERROR(__xludf.DUMMYFUNCTION("""COMPUTED_VALUE"""),2395)</f>
        <v>2395</v>
      </c>
      <c r="C513" s="2">
        <f ca="1">IFERROR(__xludf.DUMMYFUNCTION("""COMPUTED_VALUE"""),2400)</f>
        <v>2400</v>
      </c>
      <c r="D513" s="2">
        <f ca="1">IFERROR(__xludf.DUMMYFUNCTION("""COMPUTED_VALUE"""),2365)</f>
        <v>2365</v>
      </c>
      <c r="E513" s="2">
        <f ca="1">IFERROR(__xludf.DUMMYFUNCTION("""COMPUTED_VALUE"""),2390)</f>
        <v>2390</v>
      </c>
      <c r="F513" s="2">
        <f ca="1">IFERROR(__xludf.DUMMYFUNCTION("""COMPUTED_VALUE"""),26731400)</f>
        <v>26731400</v>
      </c>
    </row>
    <row r="514" spans="1:6">
      <c r="A514" s="5">
        <f ca="1">IFERROR(__xludf.DUMMYFUNCTION("""COMPUTED_VALUE"""),42775.625)</f>
        <v>42775.625</v>
      </c>
      <c r="B514" s="2">
        <f ca="1">IFERROR(__xludf.DUMMYFUNCTION("""COMPUTED_VALUE"""),2395)</f>
        <v>2395</v>
      </c>
      <c r="C514" s="2">
        <f ca="1">IFERROR(__xludf.DUMMYFUNCTION("""COMPUTED_VALUE"""),2405)</f>
        <v>2405</v>
      </c>
      <c r="D514" s="2">
        <f ca="1">IFERROR(__xludf.DUMMYFUNCTION("""COMPUTED_VALUE"""),2385)</f>
        <v>2385</v>
      </c>
      <c r="E514" s="2">
        <f ca="1">IFERROR(__xludf.DUMMYFUNCTION("""COMPUTED_VALUE"""),2395)</f>
        <v>2395</v>
      </c>
      <c r="F514" s="2">
        <f ca="1">IFERROR(__xludf.DUMMYFUNCTION("""COMPUTED_VALUE"""),23236400)</f>
        <v>23236400</v>
      </c>
    </row>
    <row r="515" spans="1:6">
      <c r="A515" s="5">
        <f ca="1">IFERROR(__xludf.DUMMYFUNCTION("""COMPUTED_VALUE"""),42776.625)</f>
        <v>42776.625</v>
      </c>
      <c r="B515" s="2">
        <f ca="1">IFERROR(__xludf.DUMMYFUNCTION("""COMPUTED_VALUE"""),2395)</f>
        <v>2395</v>
      </c>
      <c r="C515" s="2">
        <f ca="1">IFERROR(__xludf.DUMMYFUNCTION("""COMPUTED_VALUE"""),2410)</f>
        <v>2410</v>
      </c>
      <c r="D515" s="2">
        <f ca="1">IFERROR(__xludf.DUMMYFUNCTION("""COMPUTED_VALUE"""),2395)</f>
        <v>2395</v>
      </c>
      <c r="E515" s="2">
        <f ca="1">IFERROR(__xludf.DUMMYFUNCTION("""COMPUTED_VALUE"""),2405)</f>
        <v>2405</v>
      </c>
      <c r="F515" s="2">
        <f ca="1">IFERROR(__xludf.DUMMYFUNCTION("""COMPUTED_VALUE"""),17366100)</f>
        <v>17366100</v>
      </c>
    </row>
    <row r="516" spans="1:6">
      <c r="A516" s="5">
        <f ca="1">IFERROR(__xludf.DUMMYFUNCTION("""COMPUTED_VALUE"""),42779.625)</f>
        <v>42779.625</v>
      </c>
      <c r="B516" s="2">
        <f ca="1">IFERROR(__xludf.DUMMYFUNCTION("""COMPUTED_VALUE"""),2415)</f>
        <v>2415</v>
      </c>
      <c r="C516" s="2">
        <f ca="1">IFERROR(__xludf.DUMMYFUNCTION("""COMPUTED_VALUE"""),2425)</f>
        <v>2425</v>
      </c>
      <c r="D516" s="2">
        <f ca="1">IFERROR(__xludf.DUMMYFUNCTION("""COMPUTED_VALUE"""),2400)</f>
        <v>2400</v>
      </c>
      <c r="E516" s="2">
        <f ca="1">IFERROR(__xludf.DUMMYFUNCTION("""COMPUTED_VALUE"""),2415)</f>
        <v>2415</v>
      </c>
      <c r="F516" s="2">
        <f ca="1">IFERROR(__xludf.DUMMYFUNCTION("""COMPUTED_VALUE"""),17517300)</f>
        <v>17517300</v>
      </c>
    </row>
    <row r="517" spans="1:6">
      <c r="A517" s="5">
        <f ca="1">IFERROR(__xludf.DUMMYFUNCTION("""COMPUTED_VALUE"""),42780.625)</f>
        <v>42780.625</v>
      </c>
      <c r="B517" s="2">
        <f ca="1">IFERROR(__xludf.DUMMYFUNCTION("""COMPUTED_VALUE"""),2400)</f>
        <v>2400</v>
      </c>
      <c r="C517" s="2">
        <f ca="1">IFERROR(__xludf.DUMMYFUNCTION("""COMPUTED_VALUE"""),2415)</f>
        <v>2415</v>
      </c>
      <c r="D517" s="2">
        <f ca="1">IFERROR(__xludf.DUMMYFUNCTION("""COMPUTED_VALUE"""),2380)</f>
        <v>2380</v>
      </c>
      <c r="E517" s="2">
        <f ca="1">IFERROR(__xludf.DUMMYFUNCTION("""COMPUTED_VALUE"""),2400)</f>
        <v>2400</v>
      </c>
      <c r="F517" s="2">
        <f ca="1">IFERROR(__xludf.DUMMYFUNCTION("""COMPUTED_VALUE"""),12569800)</f>
        <v>12569800</v>
      </c>
    </row>
    <row r="518" spans="1:6">
      <c r="A518" s="5">
        <f ca="1">IFERROR(__xludf.DUMMYFUNCTION("""COMPUTED_VALUE"""),42782.625)</f>
        <v>42782.625</v>
      </c>
      <c r="B518" s="2">
        <f ca="1">IFERROR(__xludf.DUMMYFUNCTION("""COMPUTED_VALUE"""),2400)</f>
        <v>2400</v>
      </c>
      <c r="C518" s="2">
        <f ca="1">IFERROR(__xludf.DUMMYFUNCTION("""COMPUTED_VALUE"""),2400)</f>
        <v>2400</v>
      </c>
      <c r="D518" s="2">
        <f ca="1">IFERROR(__xludf.DUMMYFUNCTION("""COMPUTED_VALUE"""),2355)</f>
        <v>2355</v>
      </c>
      <c r="E518" s="2">
        <f ca="1">IFERROR(__xludf.DUMMYFUNCTION("""COMPUTED_VALUE"""),2400)</f>
        <v>2400</v>
      </c>
      <c r="F518" s="2">
        <f ca="1">IFERROR(__xludf.DUMMYFUNCTION("""COMPUTED_VALUE"""),23412200)</f>
        <v>23412200</v>
      </c>
    </row>
    <row r="519" spans="1:6">
      <c r="A519" s="5">
        <f ca="1">IFERROR(__xludf.DUMMYFUNCTION("""COMPUTED_VALUE"""),42783.625)</f>
        <v>42783.625</v>
      </c>
      <c r="B519" s="2">
        <f ca="1">IFERROR(__xludf.DUMMYFUNCTION("""COMPUTED_VALUE"""),2370)</f>
        <v>2370</v>
      </c>
      <c r="C519" s="2">
        <f ca="1">IFERROR(__xludf.DUMMYFUNCTION("""COMPUTED_VALUE"""),2385)</f>
        <v>2385</v>
      </c>
      <c r="D519" s="2">
        <f ca="1">IFERROR(__xludf.DUMMYFUNCTION("""COMPUTED_VALUE"""),2340)</f>
        <v>2340</v>
      </c>
      <c r="E519" s="2">
        <f ca="1">IFERROR(__xludf.DUMMYFUNCTION("""COMPUTED_VALUE"""),2340)</f>
        <v>2340</v>
      </c>
      <c r="F519" s="2">
        <f ca="1">IFERROR(__xludf.DUMMYFUNCTION("""COMPUTED_VALUE"""),17839900)</f>
        <v>17839900</v>
      </c>
    </row>
    <row r="520" spans="1:6">
      <c r="A520" s="5">
        <f ca="1">IFERROR(__xludf.DUMMYFUNCTION("""COMPUTED_VALUE"""),42786.625)</f>
        <v>42786.625</v>
      </c>
      <c r="B520" s="2">
        <f ca="1">IFERROR(__xludf.DUMMYFUNCTION("""COMPUTED_VALUE"""),2360)</f>
        <v>2360</v>
      </c>
      <c r="C520" s="2">
        <f ca="1">IFERROR(__xludf.DUMMYFUNCTION("""COMPUTED_VALUE"""),2370)</f>
        <v>2370</v>
      </c>
      <c r="D520" s="2">
        <f ca="1">IFERROR(__xludf.DUMMYFUNCTION("""COMPUTED_VALUE"""),2330)</f>
        <v>2330</v>
      </c>
      <c r="E520" s="2">
        <f ca="1">IFERROR(__xludf.DUMMYFUNCTION("""COMPUTED_VALUE"""),2350)</f>
        <v>2350</v>
      </c>
      <c r="F520" s="2">
        <f ca="1">IFERROR(__xludf.DUMMYFUNCTION("""COMPUTED_VALUE"""),15106000)</f>
        <v>15106000</v>
      </c>
    </row>
    <row r="521" spans="1:6">
      <c r="A521" s="5">
        <f ca="1">IFERROR(__xludf.DUMMYFUNCTION("""COMPUTED_VALUE"""),42787.625)</f>
        <v>42787.625</v>
      </c>
      <c r="B521" s="2">
        <f ca="1">IFERROR(__xludf.DUMMYFUNCTION("""COMPUTED_VALUE"""),2370)</f>
        <v>2370</v>
      </c>
      <c r="C521" s="2">
        <f ca="1">IFERROR(__xludf.DUMMYFUNCTION("""COMPUTED_VALUE"""),2400)</f>
        <v>2400</v>
      </c>
      <c r="D521" s="2">
        <f ca="1">IFERROR(__xludf.DUMMYFUNCTION("""COMPUTED_VALUE"""),2365)</f>
        <v>2365</v>
      </c>
      <c r="E521" s="2">
        <f ca="1">IFERROR(__xludf.DUMMYFUNCTION("""COMPUTED_VALUE"""),2380)</f>
        <v>2380</v>
      </c>
      <c r="F521" s="2">
        <f ca="1">IFERROR(__xludf.DUMMYFUNCTION("""COMPUTED_VALUE"""),15685200)</f>
        <v>15685200</v>
      </c>
    </row>
    <row r="522" spans="1:6">
      <c r="A522" s="5">
        <f ca="1">IFERROR(__xludf.DUMMYFUNCTION("""COMPUTED_VALUE"""),42788.625)</f>
        <v>42788.625</v>
      </c>
      <c r="B522" s="2">
        <f ca="1">IFERROR(__xludf.DUMMYFUNCTION("""COMPUTED_VALUE"""),2400)</f>
        <v>2400</v>
      </c>
      <c r="C522" s="2">
        <f ca="1">IFERROR(__xludf.DUMMYFUNCTION("""COMPUTED_VALUE"""),2400)</f>
        <v>2400</v>
      </c>
      <c r="D522" s="2">
        <f ca="1">IFERROR(__xludf.DUMMYFUNCTION("""COMPUTED_VALUE"""),2380)</f>
        <v>2380</v>
      </c>
      <c r="E522" s="2">
        <f ca="1">IFERROR(__xludf.DUMMYFUNCTION("""COMPUTED_VALUE"""),2400)</f>
        <v>2400</v>
      </c>
      <c r="F522" s="2">
        <f ca="1">IFERROR(__xludf.DUMMYFUNCTION("""COMPUTED_VALUE"""),18832200)</f>
        <v>18832200</v>
      </c>
    </row>
    <row r="523" spans="1:6">
      <c r="A523" s="5">
        <f ca="1">IFERROR(__xludf.DUMMYFUNCTION("""COMPUTED_VALUE"""),42789.625)</f>
        <v>42789.625</v>
      </c>
      <c r="B523" s="2">
        <f ca="1">IFERROR(__xludf.DUMMYFUNCTION("""COMPUTED_VALUE"""),2385)</f>
        <v>2385</v>
      </c>
      <c r="C523" s="2">
        <f ca="1">IFERROR(__xludf.DUMMYFUNCTION("""COMPUTED_VALUE"""),2400)</f>
        <v>2400</v>
      </c>
      <c r="D523" s="2">
        <f ca="1">IFERROR(__xludf.DUMMYFUNCTION("""COMPUTED_VALUE"""),2385)</f>
        <v>2385</v>
      </c>
      <c r="E523" s="2">
        <f ca="1">IFERROR(__xludf.DUMMYFUNCTION("""COMPUTED_VALUE"""),2385)</f>
        <v>2385</v>
      </c>
      <c r="F523" s="2">
        <f ca="1">IFERROR(__xludf.DUMMYFUNCTION("""COMPUTED_VALUE"""),11887400)</f>
        <v>11887400</v>
      </c>
    </row>
    <row r="524" spans="1:6">
      <c r="A524" s="5">
        <f ca="1">IFERROR(__xludf.DUMMYFUNCTION("""COMPUTED_VALUE"""),42790.625)</f>
        <v>42790.625</v>
      </c>
      <c r="B524" s="2">
        <f ca="1">IFERROR(__xludf.DUMMYFUNCTION("""COMPUTED_VALUE"""),2375)</f>
        <v>2375</v>
      </c>
      <c r="C524" s="2">
        <f ca="1">IFERROR(__xludf.DUMMYFUNCTION("""COMPUTED_VALUE"""),2400)</f>
        <v>2400</v>
      </c>
      <c r="D524" s="2">
        <f ca="1">IFERROR(__xludf.DUMMYFUNCTION("""COMPUTED_VALUE"""),2370)</f>
        <v>2370</v>
      </c>
      <c r="E524" s="2">
        <f ca="1">IFERROR(__xludf.DUMMYFUNCTION("""COMPUTED_VALUE"""),2390)</f>
        <v>2390</v>
      </c>
      <c r="F524" s="2">
        <f ca="1">IFERROR(__xludf.DUMMYFUNCTION("""COMPUTED_VALUE"""),15234100)</f>
        <v>15234100</v>
      </c>
    </row>
    <row r="525" spans="1:6">
      <c r="A525" s="5">
        <f ca="1">IFERROR(__xludf.DUMMYFUNCTION("""COMPUTED_VALUE"""),42793.625)</f>
        <v>42793.625</v>
      </c>
      <c r="B525" s="2">
        <f ca="1">IFERROR(__xludf.DUMMYFUNCTION("""COMPUTED_VALUE"""),2400)</f>
        <v>2400</v>
      </c>
      <c r="C525" s="2">
        <f ca="1">IFERROR(__xludf.DUMMYFUNCTION("""COMPUTED_VALUE"""),2400)</f>
        <v>2400</v>
      </c>
      <c r="D525" s="2">
        <f ca="1">IFERROR(__xludf.DUMMYFUNCTION("""COMPUTED_VALUE"""),2375)</f>
        <v>2375</v>
      </c>
      <c r="E525" s="2">
        <f ca="1">IFERROR(__xludf.DUMMYFUNCTION("""COMPUTED_VALUE"""),2375)</f>
        <v>2375</v>
      </c>
      <c r="F525" s="2">
        <f ca="1">IFERROR(__xludf.DUMMYFUNCTION("""COMPUTED_VALUE"""),10578700)</f>
        <v>10578700</v>
      </c>
    </row>
    <row r="526" spans="1:6">
      <c r="A526" s="5">
        <f ca="1">IFERROR(__xludf.DUMMYFUNCTION("""COMPUTED_VALUE"""),42794.625)</f>
        <v>42794.625</v>
      </c>
      <c r="B526" s="2">
        <f ca="1">IFERROR(__xludf.DUMMYFUNCTION("""COMPUTED_VALUE"""),2385)</f>
        <v>2385</v>
      </c>
      <c r="C526" s="2">
        <f ca="1">IFERROR(__xludf.DUMMYFUNCTION("""COMPUTED_VALUE"""),2405)</f>
        <v>2405</v>
      </c>
      <c r="D526" s="2">
        <f ca="1">IFERROR(__xludf.DUMMYFUNCTION("""COMPUTED_VALUE"""),2380)</f>
        <v>2380</v>
      </c>
      <c r="E526" s="2">
        <f ca="1">IFERROR(__xludf.DUMMYFUNCTION("""COMPUTED_VALUE"""),2390)</f>
        <v>2390</v>
      </c>
      <c r="F526" s="2">
        <f ca="1">IFERROR(__xludf.DUMMYFUNCTION("""COMPUTED_VALUE"""),27097600)</f>
        <v>27097600</v>
      </c>
    </row>
    <row r="527" spans="1:6">
      <c r="A527" s="5">
        <f ca="1">IFERROR(__xludf.DUMMYFUNCTION("""COMPUTED_VALUE"""),42795.625)</f>
        <v>42795.625</v>
      </c>
      <c r="B527" s="2">
        <f ca="1">IFERROR(__xludf.DUMMYFUNCTION("""COMPUTED_VALUE"""),2370)</f>
        <v>2370</v>
      </c>
      <c r="C527" s="2">
        <f ca="1">IFERROR(__xludf.DUMMYFUNCTION("""COMPUTED_VALUE"""),2390)</f>
        <v>2390</v>
      </c>
      <c r="D527" s="2">
        <f ca="1">IFERROR(__xludf.DUMMYFUNCTION("""COMPUTED_VALUE"""),2370)</f>
        <v>2370</v>
      </c>
      <c r="E527" s="2">
        <f ca="1">IFERROR(__xludf.DUMMYFUNCTION("""COMPUTED_VALUE"""),2390)</f>
        <v>2390</v>
      </c>
      <c r="F527" s="2">
        <f ca="1">IFERROR(__xludf.DUMMYFUNCTION("""COMPUTED_VALUE"""),10704100)</f>
        <v>10704100</v>
      </c>
    </row>
    <row r="528" spans="1:6">
      <c r="A528" s="5">
        <f ca="1">IFERROR(__xludf.DUMMYFUNCTION("""COMPUTED_VALUE"""),42796.625)</f>
        <v>42796.625</v>
      </c>
      <c r="B528" s="2">
        <f ca="1">IFERROR(__xludf.DUMMYFUNCTION("""COMPUTED_VALUE"""),2395)</f>
        <v>2395</v>
      </c>
      <c r="C528" s="2">
        <f ca="1">IFERROR(__xludf.DUMMYFUNCTION("""COMPUTED_VALUE"""),2400)</f>
        <v>2400</v>
      </c>
      <c r="D528" s="2">
        <f ca="1">IFERROR(__xludf.DUMMYFUNCTION("""COMPUTED_VALUE"""),2370)</f>
        <v>2370</v>
      </c>
      <c r="E528" s="2">
        <f ca="1">IFERROR(__xludf.DUMMYFUNCTION("""COMPUTED_VALUE"""),2370)</f>
        <v>2370</v>
      </c>
      <c r="F528" s="2">
        <f ca="1">IFERROR(__xludf.DUMMYFUNCTION("""COMPUTED_VALUE"""),15819200)</f>
        <v>15819200</v>
      </c>
    </row>
    <row r="529" spans="1:6">
      <c r="A529" s="5">
        <f ca="1">IFERROR(__xludf.DUMMYFUNCTION("""COMPUTED_VALUE"""),42797.625)</f>
        <v>42797.625</v>
      </c>
      <c r="B529" s="2">
        <f ca="1">IFERROR(__xludf.DUMMYFUNCTION("""COMPUTED_VALUE"""),2380)</f>
        <v>2380</v>
      </c>
      <c r="C529" s="2">
        <f ca="1">IFERROR(__xludf.DUMMYFUNCTION("""COMPUTED_VALUE"""),2395)</f>
        <v>2395</v>
      </c>
      <c r="D529" s="2">
        <f ca="1">IFERROR(__xludf.DUMMYFUNCTION("""COMPUTED_VALUE"""),2370)</f>
        <v>2370</v>
      </c>
      <c r="E529" s="2">
        <f ca="1">IFERROR(__xludf.DUMMYFUNCTION("""COMPUTED_VALUE"""),2370)</f>
        <v>2370</v>
      </c>
      <c r="F529" s="2">
        <f ca="1">IFERROR(__xludf.DUMMYFUNCTION("""COMPUTED_VALUE"""),8571900)</f>
        <v>8571900</v>
      </c>
    </row>
    <row r="530" spans="1:6">
      <c r="A530" s="5">
        <f ca="1">IFERROR(__xludf.DUMMYFUNCTION("""COMPUTED_VALUE"""),42800.625)</f>
        <v>42800.625</v>
      </c>
      <c r="B530" s="2">
        <f ca="1">IFERROR(__xludf.DUMMYFUNCTION("""COMPUTED_VALUE"""),2380)</f>
        <v>2380</v>
      </c>
      <c r="C530" s="2">
        <f ca="1">IFERROR(__xludf.DUMMYFUNCTION("""COMPUTED_VALUE"""),2390)</f>
        <v>2390</v>
      </c>
      <c r="D530" s="2">
        <f ca="1">IFERROR(__xludf.DUMMYFUNCTION("""COMPUTED_VALUE"""),2375)</f>
        <v>2375</v>
      </c>
      <c r="E530" s="2">
        <f ca="1">IFERROR(__xludf.DUMMYFUNCTION("""COMPUTED_VALUE"""),2390)</f>
        <v>2390</v>
      </c>
      <c r="F530" s="2">
        <f ca="1">IFERROR(__xludf.DUMMYFUNCTION("""COMPUTED_VALUE"""),9876400)</f>
        <v>9876400</v>
      </c>
    </row>
    <row r="531" spans="1:6">
      <c r="A531" s="5">
        <f ca="1">IFERROR(__xludf.DUMMYFUNCTION("""COMPUTED_VALUE"""),42801.625)</f>
        <v>42801.625</v>
      </c>
      <c r="B531" s="2">
        <f ca="1">IFERROR(__xludf.DUMMYFUNCTION("""COMPUTED_VALUE"""),2400)</f>
        <v>2400</v>
      </c>
      <c r="C531" s="2">
        <f ca="1">IFERROR(__xludf.DUMMYFUNCTION("""COMPUTED_VALUE"""),2400)</f>
        <v>2400</v>
      </c>
      <c r="D531" s="2">
        <f ca="1">IFERROR(__xludf.DUMMYFUNCTION("""COMPUTED_VALUE"""),2385)</f>
        <v>2385</v>
      </c>
      <c r="E531" s="2">
        <f ca="1">IFERROR(__xludf.DUMMYFUNCTION("""COMPUTED_VALUE"""),2400)</f>
        <v>2400</v>
      </c>
      <c r="F531" s="2">
        <f ca="1">IFERROR(__xludf.DUMMYFUNCTION("""COMPUTED_VALUE"""),18823700)</f>
        <v>18823700</v>
      </c>
    </row>
    <row r="532" spans="1:6">
      <c r="A532" s="5">
        <f ca="1">IFERROR(__xludf.DUMMYFUNCTION("""COMPUTED_VALUE"""),42802.625)</f>
        <v>42802.625</v>
      </c>
      <c r="B532" s="2">
        <f ca="1">IFERROR(__xludf.DUMMYFUNCTION("""COMPUTED_VALUE"""),2410)</f>
        <v>2410</v>
      </c>
      <c r="C532" s="2">
        <f ca="1">IFERROR(__xludf.DUMMYFUNCTION("""COMPUTED_VALUE"""),2425)</f>
        <v>2425</v>
      </c>
      <c r="D532" s="2">
        <f ca="1">IFERROR(__xludf.DUMMYFUNCTION("""COMPUTED_VALUE"""),2400)</f>
        <v>2400</v>
      </c>
      <c r="E532" s="2">
        <f ca="1">IFERROR(__xludf.DUMMYFUNCTION("""COMPUTED_VALUE"""),2400)</f>
        <v>2400</v>
      </c>
      <c r="F532" s="2">
        <f ca="1">IFERROR(__xludf.DUMMYFUNCTION("""COMPUTED_VALUE"""),16251900)</f>
        <v>16251900</v>
      </c>
    </row>
    <row r="533" spans="1:6">
      <c r="A533" s="5">
        <f ca="1">IFERROR(__xludf.DUMMYFUNCTION("""COMPUTED_VALUE"""),42803.625)</f>
        <v>42803.625</v>
      </c>
      <c r="B533" s="2">
        <f ca="1">IFERROR(__xludf.DUMMYFUNCTION("""COMPUTED_VALUE"""),2410)</f>
        <v>2410</v>
      </c>
      <c r="C533" s="2">
        <f ca="1">IFERROR(__xludf.DUMMYFUNCTION("""COMPUTED_VALUE"""),2430)</f>
        <v>2430</v>
      </c>
      <c r="D533" s="2">
        <f ca="1">IFERROR(__xludf.DUMMYFUNCTION("""COMPUTED_VALUE"""),2405)</f>
        <v>2405</v>
      </c>
      <c r="E533" s="2">
        <f ca="1">IFERROR(__xludf.DUMMYFUNCTION("""COMPUTED_VALUE"""),2415)</f>
        <v>2415</v>
      </c>
      <c r="F533" s="2">
        <f ca="1">IFERROR(__xludf.DUMMYFUNCTION("""COMPUTED_VALUE"""),14562700)</f>
        <v>14562700</v>
      </c>
    </row>
    <row r="534" spans="1:6">
      <c r="A534" s="5">
        <f ca="1">IFERROR(__xludf.DUMMYFUNCTION("""COMPUTED_VALUE"""),42804.625)</f>
        <v>42804.625</v>
      </c>
      <c r="B534" s="2">
        <f ca="1">IFERROR(__xludf.DUMMYFUNCTION("""COMPUTED_VALUE"""),2430)</f>
        <v>2430</v>
      </c>
      <c r="C534" s="2">
        <f ca="1">IFERROR(__xludf.DUMMYFUNCTION("""COMPUTED_VALUE"""),2430)</f>
        <v>2430</v>
      </c>
      <c r="D534" s="2">
        <f ca="1">IFERROR(__xludf.DUMMYFUNCTION("""COMPUTED_VALUE"""),2405)</f>
        <v>2405</v>
      </c>
      <c r="E534" s="2">
        <f ca="1">IFERROR(__xludf.DUMMYFUNCTION("""COMPUTED_VALUE"""),2415)</f>
        <v>2415</v>
      </c>
      <c r="F534" s="2">
        <f ca="1">IFERROR(__xludf.DUMMYFUNCTION("""COMPUTED_VALUE"""),15215200)</f>
        <v>15215200</v>
      </c>
    </row>
    <row r="535" spans="1:6">
      <c r="A535" s="5">
        <f ca="1">IFERROR(__xludf.DUMMYFUNCTION("""COMPUTED_VALUE"""),42807.625)</f>
        <v>42807.625</v>
      </c>
      <c r="B535" s="2">
        <f ca="1">IFERROR(__xludf.DUMMYFUNCTION("""COMPUTED_VALUE"""),2430)</f>
        <v>2430</v>
      </c>
      <c r="C535" s="2">
        <f ca="1">IFERROR(__xludf.DUMMYFUNCTION("""COMPUTED_VALUE"""),2430)</f>
        <v>2430</v>
      </c>
      <c r="D535" s="2">
        <f ca="1">IFERROR(__xludf.DUMMYFUNCTION("""COMPUTED_VALUE"""),2405)</f>
        <v>2405</v>
      </c>
      <c r="E535" s="2">
        <f ca="1">IFERROR(__xludf.DUMMYFUNCTION("""COMPUTED_VALUE"""),2415)</f>
        <v>2415</v>
      </c>
      <c r="F535" s="2">
        <f ca="1">IFERROR(__xludf.DUMMYFUNCTION("""COMPUTED_VALUE"""),19592700)</f>
        <v>19592700</v>
      </c>
    </row>
    <row r="536" spans="1:6">
      <c r="A536" s="5">
        <f ca="1">IFERROR(__xludf.DUMMYFUNCTION("""COMPUTED_VALUE"""),42808.625)</f>
        <v>42808.625</v>
      </c>
      <c r="B536" s="2">
        <f ca="1">IFERROR(__xludf.DUMMYFUNCTION("""COMPUTED_VALUE"""),2400)</f>
        <v>2400</v>
      </c>
      <c r="C536" s="2">
        <f ca="1">IFERROR(__xludf.DUMMYFUNCTION("""COMPUTED_VALUE"""),2425)</f>
        <v>2425</v>
      </c>
      <c r="D536" s="2">
        <f ca="1">IFERROR(__xludf.DUMMYFUNCTION("""COMPUTED_VALUE"""),2400)</f>
        <v>2400</v>
      </c>
      <c r="E536" s="2">
        <f ca="1">IFERROR(__xludf.DUMMYFUNCTION("""COMPUTED_VALUE"""),2410)</f>
        <v>2410</v>
      </c>
      <c r="F536" s="2">
        <f ca="1">IFERROR(__xludf.DUMMYFUNCTION("""COMPUTED_VALUE"""),10819900)</f>
        <v>10819900</v>
      </c>
    </row>
    <row r="537" spans="1:6">
      <c r="A537" s="5">
        <f ca="1">IFERROR(__xludf.DUMMYFUNCTION("""COMPUTED_VALUE"""),42809.625)</f>
        <v>42809.625</v>
      </c>
      <c r="B537" s="2">
        <f ca="1">IFERROR(__xludf.DUMMYFUNCTION("""COMPUTED_VALUE"""),2410)</f>
        <v>2410</v>
      </c>
      <c r="C537" s="2">
        <f ca="1">IFERROR(__xludf.DUMMYFUNCTION("""COMPUTED_VALUE"""),2445)</f>
        <v>2445</v>
      </c>
      <c r="D537" s="2">
        <f ca="1">IFERROR(__xludf.DUMMYFUNCTION("""COMPUTED_VALUE"""),2410)</f>
        <v>2410</v>
      </c>
      <c r="E537" s="2">
        <f ca="1">IFERROR(__xludf.DUMMYFUNCTION("""COMPUTED_VALUE"""),2430)</f>
        <v>2430</v>
      </c>
      <c r="F537" s="2">
        <f ca="1">IFERROR(__xludf.DUMMYFUNCTION("""COMPUTED_VALUE"""),24287500)</f>
        <v>24287500</v>
      </c>
    </row>
    <row r="538" spans="1:6">
      <c r="A538" s="5">
        <f ca="1">IFERROR(__xludf.DUMMYFUNCTION("""COMPUTED_VALUE"""),42810.625)</f>
        <v>42810.625</v>
      </c>
      <c r="B538" s="2">
        <f ca="1">IFERROR(__xludf.DUMMYFUNCTION("""COMPUTED_VALUE"""),2460)</f>
        <v>2460</v>
      </c>
      <c r="C538" s="2">
        <f ca="1">IFERROR(__xludf.DUMMYFUNCTION("""COMPUTED_VALUE"""),2510)</f>
        <v>2510</v>
      </c>
      <c r="D538" s="2">
        <f ca="1">IFERROR(__xludf.DUMMYFUNCTION("""COMPUTED_VALUE"""),2460)</f>
        <v>2460</v>
      </c>
      <c r="E538" s="2">
        <f ca="1">IFERROR(__xludf.DUMMYFUNCTION("""COMPUTED_VALUE"""),2505)</f>
        <v>2505</v>
      </c>
      <c r="F538" s="2">
        <f ca="1">IFERROR(__xludf.DUMMYFUNCTION("""COMPUTED_VALUE"""),54012600)</f>
        <v>54012600</v>
      </c>
    </row>
    <row r="539" spans="1:6">
      <c r="A539" s="5">
        <f ca="1">IFERROR(__xludf.DUMMYFUNCTION("""COMPUTED_VALUE"""),42811.625)</f>
        <v>42811.625</v>
      </c>
      <c r="B539" s="2">
        <f ca="1">IFERROR(__xludf.DUMMYFUNCTION("""COMPUTED_VALUE"""),2540)</f>
        <v>2540</v>
      </c>
      <c r="C539" s="2">
        <f ca="1">IFERROR(__xludf.DUMMYFUNCTION("""COMPUTED_VALUE"""),2600)</f>
        <v>2600</v>
      </c>
      <c r="D539" s="2">
        <f ca="1">IFERROR(__xludf.DUMMYFUNCTION("""COMPUTED_VALUE"""),2540)</f>
        <v>2540</v>
      </c>
      <c r="E539" s="2">
        <f ca="1">IFERROR(__xludf.DUMMYFUNCTION("""COMPUTED_VALUE"""),2600)</f>
        <v>2600</v>
      </c>
      <c r="F539" s="2">
        <f ca="1">IFERROR(__xludf.DUMMYFUNCTION("""COMPUTED_VALUE"""),74282300)</f>
        <v>74282300</v>
      </c>
    </row>
    <row r="540" spans="1:6">
      <c r="A540" s="5">
        <f ca="1">IFERROR(__xludf.DUMMYFUNCTION("""COMPUTED_VALUE"""),42814.625)</f>
        <v>42814.625</v>
      </c>
      <c r="B540" s="2">
        <f ca="1">IFERROR(__xludf.DUMMYFUNCTION("""COMPUTED_VALUE"""),2620)</f>
        <v>2620</v>
      </c>
      <c r="C540" s="2">
        <f ca="1">IFERROR(__xludf.DUMMYFUNCTION("""COMPUTED_VALUE"""),2650)</f>
        <v>2650</v>
      </c>
      <c r="D540" s="2">
        <f ca="1">IFERROR(__xludf.DUMMYFUNCTION("""COMPUTED_VALUE"""),2580)</f>
        <v>2580</v>
      </c>
      <c r="E540" s="2">
        <f ca="1">IFERROR(__xludf.DUMMYFUNCTION("""COMPUTED_VALUE"""),2600)</f>
        <v>2600</v>
      </c>
      <c r="F540" s="2">
        <f ca="1">IFERROR(__xludf.DUMMYFUNCTION("""COMPUTED_VALUE"""),21753500)</f>
        <v>21753500</v>
      </c>
    </row>
    <row r="541" spans="1:6">
      <c r="A541" s="5">
        <f ca="1">IFERROR(__xludf.DUMMYFUNCTION("""COMPUTED_VALUE"""),42815.625)</f>
        <v>42815.625</v>
      </c>
      <c r="B541" s="2">
        <f ca="1">IFERROR(__xludf.DUMMYFUNCTION("""COMPUTED_VALUE"""),2600)</f>
        <v>2600</v>
      </c>
      <c r="C541" s="2">
        <f ca="1">IFERROR(__xludf.DUMMYFUNCTION("""COMPUTED_VALUE"""),2620)</f>
        <v>2620</v>
      </c>
      <c r="D541" s="2">
        <f ca="1">IFERROR(__xludf.DUMMYFUNCTION("""COMPUTED_VALUE"""),2590)</f>
        <v>2590</v>
      </c>
      <c r="E541" s="2">
        <f ca="1">IFERROR(__xludf.DUMMYFUNCTION("""COMPUTED_VALUE"""),2600)</f>
        <v>2600</v>
      </c>
      <c r="F541" s="2">
        <f ca="1">IFERROR(__xludf.DUMMYFUNCTION("""COMPUTED_VALUE"""),21430200)</f>
        <v>21430200</v>
      </c>
    </row>
    <row r="542" spans="1:6">
      <c r="A542" s="5">
        <f ca="1">IFERROR(__xludf.DUMMYFUNCTION("""COMPUTED_VALUE"""),42816.625)</f>
        <v>42816.625</v>
      </c>
      <c r="B542" s="2">
        <f ca="1">IFERROR(__xludf.DUMMYFUNCTION("""COMPUTED_VALUE"""),2590)</f>
        <v>2590</v>
      </c>
      <c r="C542" s="2">
        <f ca="1">IFERROR(__xludf.DUMMYFUNCTION("""COMPUTED_VALUE"""),2640)</f>
        <v>2640</v>
      </c>
      <c r="D542" s="2">
        <f ca="1">IFERROR(__xludf.DUMMYFUNCTION("""COMPUTED_VALUE"""),2560)</f>
        <v>2560</v>
      </c>
      <c r="E542" s="2">
        <f ca="1">IFERROR(__xludf.DUMMYFUNCTION("""COMPUTED_VALUE"""),2640)</f>
        <v>2640</v>
      </c>
      <c r="F542" s="2">
        <f ca="1">IFERROR(__xludf.DUMMYFUNCTION("""COMPUTED_VALUE"""),47539600)</f>
        <v>47539600</v>
      </c>
    </row>
    <row r="543" spans="1:6">
      <c r="A543" s="5">
        <f ca="1">IFERROR(__xludf.DUMMYFUNCTION("""COMPUTED_VALUE"""),42817.625)</f>
        <v>42817.625</v>
      </c>
      <c r="B543" s="2">
        <f ca="1">IFERROR(__xludf.DUMMYFUNCTION("""COMPUTED_VALUE"""),2600)</f>
        <v>2600</v>
      </c>
      <c r="C543" s="2">
        <f ca="1">IFERROR(__xludf.DUMMYFUNCTION("""COMPUTED_VALUE"""),2635)</f>
        <v>2635</v>
      </c>
      <c r="D543" s="2">
        <f ca="1">IFERROR(__xludf.DUMMYFUNCTION("""COMPUTED_VALUE"""),2580)</f>
        <v>2580</v>
      </c>
      <c r="E543" s="2">
        <f ca="1">IFERROR(__xludf.DUMMYFUNCTION("""COMPUTED_VALUE"""),2630)</f>
        <v>2630</v>
      </c>
      <c r="F543" s="2">
        <f ca="1">IFERROR(__xludf.DUMMYFUNCTION("""COMPUTED_VALUE"""),23232800)</f>
        <v>23232800</v>
      </c>
    </row>
    <row r="544" spans="1:6">
      <c r="A544" s="5">
        <f ca="1">IFERROR(__xludf.DUMMYFUNCTION("""COMPUTED_VALUE"""),42818.625)</f>
        <v>42818.625</v>
      </c>
      <c r="B544" s="2">
        <f ca="1">IFERROR(__xludf.DUMMYFUNCTION("""COMPUTED_VALUE"""),2625)</f>
        <v>2625</v>
      </c>
      <c r="C544" s="2">
        <f ca="1">IFERROR(__xludf.DUMMYFUNCTION("""COMPUTED_VALUE"""),2635)</f>
        <v>2635</v>
      </c>
      <c r="D544" s="2">
        <f ca="1">IFERROR(__xludf.DUMMYFUNCTION("""COMPUTED_VALUE"""),2615)</f>
        <v>2615</v>
      </c>
      <c r="E544" s="2">
        <f ca="1">IFERROR(__xludf.DUMMYFUNCTION("""COMPUTED_VALUE"""),2630)</f>
        <v>2630</v>
      </c>
      <c r="F544" s="2">
        <f ca="1">IFERROR(__xludf.DUMMYFUNCTION("""COMPUTED_VALUE"""),9877800)</f>
        <v>9877800</v>
      </c>
    </row>
    <row r="545" spans="1:6">
      <c r="A545" s="5">
        <f ca="1">IFERROR(__xludf.DUMMYFUNCTION("""COMPUTED_VALUE"""),42821.625)</f>
        <v>42821.625</v>
      </c>
      <c r="B545" s="2">
        <f ca="1">IFERROR(__xludf.DUMMYFUNCTION("""COMPUTED_VALUE"""),2630)</f>
        <v>2630</v>
      </c>
      <c r="C545" s="2">
        <f ca="1">IFERROR(__xludf.DUMMYFUNCTION("""COMPUTED_VALUE"""),2630)</f>
        <v>2630</v>
      </c>
      <c r="D545" s="2">
        <f ca="1">IFERROR(__xludf.DUMMYFUNCTION("""COMPUTED_VALUE"""),2540)</f>
        <v>2540</v>
      </c>
      <c r="E545" s="2">
        <f ca="1">IFERROR(__xludf.DUMMYFUNCTION("""COMPUTED_VALUE"""),2555)</f>
        <v>2555</v>
      </c>
      <c r="F545" s="2">
        <f ca="1">IFERROR(__xludf.DUMMYFUNCTION("""COMPUTED_VALUE"""),14397600)</f>
        <v>14397600</v>
      </c>
    </row>
    <row r="546" spans="1:6">
      <c r="A546" s="5">
        <f ca="1">IFERROR(__xludf.DUMMYFUNCTION("""COMPUTED_VALUE"""),42823.625)</f>
        <v>42823.625</v>
      </c>
      <c r="B546" s="2">
        <f ca="1">IFERROR(__xludf.DUMMYFUNCTION("""COMPUTED_VALUE"""),2580)</f>
        <v>2580</v>
      </c>
      <c r="C546" s="2">
        <f ca="1">IFERROR(__xludf.DUMMYFUNCTION("""COMPUTED_VALUE"""),2595)</f>
        <v>2595</v>
      </c>
      <c r="D546" s="2">
        <f ca="1">IFERROR(__xludf.DUMMYFUNCTION("""COMPUTED_VALUE"""),2560)</f>
        <v>2560</v>
      </c>
      <c r="E546" s="2">
        <f ca="1">IFERROR(__xludf.DUMMYFUNCTION("""COMPUTED_VALUE"""),2565)</f>
        <v>2565</v>
      </c>
      <c r="F546" s="2">
        <f ca="1">IFERROR(__xludf.DUMMYFUNCTION("""COMPUTED_VALUE"""),27752000)</f>
        <v>27752000</v>
      </c>
    </row>
    <row r="547" spans="1:6">
      <c r="A547" s="5">
        <f ca="1">IFERROR(__xludf.DUMMYFUNCTION("""COMPUTED_VALUE"""),42824.625)</f>
        <v>42824.625</v>
      </c>
      <c r="B547" s="2">
        <f ca="1">IFERROR(__xludf.DUMMYFUNCTION("""COMPUTED_VALUE"""),2515)</f>
        <v>2515</v>
      </c>
      <c r="C547" s="2">
        <f ca="1">IFERROR(__xludf.DUMMYFUNCTION("""COMPUTED_VALUE"""),2590)</f>
        <v>2590</v>
      </c>
      <c r="D547" s="2">
        <f ca="1">IFERROR(__xludf.DUMMYFUNCTION("""COMPUTED_VALUE"""),2515)</f>
        <v>2515</v>
      </c>
      <c r="E547" s="2">
        <f ca="1">IFERROR(__xludf.DUMMYFUNCTION("""COMPUTED_VALUE"""),2590)</f>
        <v>2590</v>
      </c>
      <c r="F547" s="2">
        <f ca="1">IFERROR(__xludf.DUMMYFUNCTION("""COMPUTED_VALUE"""),17703400)</f>
        <v>17703400</v>
      </c>
    </row>
    <row r="548" spans="1:6">
      <c r="A548" s="5">
        <f ca="1">IFERROR(__xludf.DUMMYFUNCTION("""COMPUTED_VALUE"""),42825.625)</f>
        <v>42825.625</v>
      </c>
      <c r="B548" s="2">
        <f ca="1">IFERROR(__xludf.DUMMYFUNCTION("""COMPUTED_VALUE"""),2570)</f>
        <v>2570</v>
      </c>
      <c r="C548" s="2">
        <f ca="1">IFERROR(__xludf.DUMMYFUNCTION("""COMPUTED_VALUE"""),2610)</f>
        <v>2610</v>
      </c>
      <c r="D548" s="2">
        <f ca="1">IFERROR(__xludf.DUMMYFUNCTION("""COMPUTED_VALUE"""),2570)</f>
        <v>2570</v>
      </c>
      <c r="E548" s="2">
        <f ca="1">IFERROR(__xludf.DUMMYFUNCTION("""COMPUTED_VALUE"""),2595)</f>
        <v>2595</v>
      </c>
      <c r="F548" s="2">
        <f ca="1">IFERROR(__xludf.DUMMYFUNCTION("""COMPUTED_VALUE"""),14813000)</f>
        <v>14813000</v>
      </c>
    </row>
    <row r="549" spans="1:6">
      <c r="A549" s="5">
        <f ca="1">IFERROR(__xludf.DUMMYFUNCTION("""COMPUTED_VALUE"""),42828.625)</f>
        <v>42828.625</v>
      </c>
      <c r="B549" s="2">
        <f ca="1">IFERROR(__xludf.DUMMYFUNCTION("""COMPUTED_VALUE"""),2595)</f>
        <v>2595</v>
      </c>
      <c r="C549" s="2">
        <f ca="1">IFERROR(__xludf.DUMMYFUNCTION("""COMPUTED_VALUE"""),2630)</f>
        <v>2630</v>
      </c>
      <c r="D549" s="2">
        <f ca="1">IFERROR(__xludf.DUMMYFUNCTION("""COMPUTED_VALUE"""),2590)</f>
        <v>2590</v>
      </c>
      <c r="E549" s="2">
        <f ca="1">IFERROR(__xludf.DUMMYFUNCTION("""COMPUTED_VALUE"""),2605)</f>
        <v>2605</v>
      </c>
      <c r="F549" s="2">
        <f ca="1">IFERROR(__xludf.DUMMYFUNCTION("""COMPUTED_VALUE"""),24085200)</f>
        <v>24085200</v>
      </c>
    </row>
    <row r="550" spans="1:6">
      <c r="A550" s="5">
        <f ca="1">IFERROR(__xludf.DUMMYFUNCTION("""COMPUTED_VALUE"""),42829.625)</f>
        <v>42829.625</v>
      </c>
      <c r="B550" s="2">
        <f ca="1">IFERROR(__xludf.DUMMYFUNCTION("""COMPUTED_VALUE"""),2560)</f>
        <v>2560</v>
      </c>
      <c r="C550" s="2">
        <f ca="1">IFERROR(__xludf.DUMMYFUNCTION("""COMPUTED_VALUE"""),2625)</f>
        <v>2625</v>
      </c>
      <c r="D550" s="2">
        <f ca="1">IFERROR(__xludf.DUMMYFUNCTION("""COMPUTED_VALUE"""),2560)</f>
        <v>2560</v>
      </c>
      <c r="E550" s="2">
        <f ca="1">IFERROR(__xludf.DUMMYFUNCTION("""COMPUTED_VALUE"""),2605)</f>
        <v>2605</v>
      </c>
      <c r="F550" s="2">
        <f ca="1">IFERROR(__xludf.DUMMYFUNCTION("""COMPUTED_VALUE"""),11637000)</f>
        <v>11637000</v>
      </c>
    </row>
    <row r="551" spans="1:6">
      <c r="A551" s="5">
        <f ca="1">IFERROR(__xludf.DUMMYFUNCTION("""COMPUTED_VALUE"""),42830.625)</f>
        <v>42830.625</v>
      </c>
      <c r="B551" s="2">
        <f ca="1">IFERROR(__xludf.DUMMYFUNCTION("""COMPUTED_VALUE"""),2605)</f>
        <v>2605</v>
      </c>
      <c r="C551" s="2">
        <f ca="1">IFERROR(__xludf.DUMMYFUNCTION("""COMPUTED_VALUE"""),2615)</f>
        <v>2615</v>
      </c>
      <c r="D551" s="2">
        <f ca="1">IFERROR(__xludf.DUMMYFUNCTION("""COMPUTED_VALUE"""),2590)</f>
        <v>2590</v>
      </c>
      <c r="E551" s="2">
        <f ca="1">IFERROR(__xludf.DUMMYFUNCTION("""COMPUTED_VALUE"""),2600)</f>
        <v>2600</v>
      </c>
      <c r="F551" s="2">
        <f ca="1">IFERROR(__xludf.DUMMYFUNCTION("""COMPUTED_VALUE"""),16684300)</f>
        <v>16684300</v>
      </c>
    </row>
    <row r="552" spans="1:6">
      <c r="A552" s="5">
        <f ca="1">IFERROR(__xludf.DUMMYFUNCTION("""COMPUTED_VALUE"""),42831.625)</f>
        <v>42831.625</v>
      </c>
      <c r="B552" s="2">
        <f ca="1">IFERROR(__xludf.DUMMYFUNCTION("""COMPUTED_VALUE"""),2600)</f>
        <v>2600</v>
      </c>
      <c r="C552" s="2">
        <f ca="1">IFERROR(__xludf.DUMMYFUNCTION("""COMPUTED_VALUE"""),2640)</f>
        <v>2640</v>
      </c>
      <c r="D552" s="2">
        <f ca="1">IFERROR(__xludf.DUMMYFUNCTION("""COMPUTED_VALUE"""),2585)</f>
        <v>2585</v>
      </c>
      <c r="E552" s="2">
        <f ca="1">IFERROR(__xludf.DUMMYFUNCTION("""COMPUTED_VALUE"""),2635)</f>
        <v>2635</v>
      </c>
      <c r="F552" s="2">
        <f ca="1">IFERROR(__xludf.DUMMYFUNCTION("""COMPUTED_VALUE"""),12586200)</f>
        <v>12586200</v>
      </c>
    </row>
    <row r="553" spans="1:6">
      <c r="A553" s="5">
        <f ca="1">IFERROR(__xludf.DUMMYFUNCTION("""COMPUTED_VALUE"""),42832.625)</f>
        <v>42832.625</v>
      </c>
      <c r="B553" s="2">
        <f ca="1">IFERROR(__xludf.DUMMYFUNCTION("""COMPUTED_VALUE"""),2635)</f>
        <v>2635</v>
      </c>
      <c r="C553" s="2">
        <f ca="1">IFERROR(__xludf.DUMMYFUNCTION("""COMPUTED_VALUE"""),2645)</f>
        <v>2645</v>
      </c>
      <c r="D553" s="2">
        <f ca="1">IFERROR(__xludf.DUMMYFUNCTION("""COMPUTED_VALUE"""),2605)</f>
        <v>2605</v>
      </c>
      <c r="E553" s="2">
        <f ca="1">IFERROR(__xludf.DUMMYFUNCTION("""COMPUTED_VALUE"""),2610)</f>
        <v>2610</v>
      </c>
      <c r="F553" s="2">
        <f ca="1">IFERROR(__xludf.DUMMYFUNCTION("""COMPUTED_VALUE"""),28184400)</f>
        <v>28184400</v>
      </c>
    </row>
    <row r="554" spans="1:6">
      <c r="A554" s="5">
        <f ca="1">IFERROR(__xludf.DUMMYFUNCTION("""COMPUTED_VALUE"""),42835.625)</f>
        <v>42835.625</v>
      </c>
      <c r="B554" s="2">
        <f ca="1">IFERROR(__xludf.DUMMYFUNCTION("""COMPUTED_VALUE"""),2620)</f>
        <v>2620</v>
      </c>
      <c r="C554" s="2">
        <f ca="1">IFERROR(__xludf.DUMMYFUNCTION("""COMPUTED_VALUE"""),2650)</f>
        <v>2650</v>
      </c>
      <c r="D554" s="2">
        <f ca="1">IFERROR(__xludf.DUMMYFUNCTION("""COMPUTED_VALUE"""),2585)</f>
        <v>2585</v>
      </c>
      <c r="E554" s="2">
        <f ca="1">IFERROR(__xludf.DUMMYFUNCTION("""COMPUTED_VALUE"""),2620)</f>
        <v>2620</v>
      </c>
      <c r="F554" s="2">
        <f ca="1">IFERROR(__xludf.DUMMYFUNCTION("""COMPUTED_VALUE"""),20463300)</f>
        <v>20463300</v>
      </c>
    </row>
    <row r="555" spans="1:6">
      <c r="A555" s="5">
        <f ca="1">IFERROR(__xludf.DUMMYFUNCTION("""COMPUTED_VALUE"""),42836.625)</f>
        <v>42836.625</v>
      </c>
      <c r="B555" s="2">
        <f ca="1">IFERROR(__xludf.DUMMYFUNCTION("""COMPUTED_VALUE"""),2620)</f>
        <v>2620</v>
      </c>
      <c r="C555" s="2">
        <f ca="1">IFERROR(__xludf.DUMMYFUNCTION("""COMPUTED_VALUE"""),2620)</f>
        <v>2620</v>
      </c>
      <c r="D555" s="2">
        <f ca="1">IFERROR(__xludf.DUMMYFUNCTION("""COMPUTED_VALUE"""),2565)</f>
        <v>2565</v>
      </c>
      <c r="E555" s="2">
        <f ca="1">IFERROR(__xludf.DUMMYFUNCTION("""COMPUTED_VALUE"""),2580)</f>
        <v>2580</v>
      </c>
      <c r="F555" s="2">
        <f ca="1">IFERROR(__xludf.DUMMYFUNCTION("""COMPUTED_VALUE"""),7921200)</f>
        <v>7921200</v>
      </c>
    </row>
    <row r="556" spans="1:6">
      <c r="A556" s="5">
        <f ca="1">IFERROR(__xludf.DUMMYFUNCTION("""COMPUTED_VALUE"""),42837.625)</f>
        <v>42837.625</v>
      </c>
      <c r="B556" s="2">
        <f ca="1">IFERROR(__xludf.DUMMYFUNCTION("""COMPUTED_VALUE"""),2580)</f>
        <v>2580</v>
      </c>
      <c r="C556" s="2">
        <f ca="1">IFERROR(__xludf.DUMMYFUNCTION("""COMPUTED_VALUE"""),2590)</f>
        <v>2590</v>
      </c>
      <c r="D556" s="2">
        <f ca="1">IFERROR(__xludf.DUMMYFUNCTION("""COMPUTED_VALUE"""),2555)</f>
        <v>2555</v>
      </c>
      <c r="E556" s="2">
        <f ca="1">IFERROR(__xludf.DUMMYFUNCTION("""COMPUTED_VALUE"""),2555)</f>
        <v>2555</v>
      </c>
      <c r="F556" s="2">
        <f ca="1">IFERROR(__xludf.DUMMYFUNCTION("""COMPUTED_VALUE"""),7560200)</f>
        <v>7560200</v>
      </c>
    </row>
    <row r="557" spans="1:6">
      <c r="A557" s="5">
        <f ca="1">IFERROR(__xludf.DUMMYFUNCTION("""COMPUTED_VALUE"""),42838.625)</f>
        <v>42838.625</v>
      </c>
      <c r="B557" s="2">
        <f ca="1">IFERROR(__xludf.DUMMYFUNCTION("""COMPUTED_VALUE"""),2605)</f>
        <v>2605</v>
      </c>
      <c r="C557" s="2">
        <f ca="1">IFERROR(__xludf.DUMMYFUNCTION("""COMPUTED_VALUE"""),2615)</f>
        <v>2615</v>
      </c>
      <c r="D557" s="2">
        <f ca="1">IFERROR(__xludf.DUMMYFUNCTION("""COMPUTED_VALUE"""),2540)</f>
        <v>2540</v>
      </c>
      <c r="E557" s="2">
        <f ca="1">IFERROR(__xludf.DUMMYFUNCTION("""COMPUTED_VALUE"""),2540)</f>
        <v>2540</v>
      </c>
      <c r="F557" s="2">
        <f ca="1">IFERROR(__xludf.DUMMYFUNCTION("""COMPUTED_VALUE"""),11428700)</f>
        <v>11428700</v>
      </c>
    </row>
    <row r="558" spans="1:6">
      <c r="A558" s="5">
        <f ca="1">IFERROR(__xludf.DUMMYFUNCTION("""COMPUTED_VALUE"""),42842.625)</f>
        <v>42842.625</v>
      </c>
      <c r="B558" s="2">
        <f ca="1">IFERROR(__xludf.DUMMYFUNCTION("""COMPUTED_VALUE"""),2550)</f>
        <v>2550</v>
      </c>
      <c r="C558" s="2">
        <f ca="1">IFERROR(__xludf.DUMMYFUNCTION("""COMPUTED_VALUE"""),2550)</f>
        <v>2550</v>
      </c>
      <c r="D558" s="2">
        <f ca="1">IFERROR(__xludf.DUMMYFUNCTION("""COMPUTED_VALUE"""),2485)</f>
        <v>2485</v>
      </c>
      <c r="E558" s="2">
        <f ca="1">IFERROR(__xludf.DUMMYFUNCTION("""COMPUTED_VALUE"""),2485)</f>
        <v>2485</v>
      </c>
      <c r="F558" s="2">
        <f ca="1">IFERROR(__xludf.DUMMYFUNCTION("""COMPUTED_VALUE"""),8948800)</f>
        <v>8948800</v>
      </c>
    </row>
    <row r="559" spans="1:6">
      <c r="A559" s="5">
        <f ca="1">IFERROR(__xludf.DUMMYFUNCTION("""COMPUTED_VALUE"""),42843.625)</f>
        <v>42843.625</v>
      </c>
      <c r="B559" s="2">
        <f ca="1">IFERROR(__xludf.DUMMYFUNCTION("""COMPUTED_VALUE"""),2525)</f>
        <v>2525</v>
      </c>
      <c r="C559" s="2">
        <f ca="1">IFERROR(__xludf.DUMMYFUNCTION("""COMPUTED_VALUE"""),2590)</f>
        <v>2590</v>
      </c>
      <c r="D559" s="2">
        <f ca="1">IFERROR(__xludf.DUMMYFUNCTION("""COMPUTED_VALUE"""),2520)</f>
        <v>2520</v>
      </c>
      <c r="E559" s="2">
        <f ca="1">IFERROR(__xludf.DUMMYFUNCTION("""COMPUTED_VALUE"""),2575)</f>
        <v>2575</v>
      </c>
      <c r="F559" s="2">
        <f ca="1">IFERROR(__xludf.DUMMYFUNCTION("""COMPUTED_VALUE"""),12636900)</f>
        <v>12636900</v>
      </c>
    </row>
    <row r="560" spans="1:6">
      <c r="A560" s="5">
        <f ca="1">IFERROR(__xludf.DUMMYFUNCTION("""COMPUTED_VALUE"""),42845.625)</f>
        <v>42845.625</v>
      </c>
      <c r="B560" s="2">
        <f ca="1">IFERROR(__xludf.DUMMYFUNCTION("""COMPUTED_VALUE"""),2600)</f>
        <v>2600</v>
      </c>
      <c r="C560" s="2">
        <f ca="1">IFERROR(__xludf.DUMMYFUNCTION("""COMPUTED_VALUE"""),2600)</f>
        <v>2600</v>
      </c>
      <c r="D560" s="2">
        <f ca="1">IFERROR(__xludf.DUMMYFUNCTION("""COMPUTED_VALUE"""),2545)</f>
        <v>2545</v>
      </c>
      <c r="E560" s="2">
        <f ca="1">IFERROR(__xludf.DUMMYFUNCTION("""COMPUTED_VALUE"""),2550)</f>
        <v>2550</v>
      </c>
      <c r="F560" s="2">
        <f ca="1">IFERROR(__xludf.DUMMYFUNCTION("""COMPUTED_VALUE"""),22887400)</f>
        <v>22887400</v>
      </c>
    </row>
    <row r="561" spans="1:6">
      <c r="A561" s="5">
        <f ca="1">IFERROR(__xludf.DUMMYFUNCTION("""COMPUTED_VALUE"""),42846.625)</f>
        <v>42846.625</v>
      </c>
      <c r="B561" s="2">
        <f ca="1">IFERROR(__xludf.DUMMYFUNCTION("""COMPUTED_VALUE"""),2550)</f>
        <v>2550</v>
      </c>
      <c r="C561" s="2">
        <f ca="1">IFERROR(__xludf.DUMMYFUNCTION("""COMPUTED_VALUE"""),2595)</f>
        <v>2595</v>
      </c>
      <c r="D561" s="2">
        <f ca="1">IFERROR(__xludf.DUMMYFUNCTION("""COMPUTED_VALUE"""),2550)</f>
        <v>2550</v>
      </c>
      <c r="E561" s="2">
        <f ca="1">IFERROR(__xludf.DUMMYFUNCTION("""COMPUTED_VALUE"""),2585)</f>
        <v>2585</v>
      </c>
      <c r="F561" s="2">
        <f ca="1">IFERROR(__xludf.DUMMYFUNCTION("""COMPUTED_VALUE"""),17042000)</f>
        <v>17042000</v>
      </c>
    </row>
    <row r="562" spans="1:6">
      <c r="A562" s="5">
        <f ca="1">IFERROR(__xludf.DUMMYFUNCTION("""COMPUTED_VALUE"""),42850.625)</f>
        <v>42850.625</v>
      </c>
      <c r="B562" s="2">
        <f ca="1">IFERROR(__xludf.DUMMYFUNCTION("""COMPUTED_VALUE"""),2600)</f>
        <v>2600</v>
      </c>
      <c r="C562" s="2">
        <f ca="1">IFERROR(__xludf.DUMMYFUNCTION("""COMPUTED_VALUE"""),2630)</f>
        <v>2630</v>
      </c>
      <c r="D562" s="2">
        <f ca="1">IFERROR(__xludf.DUMMYFUNCTION("""COMPUTED_VALUE"""),2600)</f>
        <v>2600</v>
      </c>
      <c r="E562" s="2">
        <f ca="1">IFERROR(__xludf.DUMMYFUNCTION("""COMPUTED_VALUE"""),2625)</f>
        <v>2625</v>
      </c>
      <c r="F562" s="2">
        <f ca="1">IFERROR(__xludf.DUMMYFUNCTION("""COMPUTED_VALUE"""),38149400)</f>
        <v>38149400</v>
      </c>
    </row>
    <row r="563" spans="1:6">
      <c r="A563" s="5">
        <f ca="1">IFERROR(__xludf.DUMMYFUNCTION("""COMPUTED_VALUE"""),42851.625)</f>
        <v>42851.625</v>
      </c>
      <c r="B563" s="2">
        <f ca="1">IFERROR(__xludf.DUMMYFUNCTION("""COMPUTED_VALUE"""),2630)</f>
        <v>2630</v>
      </c>
      <c r="C563" s="2">
        <f ca="1">IFERROR(__xludf.DUMMYFUNCTION("""COMPUTED_VALUE"""),2645)</f>
        <v>2645</v>
      </c>
      <c r="D563" s="2">
        <f ca="1">IFERROR(__xludf.DUMMYFUNCTION("""COMPUTED_VALUE"""),2615)</f>
        <v>2615</v>
      </c>
      <c r="E563" s="2">
        <f ca="1">IFERROR(__xludf.DUMMYFUNCTION("""COMPUTED_VALUE"""),2645)</f>
        <v>2645</v>
      </c>
      <c r="F563" s="2">
        <f ca="1">IFERROR(__xludf.DUMMYFUNCTION("""COMPUTED_VALUE"""),31656200)</f>
        <v>31656200</v>
      </c>
    </row>
    <row r="564" spans="1:6">
      <c r="A564" s="5">
        <f ca="1">IFERROR(__xludf.DUMMYFUNCTION("""COMPUTED_VALUE"""),42852.625)</f>
        <v>42852.625</v>
      </c>
      <c r="B564" s="2">
        <f ca="1">IFERROR(__xludf.DUMMYFUNCTION("""COMPUTED_VALUE"""),2630)</f>
        <v>2630</v>
      </c>
      <c r="C564" s="2">
        <f ca="1">IFERROR(__xludf.DUMMYFUNCTION("""COMPUTED_VALUE"""),2640)</f>
        <v>2640</v>
      </c>
      <c r="D564" s="2">
        <f ca="1">IFERROR(__xludf.DUMMYFUNCTION("""COMPUTED_VALUE"""),2585)</f>
        <v>2585</v>
      </c>
      <c r="E564" s="2">
        <f ca="1">IFERROR(__xludf.DUMMYFUNCTION("""COMPUTED_VALUE"""),2600)</f>
        <v>2600</v>
      </c>
      <c r="F564" s="2">
        <f ca="1">IFERROR(__xludf.DUMMYFUNCTION("""COMPUTED_VALUE"""),13633900)</f>
        <v>13633900</v>
      </c>
    </row>
    <row r="565" spans="1:6">
      <c r="A565" s="5">
        <f ca="1">IFERROR(__xludf.DUMMYFUNCTION("""COMPUTED_VALUE"""),42853.625)</f>
        <v>42853.625</v>
      </c>
      <c r="B565" s="2">
        <f ca="1">IFERROR(__xludf.DUMMYFUNCTION("""COMPUTED_VALUE"""),2630)</f>
        <v>2630</v>
      </c>
      <c r="C565" s="2">
        <f ca="1">IFERROR(__xludf.DUMMYFUNCTION("""COMPUTED_VALUE"""),2630)</f>
        <v>2630</v>
      </c>
      <c r="D565" s="2">
        <f ca="1">IFERROR(__xludf.DUMMYFUNCTION("""COMPUTED_VALUE"""),2580)</f>
        <v>2580</v>
      </c>
      <c r="E565" s="2">
        <f ca="1">IFERROR(__xludf.DUMMYFUNCTION("""COMPUTED_VALUE"""),2580)</f>
        <v>2580</v>
      </c>
      <c r="F565" s="2">
        <f ca="1">IFERROR(__xludf.DUMMYFUNCTION("""COMPUTED_VALUE"""),10117100)</f>
        <v>10117100</v>
      </c>
    </row>
    <row r="566" spans="1:6">
      <c r="A566" s="5">
        <f ca="1">IFERROR(__xludf.DUMMYFUNCTION("""COMPUTED_VALUE"""),42857.625)</f>
        <v>42857.625</v>
      </c>
      <c r="B566" s="2">
        <f ca="1">IFERROR(__xludf.DUMMYFUNCTION("""COMPUTED_VALUE"""),2625)</f>
        <v>2625</v>
      </c>
      <c r="C566" s="2">
        <f ca="1">IFERROR(__xludf.DUMMYFUNCTION("""COMPUTED_VALUE"""),2625)</f>
        <v>2625</v>
      </c>
      <c r="D566" s="2">
        <f ca="1">IFERROR(__xludf.DUMMYFUNCTION("""COMPUTED_VALUE"""),2600)</f>
        <v>2600</v>
      </c>
      <c r="E566" s="2">
        <f ca="1">IFERROR(__xludf.DUMMYFUNCTION("""COMPUTED_VALUE"""),2610)</f>
        <v>2610</v>
      </c>
      <c r="F566" s="2">
        <f ca="1">IFERROR(__xludf.DUMMYFUNCTION("""COMPUTED_VALUE"""),26631300)</f>
        <v>26631300</v>
      </c>
    </row>
    <row r="567" spans="1:6">
      <c r="A567" s="5">
        <f ca="1">IFERROR(__xludf.DUMMYFUNCTION("""COMPUTED_VALUE"""),42858.625)</f>
        <v>42858.625</v>
      </c>
      <c r="B567" s="2">
        <f ca="1">IFERROR(__xludf.DUMMYFUNCTION("""COMPUTED_VALUE"""),2625)</f>
        <v>2625</v>
      </c>
      <c r="C567" s="2">
        <f ca="1">IFERROR(__xludf.DUMMYFUNCTION("""COMPUTED_VALUE"""),2655)</f>
        <v>2655</v>
      </c>
      <c r="D567" s="2">
        <f ca="1">IFERROR(__xludf.DUMMYFUNCTION("""COMPUTED_VALUE"""),2615)</f>
        <v>2615</v>
      </c>
      <c r="E567" s="2">
        <f ca="1">IFERROR(__xludf.DUMMYFUNCTION("""COMPUTED_VALUE"""),2640)</f>
        <v>2640</v>
      </c>
      <c r="F567" s="2">
        <f ca="1">IFERROR(__xludf.DUMMYFUNCTION("""COMPUTED_VALUE"""),30575500)</f>
        <v>30575500</v>
      </c>
    </row>
    <row r="568" spans="1:6">
      <c r="A568" s="5">
        <f ca="1">IFERROR(__xludf.DUMMYFUNCTION("""COMPUTED_VALUE"""),42859.625)</f>
        <v>42859.625</v>
      </c>
      <c r="B568" s="2">
        <f ca="1">IFERROR(__xludf.DUMMYFUNCTION("""COMPUTED_VALUE"""),2655)</f>
        <v>2655</v>
      </c>
      <c r="C568" s="2">
        <f ca="1">IFERROR(__xludf.DUMMYFUNCTION("""COMPUTED_VALUE"""),2785)</f>
        <v>2785</v>
      </c>
      <c r="D568" s="2">
        <f ca="1">IFERROR(__xludf.DUMMYFUNCTION("""COMPUTED_VALUE"""),2655)</f>
        <v>2655</v>
      </c>
      <c r="E568" s="2">
        <f ca="1">IFERROR(__xludf.DUMMYFUNCTION("""COMPUTED_VALUE"""),2785)</f>
        <v>2785</v>
      </c>
      <c r="F568" s="2">
        <f ca="1">IFERROR(__xludf.DUMMYFUNCTION("""COMPUTED_VALUE"""),40236600)</f>
        <v>40236600</v>
      </c>
    </row>
    <row r="569" spans="1:6">
      <c r="A569" s="5">
        <f ca="1">IFERROR(__xludf.DUMMYFUNCTION("""COMPUTED_VALUE"""),42860.625)</f>
        <v>42860.625</v>
      </c>
      <c r="B569" s="2">
        <f ca="1">IFERROR(__xludf.DUMMYFUNCTION("""COMPUTED_VALUE"""),2800)</f>
        <v>2800</v>
      </c>
      <c r="C569" s="2">
        <f ca="1">IFERROR(__xludf.DUMMYFUNCTION("""COMPUTED_VALUE"""),2800)</f>
        <v>2800</v>
      </c>
      <c r="D569" s="2">
        <f ca="1">IFERROR(__xludf.DUMMYFUNCTION("""COMPUTED_VALUE"""),2745)</f>
        <v>2745</v>
      </c>
      <c r="E569" s="2">
        <f ca="1">IFERROR(__xludf.DUMMYFUNCTION("""COMPUTED_VALUE"""),2785)</f>
        <v>2785</v>
      </c>
      <c r="F569" s="2">
        <f ca="1">IFERROR(__xludf.DUMMYFUNCTION("""COMPUTED_VALUE"""),16452600)</f>
        <v>16452600</v>
      </c>
    </row>
    <row r="570" spans="1:6">
      <c r="A570" s="5">
        <f ca="1">IFERROR(__xludf.DUMMYFUNCTION("""COMPUTED_VALUE"""),42863.625)</f>
        <v>42863.625</v>
      </c>
      <c r="B570" s="2">
        <f ca="1">IFERROR(__xludf.DUMMYFUNCTION("""COMPUTED_VALUE"""),2770)</f>
        <v>2770</v>
      </c>
      <c r="C570" s="2">
        <f ca="1">IFERROR(__xludf.DUMMYFUNCTION("""COMPUTED_VALUE"""),2840)</f>
        <v>2840</v>
      </c>
      <c r="D570" s="2">
        <f ca="1">IFERROR(__xludf.DUMMYFUNCTION("""COMPUTED_VALUE"""),2770)</f>
        <v>2770</v>
      </c>
      <c r="E570" s="2">
        <f ca="1">IFERROR(__xludf.DUMMYFUNCTION("""COMPUTED_VALUE"""),2820)</f>
        <v>2820</v>
      </c>
      <c r="F570" s="2">
        <f ca="1">IFERROR(__xludf.DUMMYFUNCTION("""COMPUTED_VALUE"""),36451800)</f>
        <v>36451800</v>
      </c>
    </row>
    <row r="571" spans="1:6">
      <c r="A571" s="5">
        <f ca="1">IFERROR(__xludf.DUMMYFUNCTION("""COMPUTED_VALUE"""),42864.625)</f>
        <v>42864.625</v>
      </c>
      <c r="B571" s="2">
        <f ca="1">IFERROR(__xludf.DUMMYFUNCTION("""COMPUTED_VALUE"""),2820)</f>
        <v>2820</v>
      </c>
      <c r="C571" s="2">
        <f ca="1">IFERROR(__xludf.DUMMYFUNCTION("""COMPUTED_VALUE"""),2870)</f>
        <v>2870</v>
      </c>
      <c r="D571" s="2">
        <f ca="1">IFERROR(__xludf.DUMMYFUNCTION("""COMPUTED_VALUE"""),2800)</f>
        <v>2800</v>
      </c>
      <c r="E571" s="2">
        <f ca="1">IFERROR(__xludf.DUMMYFUNCTION("""COMPUTED_VALUE"""),2800)</f>
        <v>2800</v>
      </c>
      <c r="F571" s="2">
        <f ca="1">IFERROR(__xludf.DUMMYFUNCTION("""COMPUTED_VALUE"""),27919000)</f>
        <v>27919000</v>
      </c>
    </row>
    <row r="572" spans="1:6">
      <c r="A572" s="5">
        <f ca="1">IFERROR(__xludf.DUMMYFUNCTION("""COMPUTED_VALUE"""),42865.625)</f>
        <v>42865.625</v>
      </c>
      <c r="B572" s="2">
        <f ca="1">IFERROR(__xludf.DUMMYFUNCTION("""COMPUTED_VALUE"""),2840)</f>
        <v>2840</v>
      </c>
      <c r="C572" s="2">
        <f ca="1">IFERROR(__xludf.DUMMYFUNCTION("""COMPUTED_VALUE"""),2850)</f>
        <v>2850</v>
      </c>
      <c r="D572" s="2">
        <f ca="1">IFERROR(__xludf.DUMMYFUNCTION("""COMPUTED_VALUE"""),2790)</f>
        <v>2790</v>
      </c>
      <c r="E572" s="2">
        <f ca="1">IFERROR(__xludf.DUMMYFUNCTION("""COMPUTED_VALUE"""),2795)</f>
        <v>2795</v>
      </c>
      <c r="F572" s="2">
        <f ca="1">IFERROR(__xludf.DUMMYFUNCTION("""COMPUTED_VALUE"""),20579500)</f>
        <v>20579500</v>
      </c>
    </row>
    <row r="573" spans="1:6">
      <c r="A573" s="5">
        <f ca="1">IFERROR(__xludf.DUMMYFUNCTION("""COMPUTED_VALUE"""),42867.625)</f>
        <v>42867.625</v>
      </c>
      <c r="B573" s="2">
        <f ca="1">IFERROR(__xludf.DUMMYFUNCTION("""COMPUTED_VALUE"""),2805)</f>
        <v>2805</v>
      </c>
      <c r="C573" s="2">
        <f ca="1">IFERROR(__xludf.DUMMYFUNCTION("""COMPUTED_VALUE"""),2830)</f>
        <v>2830</v>
      </c>
      <c r="D573" s="2">
        <f ca="1">IFERROR(__xludf.DUMMYFUNCTION("""COMPUTED_VALUE"""),2745)</f>
        <v>2745</v>
      </c>
      <c r="E573" s="2">
        <f ca="1">IFERROR(__xludf.DUMMYFUNCTION("""COMPUTED_VALUE"""),2805)</f>
        <v>2805</v>
      </c>
      <c r="F573" s="2">
        <f ca="1">IFERROR(__xludf.DUMMYFUNCTION("""COMPUTED_VALUE"""),24143400)</f>
        <v>24143400</v>
      </c>
    </row>
    <row r="574" spans="1:6">
      <c r="A574" s="5">
        <f ca="1">IFERROR(__xludf.DUMMYFUNCTION("""COMPUTED_VALUE"""),42870.625)</f>
        <v>42870.625</v>
      </c>
      <c r="B574" s="2">
        <f ca="1">IFERROR(__xludf.DUMMYFUNCTION("""COMPUTED_VALUE"""),2850)</f>
        <v>2850</v>
      </c>
      <c r="C574" s="2">
        <f ca="1">IFERROR(__xludf.DUMMYFUNCTION("""COMPUTED_VALUE"""),2860)</f>
        <v>2860</v>
      </c>
      <c r="D574" s="2">
        <f ca="1">IFERROR(__xludf.DUMMYFUNCTION("""COMPUTED_VALUE"""),2830)</f>
        <v>2830</v>
      </c>
      <c r="E574" s="2">
        <f ca="1">IFERROR(__xludf.DUMMYFUNCTION("""COMPUTED_VALUE"""),2860)</f>
        <v>2860</v>
      </c>
      <c r="F574" s="2">
        <f ca="1">IFERROR(__xludf.DUMMYFUNCTION("""COMPUTED_VALUE"""),24522900)</f>
        <v>24522900</v>
      </c>
    </row>
    <row r="575" spans="1:6">
      <c r="A575" s="5">
        <f ca="1">IFERROR(__xludf.DUMMYFUNCTION("""COMPUTED_VALUE"""),42871.625)</f>
        <v>42871.625</v>
      </c>
      <c r="B575" s="2">
        <f ca="1">IFERROR(__xludf.DUMMYFUNCTION("""COMPUTED_VALUE"""),2870)</f>
        <v>2870</v>
      </c>
      <c r="C575" s="2">
        <f ca="1">IFERROR(__xludf.DUMMYFUNCTION("""COMPUTED_VALUE"""),2910)</f>
        <v>2910</v>
      </c>
      <c r="D575" s="2">
        <f ca="1">IFERROR(__xludf.DUMMYFUNCTION("""COMPUTED_VALUE"""),2805)</f>
        <v>2805</v>
      </c>
      <c r="E575" s="2">
        <f ca="1">IFERROR(__xludf.DUMMYFUNCTION("""COMPUTED_VALUE"""),2805)</f>
        <v>2805</v>
      </c>
      <c r="F575" s="2">
        <f ca="1">IFERROR(__xludf.DUMMYFUNCTION("""COMPUTED_VALUE"""),22891000)</f>
        <v>22891000</v>
      </c>
    </row>
    <row r="576" spans="1:6">
      <c r="A576" s="5">
        <f ca="1">IFERROR(__xludf.DUMMYFUNCTION("""COMPUTED_VALUE"""),42872.625)</f>
        <v>42872.625</v>
      </c>
      <c r="B576" s="2">
        <f ca="1">IFERROR(__xludf.DUMMYFUNCTION("""COMPUTED_VALUE"""),2830)</f>
        <v>2830</v>
      </c>
      <c r="C576" s="2">
        <f ca="1">IFERROR(__xludf.DUMMYFUNCTION("""COMPUTED_VALUE"""),2860)</f>
        <v>2860</v>
      </c>
      <c r="D576" s="2">
        <f ca="1">IFERROR(__xludf.DUMMYFUNCTION("""COMPUTED_VALUE"""),2780)</f>
        <v>2780</v>
      </c>
      <c r="E576" s="2">
        <f ca="1">IFERROR(__xludf.DUMMYFUNCTION("""COMPUTED_VALUE"""),2820)</f>
        <v>2820</v>
      </c>
      <c r="F576" s="2">
        <f ca="1">IFERROR(__xludf.DUMMYFUNCTION("""COMPUTED_VALUE"""),25289400)</f>
        <v>25289400</v>
      </c>
    </row>
    <row r="577" spans="1:6">
      <c r="A577" s="5">
        <f ca="1">IFERROR(__xludf.DUMMYFUNCTION("""COMPUTED_VALUE"""),42873.625)</f>
        <v>42873.625</v>
      </c>
      <c r="B577" s="2">
        <f ca="1">IFERROR(__xludf.DUMMYFUNCTION("""COMPUTED_VALUE"""),2750)</f>
        <v>2750</v>
      </c>
      <c r="C577" s="2">
        <f ca="1">IFERROR(__xludf.DUMMYFUNCTION("""COMPUTED_VALUE"""),2825)</f>
        <v>2825</v>
      </c>
      <c r="D577" s="2">
        <f ca="1">IFERROR(__xludf.DUMMYFUNCTION("""COMPUTED_VALUE"""),2735)</f>
        <v>2735</v>
      </c>
      <c r="E577" s="2">
        <f ca="1">IFERROR(__xludf.DUMMYFUNCTION("""COMPUTED_VALUE"""),2820)</f>
        <v>2820</v>
      </c>
      <c r="F577" s="2">
        <f ca="1">IFERROR(__xludf.DUMMYFUNCTION("""COMPUTED_VALUE"""),28736700)</f>
        <v>28736700</v>
      </c>
    </row>
    <row r="578" spans="1:6">
      <c r="A578" s="5">
        <f ca="1">IFERROR(__xludf.DUMMYFUNCTION("""COMPUTED_VALUE"""),42874.625)</f>
        <v>42874.625</v>
      </c>
      <c r="B578" s="2">
        <f ca="1">IFERROR(__xludf.DUMMYFUNCTION("""COMPUTED_VALUE"""),2770)</f>
        <v>2770</v>
      </c>
      <c r="C578" s="2">
        <f ca="1">IFERROR(__xludf.DUMMYFUNCTION("""COMPUTED_VALUE"""),3060)</f>
        <v>3060</v>
      </c>
      <c r="D578" s="2">
        <f ca="1">IFERROR(__xludf.DUMMYFUNCTION("""COMPUTED_VALUE"""),2760)</f>
        <v>2760</v>
      </c>
      <c r="E578" s="2">
        <f ca="1">IFERROR(__xludf.DUMMYFUNCTION("""COMPUTED_VALUE"""),2900)</f>
        <v>2900</v>
      </c>
      <c r="F578" s="2">
        <f ca="1">IFERROR(__xludf.DUMMYFUNCTION("""COMPUTED_VALUE"""),36210800)</f>
        <v>36210800</v>
      </c>
    </row>
    <row r="579" spans="1:6">
      <c r="A579" s="5">
        <f ca="1">IFERROR(__xludf.DUMMYFUNCTION("""COMPUTED_VALUE"""),42877.625)</f>
        <v>42877.625</v>
      </c>
      <c r="B579" s="2">
        <f ca="1">IFERROR(__xludf.DUMMYFUNCTION("""COMPUTED_VALUE"""),2960)</f>
        <v>2960</v>
      </c>
      <c r="C579" s="2">
        <f ca="1">IFERROR(__xludf.DUMMYFUNCTION("""COMPUTED_VALUE"""),3050)</f>
        <v>3050</v>
      </c>
      <c r="D579" s="2">
        <f ca="1">IFERROR(__xludf.DUMMYFUNCTION("""COMPUTED_VALUE"""),2920)</f>
        <v>2920</v>
      </c>
      <c r="E579" s="2">
        <f ca="1">IFERROR(__xludf.DUMMYFUNCTION("""COMPUTED_VALUE"""),2925)</f>
        <v>2925</v>
      </c>
      <c r="F579" s="2">
        <f ca="1">IFERROR(__xludf.DUMMYFUNCTION("""COMPUTED_VALUE"""),32372700)</f>
        <v>32372700</v>
      </c>
    </row>
    <row r="580" spans="1:6">
      <c r="A580" s="5">
        <f ca="1">IFERROR(__xludf.DUMMYFUNCTION("""COMPUTED_VALUE"""),42878.625)</f>
        <v>42878.625</v>
      </c>
      <c r="B580" s="2">
        <f ca="1">IFERROR(__xludf.DUMMYFUNCTION("""COMPUTED_VALUE"""),3040)</f>
        <v>3040</v>
      </c>
      <c r="C580" s="2">
        <f ca="1">IFERROR(__xludf.DUMMYFUNCTION("""COMPUTED_VALUE"""),3040)</f>
        <v>3040</v>
      </c>
      <c r="D580" s="2">
        <f ca="1">IFERROR(__xludf.DUMMYFUNCTION("""COMPUTED_VALUE"""),2875)</f>
        <v>2875</v>
      </c>
      <c r="E580" s="2">
        <f ca="1">IFERROR(__xludf.DUMMYFUNCTION("""COMPUTED_VALUE"""),2895)</f>
        <v>2895</v>
      </c>
      <c r="F580" s="2">
        <f ca="1">IFERROR(__xludf.DUMMYFUNCTION("""COMPUTED_VALUE"""),20027200)</f>
        <v>20027200</v>
      </c>
    </row>
    <row r="581" spans="1:6">
      <c r="A581" s="5">
        <f ca="1">IFERROR(__xludf.DUMMYFUNCTION("""COMPUTED_VALUE"""),42879.625)</f>
        <v>42879.625</v>
      </c>
      <c r="B581" s="2">
        <f ca="1">IFERROR(__xludf.DUMMYFUNCTION("""COMPUTED_VALUE"""),2875)</f>
        <v>2875</v>
      </c>
      <c r="C581" s="2">
        <f ca="1">IFERROR(__xludf.DUMMYFUNCTION("""COMPUTED_VALUE"""),2875)</f>
        <v>2875</v>
      </c>
      <c r="D581" s="2">
        <f ca="1">IFERROR(__xludf.DUMMYFUNCTION("""COMPUTED_VALUE"""),2820)</f>
        <v>2820</v>
      </c>
      <c r="E581" s="2">
        <f ca="1">IFERROR(__xludf.DUMMYFUNCTION("""COMPUTED_VALUE"""),2830)</f>
        <v>2830</v>
      </c>
      <c r="F581" s="2">
        <f ca="1">IFERROR(__xludf.DUMMYFUNCTION("""COMPUTED_VALUE"""),22687100)</f>
        <v>22687100</v>
      </c>
    </row>
    <row r="582" spans="1:6">
      <c r="A582" s="5">
        <f ca="1">IFERROR(__xludf.DUMMYFUNCTION("""COMPUTED_VALUE"""),42881.625)</f>
        <v>42881.625</v>
      </c>
      <c r="B582" s="2">
        <f ca="1">IFERROR(__xludf.DUMMYFUNCTION("""COMPUTED_VALUE"""),2830)</f>
        <v>2830</v>
      </c>
      <c r="C582" s="2">
        <f ca="1">IFERROR(__xludf.DUMMYFUNCTION("""COMPUTED_VALUE"""),2860)</f>
        <v>2860</v>
      </c>
      <c r="D582" s="2">
        <f ca="1">IFERROR(__xludf.DUMMYFUNCTION("""COMPUTED_VALUE"""),2825)</f>
        <v>2825</v>
      </c>
      <c r="E582" s="2">
        <f ca="1">IFERROR(__xludf.DUMMYFUNCTION("""COMPUTED_VALUE"""),2845)</f>
        <v>2845</v>
      </c>
      <c r="F582" s="2">
        <f ca="1">IFERROR(__xludf.DUMMYFUNCTION("""COMPUTED_VALUE"""),27517800)</f>
        <v>27517800</v>
      </c>
    </row>
    <row r="583" spans="1:6">
      <c r="A583" s="5">
        <f ca="1">IFERROR(__xludf.DUMMYFUNCTION("""COMPUTED_VALUE"""),42884.625)</f>
        <v>42884.625</v>
      </c>
      <c r="B583" s="2">
        <f ca="1">IFERROR(__xludf.DUMMYFUNCTION("""COMPUTED_VALUE"""),2860)</f>
        <v>2860</v>
      </c>
      <c r="C583" s="2">
        <f ca="1">IFERROR(__xludf.DUMMYFUNCTION("""COMPUTED_VALUE"""),2860)</f>
        <v>2860</v>
      </c>
      <c r="D583" s="2">
        <f ca="1">IFERROR(__xludf.DUMMYFUNCTION("""COMPUTED_VALUE"""),2820)</f>
        <v>2820</v>
      </c>
      <c r="E583" s="2">
        <f ca="1">IFERROR(__xludf.DUMMYFUNCTION("""COMPUTED_VALUE"""),2840)</f>
        <v>2840</v>
      </c>
      <c r="F583" s="2">
        <f ca="1">IFERROR(__xludf.DUMMYFUNCTION("""COMPUTED_VALUE"""),8771300)</f>
        <v>8771300</v>
      </c>
    </row>
    <row r="584" spans="1:6">
      <c r="A584" s="5">
        <f ca="1">IFERROR(__xludf.DUMMYFUNCTION("""COMPUTED_VALUE"""),42885.625)</f>
        <v>42885.625</v>
      </c>
      <c r="B584" s="2">
        <f ca="1">IFERROR(__xludf.DUMMYFUNCTION("""COMPUTED_VALUE"""),2805)</f>
        <v>2805</v>
      </c>
      <c r="C584" s="2">
        <f ca="1">IFERROR(__xludf.DUMMYFUNCTION("""COMPUTED_VALUE"""),2860)</f>
        <v>2860</v>
      </c>
      <c r="D584" s="2">
        <f ca="1">IFERROR(__xludf.DUMMYFUNCTION("""COMPUTED_VALUE"""),2805)</f>
        <v>2805</v>
      </c>
      <c r="E584" s="2">
        <f ca="1">IFERROR(__xludf.DUMMYFUNCTION("""COMPUTED_VALUE"""),2840)</f>
        <v>2840</v>
      </c>
      <c r="F584" s="2">
        <f ca="1">IFERROR(__xludf.DUMMYFUNCTION("""COMPUTED_VALUE"""),8391700)</f>
        <v>8391700</v>
      </c>
    </row>
    <row r="585" spans="1:6">
      <c r="A585" s="5">
        <f ca="1">IFERROR(__xludf.DUMMYFUNCTION("""COMPUTED_VALUE"""),42886.625)</f>
        <v>42886.625</v>
      </c>
      <c r="B585" s="2">
        <f ca="1">IFERROR(__xludf.DUMMYFUNCTION("""COMPUTED_VALUE"""),2850)</f>
        <v>2850</v>
      </c>
      <c r="C585" s="2">
        <f ca="1">IFERROR(__xludf.DUMMYFUNCTION("""COMPUTED_VALUE"""),2910)</f>
        <v>2910</v>
      </c>
      <c r="D585" s="2">
        <f ca="1">IFERROR(__xludf.DUMMYFUNCTION("""COMPUTED_VALUE"""),2845)</f>
        <v>2845</v>
      </c>
      <c r="E585" s="2">
        <f ca="1">IFERROR(__xludf.DUMMYFUNCTION("""COMPUTED_VALUE"""),2895)</f>
        <v>2895</v>
      </c>
      <c r="F585" s="2">
        <f ca="1">IFERROR(__xludf.DUMMYFUNCTION("""COMPUTED_VALUE"""),33231900)</f>
        <v>33231900</v>
      </c>
    </row>
    <row r="586" spans="1:6">
      <c r="A586" s="5">
        <f ca="1">IFERROR(__xludf.DUMMYFUNCTION("""COMPUTED_VALUE"""),42888.625)</f>
        <v>42888.625</v>
      </c>
      <c r="B586" s="2">
        <f ca="1">IFERROR(__xludf.DUMMYFUNCTION("""COMPUTED_VALUE"""),2910)</f>
        <v>2910</v>
      </c>
      <c r="C586" s="2">
        <f ca="1">IFERROR(__xludf.DUMMYFUNCTION("""COMPUTED_VALUE"""),2950)</f>
        <v>2950</v>
      </c>
      <c r="D586" s="2">
        <f ca="1">IFERROR(__xludf.DUMMYFUNCTION("""COMPUTED_VALUE"""),2910)</f>
        <v>2910</v>
      </c>
      <c r="E586" s="2">
        <f ca="1">IFERROR(__xludf.DUMMYFUNCTION("""COMPUTED_VALUE"""),2950)</f>
        <v>2950</v>
      </c>
      <c r="F586" s="2">
        <f ca="1">IFERROR(__xludf.DUMMYFUNCTION("""COMPUTED_VALUE"""),17753000)</f>
        <v>17753000</v>
      </c>
    </row>
    <row r="587" spans="1:6">
      <c r="A587" s="5">
        <f ca="1">IFERROR(__xludf.DUMMYFUNCTION("""COMPUTED_VALUE"""),42891.625)</f>
        <v>42891.625</v>
      </c>
      <c r="B587" s="2">
        <f ca="1">IFERROR(__xludf.DUMMYFUNCTION("""COMPUTED_VALUE"""),2955)</f>
        <v>2955</v>
      </c>
      <c r="C587" s="2">
        <f ca="1">IFERROR(__xludf.DUMMYFUNCTION("""COMPUTED_VALUE"""),3005)</f>
        <v>3005</v>
      </c>
      <c r="D587" s="2">
        <f ca="1">IFERROR(__xludf.DUMMYFUNCTION("""COMPUTED_VALUE"""),2925)</f>
        <v>2925</v>
      </c>
      <c r="E587" s="2">
        <f ca="1">IFERROR(__xludf.DUMMYFUNCTION("""COMPUTED_VALUE"""),3005)</f>
        <v>3005</v>
      </c>
      <c r="F587" s="2">
        <f ca="1">IFERROR(__xludf.DUMMYFUNCTION("""COMPUTED_VALUE"""),17857800)</f>
        <v>17857800</v>
      </c>
    </row>
    <row r="588" spans="1:6">
      <c r="A588" s="5">
        <f ca="1">IFERROR(__xludf.DUMMYFUNCTION("""COMPUTED_VALUE"""),42892.625)</f>
        <v>42892.625</v>
      </c>
      <c r="B588" s="2">
        <f ca="1">IFERROR(__xludf.DUMMYFUNCTION("""COMPUTED_VALUE"""),2970)</f>
        <v>2970</v>
      </c>
      <c r="C588" s="2">
        <f ca="1">IFERROR(__xludf.DUMMYFUNCTION("""COMPUTED_VALUE"""),3000)</f>
        <v>3000</v>
      </c>
      <c r="D588" s="2">
        <f ca="1">IFERROR(__xludf.DUMMYFUNCTION("""COMPUTED_VALUE"""),2920)</f>
        <v>2920</v>
      </c>
      <c r="E588" s="2">
        <f ca="1">IFERROR(__xludf.DUMMYFUNCTION("""COMPUTED_VALUE"""),2935)</f>
        <v>2935</v>
      </c>
      <c r="F588" s="2">
        <f ca="1">IFERROR(__xludf.DUMMYFUNCTION("""COMPUTED_VALUE"""),16453900)</f>
        <v>16453900</v>
      </c>
    </row>
    <row r="589" spans="1:6">
      <c r="A589" s="5">
        <f ca="1">IFERROR(__xludf.DUMMYFUNCTION("""COMPUTED_VALUE"""),42893.625)</f>
        <v>42893.625</v>
      </c>
      <c r="B589" s="2">
        <f ca="1">IFERROR(__xludf.DUMMYFUNCTION("""COMPUTED_VALUE"""),2970)</f>
        <v>2970</v>
      </c>
      <c r="C589" s="2">
        <f ca="1">IFERROR(__xludf.DUMMYFUNCTION("""COMPUTED_VALUE"""),2985)</f>
        <v>2985</v>
      </c>
      <c r="D589" s="2">
        <f ca="1">IFERROR(__xludf.DUMMYFUNCTION("""COMPUTED_VALUE"""),2950)</f>
        <v>2950</v>
      </c>
      <c r="E589" s="2">
        <f ca="1">IFERROR(__xludf.DUMMYFUNCTION("""COMPUTED_VALUE"""),2985)</f>
        <v>2985</v>
      </c>
      <c r="F589" s="2">
        <f ca="1">IFERROR(__xludf.DUMMYFUNCTION("""COMPUTED_VALUE"""),17400300)</f>
        <v>17400300</v>
      </c>
    </row>
    <row r="590" spans="1:6">
      <c r="A590" s="5">
        <f ca="1">IFERROR(__xludf.DUMMYFUNCTION("""COMPUTED_VALUE"""),42894.625)</f>
        <v>42894.625</v>
      </c>
      <c r="B590" s="2">
        <f ca="1">IFERROR(__xludf.DUMMYFUNCTION("""COMPUTED_VALUE"""),3000)</f>
        <v>3000</v>
      </c>
      <c r="C590" s="2">
        <f ca="1">IFERROR(__xludf.DUMMYFUNCTION("""COMPUTED_VALUE"""),3000)</f>
        <v>3000</v>
      </c>
      <c r="D590" s="2">
        <f ca="1">IFERROR(__xludf.DUMMYFUNCTION("""COMPUTED_VALUE"""),2930)</f>
        <v>2930</v>
      </c>
      <c r="E590" s="2">
        <f ca="1">IFERROR(__xludf.DUMMYFUNCTION("""COMPUTED_VALUE"""),2930)</f>
        <v>2930</v>
      </c>
      <c r="F590" s="2">
        <f ca="1">IFERROR(__xludf.DUMMYFUNCTION("""COMPUTED_VALUE"""),13277300)</f>
        <v>13277300</v>
      </c>
    </row>
    <row r="591" spans="1:6">
      <c r="A591" s="5">
        <f ca="1">IFERROR(__xludf.DUMMYFUNCTION("""COMPUTED_VALUE"""),42895.625)</f>
        <v>42895.625</v>
      </c>
      <c r="B591" s="2">
        <f ca="1">IFERROR(__xludf.DUMMYFUNCTION("""COMPUTED_VALUE"""),2900)</f>
        <v>2900</v>
      </c>
      <c r="C591" s="2">
        <f ca="1">IFERROR(__xludf.DUMMYFUNCTION("""COMPUTED_VALUE"""),2910)</f>
        <v>2910</v>
      </c>
      <c r="D591" s="2">
        <f ca="1">IFERROR(__xludf.DUMMYFUNCTION("""COMPUTED_VALUE"""),2860)</f>
        <v>2860</v>
      </c>
      <c r="E591" s="2">
        <f ca="1">IFERROR(__xludf.DUMMYFUNCTION("""COMPUTED_VALUE"""),2875)</f>
        <v>2875</v>
      </c>
      <c r="F591" s="2">
        <f ca="1">IFERROR(__xludf.DUMMYFUNCTION("""COMPUTED_VALUE"""),29006900)</f>
        <v>29006900</v>
      </c>
    </row>
    <row r="592" spans="1:6">
      <c r="A592" s="5">
        <f ca="1">IFERROR(__xludf.DUMMYFUNCTION("""COMPUTED_VALUE"""),42898.625)</f>
        <v>42898.625</v>
      </c>
      <c r="B592" s="2">
        <f ca="1">IFERROR(__xludf.DUMMYFUNCTION("""COMPUTED_VALUE"""),2840)</f>
        <v>2840</v>
      </c>
      <c r="C592" s="2">
        <f ca="1">IFERROR(__xludf.DUMMYFUNCTION("""COMPUTED_VALUE"""),2970)</f>
        <v>2970</v>
      </c>
      <c r="D592" s="2">
        <f ca="1">IFERROR(__xludf.DUMMYFUNCTION("""COMPUTED_VALUE"""),2840)</f>
        <v>2840</v>
      </c>
      <c r="E592" s="2">
        <f ca="1">IFERROR(__xludf.DUMMYFUNCTION("""COMPUTED_VALUE"""),2925)</f>
        <v>2925</v>
      </c>
      <c r="F592" s="2">
        <f ca="1">IFERROR(__xludf.DUMMYFUNCTION("""COMPUTED_VALUE"""),9257300)</f>
        <v>9257300</v>
      </c>
    </row>
    <row r="593" spans="1:6">
      <c r="A593" s="5">
        <f ca="1">IFERROR(__xludf.DUMMYFUNCTION("""COMPUTED_VALUE"""),42899.625)</f>
        <v>42899.625</v>
      </c>
      <c r="B593" s="2">
        <f ca="1">IFERROR(__xludf.DUMMYFUNCTION("""COMPUTED_VALUE"""),2900)</f>
        <v>2900</v>
      </c>
      <c r="C593" s="2">
        <f ca="1">IFERROR(__xludf.DUMMYFUNCTION("""COMPUTED_VALUE"""),2915)</f>
        <v>2915</v>
      </c>
      <c r="D593" s="2">
        <f ca="1">IFERROR(__xludf.DUMMYFUNCTION("""COMPUTED_VALUE"""),2890)</f>
        <v>2890</v>
      </c>
      <c r="E593" s="2">
        <f ca="1">IFERROR(__xludf.DUMMYFUNCTION("""COMPUTED_VALUE"""),2895)</f>
        <v>2895</v>
      </c>
      <c r="F593" s="2">
        <f ca="1">IFERROR(__xludf.DUMMYFUNCTION("""COMPUTED_VALUE"""),11817100)</f>
        <v>11817100</v>
      </c>
    </row>
    <row r="594" spans="1:6">
      <c r="A594" s="5">
        <f ca="1">IFERROR(__xludf.DUMMYFUNCTION("""COMPUTED_VALUE"""),42900.625)</f>
        <v>42900.625</v>
      </c>
      <c r="B594" s="2">
        <f ca="1">IFERROR(__xludf.DUMMYFUNCTION("""COMPUTED_VALUE"""),2900)</f>
        <v>2900</v>
      </c>
      <c r="C594" s="2">
        <f ca="1">IFERROR(__xludf.DUMMYFUNCTION("""COMPUTED_VALUE"""),2970)</f>
        <v>2970</v>
      </c>
      <c r="D594" s="2">
        <f ca="1">IFERROR(__xludf.DUMMYFUNCTION("""COMPUTED_VALUE"""),2900)</f>
        <v>2900</v>
      </c>
      <c r="E594" s="2">
        <f ca="1">IFERROR(__xludf.DUMMYFUNCTION("""COMPUTED_VALUE"""),2970)</f>
        <v>2970</v>
      </c>
      <c r="F594" s="2">
        <f ca="1">IFERROR(__xludf.DUMMYFUNCTION("""COMPUTED_VALUE"""),16004200)</f>
        <v>16004200</v>
      </c>
    </row>
    <row r="595" spans="1:6">
      <c r="A595" s="5">
        <f ca="1">IFERROR(__xludf.DUMMYFUNCTION("""COMPUTED_VALUE"""),42901.625)</f>
        <v>42901.625</v>
      </c>
      <c r="B595" s="2">
        <f ca="1">IFERROR(__xludf.DUMMYFUNCTION("""COMPUTED_VALUE"""),2920)</f>
        <v>2920</v>
      </c>
      <c r="C595" s="2">
        <f ca="1">IFERROR(__xludf.DUMMYFUNCTION("""COMPUTED_VALUE"""),2950)</f>
        <v>2950</v>
      </c>
      <c r="D595" s="2">
        <f ca="1">IFERROR(__xludf.DUMMYFUNCTION("""COMPUTED_VALUE"""),2920)</f>
        <v>2920</v>
      </c>
      <c r="E595" s="2">
        <f ca="1">IFERROR(__xludf.DUMMYFUNCTION("""COMPUTED_VALUE"""),2935)</f>
        <v>2935</v>
      </c>
      <c r="F595" s="2">
        <f ca="1">IFERROR(__xludf.DUMMYFUNCTION("""COMPUTED_VALUE"""),10919700)</f>
        <v>10919700</v>
      </c>
    </row>
    <row r="596" spans="1:6">
      <c r="A596" s="5">
        <f ca="1">IFERROR(__xludf.DUMMYFUNCTION("""COMPUTED_VALUE"""),42902.625)</f>
        <v>42902.625</v>
      </c>
      <c r="B596" s="2">
        <f ca="1">IFERROR(__xludf.DUMMYFUNCTION("""COMPUTED_VALUE"""),2940)</f>
        <v>2940</v>
      </c>
      <c r="C596" s="2">
        <f ca="1">IFERROR(__xludf.DUMMYFUNCTION("""COMPUTED_VALUE"""),2950)</f>
        <v>2950</v>
      </c>
      <c r="D596" s="2">
        <f ca="1">IFERROR(__xludf.DUMMYFUNCTION("""COMPUTED_VALUE"""),2910)</f>
        <v>2910</v>
      </c>
      <c r="E596" s="2">
        <f ca="1">IFERROR(__xludf.DUMMYFUNCTION("""COMPUTED_VALUE"""),2935)</f>
        <v>2935</v>
      </c>
      <c r="F596" s="2">
        <f ca="1">IFERROR(__xludf.DUMMYFUNCTION("""COMPUTED_VALUE"""),33129800)</f>
        <v>33129800</v>
      </c>
    </row>
    <row r="597" spans="1:6">
      <c r="A597" s="5">
        <f ca="1">IFERROR(__xludf.DUMMYFUNCTION("""COMPUTED_VALUE"""),42905.625)</f>
        <v>42905.625</v>
      </c>
      <c r="B597" s="2">
        <f ca="1">IFERROR(__xludf.DUMMYFUNCTION("""COMPUTED_VALUE"""),2920)</f>
        <v>2920</v>
      </c>
      <c r="C597" s="2">
        <f ca="1">IFERROR(__xludf.DUMMYFUNCTION("""COMPUTED_VALUE"""),2960)</f>
        <v>2960</v>
      </c>
      <c r="D597" s="2">
        <f ca="1">IFERROR(__xludf.DUMMYFUNCTION("""COMPUTED_VALUE"""),2920)</f>
        <v>2920</v>
      </c>
      <c r="E597" s="2">
        <f ca="1">IFERROR(__xludf.DUMMYFUNCTION("""COMPUTED_VALUE"""),2960)</f>
        <v>2960</v>
      </c>
      <c r="F597" s="2">
        <f ca="1">IFERROR(__xludf.DUMMYFUNCTION("""COMPUTED_VALUE"""),8916600)</f>
        <v>8916600</v>
      </c>
    </row>
    <row r="598" spans="1:6">
      <c r="A598" s="5">
        <f ca="1">IFERROR(__xludf.DUMMYFUNCTION("""COMPUTED_VALUE"""),42906.625)</f>
        <v>42906.625</v>
      </c>
      <c r="B598" s="2">
        <f ca="1">IFERROR(__xludf.DUMMYFUNCTION("""COMPUTED_VALUE"""),2960)</f>
        <v>2960</v>
      </c>
      <c r="C598" s="2">
        <f ca="1">IFERROR(__xludf.DUMMYFUNCTION("""COMPUTED_VALUE"""),2995)</f>
        <v>2995</v>
      </c>
      <c r="D598" s="2">
        <f ca="1">IFERROR(__xludf.DUMMYFUNCTION("""COMPUTED_VALUE"""),2940)</f>
        <v>2940</v>
      </c>
      <c r="E598" s="2">
        <f ca="1">IFERROR(__xludf.DUMMYFUNCTION("""COMPUTED_VALUE"""),2995)</f>
        <v>2995</v>
      </c>
      <c r="F598" s="2">
        <f ca="1">IFERROR(__xludf.DUMMYFUNCTION("""COMPUTED_VALUE"""),11895700)</f>
        <v>11895700</v>
      </c>
    </row>
    <row r="599" spans="1:6">
      <c r="A599" s="5">
        <f ca="1">IFERROR(__xludf.DUMMYFUNCTION("""COMPUTED_VALUE"""),42907.625)</f>
        <v>42907.625</v>
      </c>
      <c r="B599" s="2">
        <f ca="1">IFERROR(__xludf.DUMMYFUNCTION("""COMPUTED_VALUE"""),2985)</f>
        <v>2985</v>
      </c>
      <c r="C599" s="2">
        <f ca="1">IFERROR(__xludf.DUMMYFUNCTION("""COMPUTED_VALUE"""),3060)</f>
        <v>3060</v>
      </c>
      <c r="D599" s="2">
        <f ca="1">IFERROR(__xludf.DUMMYFUNCTION("""COMPUTED_VALUE"""),2960)</f>
        <v>2960</v>
      </c>
      <c r="E599" s="2">
        <f ca="1">IFERROR(__xludf.DUMMYFUNCTION("""COMPUTED_VALUE"""),3060)</f>
        <v>3060</v>
      </c>
      <c r="F599" s="2">
        <f ca="1">IFERROR(__xludf.DUMMYFUNCTION("""COMPUTED_VALUE"""),22868500)</f>
        <v>22868500</v>
      </c>
    </row>
    <row r="600" spans="1:6">
      <c r="A600" s="5">
        <f ca="1">IFERROR(__xludf.DUMMYFUNCTION("""COMPUTED_VALUE"""),42908.625)</f>
        <v>42908.625</v>
      </c>
      <c r="B600" s="2">
        <f ca="1">IFERROR(__xludf.DUMMYFUNCTION("""COMPUTED_VALUE"""),3030)</f>
        <v>3030</v>
      </c>
      <c r="C600" s="2">
        <f ca="1">IFERROR(__xludf.DUMMYFUNCTION("""COMPUTED_VALUE"""),3050)</f>
        <v>3050</v>
      </c>
      <c r="D600" s="2">
        <f ca="1">IFERROR(__xludf.DUMMYFUNCTION("""COMPUTED_VALUE"""),3010)</f>
        <v>3010</v>
      </c>
      <c r="E600" s="2">
        <f ca="1">IFERROR(__xludf.DUMMYFUNCTION("""COMPUTED_VALUE"""),3050)</f>
        <v>3050</v>
      </c>
      <c r="F600" s="2">
        <f ca="1">IFERROR(__xludf.DUMMYFUNCTION("""COMPUTED_VALUE"""),25983500)</f>
        <v>25983500</v>
      </c>
    </row>
    <row r="601" spans="1:6">
      <c r="A601" s="5">
        <f ca="1">IFERROR(__xludf.DUMMYFUNCTION("""COMPUTED_VALUE"""),42919.625)</f>
        <v>42919.625</v>
      </c>
      <c r="B601" s="2">
        <f ca="1">IFERROR(__xludf.DUMMYFUNCTION("""COMPUTED_VALUE"""),3000)</f>
        <v>3000</v>
      </c>
      <c r="C601" s="2">
        <f ca="1">IFERROR(__xludf.DUMMYFUNCTION("""COMPUTED_VALUE"""),3100)</f>
        <v>3100</v>
      </c>
      <c r="D601" s="2">
        <f ca="1">IFERROR(__xludf.DUMMYFUNCTION("""COMPUTED_VALUE"""),2995)</f>
        <v>2995</v>
      </c>
      <c r="E601" s="2">
        <f ca="1">IFERROR(__xludf.DUMMYFUNCTION("""COMPUTED_VALUE"""),3100)</f>
        <v>3100</v>
      </c>
      <c r="F601" s="2">
        <f ca="1">IFERROR(__xludf.DUMMYFUNCTION("""COMPUTED_VALUE"""),44473900)</f>
        <v>44473900</v>
      </c>
    </row>
    <row r="602" spans="1:6">
      <c r="A602" s="5">
        <f ca="1">IFERROR(__xludf.DUMMYFUNCTION("""COMPUTED_VALUE"""),42920.625)</f>
        <v>42920.625</v>
      </c>
      <c r="B602" s="2">
        <f ca="1">IFERROR(__xludf.DUMMYFUNCTION("""COMPUTED_VALUE"""),3050)</f>
        <v>3050</v>
      </c>
      <c r="C602" s="2">
        <f ca="1">IFERROR(__xludf.DUMMYFUNCTION("""COMPUTED_VALUE"""),3085)</f>
        <v>3085</v>
      </c>
      <c r="D602" s="2">
        <f ca="1">IFERROR(__xludf.DUMMYFUNCTION("""COMPUTED_VALUE"""),3050)</f>
        <v>3050</v>
      </c>
      <c r="E602" s="2">
        <f ca="1">IFERROR(__xludf.DUMMYFUNCTION("""COMPUTED_VALUE"""),3060)</f>
        <v>3060</v>
      </c>
      <c r="F602" s="2">
        <f ca="1">IFERROR(__xludf.DUMMYFUNCTION("""COMPUTED_VALUE"""),29256500)</f>
        <v>29256500</v>
      </c>
    </row>
    <row r="603" spans="1:6">
      <c r="A603" s="5">
        <f ca="1">IFERROR(__xludf.DUMMYFUNCTION("""COMPUTED_VALUE"""),42921.625)</f>
        <v>42921.625</v>
      </c>
      <c r="B603" s="2">
        <f ca="1">IFERROR(__xludf.DUMMYFUNCTION("""COMPUTED_VALUE"""),3050)</f>
        <v>3050</v>
      </c>
      <c r="C603" s="2">
        <f ca="1">IFERROR(__xludf.DUMMYFUNCTION("""COMPUTED_VALUE"""),3060)</f>
        <v>3060</v>
      </c>
      <c r="D603" s="2">
        <f ca="1">IFERROR(__xludf.DUMMYFUNCTION("""COMPUTED_VALUE"""),3025)</f>
        <v>3025</v>
      </c>
      <c r="E603" s="2">
        <f ca="1">IFERROR(__xludf.DUMMYFUNCTION("""COMPUTED_VALUE"""),3040)</f>
        <v>3040</v>
      </c>
      <c r="F603" s="2">
        <f ca="1">IFERROR(__xludf.DUMMYFUNCTION("""COMPUTED_VALUE"""),23776200)</f>
        <v>23776200</v>
      </c>
    </row>
    <row r="604" spans="1:6">
      <c r="A604" s="5">
        <f ca="1">IFERROR(__xludf.DUMMYFUNCTION("""COMPUTED_VALUE"""),42922.625)</f>
        <v>42922.625</v>
      </c>
      <c r="B604" s="2">
        <f ca="1">IFERROR(__xludf.DUMMYFUNCTION("""COMPUTED_VALUE"""),3020)</f>
        <v>3020</v>
      </c>
      <c r="C604" s="2">
        <f ca="1">IFERROR(__xludf.DUMMYFUNCTION("""COMPUTED_VALUE"""),3040)</f>
        <v>3040</v>
      </c>
      <c r="D604" s="2">
        <f ca="1">IFERROR(__xludf.DUMMYFUNCTION("""COMPUTED_VALUE"""),3010)</f>
        <v>3010</v>
      </c>
      <c r="E604" s="2">
        <f ca="1">IFERROR(__xludf.DUMMYFUNCTION("""COMPUTED_VALUE"""),3010)</f>
        <v>3010</v>
      </c>
      <c r="F604" s="2">
        <f ca="1">IFERROR(__xludf.DUMMYFUNCTION("""COMPUTED_VALUE"""),23578900)</f>
        <v>23578900</v>
      </c>
    </row>
    <row r="605" spans="1:6">
      <c r="A605" s="5">
        <f ca="1">IFERROR(__xludf.DUMMYFUNCTION("""COMPUTED_VALUE"""),42923.625)</f>
        <v>42923.625</v>
      </c>
      <c r="B605" s="2">
        <f ca="1">IFERROR(__xludf.DUMMYFUNCTION("""COMPUTED_VALUE"""),3000)</f>
        <v>3000</v>
      </c>
      <c r="C605" s="2">
        <f ca="1">IFERROR(__xludf.DUMMYFUNCTION("""COMPUTED_VALUE"""),3050)</f>
        <v>3050</v>
      </c>
      <c r="D605" s="2">
        <f ca="1">IFERROR(__xludf.DUMMYFUNCTION("""COMPUTED_VALUE"""),3000)</f>
        <v>3000</v>
      </c>
      <c r="E605" s="2">
        <f ca="1">IFERROR(__xludf.DUMMYFUNCTION("""COMPUTED_VALUE"""),3010)</f>
        <v>3010</v>
      </c>
      <c r="F605" s="2">
        <f ca="1">IFERROR(__xludf.DUMMYFUNCTION("""COMPUTED_VALUE"""),20398400)</f>
        <v>20398400</v>
      </c>
    </row>
    <row r="606" spans="1:6">
      <c r="A606" s="5">
        <f ca="1">IFERROR(__xludf.DUMMYFUNCTION("""COMPUTED_VALUE"""),42926.625)</f>
        <v>42926.625</v>
      </c>
      <c r="B606" s="2">
        <f ca="1">IFERROR(__xludf.DUMMYFUNCTION("""COMPUTED_VALUE"""),3015)</f>
        <v>3015</v>
      </c>
      <c r="C606" s="2">
        <f ca="1">IFERROR(__xludf.DUMMYFUNCTION("""COMPUTED_VALUE"""),3020)</f>
        <v>3020</v>
      </c>
      <c r="D606" s="2">
        <f ca="1">IFERROR(__xludf.DUMMYFUNCTION("""COMPUTED_VALUE"""),2945)</f>
        <v>2945</v>
      </c>
      <c r="E606" s="2">
        <f ca="1">IFERROR(__xludf.DUMMYFUNCTION("""COMPUTED_VALUE"""),2945)</f>
        <v>2945</v>
      </c>
      <c r="F606" s="2">
        <f ca="1">IFERROR(__xludf.DUMMYFUNCTION("""COMPUTED_VALUE"""),19091600)</f>
        <v>19091600</v>
      </c>
    </row>
    <row r="607" spans="1:6">
      <c r="A607" s="5">
        <f ca="1">IFERROR(__xludf.DUMMYFUNCTION("""COMPUTED_VALUE"""),42927.625)</f>
        <v>42927.625</v>
      </c>
      <c r="B607" s="2">
        <f ca="1">IFERROR(__xludf.DUMMYFUNCTION("""COMPUTED_VALUE"""),2925)</f>
        <v>2925</v>
      </c>
      <c r="C607" s="2">
        <f ca="1">IFERROR(__xludf.DUMMYFUNCTION("""COMPUTED_VALUE"""),2975)</f>
        <v>2975</v>
      </c>
      <c r="D607" s="2">
        <f ca="1">IFERROR(__xludf.DUMMYFUNCTION("""COMPUTED_VALUE"""),2925)</f>
        <v>2925</v>
      </c>
      <c r="E607" s="2">
        <f ca="1">IFERROR(__xludf.DUMMYFUNCTION("""COMPUTED_VALUE"""),2925)</f>
        <v>2925</v>
      </c>
      <c r="F607" s="2">
        <f ca="1">IFERROR(__xludf.DUMMYFUNCTION("""COMPUTED_VALUE"""),22735200)</f>
        <v>22735200</v>
      </c>
    </row>
    <row r="608" spans="1:6">
      <c r="A608" s="5">
        <f ca="1">IFERROR(__xludf.DUMMYFUNCTION("""COMPUTED_VALUE"""),42928.625)</f>
        <v>42928.625</v>
      </c>
      <c r="B608" s="2">
        <f ca="1">IFERROR(__xludf.DUMMYFUNCTION("""COMPUTED_VALUE"""),2925)</f>
        <v>2925</v>
      </c>
      <c r="C608" s="2">
        <f ca="1">IFERROR(__xludf.DUMMYFUNCTION("""COMPUTED_VALUE"""),2980)</f>
        <v>2980</v>
      </c>
      <c r="D608" s="2">
        <f ca="1">IFERROR(__xludf.DUMMYFUNCTION("""COMPUTED_VALUE"""),2920)</f>
        <v>2920</v>
      </c>
      <c r="E608" s="2">
        <f ca="1">IFERROR(__xludf.DUMMYFUNCTION("""COMPUTED_VALUE"""),2965)</f>
        <v>2965</v>
      </c>
      <c r="F608" s="2">
        <f ca="1">IFERROR(__xludf.DUMMYFUNCTION("""COMPUTED_VALUE"""),14822700)</f>
        <v>14822700</v>
      </c>
    </row>
    <row r="609" spans="1:6">
      <c r="A609" s="5">
        <f ca="1">IFERROR(__xludf.DUMMYFUNCTION("""COMPUTED_VALUE"""),42929.625)</f>
        <v>42929.625</v>
      </c>
      <c r="B609" s="2">
        <f ca="1">IFERROR(__xludf.DUMMYFUNCTION("""COMPUTED_VALUE"""),2980)</f>
        <v>2980</v>
      </c>
      <c r="C609" s="2">
        <f ca="1">IFERROR(__xludf.DUMMYFUNCTION("""COMPUTED_VALUE"""),2980)</f>
        <v>2980</v>
      </c>
      <c r="D609" s="2">
        <f ca="1">IFERROR(__xludf.DUMMYFUNCTION("""COMPUTED_VALUE"""),2955)</f>
        <v>2955</v>
      </c>
      <c r="E609" s="2">
        <f ca="1">IFERROR(__xludf.DUMMYFUNCTION("""COMPUTED_VALUE"""),2980)</f>
        <v>2980</v>
      </c>
      <c r="F609" s="2">
        <f ca="1">IFERROR(__xludf.DUMMYFUNCTION("""COMPUTED_VALUE"""),16610600)</f>
        <v>16610600</v>
      </c>
    </row>
    <row r="610" spans="1:6">
      <c r="A610" s="5">
        <f ca="1">IFERROR(__xludf.DUMMYFUNCTION("""COMPUTED_VALUE"""),42930.625)</f>
        <v>42930.625</v>
      </c>
      <c r="B610" s="2">
        <f ca="1">IFERROR(__xludf.DUMMYFUNCTION("""COMPUTED_VALUE"""),2960)</f>
        <v>2960</v>
      </c>
      <c r="C610" s="2">
        <f ca="1">IFERROR(__xludf.DUMMYFUNCTION("""COMPUTED_VALUE"""),2975)</f>
        <v>2975</v>
      </c>
      <c r="D610" s="2">
        <f ca="1">IFERROR(__xludf.DUMMYFUNCTION("""COMPUTED_VALUE"""),2925)</f>
        <v>2925</v>
      </c>
      <c r="E610" s="2">
        <f ca="1">IFERROR(__xludf.DUMMYFUNCTION("""COMPUTED_VALUE"""),2960)</f>
        <v>2960</v>
      </c>
      <c r="F610" s="2">
        <f ca="1">IFERROR(__xludf.DUMMYFUNCTION("""COMPUTED_VALUE"""),31409900)</f>
        <v>31409900</v>
      </c>
    </row>
    <row r="611" spans="1:6">
      <c r="A611" s="5">
        <f ca="1">IFERROR(__xludf.DUMMYFUNCTION("""COMPUTED_VALUE"""),42933.625)</f>
        <v>42933.625</v>
      </c>
      <c r="B611" s="2">
        <f ca="1">IFERROR(__xludf.DUMMYFUNCTION("""COMPUTED_VALUE"""),2960)</f>
        <v>2960</v>
      </c>
      <c r="C611" s="2">
        <f ca="1">IFERROR(__xludf.DUMMYFUNCTION("""COMPUTED_VALUE"""),3000)</f>
        <v>3000</v>
      </c>
      <c r="D611" s="2">
        <f ca="1">IFERROR(__xludf.DUMMYFUNCTION("""COMPUTED_VALUE"""),2955)</f>
        <v>2955</v>
      </c>
      <c r="E611" s="2">
        <f ca="1">IFERROR(__xludf.DUMMYFUNCTION("""COMPUTED_VALUE"""),3000)</f>
        <v>3000</v>
      </c>
      <c r="F611" s="2">
        <f ca="1">IFERROR(__xludf.DUMMYFUNCTION("""COMPUTED_VALUE"""),13576400)</f>
        <v>13576400</v>
      </c>
    </row>
    <row r="612" spans="1:6">
      <c r="A612" s="5">
        <f ca="1">IFERROR(__xludf.DUMMYFUNCTION("""COMPUTED_VALUE"""),42934.625)</f>
        <v>42934.625</v>
      </c>
      <c r="B612" s="2">
        <f ca="1">IFERROR(__xludf.DUMMYFUNCTION("""COMPUTED_VALUE"""),2950)</f>
        <v>2950</v>
      </c>
      <c r="C612" s="2">
        <f ca="1">IFERROR(__xludf.DUMMYFUNCTION("""COMPUTED_VALUE"""),2980)</f>
        <v>2980</v>
      </c>
      <c r="D612" s="2">
        <f ca="1">IFERROR(__xludf.DUMMYFUNCTION("""COMPUTED_VALUE"""),2930)</f>
        <v>2930</v>
      </c>
      <c r="E612" s="2">
        <f ca="1">IFERROR(__xludf.DUMMYFUNCTION("""COMPUTED_VALUE"""),2980)</f>
        <v>2980</v>
      </c>
      <c r="F612" s="2">
        <f ca="1">IFERROR(__xludf.DUMMYFUNCTION("""COMPUTED_VALUE"""),20381700)</f>
        <v>20381700</v>
      </c>
    </row>
    <row r="613" spans="1:6">
      <c r="A613" s="5">
        <f ca="1">IFERROR(__xludf.DUMMYFUNCTION("""COMPUTED_VALUE"""),42935.625)</f>
        <v>42935.625</v>
      </c>
      <c r="B613" s="2">
        <f ca="1">IFERROR(__xludf.DUMMYFUNCTION("""COMPUTED_VALUE"""),2980)</f>
        <v>2980</v>
      </c>
      <c r="C613" s="2">
        <f ca="1">IFERROR(__xludf.DUMMYFUNCTION("""COMPUTED_VALUE"""),2980)</f>
        <v>2980</v>
      </c>
      <c r="D613" s="2">
        <f ca="1">IFERROR(__xludf.DUMMYFUNCTION("""COMPUTED_VALUE"""),2940)</f>
        <v>2940</v>
      </c>
      <c r="E613" s="2">
        <f ca="1">IFERROR(__xludf.DUMMYFUNCTION("""COMPUTED_VALUE"""),2945)</f>
        <v>2945</v>
      </c>
      <c r="F613" s="2">
        <f ca="1">IFERROR(__xludf.DUMMYFUNCTION("""COMPUTED_VALUE"""),13892700)</f>
        <v>13892700</v>
      </c>
    </row>
    <row r="614" spans="1:6">
      <c r="A614" s="5">
        <f ca="1">IFERROR(__xludf.DUMMYFUNCTION("""COMPUTED_VALUE"""),42936.625)</f>
        <v>42936.625</v>
      </c>
      <c r="B614" s="2">
        <f ca="1">IFERROR(__xludf.DUMMYFUNCTION("""COMPUTED_VALUE"""),2945)</f>
        <v>2945</v>
      </c>
      <c r="C614" s="2">
        <f ca="1">IFERROR(__xludf.DUMMYFUNCTION("""COMPUTED_VALUE"""),2955)</f>
        <v>2955</v>
      </c>
      <c r="D614" s="2">
        <f ca="1">IFERROR(__xludf.DUMMYFUNCTION("""COMPUTED_VALUE"""),2935)</f>
        <v>2935</v>
      </c>
      <c r="E614" s="2">
        <f ca="1">IFERROR(__xludf.DUMMYFUNCTION("""COMPUTED_VALUE"""),2945)</f>
        <v>2945</v>
      </c>
      <c r="F614" s="2">
        <f ca="1">IFERROR(__xludf.DUMMYFUNCTION("""COMPUTED_VALUE"""),18567900)</f>
        <v>18567900</v>
      </c>
    </row>
    <row r="615" spans="1:6">
      <c r="A615" s="5">
        <f ca="1">IFERROR(__xludf.DUMMYFUNCTION("""COMPUTED_VALUE"""),42937.625)</f>
        <v>42937.625</v>
      </c>
      <c r="B615" s="2">
        <f ca="1">IFERROR(__xludf.DUMMYFUNCTION("""COMPUTED_VALUE"""),2970)</f>
        <v>2970</v>
      </c>
      <c r="C615" s="2">
        <f ca="1">IFERROR(__xludf.DUMMYFUNCTION("""COMPUTED_VALUE"""),2970)</f>
        <v>2970</v>
      </c>
      <c r="D615" s="2">
        <f ca="1">IFERROR(__xludf.DUMMYFUNCTION("""COMPUTED_VALUE"""),2935)</f>
        <v>2935</v>
      </c>
      <c r="E615" s="2">
        <f ca="1">IFERROR(__xludf.DUMMYFUNCTION("""COMPUTED_VALUE"""),2935)</f>
        <v>2935</v>
      </c>
      <c r="F615" s="2">
        <f ca="1">IFERROR(__xludf.DUMMYFUNCTION("""COMPUTED_VALUE"""),7919100)</f>
        <v>7919100</v>
      </c>
    </row>
    <row r="616" spans="1:6">
      <c r="A616" s="5">
        <f ca="1">IFERROR(__xludf.DUMMYFUNCTION("""COMPUTED_VALUE"""),42940.625)</f>
        <v>42940.625</v>
      </c>
      <c r="B616" s="2">
        <f ca="1">IFERROR(__xludf.DUMMYFUNCTION("""COMPUTED_VALUE"""),2900)</f>
        <v>2900</v>
      </c>
      <c r="C616" s="2">
        <f ca="1">IFERROR(__xludf.DUMMYFUNCTION("""COMPUTED_VALUE"""),2960)</f>
        <v>2960</v>
      </c>
      <c r="D616" s="2">
        <f ca="1">IFERROR(__xludf.DUMMYFUNCTION("""COMPUTED_VALUE"""),2900)</f>
        <v>2900</v>
      </c>
      <c r="E616" s="2">
        <f ca="1">IFERROR(__xludf.DUMMYFUNCTION("""COMPUTED_VALUE"""),2935)</f>
        <v>2935</v>
      </c>
      <c r="F616" s="2">
        <f ca="1">IFERROR(__xludf.DUMMYFUNCTION("""COMPUTED_VALUE"""),19361100)</f>
        <v>19361100</v>
      </c>
    </row>
    <row r="617" spans="1:6">
      <c r="A617" s="5">
        <f ca="1">IFERROR(__xludf.DUMMYFUNCTION("""COMPUTED_VALUE"""),42941.625)</f>
        <v>42941.625</v>
      </c>
      <c r="B617" s="2">
        <f ca="1">IFERROR(__xludf.DUMMYFUNCTION("""COMPUTED_VALUE"""),2950)</f>
        <v>2950</v>
      </c>
      <c r="C617" s="2">
        <f ca="1">IFERROR(__xludf.DUMMYFUNCTION("""COMPUTED_VALUE"""),2970)</f>
        <v>2970</v>
      </c>
      <c r="D617" s="2">
        <f ca="1">IFERROR(__xludf.DUMMYFUNCTION("""COMPUTED_VALUE"""),2940)</f>
        <v>2940</v>
      </c>
      <c r="E617" s="2">
        <f ca="1">IFERROR(__xludf.DUMMYFUNCTION("""COMPUTED_VALUE"""),2960)</f>
        <v>2960</v>
      </c>
      <c r="F617" s="2">
        <f ca="1">IFERROR(__xludf.DUMMYFUNCTION("""COMPUTED_VALUE"""),17288500)</f>
        <v>17288500</v>
      </c>
    </row>
    <row r="618" spans="1:6">
      <c r="A618" s="5">
        <f ca="1">IFERROR(__xludf.DUMMYFUNCTION("""COMPUTED_VALUE"""),42942.625)</f>
        <v>42942.625</v>
      </c>
      <c r="B618" s="2">
        <f ca="1">IFERROR(__xludf.DUMMYFUNCTION("""COMPUTED_VALUE"""),2965)</f>
        <v>2965</v>
      </c>
      <c r="C618" s="2">
        <f ca="1">IFERROR(__xludf.DUMMYFUNCTION("""COMPUTED_VALUE"""),2980)</f>
        <v>2980</v>
      </c>
      <c r="D618" s="2">
        <f ca="1">IFERROR(__xludf.DUMMYFUNCTION("""COMPUTED_VALUE"""),2940)</f>
        <v>2940</v>
      </c>
      <c r="E618" s="2">
        <f ca="1">IFERROR(__xludf.DUMMYFUNCTION("""COMPUTED_VALUE"""),2955)</f>
        <v>2955</v>
      </c>
      <c r="F618" s="2">
        <f ca="1">IFERROR(__xludf.DUMMYFUNCTION("""COMPUTED_VALUE"""),24537500)</f>
        <v>24537500</v>
      </c>
    </row>
    <row r="619" spans="1:6">
      <c r="A619" s="5">
        <f ca="1">IFERROR(__xludf.DUMMYFUNCTION("""COMPUTED_VALUE"""),42943.625)</f>
        <v>42943.625</v>
      </c>
      <c r="B619" s="2">
        <f ca="1">IFERROR(__xludf.DUMMYFUNCTION("""COMPUTED_VALUE"""),2955)</f>
        <v>2955</v>
      </c>
      <c r="C619" s="2">
        <f ca="1">IFERROR(__xludf.DUMMYFUNCTION("""COMPUTED_VALUE"""),2955)</f>
        <v>2955</v>
      </c>
      <c r="D619" s="2">
        <f ca="1">IFERROR(__xludf.DUMMYFUNCTION("""COMPUTED_VALUE"""),2940)</f>
        <v>2940</v>
      </c>
      <c r="E619" s="2">
        <f ca="1">IFERROR(__xludf.DUMMYFUNCTION("""COMPUTED_VALUE"""),2940)</f>
        <v>2940</v>
      </c>
      <c r="F619" s="2">
        <f ca="1">IFERROR(__xludf.DUMMYFUNCTION("""COMPUTED_VALUE"""),15337700)</f>
        <v>15337700</v>
      </c>
    </row>
    <row r="620" spans="1:6">
      <c r="A620" s="5">
        <f ca="1">IFERROR(__xludf.DUMMYFUNCTION("""COMPUTED_VALUE"""),42944.625)</f>
        <v>42944.625</v>
      </c>
      <c r="B620" s="2">
        <f ca="1">IFERROR(__xludf.DUMMYFUNCTION("""COMPUTED_VALUE"""),2930)</f>
        <v>2930</v>
      </c>
      <c r="C620" s="2">
        <f ca="1">IFERROR(__xludf.DUMMYFUNCTION("""COMPUTED_VALUE"""),2945)</f>
        <v>2945</v>
      </c>
      <c r="D620" s="2">
        <f ca="1">IFERROR(__xludf.DUMMYFUNCTION("""COMPUTED_VALUE"""),2860)</f>
        <v>2860</v>
      </c>
      <c r="E620" s="2">
        <f ca="1">IFERROR(__xludf.DUMMYFUNCTION("""COMPUTED_VALUE"""),2900)</f>
        <v>2900</v>
      </c>
      <c r="F620" s="2">
        <f ca="1">IFERROR(__xludf.DUMMYFUNCTION("""COMPUTED_VALUE"""),45600400)</f>
        <v>45600400</v>
      </c>
    </row>
    <row r="621" spans="1:6">
      <c r="A621" s="5">
        <f ca="1">IFERROR(__xludf.DUMMYFUNCTION("""COMPUTED_VALUE"""),42947.625)</f>
        <v>42947.625</v>
      </c>
      <c r="B621" s="2">
        <f ca="1">IFERROR(__xludf.DUMMYFUNCTION("""COMPUTED_VALUE"""),2885)</f>
        <v>2885</v>
      </c>
      <c r="C621" s="2">
        <f ca="1">IFERROR(__xludf.DUMMYFUNCTION("""COMPUTED_VALUE"""),3000)</f>
        <v>3000</v>
      </c>
      <c r="D621" s="2">
        <f ca="1">IFERROR(__xludf.DUMMYFUNCTION("""COMPUTED_VALUE"""),2885)</f>
        <v>2885</v>
      </c>
      <c r="E621" s="2">
        <f ca="1">IFERROR(__xludf.DUMMYFUNCTION("""COMPUTED_VALUE"""),2955)</f>
        <v>2955</v>
      </c>
      <c r="F621" s="2">
        <f ca="1">IFERROR(__xludf.DUMMYFUNCTION("""COMPUTED_VALUE"""),44846500)</f>
        <v>44846500</v>
      </c>
    </row>
    <row r="622" spans="1:6">
      <c r="A622" s="5">
        <f ca="1">IFERROR(__xludf.DUMMYFUNCTION("""COMPUTED_VALUE"""),42948.625)</f>
        <v>42948.625</v>
      </c>
      <c r="B622" s="2">
        <f ca="1">IFERROR(__xludf.DUMMYFUNCTION("""COMPUTED_VALUE"""),2980)</f>
        <v>2980</v>
      </c>
      <c r="C622" s="2">
        <f ca="1">IFERROR(__xludf.DUMMYFUNCTION("""COMPUTED_VALUE"""),2980)</f>
        <v>2980</v>
      </c>
      <c r="D622" s="2">
        <f ca="1">IFERROR(__xludf.DUMMYFUNCTION("""COMPUTED_VALUE"""),2955)</f>
        <v>2955</v>
      </c>
      <c r="E622" s="2">
        <f ca="1">IFERROR(__xludf.DUMMYFUNCTION("""COMPUTED_VALUE"""),2960)</f>
        <v>2960</v>
      </c>
      <c r="F622" s="2">
        <f ca="1">IFERROR(__xludf.DUMMYFUNCTION("""COMPUTED_VALUE"""),17302700)</f>
        <v>17302700</v>
      </c>
    </row>
    <row r="623" spans="1:6">
      <c r="A623" s="5">
        <f ca="1">IFERROR(__xludf.DUMMYFUNCTION("""COMPUTED_VALUE"""),42949.625)</f>
        <v>42949.625</v>
      </c>
      <c r="B623" s="2">
        <f ca="1">IFERROR(__xludf.DUMMYFUNCTION("""COMPUTED_VALUE"""),2955)</f>
        <v>2955</v>
      </c>
      <c r="C623" s="2">
        <f ca="1">IFERROR(__xludf.DUMMYFUNCTION("""COMPUTED_VALUE"""),2990)</f>
        <v>2990</v>
      </c>
      <c r="D623" s="2">
        <f ca="1">IFERROR(__xludf.DUMMYFUNCTION("""COMPUTED_VALUE"""),2955)</f>
        <v>2955</v>
      </c>
      <c r="E623" s="2">
        <f ca="1">IFERROR(__xludf.DUMMYFUNCTION("""COMPUTED_VALUE"""),2990)</f>
        <v>2990</v>
      </c>
      <c r="F623" s="2">
        <f ca="1">IFERROR(__xludf.DUMMYFUNCTION("""COMPUTED_VALUE"""),10608000)</f>
        <v>10608000</v>
      </c>
    </row>
    <row r="624" spans="1:6">
      <c r="A624" s="5">
        <f ca="1">IFERROR(__xludf.DUMMYFUNCTION("""COMPUTED_VALUE"""),42950.625)</f>
        <v>42950.625</v>
      </c>
      <c r="B624" s="2">
        <f ca="1">IFERROR(__xludf.DUMMYFUNCTION("""COMPUTED_VALUE"""),2995)</f>
        <v>2995</v>
      </c>
      <c r="C624" s="2">
        <f ca="1">IFERROR(__xludf.DUMMYFUNCTION("""COMPUTED_VALUE"""),2995)</f>
        <v>2995</v>
      </c>
      <c r="D624" s="2">
        <f ca="1">IFERROR(__xludf.DUMMYFUNCTION("""COMPUTED_VALUE"""),2960)</f>
        <v>2960</v>
      </c>
      <c r="E624" s="2">
        <f ca="1">IFERROR(__xludf.DUMMYFUNCTION("""COMPUTED_VALUE"""),2970)</f>
        <v>2970</v>
      </c>
      <c r="F624" s="2">
        <f ca="1">IFERROR(__xludf.DUMMYFUNCTION("""COMPUTED_VALUE"""),20363100)</f>
        <v>20363100</v>
      </c>
    </row>
    <row r="625" spans="1:6">
      <c r="A625" s="5">
        <f ca="1">IFERROR(__xludf.DUMMYFUNCTION("""COMPUTED_VALUE"""),42951.625)</f>
        <v>42951.625</v>
      </c>
      <c r="B625" s="2">
        <f ca="1">IFERROR(__xludf.DUMMYFUNCTION("""COMPUTED_VALUE"""),2970)</f>
        <v>2970</v>
      </c>
      <c r="C625" s="2">
        <f ca="1">IFERROR(__xludf.DUMMYFUNCTION("""COMPUTED_VALUE"""),2990)</f>
        <v>2990</v>
      </c>
      <c r="D625" s="2">
        <f ca="1">IFERROR(__xludf.DUMMYFUNCTION("""COMPUTED_VALUE"""),2970)</f>
        <v>2970</v>
      </c>
      <c r="E625" s="2">
        <f ca="1">IFERROR(__xludf.DUMMYFUNCTION("""COMPUTED_VALUE"""),2985)</f>
        <v>2985</v>
      </c>
      <c r="F625" s="2">
        <f ca="1">IFERROR(__xludf.DUMMYFUNCTION("""COMPUTED_VALUE"""),11571700)</f>
        <v>11571700</v>
      </c>
    </row>
    <row r="626" spans="1:6">
      <c r="A626" s="5">
        <f ca="1">IFERROR(__xludf.DUMMYFUNCTION("""COMPUTED_VALUE"""),42954.625)</f>
        <v>42954.625</v>
      </c>
      <c r="B626" s="2">
        <f ca="1">IFERROR(__xludf.DUMMYFUNCTION("""COMPUTED_VALUE"""),2985)</f>
        <v>2985</v>
      </c>
      <c r="C626" s="2">
        <f ca="1">IFERROR(__xludf.DUMMYFUNCTION("""COMPUTED_VALUE"""),2995)</f>
        <v>2995</v>
      </c>
      <c r="D626" s="2">
        <f ca="1">IFERROR(__xludf.DUMMYFUNCTION("""COMPUTED_VALUE"""),2970)</f>
        <v>2970</v>
      </c>
      <c r="E626" s="2">
        <f ca="1">IFERROR(__xludf.DUMMYFUNCTION("""COMPUTED_VALUE"""),2980)</f>
        <v>2980</v>
      </c>
      <c r="F626" s="2">
        <f ca="1">IFERROR(__xludf.DUMMYFUNCTION("""COMPUTED_VALUE"""),14044000)</f>
        <v>14044000</v>
      </c>
    </row>
    <row r="627" spans="1:6">
      <c r="A627" s="5">
        <f ca="1">IFERROR(__xludf.DUMMYFUNCTION("""COMPUTED_VALUE"""),42955.625)</f>
        <v>42955.625</v>
      </c>
      <c r="B627" s="2">
        <f ca="1">IFERROR(__xludf.DUMMYFUNCTION("""COMPUTED_VALUE"""),2990)</f>
        <v>2990</v>
      </c>
      <c r="C627" s="2">
        <f ca="1">IFERROR(__xludf.DUMMYFUNCTION("""COMPUTED_VALUE"""),3000)</f>
        <v>3000</v>
      </c>
      <c r="D627" s="2">
        <f ca="1">IFERROR(__xludf.DUMMYFUNCTION("""COMPUTED_VALUE"""),2985)</f>
        <v>2985</v>
      </c>
      <c r="E627" s="2">
        <f ca="1">IFERROR(__xludf.DUMMYFUNCTION("""COMPUTED_VALUE"""),2990)</f>
        <v>2990</v>
      </c>
      <c r="F627" s="2">
        <f ca="1">IFERROR(__xludf.DUMMYFUNCTION("""COMPUTED_VALUE"""),15254100)</f>
        <v>15254100</v>
      </c>
    </row>
    <row r="628" spans="1:6">
      <c r="A628" s="5">
        <f ca="1">IFERROR(__xludf.DUMMYFUNCTION("""COMPUTED_VALUE"""),42956.625)</f>
        <v>42956.625</v>
      </c>
      <c r="B628" s="2">
        <f ca="1">IFERROR(__xludf.DUMMYFUNCTION("""COMPUTED_VALUE"""),3000)</f>
        <v>3000</v>
      </c>
      <c r="C628" s="2">
        <f ca="1">IFERROR(__xludf.DUMMYFUNCTION("""COMPUTED_VALUE"""),3020)</f>
        <v>3020</v>
      </c>
      <c r="D628" s="2">
        <f ca="1">IFERROR(__xludf.DUMMYFUNCTION("""COMPUTED_VALUE"""),2990)</f>
        <v>2990</v>
      </c>
      <c r="E628" s="2">
        <f ca="1">IFERROR(__xludf.DUMMYFUNCTION("""COMPUTED_VALUE"""),3005)</f>
        <v>3005</v>
      </c>
      <c r="F628" s="2">
        <f ca="1">IFERROR(__xludf.DUMMYFUNCTION("""COMPUTED_VALUE"""),19893100)</f>
        <v>19893100</v>
      </c>
    </row>
    <row r="629" spans="1:6">
      <c r="A629" s="5">
        <f ca="1">IFERROR(__xludf.DUMMYFUNCTION("""COMPUTED_VALUE"""),42957.625)</f>
        <v>42957.625</v>
      </c>
      <c r="B629" s="2">
        <f ca="1">IFERROR(__xludf.DUMMYFUNCTION("""COMPUTED_VALUE"""),3000)</f>
        <v>3000</v>
      </c>
      <c r="C629" s="2">
        <f ca="1">IFERROR(__xludf.DUMMYFUNCTION("""COMPUTED_VALUE"""),3010)</f>
        <v>3010</v>
      </c>
      <c r="D629" s="2">
        <f ca="1">IFERROR(__xludf.DUMMYFUNCTION("""COMPUTED_VALUE"""),2990)</f>
        <v>2990</v>
      </c>
      <c r="E629" s="2">
        <f ca="1">IFERROR(__xludf.DUMMYFUNCTION("""COMPUTED_VALUE"""),3000)</f>
        <v>3000</v>
      </c>
      <c r="F629" s="2">
        <f ca="1">IFERROR(__xludf.DUMMYFUNCTION("""COMPUTED_VALUE"""),16804800)</f>
        <v>16804800</v>
      </c>
    </row>
    <row r="630" spans="1:6">
      <c r="A630" s="5">
        <f ca="1">IFERROR(__xludf.DUMMYFUNCTION("""COMPUTED_VALUE"""),42958.625)</f>
        <v>42958.625</v>
      </c>
      <c r="B630" s="2">
        <f ca="1">IFERROR(__xludf.DUMMYFUNCTION("""COMPUTED_VALUE"""),2995)</f>
        <v>2995</v>
      </c>
      <c r="C630" s="2">
        <f ca="1">IFERROR(__xludf.DUMMYFUNCTION("""COMPUTED_VALUE"""),3020)</f>
        <v>3020</v>
      </c>
      <c r="D630" s="2">
        <f ca="1">IFERROR(__xludf.DUMMYFUNCTION("""COMPUTED_VALUE"""),2980)</f>
        <v>2980</v>
      </c>
      <c r="E630" s="2">
        <f ca="1">IFERROR(__xludf.DUMMYFUNCTION("""COMPUTED_VALUE"""),3000)</f>
        <v>3000</v>
      </c>
      <c r="F630" s="2">
        <f ca="1">IFERROR(__xludf.DUMMYFUNCTION("""COMPUTED_VALUE"""),30038400)</f>
        <v>30038400</v>
      </c>
    </row>
    <row r="631" spans="1:6">
      <c r="A631" s="5">
        <f ca="1">IFERROR(__xludf.DUMMYFUNCTION("""COMPUTED_VALUE"""),42961.625)</f>
        <v>42961.625</v>
      </c>
      <c r="B631" s="2">
        <f ca="1">IFERROR(__xludf.DUMMYFUNCTION("""COMPUTED_VALUE"""),3000)</f>
        <v>3000</v>
      </c>
      <c r="C631" s="2">
        <f ca="1">IFERROR(__xludf.DUMMYFUNCTION("""COMPUTED_VALUE"""),3020)</f>
        <v>3020</v>
      </c>
      <c r="D631" s="2">
        <f ca="1">IFERROR(__xludf.DUMMYFUNCTION("""COMPUTED_VALUE"""),2995)</f>
        <v>2995</v>
      </c>
      <c r="E631" s="2">
        <f ca="1">IFERROR(__xludf.DUMMYFUNCTION("""COMPUTED_VALUE"""),3015)</f>
        <v>3015</v>
      </c>
      <c r="F631" s="2">
        <f ca="1">IFERROR(__xludf.DUMMYFUNCTION("""COMPUTED_VALUE"""),16221200)</f>
        <v>16221200</v>
      </c>
    </row>
    <row r="632" spans="1:6">
      <c r="A632" s="5">
        <f ca="1">IFERROR(__xludf.DUMMYFUNCTION("""COMPUTED_VALUE"""),42962.625)</f>
        <v>42962.625</v>
      </c>
      <c r="B632" s="2">
        <f ca="1">IFERROR(__xludf.DUMMYFUNCTION("""COMPUTED_VALUE"""),3005)</f>
        <v>3005</v>
      </c>
      <c r="C632" s="2">
        <f ca="1">IFERROR(__xludf.DUMMYFUNCTION("""COMPUTED_VALUE"""),3020)</f>
        <v>3020</v>
      </c>
      <c r="D632" s="2">
        <f ca="1">IFERROR(__xludf.DUMMYFUNCTION("""COMPUTED_VALUE"""),3000)</f>
        <v>3000</v>
      </c>
      <c r="E632" s="2">
        <f ca="1">IFERROR(__xludf.DUMMYFUNCTION("""COMPUTED_VALUE"""),3010)</f>
        <v>3010</v>
      </c>
      <c r="F632" s="2">
        <f ca="1">IFERROR(__xludf.DUMMYFUNCTION("""COMPUTED_VALUE"""),17169700)</f>
        <v>17169700</v>
      </c>
    </row>
    <row r="633" spans="1:6">
      <c r="A633" s="5">
        <f ca="1">IFERROR(__xludf.DUMMYFUNCTION("""COMPUTED_VALUE"""),42963.625)</f>
        <v>42963.625</v>
      </c>
      <c r="B633" s="2">
        <f ca="1">IFERROR(__xludf.DUMMYFUNCTION("""COMPUTED_VALUE"""),3000)</f>
        <v>3000</v>
      </c>
      <c r="C633" s="2">
        <f ca="1">IFERROR(__xludf.DUMMYFUNCTION("""COMPUTED_VALUE"""),3050)</f>
        <v>3050</v>
      </c>
      <c r="D633" s="2">
        <f ca="1">IFERROR(__xludf.DUMMYFUNCTION("""COMPUTED_VALUE"""),3000)</f>
        <v>3000</v>
      </c>
      <c r="E633" s="2">
        <f ca="1">IFERROR(__xludf.DUMMYFUNCTION("""COMPUTED_VALUE"""),3050)</f>
        <v>3050</v>
      </c>
      <c r="F633" s="2">
        <f ca="1">IFERROR(__xludf.DUMMYFUNCTION("""COMPUTED_VALUE"""),14217700)</f>
        <v>14217700</v>
      </c>
    </row>
    <row r="634" spans="1:6">
      <c r="A634" s="5">
        <f ca="1">IFERROR(__xludf.DUMMYFUNCTION("""COMPUTED_VALUE"""),42965.625)</f>
        <v>42965.625</v>
      </c>
      <c r="B634" s="2">
        <f ca="1">IFERROR(__xludf.DUMMYFUNCTION("""COMPUTED_VALUE"""),3020)</f>
        <v>3020</v>
      </c>
      <c r="C634" s="2">
        <f ca="1">IFERROR(__xludf.DUMMYFUNCTION("""COMPUTED_VALUE"""),3050)</f>
        <v>3050</v>
      </c>
      <c r="D634" s="2">
        <f ca="1">IFERROR(__xludf.DUMMYFUNCTION("""COMPUTED_VALUE"""),2990)</f>
        <v>2990</v>
      </c>
      <c r="E634" s="2">
        <f ca="1">IFERROR(__xludf.DUMMYFUNCTION("""COMPUTED_VALUE"""),3030)</f>
        <v>3030</v>
      </c>
      <c r="F634" s="2">
        <f ca="1">IFERROR(__xludf.DUMMYFUNCTION("""COMPUTED_VALUE"""),15838300)</f>
        <v>15838300</v>
      </c>
    </row>
    <row r="635" spans="1:6">
      <c r="A635" s="5">
        <f ca="1">IFERROR(__xludf.DUMMYFUNCTION("""COMPUTED_VALUE"""),42968.625)</f>
        <v>42968.625</v>
      </c>
      <c r="B635" s="2">
        <f ca="1">IFERROR(__xludf.DUMMYFUNCTION("""COMPUTED_VALUE"""),3000)</f>
        <v>3000</v>
      </c>
      <c r="C635" s="2">
        <f ca="1">IFERROR(__xludf.DUMMYFUNCTION("""COMPUTED_VALUE"""),3055)</f>
        <v>3055</v>
      </c>
      <c r="D635" s="2">
        <f ca="1">IFERROR(__xludf.DUMMYFUNCTION("""COMPUTED_VALUE"""),3000)</f>
        <v>3000</v>
      </c>
      <c r="E635" s="2">
        <f ca="1">IFERROR(__xludf.DUMMYFUNCTION("""COMPUTED_VALUE"""),3055)</f>
        <v>3055</v>
      </c>
      <c r="F635" s="2">
        <f ca="1">IFERROR(__xludf.DUMMYFUNCTION("""COMPUTED_VALUE"""),19259600)</f>
        <v>19259600</v>
      </c>
    </row>
    <row r="636" spans="1:6">
      <c r="A636" s="5">
        <f ca="1">IFERROR(__xludf.DUMMYFUNCTION("""COMPUTED_VALUE"""),42969.625)</f>
        <v>42969.625</v>
      </c>
      <c r="B636" s="2">
        <f ca="1">IFERROR(__xludf.DUMMYFUNCTION("""COMPUTED_VALUE"""),3030)</f>
        <v>3030</v>
      </c>
      <c r="C636" s="2">
        <f ca="1">IFERROR(__xludf.DUMMYFUNCTION("""COMPUTED_VALUE"""),3070)</f>
        <v>3070</v>
      </c>
      <c r="D636" s="2">
        <f ca="1">IFERROR(__xludf.DUMMYFUNCTION("""COMPUTED_VALUE"""),3030)</f>
        <v>3030</v>
      </c>
      <c r="E636" s="2">
        <f ca="1">IFERROR(__xludf.DUMMYFUNCTION("""COMPUTED_VALUE"""),3060)</f>
        <v>3060</v>
      </c>
      <c r="F636" s="2">
        <f ca="1">IFERROR(__xludf.DUMMYFUNCTION("""COMPUTED_VALUE"""),23000300)</f>
        <v>23000300</v>
      </c>
    </row>
    <row r="637" spans="1:6">
      <c r="A637" s="5">
        <f ca="1">IFERROR(__xludf.DUMMYFUNCTION("""COMPUTED_VALUE"""),42970.625)</f>
        <v>42970.625</v>
      </c>
      <c r="B637" s="2">
        <f ca="1">IFERROR(__xludf.DUMMYFUNCTION("""COMPUTED_VALUE"""),3070)</f>
        <v>3070</v>
      </c>
      <c r="C637" s="2">
        <f ca="1">IFERROR(__xludf.DUMMYFUNCTION("""COMPUTED_VALUE"""),3070)</f>
        <v>3070</v>
      </c>
      <c r="D637" s="2">
        <f ca="1">IFERROR(__xludf.DUMMYFUNCTION("""COMPUTED_VALUE"""),3045)</f>
        <v>3045</v>
      </c>
      <c r="E637" s="2">
        <f ca="1">IFERROR(__xludf.DUMMYFUNCTION("""COMPUTED_VALUE"""),3060)</f>
        <v>3060</v>
      </c>
      <c r="F637" s="2">
        <f ca="1">IFERROR(__xludf.DUMMYFUNCTION("""COMPUTED_VALUE"""),11783800)</f>
        <v>11783800</v>
      </c>
    </row>
    <row r="638" spans="1:6">
      <c r="A638" s="5">
        <f ca="1">IFERROR(__xludf.DUMMYFUNCTION("""COMPUTED_VALUE"""),42971.625)</f>
        <v>42971.625</v>
      </c>
      <c r="B638" s="2">
        <f ca="1">IFERROR(__xludf.DUMMYFUNCTION("""COMPUTED_VALUE"""),3055)</f>
        <v>3055</v>
      </c>
      <c r="C638" s="2">
        <f ca="1">IFERROR(__xludf.DUMMYFUNCTION("""COMPUTED_VALUE"""),3070)</f>
        <v>3070</v>
      </c>
      <c r="D638" s="2">
        <f ca="1">IFERROR(__xludf.DUMMYFUNCTION("""COMPUTED_VALUE"""),3030)</f>
        <v>3030</v>
      </c>
      <c r="E638" s="2">
        <f ca="1">IFERROR(__xludf.DUMMYFUNCTION("""COMPUTED_VALUE"""),3045)</f>
        <v>3045</v>
      </c>
      <c r="F638" s="2">
        <f ca="1">IFERROR(__xludf.DUMMYFUNCTION("""COMPUTED_VALUE"""),10170100)</f>
        <v>10170100</v>
      </c>
    </row>
    <row r="639" spans="1:6">
      <c r="A639" s="5">
        <f ca="1">IFERROR(__xludf.DUMMYFUNCTION("""COMPUTED_VALUE"""),42972.625)</f>
        <v>42972.625</v>
      </c>
      <c r="B639" s="2">
        <f ca="1">IFERROR(__xludf.DUMMYFUNCTION("""COMPUTED_VALUE"""),3070)</f>
        <v>3070</v>
      </c>
      <c r="C639" s="2">
        <f ca="1">IFERROR(__xludf.DUMMYFUNCTION("""COMPUTED_VALUE"""),3070)</f>
        <v>3070</v>
      </c>
      <c r="D639" s="2">
        <f ca="1">IFERROR(__xludf.DUMMYFUNCTION("""COMPUTED_VALUE"""),3045)</f>
        <v>3045</v>
      </c>
      <c r="E639" s="2">
        <f ca="1">IFERROR(__xludf.DUMMYFUNCTION("""COMPUTED_VALUE"""),3060)</f>
        <v>3060</v>
      </c>
      <c r="F639" s="2">
        <f ca="1">IFERROR(__xludf.DUMMYFUNCTION("""COMPUTED_VALUE"""),12658900)</f>
        <v>12658900</v>
      </c>
    </row>
    <row r="640" spans="1:6">
      <c r="A640" s="5">
        <f ca="1">IFERROR(__xludf.DUMMYFUNCTION("""COMPUTED_VALUE"""),42975.625)</f>
        <v>42975.625</v>
      </c>
      <c r="B640" s="2">
        <f ca="1">IFERROR(__xludf.DUMMYFUNCTION("""COMPUTED_VALUE"""),3060)</f>
        <v>3060</v>
      </c>
      <c r="C640" s="2">
        <f ca="1">IFERROR(__xludf.DUMMYFUNCTION("""COMPUTED_VALUE"""),3060)</f>
        <v>3060</v>
      </c>
      <c r="D640" s="2">
        <f ca="1">IFERROR(__xludf.DUMMYFUNCTION("""COMPUTED_VALUE"""),3030)</f>
        <v>3030</v>
      </c>
      <c r="E640" s="2">
        <f ca="1">IFERROR(__xludf.DUMMYFUNCTION("""COMPUTED_VALUE"""),3045)</f>
        <v>3045</v>
      </c>
      <c r="F640" s="2">
        <f ca="1">IFERROR(__xludf.DUMMYFUNCTION("""COMPUTED_VALUE"""),6728300)</f>
        <v>6728300</v>
      </c>
    </row>
    <row r="641" spans="1:6">
      <c r="A641" s="5">
        <f ca="1">IFERROR(__xludf.DUMMYFUNCTION("""COMPUTED_VALUE"""),42976.625)</f>
        <v>42976.625</v>
      </c>
      <c r="B641" s="2">
        <f ca="1">IFERROR(__xludf.DUMMYFUNCTION("""COMPUTED_VALUE"""),3030)</f>
        <v>3030</v>
      </c>
      <c r="C641" s="2">
        <f ca="1">IFERROR(__xludf.DUMMYFUNCTION("""COMPUTED_VALUE"""),3035)</f>
        <v>3035</v>
      </c>
      <c r="D641" s="2">
        <f ca="1">IFERROR(__xludf.DUMMYFUNCTION("""COMPUTED_VALUE"""),2980)</f>
        <v>2980</v>
      </c>
      <c r="E641" s="2">
        <f ca="1">IFERROR(__xludf.DUMMYFUNCTION("""COMPUTED_VALUE"""),2995)</f>
        <v>2995</v>
      </c>
      <c r="F641" s="2">
        <f ca="1">IFERROR(__xludf.DUMMYFUNCTION("""COMPUTED_VALUE"""),15837700)</f>
        <v>15837700</v>
      </c>
    </row>
    <row r="642" spans="1:6">
      <c r="A642" s="5">
        <f ca="1">IFERROR(__xludf.DUMMYFUNCTION("""COMPUTED_VALUE"""),42977.625)</f>
        <v>42977.625</v>
      </c>
      <c r="B642" s="2">
        <f ca="1">IFERROR(__xludf.DUMMYFUNCTION("""COMPUTED_VALUE"""),2995)</f>
        <v>2995</v>
      </c>
      <c r="C642" s="2">
        <f ca="1">IFERROR(__xludf.DUMMYFUNCTION("""COMPUTED_VALUE"""),3025)</f>
        <v>3025</v>
      </c>
      <c r="D642" s="2">
        <f ca="1">IFERROR(__xludf.DUMMYFUNCTION("""COMPUTED_VALUE"""),2985)</f>
        <v>2985</v>
      </c>
      <c r="E642" s="2">
        <f ca="1">IFERROR(__xludf.DUMMYFUNCTION("""COMPUTED_VALUE"""),3015)</f>
        <v>3015</v>
      </c>
      <c r="F642" s="2">
        <f ca="1">IFERROR(__xludf.DUMMYFUNCTION("""COMPUTED_VALUE"""),10879800)</f>
        <v>10879800</v>
      </c>
    </row>
    <row r="643" spans="1:6">
      <c r="A643" s="5">
        <f ca="1">IFERROR(__xludf.DUMMYFUNCTION("""COMPUTED_VALUE"""),42978.625)</f>
        <v>42978.625</v>
      </c>
      <c r="B643" s="2">
        <f ca="1">IFERROR(__xludf.DUMMYFUNCTION("""COMPUTED_VALUE"""),3025)</f>
        <v>3025</v>
      </c>
      <c r="C643" s="2">
        <f ca="1">IFERROR(__xludf.DUMMYFUNCTION("""COMPUTED_VALUE"""),3035)</f>
        <v>3035</v>
      </c>
      <c r="D643" s="2">
        <f ca="1">IFERROR(__xludf.DUMMYFUNCTION("""COMPUTED_VALUE"""),3010)</f>
        <v>3010</v>
      </c>
      <c r="E643" s="2">
        <f ca="1">IFERROR(__xludf.DUMMYFUNCTION("""COMPUTED_VALUE"""),3025)</f>
        <v>3025</v>
      </c>
      <c r="F643" s="2">
        <f ca="1">IFERROR(__xludf.DUMMYFUNCTION("""COMPUTED_VALUE"""),11623600)</f>
        <v>11623600</v>
      </c>
    </row>
    <row r="644" spans="1:6">
      <c r="A644" s="5">
        <f ca="1">IFERROR(__xludf.DUMMYFUNCTION("""COMPUTED_VALUE"""),42982.625)</f>
        <v>42982.625</v>
      </c>
      <c r="B644" s="2">
        <f ca="1">IFERROR(__xludf.DUMMYFUNCTION("""COMPUTED_VALUE"""),2995)</f>
        <v>2995</v>
      </c>
      <c r="C644" s="2">
        <f ca="1">IFERROR(__xludf.DUMMYFUNCTION("""COMPUTED_VALUE"""),3020)</f>
        <v>3020</v>
      </c>
      <c r="D644" s="2">
        <f ca="1">IFERROR(__xludf.DUMMYFUNCTION("""COMPUTED_VALUE"""),2975)</f>
        <v>2975</v>
      </c>
      <c r="E644" s="2">
        <f ca="1">IFERROR(__xludf.DUMMYFUNCTION("""COMPUTED_VALUE"""),2975)</f>
        <v>2975</v>
      </c>
      <c r="F644" s="2">
        <f ca="1">IFERROR(__xludf.DUMMYFUNCTION("""COMPUTED_VALUE"""),12975400)</f>
        <v>12975400</v>
      </c>
    </row>
    <row r="645" spans="1:6">
      <c r="A645" s="5">
        <f ca="1">IFERROR(__xludf.DUMMYFUNCTION("""COMPUTED_VALUE"""),42983.625)</f>
        <v>42983.625</v>
      </c>
      <c r="B645" s="2">
        <f ca="1">IFERROR(__xludf.DUMMYFUNCTION("""COMPUTED_VALUE"""),3025)</f>
        <v>3025</v>
      </c>
      <c r="C645" s="2">
        <f ca="1">IFERROR(__xludf.DUMMYFUNCTION("""COMPUTED_VALUE"""),3025)</f>
        <v>3025</v>
      </c>
      <c r="D645" s="2">
        <f ca="1">IFERROR(__xludf.DUMMYFUNCTION("""COMPUTED_VALUE"""),2960)</f>
        <v>2960</v>
      </c>
      <c r="E645" s="2">
        <f ca="1">IFERROR(__xludf.DUMMYFUNCTION("""COMPUTED_VALUE"""),3000)</f>
        <v>3000</v>
      </c>
      <c r="F645" s="2">
        <f ca="1">IFERROR(__xludf.DUMMYFUNCTION("""COMPUTED_VALUE"""),6357500)</f>
        <v>6357500</v>
      </c>
    </row>
    <row r="646" spans="1:6">
      <c r="A646" s="5">
        <f ca="1">IFERROR(__xludf.DUMMYFUNCTION("""COMPUTED_VALUE"""),42984.625)</f>
        <v>42984.625</v>
      </c>
      <c r="B646" s="2">
        <f ca="1">IFERROR(__xludf.DUMMYFUNCTION("""COMPUTED_VALUE"""),2955)</f>
        <v>2955</v>
      </c>
      <c r="C646" s="2">
        <f ca="1">IFERROR(__xludf.DUMMYFUNCTION("""COMPUTED_VALUE"""),2985)</f>
        <v>2985</v>
      </c>
      <c r="D646" s="2">
        <f ca="1">IFERROR(__xludf.DUMMYFUNCTION("""COMPUTED_VALUE"""),2945)</f>
        <v>2945</v>
      </c>
      <c r="E646" s="2">
        <f ca="1">IFERROR(__xludf.DUMMYFUNCTION("""COMPUTED_VALUE"""),2970)</f>
        <v>2970</v>
      </c>
      <c r="F646" s="2">
        <f ca="1">IFERROR(__xludf.DUMMYFUNCTION("""COMPUTED_VALUE"""),18358600)</f>
        <v>18358600</v>
      </c>
    </row>
    <row r="647" spans="1:6">
      <c r="A647" s="5">
        <f ca="1">IFERROR(__xludf.DUMMYFUNCTION("""COMPUTED_VALUE"""),42985.625)</f>
        <v>42985.625</v>
      </c>
      <c r="B647" s="2">
        <f ca="1">IFERROR(__xludf.DUMMYFUNCTION("""COMPUTED_VALUE"""),2965)</f>
        <v>2965</v>
      </c>
      <c r="C647" s="2">
        <f ca="1">IFERROR(__xludf.DUMMYFUNCTION("""COMPUTED_VALUE"""),3000)</f>
        <v>3000</v>
      </c>
      <c r="D647" s="2">
        <f ca="1">IFERROR(__xludf.DUMMYFUNCTION("""COMPUTED_VALUE"""),2965)</f>
        <v>2965</v>
      </c>
      <c r="E647" s="2">
        <f ca="1">IFERROR(__xludf.DUMMYFUNCTION("""COMPUTED_VALUE"""),3000)</f>
        <v>3000</v>
      </c>
      <c r="F647" s="2">
        <f ca="1">IFERROR(__xludf.DUMMYFUNCTION("""COMPUTED_VALUE"""),11698100)</f>
        <v>11698100</v>
      </c>
    </row>
    <row r="648" spans="1:6">
      <c r="A648" s="5">
        <f ca="1">IFERROR(__xludf.DUMMYFUNCTION("""COMPUTED_VALUE"""),42986.625)</f>
        <v>42986.625</v>
      </c>
      <c r="B648" s="2">
        <f ca="1">IFERROR(__xludf.DUMMYFUNCTION("""COMPUTED_VALUE"""),2970)</f>
        <v>2970</v>
      </c>
      <c r="C648" s="2">
        <f ca="1">IFERROR(__xludf.DUMMYFUNCTION("""COMPUTED_VALUE"""),3000)</f>
        <v>3000</v>
      </c>
      <c r="D648" s="2">
        <f ca="1">IFERROR(__xludf.DUMMYFUNCTION("""COMPUTED_VALUE"""),2970)</f>
        <v>2970</v>
      </c>
      <c r="E648" s="2">
        <f ca="1">IFERROR(__xludf.DUMMYFUNCTION("""COMPUTED_VALUE"""),3000)</f>
        <v>3000</v>
      </c>
      <c r="F648" s="2">
        <f ca="1">IFERROR(__xludf.DUMMYFUNCTION("""COMPUTED_VALUE"""),10453300)</f>
        <v>10453300</v>
      </c>
    </row>
    <row r="649" spans="1:6">
      <c r="A649" s="5">
        <f ca="1">IFERROR(__xludf.DUMMYFUNCTION("""COMPUTED_VALUE"""),42989.625)</f>
        <v>42989.625</v>
      </c>
      <c r="B649" s="2">
        <f ca="1">IFERROR(__xludf.DUMMYFUNCTION("""COMPUTED_VALUE"""),3005)</f>
        <v>3005</v>
      </c>
      <c r="C649" s="2">
        <f ca="1">IFERROR(__xludf.DUMMYFUNCTION("""COMPUTED_VALUE"""),3010)</f>
        <v>3010</v>
      </c>
      <c r="D649" s="2">
        <f ca="1">IFERROR(__xludf.DUMMYFUNCTION("""COMPUTED_VALUE"""),2985)</f>
        <v>2985</v>
      </c>
      <c r="E649" s="2">
        <f ca="1">IFERROR(__xludf.DUMMYFUNCTION("""COMPUTED_VALUE"""),2990)</f>
        <v>2990</v>
      </c>
      <c r="F649" s="2">
        <f ca="1">IFERROR(__xludf.DUMMYFUNCTION("""COMPUTED_VALUE"""),16656900)</f>
        <v>16656900</v>
      </c>
    </row>
    <row r="650" spans="1:6">
      <c r="A650" s="5">
        <f ca="1">IFERROR(__xludf.DUMMYFUNCTION("""COMPUTED_VALUE"""),42990.625)</f>
        <v>42990.625</v>
      </c>
      <c r="B650" s="2">
        <f ca="1">IFERROR(__xludf.DUMMYFUNCTION("""COMPUTED_VALUE"""),2960)</f>
        <v>2960</v>
      </c>
      <c r="C650" s="2">
        <f ca="1">IFERROR(__xludf.DUMMYFUNCTION("""COMPUTED_VALUE"""),3000)</f>
        <v>3000</v>
      </c>
      <c r="D650" s="2">
        <f ca="1">IFERROR(__xludf.DUMMYFUNCTION("""COMPUTED_VALUE"""),2960)</f>
        <v>2960</v>
      </c>
      <c r="E650" s="2">
        <f ca="1">IFERROR(__xludf.DUMMYFUNCTION("""COMPUTED_VALUE"""),2985)</f>
        <v>2985</v>
      </c>
      <c r="F650" s="2">
        <f ca="1">IFERROR(__xludf.DUMMYFUNCTION("""COMPUTED_VALUE"""),19804500)</f>
        <v>19804500</v>
      </c>
    </row>
    <row r="651" spans="1:6">
      <c r="A651" s="5">
        <f ca="1">IFERROR(__xludf.DUMMYFUNCTION("""COMPUTED_VALUE"""),42991.625)</f>
        <v>42991.625</v>
      </c>
      <c r="B651" s="2">
        <f ca="1">IFERROR(__xludf.DUMMYFUNCTION("""COMPUTED_VALUE"""),2960)</f>
        <v>2960</v>
      </c>
      <c r="C651" s="2">
        <f ca="1">IFERROR(__xludf.DUMMYFUNCTION("""COMPUTED_VALUE"""),2995)</f>
        <v>2995</v>
      </c>
      <c r="D651" s="2">
        <f ca="1">IFERROR(__xludf.DUMMYFUNCTION("""COMPUTED_VALUE"""),2960)</f>
        <v>2960</v>
      </c>
      <c r="E651" s="2">
        <f ca="1">IFERROR(__xludf.DUMMYFUNCTION("""COMPUTED_VALUE"""),2980)</f>
        <v>2980</v>
      </c>
      <c r="F651" s="2">
        <f ca="1">IFERROR(__xludf.DUMMYFUNCTION("""COMPUTED_VALUE"""),8576700)</f>
        <v>8576700</v>
      </c>
    </row>
    <row r="652" spans="1:6">
      <c r="A652" s="5">
        <f ca="1">IFERROR(__xludf.DUMMYFUNCTION("""COMPUTED_VALUE"""),42992.625)</f>
        <v>42992.625</v>
      </c>
      <c r="B652" s="2">
        <f ca="1">IFERROR(__xludf.DUMMYFUNCTION("""COMPUTED_VALUE"""),2960)</f>
        <v>2960</v>
      </c>
      <c r="C652" s="2">
        <f ca="1">IFERROR(__xludf.DUMMYFUNCTION("""COMPUTED_VALUE"""),2980)</f>
        <v>2980</v>
      </c>
      <c r="D652" s="2">
        <f ca="1">IFERROR(__xludf.DUMMYFUNCTION("""COMPUTED_VALUE"""),2960)</f>
        <v>2960</v>
      </c>
      <c r="E652" s="2">
        <f ca="1">IFERROR(__xludf.DUMMYFUNCTION("""COMPUTED_VALUE"""),2965)</f>
        <v>2965</v>
      </c>
      <c r="F652" s="2">
        <f ca="1">IFERROR(__xludf.DUMMYFUNCTION("""COMPUTED_VALUE"""),9705400)</f>
        <v>9705400</v>
      </c>
    </row>
    <row r="653" spans="1:6">
      <c r="A653" s="5">
        <f ca="1">IFERROR(__xludf.DUMMYFUNCTION("""COMPUTED_VALUE"""),42993.625)</f>
        <v>42993.625</v>
      </c>
      <c r="B653" s="2">
        <f ca="1">IFERROR(__xludf.DUMMYFUNCTION("""COMPUTED_VALUE"""),2980)</f>
        <v>2980</v>
      </c>
      <c r="C653" s="2">
        <f ca="1">IFERROR(__xludf.DUMMYFUNCTION("""COMPUTED_VALUE"""),3000)</f>
        <v>3000</v>
      </c>
      <c r="D653" s="2">
        <f ca="1">IFERROR(__xludf.DUMMYFUNCTION("""COMPUTED_VALUE"""),2960)</f>
        <v>2960</v>
      </c>
      <c r="E653" s="2">
        <f ca="1">IFERROR(__xludf.DUMMYFUNCTION("""COMPUTED_VALUE"""),2970)</f>
        <v>2970</v>
      </c>
      <c r="F653" s="2">
        <f ca="1">IFERROR(__xludf.DUMMYFUNCTION("""COMPUTED_VALUE"""),30568800)</f>
        <v>30568800</v>
      </c>
    </row>
    <row r="654" spans="1:6">
      <c r="A654" s="5">
        <f ca="1">IFERROR(__xludf.DUMMYFUNCTION("""COMPUTED_VALUE"""),42996.625)</f>
        <v>42996.625</v>
      </c>
      <c r="B654" s="2">
        <f ca="1">IFERROR(__xludf.DUMMYFUNCTION("""COMPUTED_VALUE"""),2980)</f>
        <v>2980</v>
      </c>
      <c r="C654" s="2">
        <f ca="1">IFERROR(__xludf.DUMMYFUNCTION("""COMPUTED_VALUE"""),3000)</f>
        <v>3000</v>
      </c>
      <c r="D654" s="2">
        <f ca="1">IFERROR(__xludf.DUMMYFUNCTION("""COMPUTED_VALUE"""),2975)</f>
        <v>2975</v>
      </c>
      <c r="E654" s="2">
        <f ca="1">IFERROR(__xludf.DUMMYFUNCTION("""COMPUTED_VALUE"""),3000)</f>
        <v>3000</v>
      </c>
      <c r="F654" s="2">
        <f ca="1">IFERROR(__xludf.DUMMYFUNCTION("""COMPUTED_VALUE"""),16978000)</f>
        <v>16978000</v>
      </c>
    </row>
    <row r="655" spans="1:6">
      <c r="A655" s="5">
        <f ca="1">IFERROR(__xludf.DUMMYFUNCTION("""COMPUTED_VALUE"""),42997.625)</f>
        <v>42997.625</v>
      </c>
      <c r="B655" s="2">
        <f ca="1">IFERROR(__xludf.DUMMYFUNCTION("""COMPUTED_VALUE"""),3000)</f>
        <v>3000</v>
      </c>
      <c r="C655" s="2">
        <f ca="1">IFERROR(__xludf.DUMMYFUNCTION("""COMPUTED_VALUE"""),3010)</f>
        <v>3010</v>
      </c>
      <c r="D655" s="2">
        <f ca="1">IFERROR(__xludf.DUMMYFUNCTION("""COMPUTED_VALUE"""),2990)</f>
        <v>2990</v>
      </c>
      <c r="E655" s="2">
        <f ca="1">IFERROR(__xludf.DUMMYFUNCTION("""COMPUTED_VALUE"""),3005)</f>
        <v>3005</v>
      </c>
      <c r="F655" s="2">
        <f ca="1">IFERROR(__xludf.DUMMYFUNCTION("""COMPUTED_VALUE"""),16376100)</f>
        <v>16376100</v>
      </c>
    </row>
    <row r="656" spans="1:6">
      <c r="A656" s="5">
        <f ca="1">IFERROR(__xludf.DUMMYFUNCTION("""COMPUTED_VALUE"""),42998.625)</f>
        <v>42998.625</v>
      </c>
      <c r="B656" s="2">
        <f ca="1">IFERROR(__xludf.DUMMYFUNCTION("""COMPUTED_VALUE"""),3000)</f>
        <v>3000</v>
      </c>
      <c r="C656" s="2">
        <f ca="1">IFERROR(__xludf.DUMMYFUNCTION("""COMPUTED_VALUE"""),3005)</f>
        <v>3005</v>
      </c>
      <c r="D656" s="2">
        <f ca="1">IFERROR(__xludf.DUMMYFUNCTION("""COMPUTED_VALUE"""),2990)</f>
        <v>2990</v>
      </c>
      <c r="E656" s="2">
        <f ca="1">IFERROR(__xludf.DUMMYFUNCTION("""COMPUTED_VALUE"""),3005)</f>
        <v>3005</v>
      </c>
      <c r="F656" s="2">
        <f ca="1">IFERROR(__xludf.DUMMYFUNCTION("""COMPUTED_VALUE"""),11722600)</f>
        <v>11722600</v>
      </c>
    </row>
    <row r="657" spans="1:6">
      <c r="A657" s="5">
        <f ca="1">IFERROR(__xludf.DUMMYFUNCTION("""COMPUTED_VALUE"""),43000.625)</f>
        <v>43000.625</v>
      </c>
      <c r="B657" s="2">
        <f ca="1">IFERROR(__xludf.DUMMYFUNCTION("""COMPUTED_VALUE"""),3020)</f>
        <v>3020</v>
      </c>
      <c r="C657" s="2">
        <f ca="1">IFERROR(__xludf.DUMMYFUNCTION("""COMPUTED_VALUE"""),3140)</f>
        <v>3140</v>
      </c>
      <c r="D657" s="2">
        <f ca="1">IFERROR(__xludf.DUMMYFUNCTION("""COMPUTED_VALUE"""),3015)</f>
        <v>3015</v>
      </c>
      <c r="E657" s="2">
        <f ca="1">IFERROR(__xludf.DUMMYFUNCTION("""COMPUTED_VALUE"""),3135)</f>
        <v>3135</v>
      </c>
      <c r="F657" s="2">
        <f ca="1">IFERROR(__xludf.DUMMYFUNCTION("""COMPUTED_VALUE"""),36533000)</f>
        <v>36533000</v>
      </c>
    </row>
    <row r="658" spans="1:6">
      <c r="A658" s="5">
        <f ca="1">IFERROR(__xludf.DUMMYFUNCTION("""COMPUTED_VALUE"""),43003.625)</f>
        <v>43003.625</v>
      </c>
      <c r="B658" s="2">
        <f ca="1">IFERROR(__xludf.DUMMYFUNCTION("""COMPUTED_VALUE"""),3135)</f>
        <v>3135</v>
      </c>
      <c r="C658" s="2">
        <f ca="1">IFERROR(__xludf.DUMMYFUNCTION("""COMPUTED_VALUE"""),3150)</f>
        <v>3150</v>
      </c>
      <c r="D658" s="2">
        <f ca="1">IFERROR(__xludf.DUMMYFUNCTION("""COMPUTED_VALUE"""),3130)</f>
        <v>3130</v>
      </c>
      <c r="E658" s="2">
        <f ca="1">IFERROR(__xludf.DUMMYFUNCTION("""COMPUTED_VALUE"""),3135)</f>
        <v>3135</v>
      </c>
      <c r="F658" s="2">
        <f ca="1">IFERROR(__xludf.DUMMYFUNCTION("""COMPUTED_VALUE"""),16397700)</f>
        <v>16397700</v>
      </c>
    </row>
    <row r="659" spans="1:6">
      <c r="A659" s="5">
        <f ca="1">IFERROR(__xludf.DUMMYFUNCTION("""COMPUTED_VALUE"""),43004.625)</f>
        <v>43004.625</v>
      </c>
      <c r="B659" s="2">
        <f ca="1">IFERROR(__xludf.DUMMYFUNCTION("""COMPUTED_VALUE"""),3135)</f>
        <v>3135</v>
      </c>
      <c r="C659" s="2">
        <f ca="1">IFERROR(__xludf.DUMMYFUNCTION("""COMPUTED_VALUE"""),3145)</f>
        <v>3145</v>
      </c>
      <c r="D659" s="2">
        <f ca="1">IFERROR(__xludf.DUMMYFUNCTION("""COMPUTED_VALUE"""),3105)</f>
        <v>3105</v>
      </c>
      <c r="E659" s="2">
        <f ca="1">IFERROR(__xludf.DUMMYFUNCTION("""COMPUTED_VALUE"""),3110)</f>
        <v>3110</v>
      </c>
      <c r="F659" s="2">
        <f ca="1">IFERROR(__xludf.DUMMYFUNCTION("""COMPUTED_VALUE"""),24626600)</f>
        <v>24626600</v>
      </c>
    </row>
    <row r="660" spans="1:6">
      <c r="A660" s="5">
        <f ca="1">IFERROR(__xludf.DUMMYFUNCTION("""COMPUTED_VALUE"""),43005.625)</f>
        <v>43005.625</v>
      </c>
      <c r="B660" s="2">
        <f ca="1">IFERROR(__xludf.DUMMYFUNCTION("""COMPUTED_VALUE"""),3110)</f>
        <v>3110</v>
      </c>
      <c r="C660" s="2">
        <f ca="1">IFERROR(__xludf.DUMMYFUNCTION("""COMPUTED_VALUE"""),3110)</f>
        <v>3110</v>
      </c>
      <c r="D660" s="2">
        <f ca="1">IFERROR(__xludf.DUMMYFUNCTION("""COMPUTED_VALUE"""),3030)</f>
        <v>3030</v>
      </c>
      <c r="E660" s="2">
        <f ca="1">IFERROR(__xludf.DUMMYFUNCTION("""COMPUTED_VALUE"""),3050)</f>
        <v>3050</v>
      </c>
      <c r="F660" s="2">
        <f ca="1">IFERROR(__xludf.DUMMYFUNCTION("""COMPUTED_VALUE"""),20056400)</f>
        <v>20056400</v>
      </c>
    </row>
    <row r="661" spans="1:6">
      <c r="A661" s="5">
        <f ca="1">IFERROR(__xludf.DUMMYFUNCTION("""COMPUTED_VALUE"""),43006.625)</f>
        <v>43006.625</v>
      </c>
      <c r="B661" s="2">
        <f ca="1">IFERROR(__xludf.DUMMYFUNCTION("""COMPUTED_VALUE"""),3005)</f>
        <v>3005</v>
      </c>
      <c r="C661" s="2">
        <f ca="1">IFERROR(__xludf.DUMMYFUNCTION("""COMPUTED_VALUE"""),3040)</f>
        <v>3040</v>
      </c>
      <c r="D661" s="2">
        <f ca="1">IFERROR(__xludf.DUMMYFUNCTION("""COMPUTED_VALUE"""),2935)</f>
        <v>2935</v>
      </c>
      <c r="E661" s="2">
        <f ca="1">IFERROR(__xludf.DUMMYFUNCTION("""COMPUTED_VALUE"""),2940)</f>
        <v>2940</v>
      </c>
      <c r="F661" s="2">
        <f ca="1">IFERROR(__xludf.DUMMYFUNCTION("""COMPUTED_VALUE"""),26025600)</f>
        <v>26025600</v>
      </c>
    </row>
    <row r="662" spans="1:6">
      <c r="A662" s="5">
        <f ca="1">IFERROR(__xludf.DUMMYFUNCTION("""COMPUTED_VALUE"""),43007.625)</f>
        <v>43007.625</v>
      </c>
      <c r="B662" s="2">
        <f ca="1">IFERROR(__xludf.DUMMYFUNCTION("""COMPUTED_VALUE"""),2990)</f>
        <v>2990</v>
      </c>
      <c r="C662" s="2">
        <f ca="1">IFERROR(__xludf.DUMMYFUNCTION("""COMPUTED_VALUE"""),3065)</f>
        <v>3065</v>
      </c>
      <c r="D662" s="2">
        <f ca="1">IFERROR(__xludf.DUMMYFUNCTION("""COMPUTED_VALUE"""),2975)</f>
        <v>2975</v>
      </c>
      <c r="E662" s="2">
        <f ca="1">IFERROR(__xludf.DUMMYFUNCTION("""COMPUTED_VALUE"""),3055)</f>
        <v>3055</v>
      </c>
      <c r="F662" s="2">
        <f ca="1">IFERROR(__xludf.DUMMYFUNCTION("""COMPUTED_VALUE"""),33023500)</f>
        <v>33023500</v>
      </c>
    </row>
    <row r="663" spans="1:6">
      <c r="A663" s="5">
        <f ca="1">IFERROR(__xludf.DUMMYFUNCTION("""COMPUTED_VALUE"""),43010.625)</f>
        <v>43010.625</v>
      </c>
      <c r="B663" s="2">
        <f ca="1">IFERROR(__xludf.DUMMYFUNCTION("""COMPUTED_VALUE"""),3055)</f>
        <v>3055</v>
      </c>
      <c r="C663" s="2">
        <f ca="1">IFERROR(__xludf.DUMMYFUNCTION("""COMPUTED_VALUE"""),3100)</f>
        <v>3100</v>
      </c>
      <c r="D663" s="2">
        <f ca="1">IFERROR(__xludf.DUMMYFUNCTION("""COMPUTED_VALUE"""),3050)</f>
        <v>3050</v>
      </c>
      <c r="E663" s="2">
        <f ca="1">IFERROR(__xludf.DUMMYFUNCTION("""COMPUTED_VALUE"""),3050)</f>
        <v>3050</v>
      </c>
      <c r="F663" s="2">
        <f ca="1">IFERROR(__xludf.DUMMYFUNCTION("""COMPUTED_VALUE"""),13929700)</f>
        <v>13929700</v>
      </c>
    </row>
    <row r="664" spans="1:6">
      <c r="A664" s="5">
        <f ca="1">IFERROR(__xludf.DUMMYFUNCTION("""COMPUTED_VALUE"""),43011.625)</f>
        <v>43011.625</v>
      </c>
      <c r="B664" s="2">
        <f ca="1">IFERROR(__xludf.DUMMYFUNCTION("""COMPUTED_VALUE"""),3070)</f>
        <v>3070</v>
      </c>
      <c r="C664" s="2">
        <f ca="1">IFERROR(__xludf.DUMMYFUNCTION("""COMPUTED_VALUE"""),3085)</f>
        <v>3085</v>
      </c>
      <c r="D664" s="2">
        <f ca="1">IFERROR(__xludf.DUMMYFUNCTION("""COMPUTED_VALUE"""),3050)</f>
        <v>3050</v>
      </c>
      <c r="E664" s="2">
        <f ca="1">IFERROR(__xludf.DUMMYFUNCTION("""COMPUTED_VALUE"""),3065)</f>
        <v>3065</v>
      </c>
      <c r="F664" s="2">
        <f ca="1">IFERROR(__xludf.DUMMYFUNCTION("""COMPUTED_VALUE"""),10088300)</f>
        <v>10088300</v>
      </c>
    </row>
    <row r="665" spans="1:6">
      <c r="A665" s="5">
        <f ca="1">IFERROR(__xludf.DUMMYFUNCTION("""COMPUTED_VALUE"""),43012.625)</f>
        <v>43012.625</v>
      </c>
      <c r="B665" s="2">
        <f ca="1">IFERROR(__xludf.DUMMYFUNCTION("""COMPUTED_VALUE"""),3080)</f>
        <v>3080</v>
      </c>
      <c r="C665" s="2">
        <f ca="1">IFERROR(__xludf.DUMMYFUNCTION("""COMPUTED_VALUE"""),3090)</f>
        <v>3090</v>
      </c>
      <c r="D665" s="2">
        <f ca="1">IFERROR(__xludf.DUMMYFUNCTION("""COMPUTED_VALUE"""),3055)</f>
        <v>3055</v>
      </c>
      <c r="E665" s="2">
        <f ca="1">IFERROR(__xludf.DUMMYFUNCTION("""COMPUTED_VALUE"""),3055)</f>
        <v>3055</v>
      </c>
      <c r="F665" s="2">
        <f ca="1">IFERROR(__xludf.DUMMYFUNCTION("""COMPUTED_VALUE"""),9924100)</f>
        <v>9924100</v>
      </c>
    </row>
    <row r="666" spans="1:6">
      <c r="A666" s="5">
        <f ca="1">IFERROR(__xludf.DUMMYFUNCTION("""COMPUTED_VALUE"""),43013.625)</f>
        <v>43013.625</v>
      </c>
      <c r="B666" s="2">
        <f ca="1">IFERROR(__xludf.DUMMYFUNCTION("""COMPUTED_VALUE"""),3080)</f>
        <v>3080</v>
      </c>
      <c r="C666" s="2">
        <f ca="1">IFERROR(__xludf.DUMMYFUNCTION("""COMPUTED_VALUE"""),3080)</f>
        <v>3080</v>
      </c>
      <c r="D666" s="2">
        <f ca="1">IFERROR(__xludf.DUMMYFUNCTION("""COMPUTED_VALUE"""),3025)</f>
        <v>3025</v>
      </c>
      <c r="E666" s="2">
        <f ca="1">IFERROR(__xludf.DUMMYFUNCTION("""COMPUTED_VALUE"""),3065)</f>
        <v>3065</v>
      </c>
      <c r="F666" s="2">
        <f ca="1">IFERROR(__xludf.DUMMYFUNCTION("""COMPUTED_VALUE"""),13746900)</f>
        <v>13746900</v>
      </c>
    </row>
    <row r="667" spans="1:6">
      <c r="A667" s="5">
        <f ca="1">IFERROR(__xludf.DUMMYFUNCTION("""COMPUTED_VALUE"""),43014.625)</f>
        <v>43014.625</v>
      </c>
      <c r="B667" s="2">
        <f ca="1">IFERROR(__xludf.DUMMYFUNCTION("""COMPUTED_VALUE"""),3100)</f>
        <v>3100</v>
      </c>
      <c r="C667" s="2">
        <f ca="1">IFERROR(__xludf.DUMMYFUNCTION("""COMPUTED_VALUE"""),3100)</f>
        <v>3100</v>
      </c>
      <c r="D667" s="2">
        <f ca="1">IFERROR(__xludf.DUMMYFUNCTION("""COMPUTED_VALUE"""),3030)</f>
        <v>3030</v>
      </c>
      <c r="E667" s="2">
        <f ca="1">IFERROR(__xludf.DUMMYFUNCTION("""COMPUTED_VALUE"""),3075)</f>
        <v>3075</v>
      </c>
      <c r="F667" s="2">
        <f ca="1">IFERROR(__xludf.DUMMYFUNCTION("""COMPUTED_VALUE"""),18345400)</f>
        <v>18345400</v>
      </c>
    </row>
    <row r="668" spans="1:6">
      <c r="A668" s="5">
        <f ca="1">IFERROR(__xludf.DUMMYFUNCTION("""COMPUTED_VALUE"""),43017.625)</f>
        <v>43017.625</v>
      </c>
      <c r="B668" s="2">
        <f ca="1">IFERROR(__xludf.DUMMYFUNCTION("""COMPUTED_VALUE"""),3100)</f>
        <v>3100</v>
      </c>
      <c r="C668" s="2">
        <f ca="1">IFERROR(__xludf.DUMMYFUNCTION("""COMPUTED_VALUE"""),3100)</f>
        <v>3100</v>
      </c>
      <c r="D668" s="2">
        <f ca="1">IFERROR(__xludf.DUMMYFUNCTION("""COMPUTED_VALUE"""),3060)</f>
        <v>3060</v>
      </c>
      <c r="E668" s="2">
        <f ca="1">IFERROR(__xludf.DUMMYFUNCTION("""COMPUTED_VALUE"""),3075)</f>
        <v>3075</v>
      </c>
      <c r="F668" s="2">
        <f ca="1">IFERROR(__xludf.DUMMYFUNCTION("""COMPUTED_VALUE"""),20069300)</f>
        <v>20069300</v>
      </c>
    </row>
    <row r="669" spans="1:6">
      <c r="A669" s="5">
        <f ca="1">IFERROR(__xludf.DUMMYFUNCTION("""COMPUTED_VALUE"""),43018.625)</f>
        <v>43018.625</v>
      </c>
      <c r="B669" s="2">
        <f ca="1">IFERROR(__xludf.DUMMYFUNCTION("""COMPUTED_VALUE"""),3050)</f>
        <v>3050</v>
      </c>
      <c r="C669" s="2">
        <f ca="1">IFERROR(__xludf.DUMMYFUNCTION("""COMPUTED_VALUE"""),3075)</f>
        <v>3075</v>
      </c>
      <c r="D669" s="2">
        <f ca="1">IFERROR(__xludf.DUMMYFUNCTION("""COMPUTED_VALUE"""),3050)</f>
        <v>3050</v>
      </c>
      <c r="E669" s="2">
        <f ca="1">IFERROR(__xludf.DUMMYFUNCTION("""COMPUTED_VALUE"""),3055)</f>
        <v>3055</v>
      </c>
      <c r="F669" s="2">
        <f ca="1">IFERROR(__xludf.DUMMYFUNCTION("""COMPUTED_VALUE"""),13644300)</f>
        <v>13644300</v>
      </c>
    </row>
    <row r="670" spans="1:6">
      <c r="A670" s="5">
        <f ca="1">IFERROR(__xludf.DUMMYFUNCTION("""COMPUTED_VALUE"""),43019.625)</f>
        <v>43019.625</v>
      </c>
      <c r="B670" s="2">
        <f ca="1">IFERROR(__xludf.DUMMYFUNCTION("""COMPUTED_VALUE"""),3050)</f>
        <v>3050</v>
      </c>
      <c r="C670" s="2">
        <f ca="1">IFERROR(__xludf.DUMMYFUNCTION("""COMPUTED_VALUE"""),3080)</f>
        <v>3080</v>
      </c>
      <c r="D670" s="2">
        <f ca="1">IFERROR(__xludf.DUMMYFUNCTION("""COMPUTED_VALUE"""),3035)</f>
        <v>3035</v>
      </c>
      <c r="E670" s="2">
        <f ca="1">IFERROR(__xludf.DUMMYFUNCTION("""COMPUTED_VALUE"""),3055)</f>
        <v>3055</v>
      </c>
      <c r="F670" s="2">
        <f ca="1">IFERROR(__xludf.DUMMYFUNCTION("""COMPUTED_VALUE"""),12660700)</f>
        <v>12660700</v>
      </c>
    </row>
    <row r="671" spans="1:6">
      <c r="A671" s="5">
        <f ca="1">IFERROR(__xludf.DUMMYFUNCTION("""COMPUTED_VALUE"""),43020.625)</f>
        <v>43020.625</v>
      </c>
      <c r="B671" s="2">
        <f ca="1">IFERROR(__xludf.DUMMYFUNCTION("""COMPUTED_VALUE"""),3060)</f>
        <v>3060</v>
      </c>
      <c r="C671" s="2">
        <f ca="1">IFERROR(__xludf.DUMMYFUNCTION("""COMPUTED_VALUE"""),3095)</f>
        <v>3095</v>
      </c>
      <c r="D671" s="2">
        <f ca="1">IFERROR(__xludf.DUMMYFUNCTION("""COMPUTED_VALUE"""),3050)</f>
        <v>3050</v>
      </c>
      <c r="E671" s="2">
        <f ca="1">IFERROR(__xludf.DUMMYFUNCTION("""COMPUTED_VALUE"""),3075)</f>
        <v>3075</v>
      </c>
      <c r="F671" s="2">
        <f ca="1">IFERROR(__xludf.DUMMYFUNCTION("""COMPUTED_VALUE"""),32593700)</f>
        <v>32593700</v>
      </c>
    </row>
    <row r="672" spans="1:6">
      <c r="A672" s="5">
        <f ca="1">IFERROR(__xludf.DUMMYFUNCTION("""COMPUTED_VALUE"""),43021.625)</f>
        <v>43021.625</v>
      </c>
      <c r="B672" s="2">
        <f ca="1">IFERROR(__xludf.DUMMYFUNCTION("""COMPUTED_VALUE"""),3060)</f>
        <v>3060</v>
      </c>
      <c r="C672" s="2">
        <f ca="1">IFERROR(__xludf.DUMMYFUNCTION("""COMPUTED_VALUE"""),3095)</f>
        <v>3095</v>
      </c>
      <c r="D672" s="2">
        <f ca="1">IFERROR(__xludf.DUMMYFUNCTION("""COMPUTED_VALUE"""),3060)</f>
        <v>3060</v>
      </c>
      <c r="E672" s="2">
        <f ca="1">IFERROR(__xludf.DUMMYFUNCTION("""COMPUTED_VALUE"""),3070)</f>
        <v>3070</v>
      </c>
      <c r="F672" s="2">
        <f ca="1">IFERROR(__xludf.DUMMYFUNCTION("""COMPUTED_VALUE"""),24836300)</f>
        <v>24836300</v>
      </c>
    </row>
    <row r="673" spans="1:6">
      <c r="A673" s="5">
        <f ca="1">IFERROR(__xludf.DUMMYFUNCTION("""COMPUTED_VALUE"""),43024.625)</f>
        <v>43024.625</v>
      </c>
      <c r="B673" s="2">
        <f ca="1">IFERROR(__xludf.DUMMYFUNCTION("""COMPUTED_VALUE"""),3060)</f>
        <v>3060</v>
      </c>
      <c r="C673" s="2">
        <f ca="1">IFERROR(__xludf.DUMMYFUNCTION("""COMPUTED_VALUE"""),3100)</f>
        <v>3100</v>
      </c>
      <c r="D673" s="2">
        <f ca="1">IFERROR(__xludf.DUMMYFUNCTION("""COMPUTED_VALUE"""),3060)</f>
        <v>3060</v>
      </c>
      <c r="E673" s="2">
        <f ca="1">IFERROR(__xludf.DUMMYFUNCTION("""COMPUTED_VALUE"""),3070)</f>
        <v>3070</v>
      </c>
      <c r="F673" s="2">
        <f ca="1">IFERROR(__xludf.DUMMYFUNCTION("""COMPUTED_VALUE"""),11459800)</f>
        <v>11459800</v>
      </c>
    </row>
    <row r="674" spans="1:6">
      <c r="A674" s="5">
        <f ca="1">IFERROR(__xludf.DUMMYFUNCTION("""COMPUTED_VALUE"""),43025.625)</f>
        <v>43025.625</v>
      </c>
      <c r="B674" s="2">
        <f ca="1">IFERROR(__xludf.DUMMYFUNCTION("""COMPUTED_VALUE"""),3065)</f>
        <v>3065</v>
      </c>
      <c r="C674" s="2">
        <f ca="1">IFERROR(__xludf.DUMMYFUNCTION("""COMPUTED_VALUE"""),3090)</f>
        <v>3090</v>
      </c>
      <c r="D674" s="2">
        <f ca="1">IFERROR(__xludf.DUMMYFUNCTION("""COMPUTED_VALUE"""),3050)</f>
        <v>3050</v>
      </c>
      <c r="E674" s="2">
        <f ca="1">IFERROR(__xludf.DUMMYFUNCTION("""COMPUTED_VALUE"""),3080)</f>
        <v>3080</v>
      </c>
      <c r="F674" s="2">
        <f ca="1">IFERROR(__xludf.DUMMYFUNCTION("""COMPUTED_VALUE"""),14402500)</f>
        <v>14402500</v>
      </c>
    </row>
    <row r="675" spans="1:6">
      <c r="A675" s="5">
        <f ca="1">IFERROR(__xludf.DUMMYFUNCTION("""COMPUTED_VALUE"""),43026.625)</f>
        <v>43026.625</v>
      </c>
      <c r="B675" s="2">
        <f ca="1">IFERROR(__xludf.DUMMYFUNCTION("""COMPUTED_VALUE"""),3080)</f>
        <v>3080</v>
      </c>
      <c r="C675" s="2">
        <f ca="1">IFERROR(__xludf.DUMMYFUNCTION("""COMPUTED_VALUE"""),3095)</f>
        <v>3095</v>
      </c>
      <c r="D675" s="2">
        <f ca="1">IFERROR(__xludf.DUMMYFUNCTION("""COMPUTED_VALUE"""),3060)</f>
        <v>3060</v>
      </c>
      <c r="E675" s="2">
        <f ca="1">IFERROR(__xludf.DUMMYFUNCTION("""COMPUTED_VALUE"""),3080)</f>
        <v>3080</v>
      </c>
      <c r="F675" s="2">
        <f ca="1">IFERROR(__xludf.DUMMYFUNCTION("""COMPUTED_VALUE"""),24486900)</f>
        <v>24486900</v>
      </c>
    </row>
    <row r="676" spans="1:6">
      <c r="A676" s="5">
        <f ca="1">IFERROR(__xludf.DUMMYFUNCTION("""COMPUTED_VALUE"""),43027.625)</f>
        <v>43027.625</v>
      </c>
      <c r="B676" s="2">
        <f ca="1">IFERROR(__xludf.DUMMYFUNCTION("""COMPUTED_VALUE"""),3100)</f>
        <v>3100</v>
      </c>
      <c r="C676" s="2">
        <f ca="1">IFERROR(__xludf.DUMMYFUNCTION("""COMPUTED_VALUE"""),3100)</f>
        <v>3100</v>
      </c>
      <c r="D676" s="2">
        <f ca="1">IFERROR(__xludf.DUMMYFUNCTION("""COMPUTED_VALUE"""),3065)</f>
        <v>3065</v>
      </c>
      <c r="E676" s="2">
        <f ca="1">IFERROR(__xludf.DUMMYFUNCTION("""COMPUTED_VALUE"""),3100)</f>
        <v>3100</v>
      </c>
      <c r="F676" s="2">
        <f ca="1">IFERROR(__xludf.DUMMYFUNCTION("""COMPUTED_VALUE"""),27402900)</f>
        <v>27402900</v>
      </c>
    </row>
    <row r="677" spans="1:6">
      <c r="A677" s="5">
        <f ca="1">IFERROR(__xludf.DUMMYFUNCTION("""COMPUTED_VALUE"""),43028.625)</f>
        <v>43028.625</v>
      </c>
      <c r="B677" s="2">
        <f ca="1">IFERROR(__xludf.DUMMYFUNCTION("""COMPUTED_VALUE"""),3100)</f>
        <v>3100</v>
      </c>
      <c r="C677" s="2">
        <f ca="1">IFERROR(__xludf.DUMMYFUNCTION("""COMPUTED_VALUE"""),3135)</f>
        <v>3135</v>
      </c>
      <c r="D677" s="2">
        <f ca="1">IFERROR(__xludf.DUMMYFUNCTION("""COMPUTED_VALUE"""),3095)</f>
        <v>3095</v>
      </c>
      <c r="E677" s="2">
        <f ca="1">IFERROR(__xludf.DUMMYFUNCTION("""COMPUTED_VALUE"""),3125)</f>
        <v>3125</v>
      </c>
      <c r="F677" s="2">
        <f ca="1">IFERROR(__xludf.DUMMYFUNCTION("""COMPUTED_VALUE"""),21585000)</f>
        <v>21585000</v>
      </c>
    </row>
    <row r="678" spans="1:6">
      <c r="A678" s="5">
        <f ca="1">IFERROR(__xludf.DUMMYFUNCTION("""COMPUTED_VALUE"""),43031.625)</f>
        <v>43031.625</v>
      </c>
      <c r="B678" s="2">
        <f ca="1">IFERROR(__xludf.DUMMYFUNCTION("""COMPUTED_VALUE"""),3140)</f>
        <v>3140</v>
      </c>
      <c r="C678" s="2">
        <f ca="1">IFERROR(__xludf.DUMMYFUNCTION("""COMPUTED_VALUE"""),3145)</f>
        <v>3145</v>
      </c>
      <c r="D678" s="2">
        <f ca="1">IFERROR(__xludf.DUMMYFUNCTION("""COMPUTED_VALUE"""),3110)</f>
        <v>3110</v>
      </c>
      <c r="E678" s="2">
        <f ca="1">IFERROR(__xludf.DUMMYFUNCTION("""COMPUTED_VALUE"""),3125)</f>
        <v>3125</v>
      </c>
      <c r="F678" s="2">
        <f ca="1">IFERROR(__xludf.DUMMYFUNCTION("""COMPUTED_VALUE"""),16478000)</f>
        <v>16478000</v>
      </c>
    </row>
    <row r="679" spans="1:6">
      <c r="A679" s="5">
        <f ca="1">IFERROR(__xludf.DUMMYFUNCTION("""COMPUTED_VALUE"""),43032.625)</f>
        <v>43032.625</v>
      </c>
      <c r="B679" s="2">
        <f ca="1">IFERROR(__xludf.DUMMYFUNCTION("""COMPUTED_VALUE"""),3140)</f>
        <v>3140</v>
      </c>
      <c r="C679" s="2">
        <f ca="1">IFERROR(__xludf.DUMMYFUNCTION("""COMPUTED_VALUE"""),3140)</f>
        <v>3140</v>
      </c>
      <c r="D679" s="2">
        <f ca="1">IFERROR(__xludf.DUMMYFUNCTION("""COMPUTED_VALUE"""),3090)</f>
        <v>3090</v>
      </c>
      <c r="E679" s="2">
        <f ca="1">IFERROR(__xludf.DUMMYFUNCTION("""COMPUTED_VALUE"""),3095)</f>
        <v>3095</v>
      </c>
      <c r="F679" s="2">
        <f ca="1">IFERROR(__xludf.DUMMYFUNCTION("""COMPUTED_VALUE"""),11594800)</f>
        <v>11594800</v>
      </c>
    </row>
    <row r="680" spans="1:6">
      <c r="A680" s="5">
        <f ca="1">IFERROR(__xludf.DUMMYFUNCTION("""COMPUTED_VALUE"""),43033.625)</f>
        <v>43033.625</v>
      </c>
      <c r="B680" s="2">
        <f ca="1">IFERROR(__xludf.DUMMYFUNCTION("""COMPUTED_VALUE"""),3095)</f>
        <v>3095</v>
      </c>
      <c r="C680" s="2">
        <f ca="1">IFERROR(__xludf.DUMMYFUNCTION("""COMPUTED_VALUE"""),3140)</f>
        <v>3140</v>
      </c>
      <c r="D680" s="2">
        <f ca="1">IFERROR(__xludf.DUMMYFUNCTION("""COMPUTED_VALUE"""),3090)</f>
        <v>3090</v>
      </c>
      <c r="E680" s="2">
        <f ca="1">IFERROR(__xludf.DUMMYFUNCTION("""COMPUTED_VALUE"""),3120)</f>
        <v>3120</v>
      </c>
      <c r="F680" s="2">
        <f ca="1">IFERROR(__xludf.DUMMYFUNCTION("""COMPUTED_VALUE"""),15994900)</f>
        <v>15994900</v>
      </c>
    </row>
    <row r="681" spans="1:6">
      <c r="A681" s="5">
        <f ca="1">IFERROR(__xludf.DUMMYFUNCTION("""COMPUTED_VALUE"""),43034.625)</f>
        <v>43034.625</v>
      </c>
      <c r="B681" s="2">
        <f ca="1">IFERROR(__xludf.DUMMYFUNCTION("""COMPUTED_VALUE"""),3140)</f>
        <v>3140</v>
      </c>
      <c r="C681" s="2">
        <f ca="1">IFERROR(__xludf.DUMMYFUNCTION("""COMPUTED_VALUE"""),3150)</f>
        <v>3150</v>
      </c>
      <c r="D681" s="2">
        <f ca="1">IFERROR(__xludf.DUMMYFUNCTION("""COMPUTED_VALUE"""),3120)</f>
        <v>3120</v>
      </c>
      <c r="E681" s="2">
        <f ca="1">IFERROR(__xludf.DUMMYFUNCTION("""COMPUTED_VALUE"""),3125)</f>
        <v>3125</v>
      </c>
      <c r="F681" s="2">
        <f ca="1">IFERROR(__xludf.DUMMYFUNCTION("""COMPUTED_VALUE"""),22603300)</f>
        <v>22603300</v>
      </c>
    </row>
    <row r="682" spans="1:6">
      <c r="A682" s="5">
        <f ca="1">IFERROR(__xludf.DUMMYFUNCTION("""COMPUTED_VALUE"""),43035.625)</f>
        <v>43035.625</v>
      </c>
      <c r="B682" s="2">
        <f ca="1">IFERROR(__xludf.DUMMYFUNCTION("""COMPUTED_VALUE"""),3125)</f>
        <v>3125</v>
      </c>
      <c r="C682" s="2">
        <f ca="1">IFERROR(__xludf.DUMMYFUNCTION("""COMPUTED_VALUE"""),3140)</f>
        <v>3140</v>
      </c>
      <c r="D682" s="2">
        <f ca="1">IFERROR(__xludf.DUMMYFUNCTION("""COMPUTED_VALUE"""),3115)</f>
        <v>3115</v>
      </c>
      <c r="E682" s="2">
        <f ca="1">IFERROR(__xludf.DUMMYFUNCTION("""COMPUTED_VALUE"""),3120)</f>
        <v>3120</v>
      </c>
      <c r="F682" s="2">
        <f ca="1">IFERROR(__xludf.DUMMYFUNCTION("""COMPUTED_VALUE"""),26913700)</f>
        <v>26913700</v>
      </c>
    </row>
    <row r="683" spans="1:6">
      <c r="A683" s="5">
        <f ca="1">IFERROR(__xludf.DUMMYFUNCTION("""COMPUTED_VALUE"""),43038.625)</f>
        <v>43038.625</v>
      </c>
      <c r="B683" s="2">
        <f ca="1">IFERROR(__xludf.DUMMYFUNCTION("""COMPUTED_VALUE"""),3130)</f>
        <v>3130</v>
      </c>
      <c r="C683" s="2">
        <f ca="1">IFERROR(__xludf.DUMMYFUNCTION("""COMPUTED_VALUE"""),3140)</f>
        <v>3140</v>
      </c>
      <c r="D683" s="2">
        <f ca="1">IFERROR(__xludf.DUMMYFUNCTION("""COMPUTED_VALUE"""),3105)</f>
        <v>3105</v>
      </c>
      <c r="E683" s="2">
        <f ca="1">IFERROR(__xludf.DUMMYFUNCTION("""COMPUTED_VALUE"""),3110)</f>
        <v>3110</v>
      </c>
      <c r="F683" s="2">
        <f ca="1">IFERROR(__xludf.DUMMYFUNCTION("""COMPUTED_VALUE"""),23142300)</f>
        <v>23142300</v>
      </c>
    </row>
    <row r="684" spans="1:6">
      <c r="A684" s="5">
        <f ca="1">IFERROR(__xludf.DUMMYFUNCTION("""COMPUTED_VALUE"""),43039.625)</f>
        <v>43039.625</v>
      </c>
      <c r="B684" s="2">
        <f ca="1">IFERROR(__xludf.DUMMYFUNCTION("""COMPUTED_VALUE"""),3140)</f>
        <v>3140</v>
      </c>
      <c r="C684" s="2">
        <f ca="1">IFERROR(__xludf.DUMMYFUNCTION("""COMPUTED_VALUE"""),3140)</f>
        <v>3140</v>
      </c>
      <c r="D684" s="2">
        <f ca="1">IFERROR(__xludf.DUMMYFUNCTION("""COMPUTED_VALUE"""),3110)</f>
        <v>3110</v>
      </c>
      <c r="E684" s="2">
        <f ca="1">IFERROR(__xludf.DUMMYFUNCTION("""COMPUTED_VALUE"""),3120)</f>
        <v>3120</v>
      </c>
      <c r="F684" s="2">
        <f ca="1">IFERROR(__xludf.DUMMYFUNCTION("""COMPUTED_VALUE"""),24869500)</f>
        <v>24869500</v>
      </c>
    </row>
    <row r="685" spans="1:6">
      <c r="A685" s="5">
        <f ca="1">IFERROR(__xludf.DUMMYFUNCTION("""COMPUTED_VALUE"""),43040.625)</f>
        <v>43040.625</v>
      </c>
      <c r="B685" s="2">
        <f ca="1">IFERROR(__xludf.DUMMYFUNCTION("""COMPUTED_VALUE"""),3115)</f>
        <v>3115</v>
      </c>
      <c r="C685" s="2">
        <f ca="1">IFERROR(__xludf.DUMMYFUNCTION("""COMPUTED_VALUE"""),3140)</f>
        <v>3140</v>
      </c>
      <c r="D685" s="2">
        <f ca="1">IFERROR(__xludf.DUMMYFUNCTION("""COMPUTED_VALUE"""),3115)</f>
        <v>3115</v>
      </c>
      <c r="E685" s="2">
        <f ca="1">IFERROR(__xludf.DUMMYFUNCTION("""COMPUTED_VALUE"""),3140)</f>
        <v>3140</v>
      </c>
      <c r="F685" s="2">
        <f ca="1">IFERROR(__xludf.DUMMYFUNCTION("""COMPUTED_VALUE"""),9721000)</f>
        <v>9721000</v>
      </c>
    </row>
    <row r="686" spans="1:6">
      <c r="A686" s="5">
        <f ca="1">IFERROR(__xludf.DUMMYFUNCTION("""COMPUTED_VALUE"""),43041.625)</f>
        <v>43041.625</v>
      </c>
      <c r="B686" s="2">
        <f ca="1">IFERROR(__xludf.DUMMYFUNCTION("""COMPUTED_VALUE"""),3140)</f>
        <v>3140</v>
      </c>
      <c r="C686" s="2">
        <f ca="1">IFERROR(__xludf.DUMMYFUNCTION("""COMPUTED_VALUE"""),3190)</f>
        <v>3190</v>
      </c>
      <c r="D686" s="2">
        <f ca="1">IFERROR(__xludf.DUMMYFUNCTION("""COMPUTED_VALUE"""),3135)</f>
        <v>3135</v>
      </c>
      <c r="E686" s="2">
        <f ca="1">IFERROR(__xludf.DUMMYFUNCTION("""COMPUTED_VALUE"""),3190)</f>
        <v>3190</v>
      </c>
      <c r="F686" s="2">
        <f ca="1">IFERROR(__xludf.DUMMYFUNCTION("""COMPUTED_VALUE"""),24334500)</f>
        <v>24334500</v>
      </c>
    </row>
    <row r="687" spans="1:6">
      <c r="A687" s="5">
        <f ca="1">IFERROR(__xludf.DUMMYFUNCTION("""COMPUTED_VALUE"""),43042.625)</f>
        <v>43042.625</v>
      </c>
      <c r="B687" s="2">
        <f ca="1">IFERROR(__xludf.DUMMYFUNCTION("""COMPUTED_VALUE"""),3190)</f>
        <v>3190</v>
      </c>
      <c r="C687" s="2">
        <f ca="1">IFERROR(__xludf.DUMMYFUNCTION("""COMPUTED_VALUE"""),3210)</f>
        <v>3210</v>
      </c>
      <c r="D687" s="2">
        <f ca="1">IFERROR(__xludf.DUMMYFUNCTION("""COMPUTED_VALUE"""),3180)</f>
        <v>3180</v>
      </c>
      <c r="E687" s="2">
        <f ca="1">IFERROR(__xludf.DUMMYFUNCTION("""COMPUTED_VALUE"""),3200)</f>
        <v>3200</v>
      </c>
      <c r="F687" s="2">
        <f ca="1">IFERROR(__xludf.DUMMYFUNCTION("""COMPUTED_VALUE"""),14803300)</f>
        <v>14803300</v>
      </c>
    </row>
    <row r="688" spans="1:6">
      <c r="A688" s="5">
        <f ca="1">IFERROR(__xludf.DUMMYFUNCTION("""COMPUTED_VALUE"""),43045.625)</f>
        <v>43045.625</v>
      </c>
      <c r="B688" s="2">
        <f ca="1">IFERROR(__xludf.DUMMYFUNCTION("""COMPUTED_VALUE"""),3215)</f>
        <v>3215</v>
      </c>
      <c r="C688" s="2">
        <f ca="1">IFERROR(__xludf.DUMMYFUNCTION("""COMPUTED_VALUE"""),3285)</f>
        <v>3285</v>
      </c>
      <c r="D688" s="2">
        <f ca="1">IFERROR(__xludf.DUMMYFUNCTION("""COMPUTED_VALUE"""),3205)</f>
        <v>3205</v>
      </c>
      <c r="E688" s="2">
        <f ca="1">IFERROR(__xludf.DUMMYFUNCTION("""COMPUTED_VALUE"""),3250)</f>
        <v>3250</v>
      </c>
      <c r="F688" s="2">
        <f ca="1">IFERROR(__xludf.DUMMYFUNCTION("""COMPUTED_VALUE"""),31650600)</f>
        <v>31650600</v>
      </c>
    </row>
    <row r="689" spans="1:6">
      <c r="A689" s="5">
        <f ca="1">IFERROR(__xludf.DUMMYFUNCTION("""COMPUTED_VALUE"""),43046.625)</f>
        <v>43046.625</v>
      </c>
      <c r="B689" s="2">
        <f ca="1">IFERROR(__xludf.DUMMYFUNCTION("""COMPUTED_VALUE"""),3250)</f>
        <v>3250</v>
      </c>
      <c r="C689" s="2">
        <f ca="1">IFERROR(__xludf.DUMMYFUNCTION("""COMPUTED_VALUE"""),3275)</f>
        <v>3275</v>
      </c>
      <c r="D689" s="2">
        <f ca="1">IFERROR(__xludf.DUMMYFUNCTION("""COMPUTED_VALUE"""),3230)</f>
        <v>3230</v>
      </c>
      <c r="E689" s="2">
        <f ca="1">IFERROR(__xludf.DUMMYFUNCTION("""COMPUTED_VALUE"""),3240)</f>
        <v>3240</v>
      </c>
      <c r="F689" s="2">
        <f ca="1">IFERROR(__xludf.DUMMYFUNCTION("""COMPUTED_VALUE"""),15829100)</f>
        <v>15829100</v>
      </c>
    </row>
    <row r="690" spans="1:6">
      <c r="A690" s="5">
        <f ca="1">IFERROR(__xludf.DUMMYFUNCTION("""COMPUTED_VALUE"""),43047.625)</f>
        <v>43047.625</v>
      </c>
      <c r="B690" s="2">
        <f ca="1">IFERROR(__xludf.DUMMYFUNCTION("""COMPUTED_VALUE"""),3260)</f>
        <v>3260</v>
      </c>
      <c r="C690" s="2">
        <f ca="1">IFERROR(__xludf.DUMMYFUNCTION("""COMPUTED_VALUE"""),3365)</f>
        <v>3365</v>
      </c>
      <c r="D690" s="2">
        <f ca="1">IFERROR(__xludf.DUMMYFUNCTION("""COMPUTED_VALUE"""),3250)</f>
        <v>3250</v>
      </c>
      <c r="E690" s="2">
        <f ca="1">IFERROR(__xludf.DUMMYFUNCTION("""COMPUTED_VALUE"""),3290)</f>
        <v>3290</v>
      </c>
      <c r="F690" s="2">
        <f ca="1">IFERROR(__xludf.DUMMYFUNCTION("""COMPUTED_VALUE"""),39637100)</f>
        <v>39637100</v>
      </c>
    </row>
    <row r="691" spans="1:6">
      <c r="A691" s="5">
        <f ca="1">IFERROR(__xludf.DUMMYFUNCTION("""COMPUTED_VALUE"""),43048.625)</f>
        <v>43048.625</v>
      </c>
      <c r="B691" s="2">
        <f ca="1">IFERROR(__xludf.DUMMYFUNCTION("""COMPUTED_VALUE"""),3290)</f>
        <v>3290</v>
      </c>
      <c r="C691" s="2">
        <f ca="1">IFERROR(__xludf.DUMMYFUNCTION("""COMPUTED_VALUE"""),3315)</f>
        <v>3315</v>
      </c>
      <c r="D691" s="2">
        <f ca="1">IFERROR(__xludf.DUMMYFUNCTION("""COMPUTED_VALUE"""),3285)</f>
        <v>3285</v>
      </c>
      <c r="E691" s="2">
        <f ca="1">IFERROR(__xludf.DUMMYFUNCTION("""COMPUTED_VALUE"""),3290)</f>
        <v>3290</v>
      </c>
      <c r="F691" s="2">
        <f ca="1">IFERROR(__xludf.DUMMYFUNCTION("""COMPUTED_VALUE"""),37413400)</f>
        <v>37413400</v>
      </c>
    </row>
    <row r="692" spans="1:6">
      <c r="A692" s="5">
        <f ca="1">IFERROR(__xludf.DUMMYFUNCTION("""COMPUTED_VALUE"""),43049.625)</f>
        <v>43049.625</v>
      </c>
      <c r="B692" s="2">
        <f ca="1">IFERROR(__xludf.DUMMYFUNCTION("""COMPUTED_VALUE"""),3320)</f>
        <v>3320</v>
      </c>
      <c r="C692" s="2">
        <f ca="1">IFERROR(__xludf.DUMMYFUNCTION("""COMPUTED_VALUE"""),3370)</f>
        <v>3370</v>
      </c>
      <c r="D692" s="2">
        <f ca="1">IFERROR(__xludf.DUMMYFUNCTION("""COMPUTED_VALUE"""),3270)</f>
        <v>3270</v>
      </c>
      <c r="E692" s="2">
        <f ca="1">IFERROR(__xludf.DUMMYFUNCTION("""COMPUTED_VALUE"""),3280)</f>
        <v>3280</v>
      </c>
      <c r="F692" s="2">
        <f ca="1">IFERROR(__xludf.DUMMYFUNCTION("""COMPUTED_VALUE"""),100147400)</f>
        <v>100147400</v>
      </c>
    </row>
    <row r="693" spans="1:6">
      <c r="A693" s="5">
        <f ca="1">IFERROR(__xludf.DUMMYFUNCTION("""COMPUTED_VALUE"""),43052.625)</f>
        <v>43052.625</v>
      </c>
      <c r="B693" s="2">
        <f ca="1">IFERROR(__xludf.DUMMYFUNCTION("""COMPUTED_VALUE"""),3280)</f>
        <v>3280</v>
      </c>
      <c r="C693" s="2">
        <f ca="1">IFERROR(__xludf.DUMMYFUNCTION("""COMPUTED_VALUE"""),3330)</f>
        <v>3330</v>
      </c>
      <c r="D693" s="2">
        <f ca="1">IFERROR(__xludf.DUMMYFUNCTION("""COMPUTED_VALUE"""),3260)</f>
        <v>3260</v>
      </c>
      <c r="E693" s="2">
        <f ca="1">IFERROR(__xludf.DUMMYFUNCTION("""COMPUTED_VALUE"""),3260)</f>
        <v>3260</v>
      </c>
      <c r="F693" s="2">
        <f ca="1">IFERROR(__xludf.DUMMYFUNCTION("""COMPUTED_VALUE"""),55986100)</f>
        <v>55986100</v>
      </c>
    </row>
    <row r="694" spans="1:6">
      <c r="A694" s="5">
        <f ca="1">IFERROR(__xludf.DUMMYFUNCTION("""COMPUTED_VALUE"""),43053.625)</f>
        <v>43053.625</v>
      </c>
      <c r="B694" s="2">
        <f ca="1">IFERROR(__xludf.DUMMYFUNCTION("""COMPUTED_VALUE"""),3250)</f>
        <v>3250</v>
      </c>
      <c r="C694" s="2">
        <f ca="1">IFERROR(__xludf.DUMMYFUNCTION("""COMPUTED_VALUE"""),3300)</f>
        <v>3300</v>
      </c>
      <c r="D694" s="2">
        <f ca="1">IFERROR(__xludf.DUMMYFUNCTION("""COMPUTED_VALUE"""),3170)</f>
        <v>3170</v>
      </c>
      <c r="E694" s="2">
        <f ca="1">IFERROR(__xludf.DUMMYFUNCTION("""COMPUTED_VALUE"""),3170)</f>
        <v>3170</v>
      </c>
      <c r="F694" s="2">
        <f ca="1">IFERROR(__xludf.DUMMYFUNCTION("""COMPUTED_VALUE"""),105187300)</f>
        <v>105187300</v>
      </c>
    </row>
    <row r="695" spans="1:6">
      <c r="A695" s="5">
        <f ca="1">IFERROR(__xludf.DUMMYFUNCTION("""COMPUTED_VALUE"""),43054.625)</f>
        <v>43054.625</v>
      </c>
      <c r="B695" s="2">
        <f ca="1">IFERROR(__xludf.DUMMYFUNCTION("""COMPUTED_VALUE"""),3180)</f>
        <v>3180</v>
      </c>
      <c r="C695" s="2">
        <f ca="1">IFERROR(__xludf.DUMMYFUNCTION("""COMPUTED_VALUE"""),3210)</f>
        <v>3210</v>
      </c>
      <c r="D695" s="2">
        <f ca="1">IFERROR(__xludf.DUMMYFUNCTION("""COMPUTED_VALUE"""),3120)</f>
        <v>3120</v>
      </c>
      <c r="E695" s="2">
        <f ca="1">IFERROR(__xludf.DUMMYFUNCTION("""COMPUTED_VALUE"""),3140)</f>
        <v>3140</v>
      </c>
      <c r="F695" s="2">
        <f ca="1">IFERROR(__xludf.DUMMYFUNCTION("""COMPUTED_VALUE"""),79049700)</f>
        <v>79049700</v>
      </c>
    </row>
    <row r="696" spans="1:6">
      <c r="A696" s="5">
        <f ca="1">IFERROR(__xludf.DUMMYFUNCTION("""COMPUTED_VALUE"""),43055.625)</f>
        <v>43055.625</v>
      </c>
      <c r="B696" s="2">
        <f ca="1">IFERROR(__xludf.DUMMYFUNCTION("""COMPUTED_VALUE"""),3150)</f>
        <v>3150</v>
      </c>
      <c r="C696" s="2">
        <f ca="1">IFERROR(__xludf.DUMMYFUNCTION("""COMPUTED_VALUE"""),3240)</f>
        <v>3240</v>
      </c>
      <c r="D696" s="2">
        <f ca="1">IFERROR(__xludf.DUMMYFUNCTION("""COMPUTED_VALUE"""),3150)</f>
        <v>3150</v>
      </c>
      <c r="E696" s="2">
        <f ca="1">IFERROR(__xludf.DUMMYFUNCTION("""COMPUTED_VALUE"""),3210)</f>
        <v>3210</v>
      </c>
      <c r="F696" s="2">
        <f ca="1">IFERROR(__xludf.DUMMYFUNCTION("""COMPUTED_VALUE"""),78015200)</f>
        <v>78015200</v>
      </c>
    </row>
    <row r="697" spans="1:6">
      <c r="A697" s="5">
        <f ca="1">IFERROR(__xludf.DUMMYFUNCTION("""COMPUTED_VALUE"""),43056.625)</f>
        <v>43056.625</v>
      </c>
      <c r="B697" s="2">
        <f ca="1">IFERROR(__xludf.DUMMYFUNCTION("""COMPUTED_VALUE"""),3250)</f>
        <v>3250</v>
      </c>
      <c r="C697" s="2">
        <f ca="1">IFERROR(__xludf.DUMMYFUNCTION("""COMPUTED_VALUE"""),3310)</f>
        <v>3310</v>
      </c>
      <c r="D697" s="2">
        <f ca="1">IFERROR(__xludf.DUMMYFUNCTION("""COMPUTED_VALUE"""),3210)</f>
        <v>3210</v>
      </c>
      <c r="E697" s="2">
        <f ca="1">IFERROR(__xludf.DUMMYFUNCTION("""COMPUTED_VALUE"""),3290)</f>
        <v>3290</v>
      </c>
      <c r="F697" s="2">
        <f ca="1">IFERROR(__xludf.DUMMYFUNCTION("""COMPUTED_VALUE"""),114054700)</f>
        <v>114054700</v>
      </c>
    </row>
    <row r="698" spans="1:6">
      <c r="A698" s="5">
        <f ca="1">IFERROR(__xludf.DUMMYFUNCTION("""COMPUTED_VALUE"""),43059.625)</f>
        <v>43059.625</v>
      </c>
      <c r="B698" s="2">
        <f ca="1">IFERROR(__xludf.DUMMYFUNCTION("""COMPUTED_VALUE"""),3300)</f>
        <v>3300</v>
      </c>
      <c r="C698" s="2">
        <f ca="1">IFERROR(__xludf.DUMMYFUNCTION("""COMPUTED_VALUE"""),3380)</f>
        <v>3380</v>
      </c>
      <c r="D698" s="2">
        <f ca="1">IFERROR(__xludf.DUMMYFUNCTION("""COMPUTED_VALUE"""),3290)</f>
        <v>3290</v>
      </c>
      <c r="E698" s="2">
        <f ca="1">IFERROR(__xludf.DUMMYFUNCTION("""COMPUTED_VALUE"""),3340)</f>
        <v>3340</v>
      </c>
      <c r="F698" s="2">
        <f ca="1">IFERROR(__xludf.DUMMYFUNCTION("""COMPUTED_VALUE"""),92309000)</f>
        <v>92309000</v>
      </c>
    </row>
    <row r="699" spans="1:6">
      <c r="A699" s="5">
        <f ca="1">IFERROR(__xludf.DUMMYFUNCTION("""COMPUTED_VALUE"""),43060.625)</f>
        <v>43060.625</v>
      </c>
      <c r="B699" s="2">
        <f ca="1">IFERROR(__xludf.DUMMYFUNCTION("""COMPUTED_VALUE"""),3310)</f>
        <v>3310</v>
      </c>
      <c r="C699" s="2">
        <f ca="1">IFERROR(__xludf.DUMMYFUNCTION("""COMPUTED_VALUE"""),3330)</f>
        <v>3330</v>
      </c>
      <c r="D699" s="2">
        <f ca="1">IFERROR(__xludf.DUMMYFUNCTION("""COMPUTED_VALUE"""),3270)</f>
        <v>3270</v>
      </c>
      <c r="E699" s="2">
        <f ca="1">IFERROR(__xludf.DUMMYFUNCTION("""COMPUTED_VALUE"""),3280)</f>
        <v>3280</v>
      </c>
      <c r="F699" s="2">
        <f ca="1">IFERROR(__xludf.DUMMYFUNCTION("""COMPUTED_VALUE"""),109824700)</f>
        <v>109824700</v>
      </c>
    </row>
    <row r="700" spans="1:6">
      <c r="A700" s="5">
        <f ca="1">IFERROR(__xludf.DUMMYFUNCTION("""COMPUTED_VALUE"""),43061.625)</f>
        <v>43061.625</v>
      </c>
      <c r="B700" s="2">
        <f ca="1">IFERROR(__xludf.DUMMYFUNCTION("""COMPUTED_VALUE"""),3290)</f>
        <v>3290</v>
      </c>
      <c r="C700" s="2">
        <f ca="1">IFERROR(__xludf.DUMMYFUNCTION("""COMPUTED_VALUE"""),3410)</f>
        <v>3410</v>
      </c>
      <c r="D700" s="2">
        <f ca="1">IFERROR(__xludf.DUMMYFUNCTION("""COMPUTED_VALUE"""),3280)</f>
        <v>3280</v>
      </c>
      <c r="E700" s="2">
        <f ca="1">IFERROR(__xludf.DUMMYFUNCTION("""COMPUTED_VALUE"""),3400)</f>
        <v>3400</v>
      </c>
      <c r="F700" s="2">
        <f ca="1">IFERROR(__xludf.DUMMYFUNCTION("""COMPUTED_VALUE"""),147637500)</f>
        <v>147637500</v>
      </c>
    </row>
    <row r="701" spans="1:6">
      <c r="A701" s="5">
        <f ca="1">IFERROR(__xludf.DUMMYFUNCTION("""COMPUTED_VALUE"""),43062.625)</f>
        <v>43062.625</v>
      </c>
      <c r="B701" s="2">
        <f ca="1">IFERROR(__xludf.DUMMYFUNCTION("""COMPUTED_VALUE"""),3350)</f>
        <v>3350</v>
      </c>
      <c r="C701" s="2">
        <f ca="1">IFERROR(__xludf.DUMMYFUNCTION("""COMPUTED_VALUE"""),3400)</f>
        <v>3400</v>
      </c>
      <c r="D701" s="2">
        <f ca="1">IFERROR(__xludf.DUMMYFUNCTION("""COMPUTED_VALUE"""),3350)</f>
        <v>3350</v>
      </c>
      <c r="E701" s="2">
        <f ca="1">IFERROR(__xludf.DUMMYFUNCTION("""COMPUTED_VALUE"""),3360)</f>
        <v>3360</v>
      </c>
      <c r="F701" s="2">
        <f ca="1">IFERROR(__xludf.DUMMYFUNCTION("""COMPUTED_VALUE"""),49703700)</f>
        <v>49703700</v>
      </c>
    </row>
    <row r="702" spans="1:6">
      <c r="A702" s="5">
        <f ca="1">IFERROR(__xludf.DUMMYFUNCTION("""COMPUTED_VALUE"""),43063.625)</f>
        <v>43063.625</v>
      </c>
      <c r="B702" s="2">
        <f ca="1">IFERROR(__xludf.DUMMYFUNCTION("""COMPUTED_VALUE"""),3360)</f>
        <v>3360</v>
      </c>
      <c r="C702" s="2">
        <f ca="1">IFERROR(__xludf.DUMMYFUNCTION("""COMPUTED_VALUE"""),3360)</f>
        <v>3360</v>
      </c>
      <c r="D702" s="2">
        <f ca="1">IFERROR(__xludf.DUMMYFUNCTION("""COMPUTED_VALUE"""),3340)</f>
        <v>3340</v>
      </c>
      <c r="E702" s="2">
        <f ca="1">IFERROR(__xludf.DUMMYFUNCTION("""COMPUTED_VALUE"""),3350)</f>
        <v>3350</v>
      </c>
      <c r="F702" s="2">
        <f ca="1">IFERROR(__xludf.DUMMYFUNCTION("""COMPUTED_VALUE"""),82715200)</f>
        <v>82715200</v>
      </c>
    </row>
    <row r="703" spans="1:6">
      <c r="A703" s="5">
        <f ca="1">IFERROR(__xludf.DUMMYFUNCTION("""COMPUTED_VALUE"""),43066.625)</f>
        <v>43066.625</v>
      </c>
      <c r="B703" s="2">
        <f ca="1">IFERROR(__xludf.DUMMYFUNCTION("""COMPUTED_VALUE"""),3310)</f>
        <v>3310</v>
      </c>
      <c r="C703" s="2">
        <f ca="1">IFERROR(__xludf.DUMMYFUNCTION("""COMPUTED_VALUE"""),3350)</f>
        <v>3350</v>
      </c>
      <c r="D703" s="2">
        <f ca="1">IFERROR(__xludf.DUMMYFUNCTION("""COMPUTED_VALUE"""),3280)</f>
        <v>3280</v>
      </c>
      <c r="E703" s="2">
        <f ca="1">IFERROR(__xludf.DUMMYFUNCTION("""COMPUTED_VALUE"""),3300)</f>
        <v>3300</v>
      </c>
      <c r="F703" s="2">
        <f ca="1">IFERROR(__xludf.DUMMYFUNCTION("""COMPUTED_VALUE"""),106455100)</f>
        <v>106455100</v>
      </c>
    </row>
    <row r="704" spans="1:6">
      <c r="A704" s="5">
        <f ca="1">IFERROR(__xludf.DUMMYFUNCTION("""COMPUTED_VALUE"""),43067.625)</f>
        <v>43067.625</v>
      </c>
      <c r="B704" s="2">
        <f ca="1">IFERROR(__xludf.DUMMYFUNCTION("""COMPUTED_VALUE"""),3320)</f>
        <v>3320</v>
      </c>
      <c r="C704" s="2">
        <f ca="1">IFERROR(__xludf.DUMMYFUNCTION("""COMPUTED_VALUE"""),3380)</f>
        <v>3380</v>
      </c>
      <c r="D704" s="2">
        <f ca="1">IFERROR(__xludf.DUMMYFUNCTION("""COMPUTED_VALUE"""),3280)</f>
        <v>3280</v>
      </c>
      <c r="E704" s="2">
        <f ca="1">IFERROR(__xludf.DUMMYFUNCTION("""COMPUTED_VALUE"""),3380)</f>
        <v>3380</v>
      </c>
      <c r="F704" s="2">
        <f ca="1">IFERROR(__xludf.DUMMYFUNCTION("""COMPUTED_VALUE"""),137567700)</f>
        <v>137567700</v>
      </c>
    </row>
    <row r="705" spans="1:6">
      <c r="A705" s="5">
        <f ca="1">IFERROR(__xludf.DUMMYFUNCTION("""COMPUTED_VALUE"""),43068.625)</f>
        <v>43068.625</v>
      </c>
      <c r="B705" s="2">
        <f ca="1">IFERROR(__xludf.DUMMYFUNCTION("""COMPUTED_VALUE"""),3390)</f>
        <v>3390</v>
      </c>
      <c r="C705" s="2">
        <f ca="1">IFERROR(__xludf.DUMMYFUNCTION("""COMPUTED_VALUE"""),3400)</f>
        <v>3400</v>
      </c>
      <c r="D705" s="2">
        <f ca="1">IFERROR(__xludf.DUMMYFUNCTION("""COMPUTED_VALUE"""),3300)</f>
        <v>3300</v>
      </c>
      <c r="E705" s="2">
        <f ca="1">IFERROR(__xludf.DUMMYFUNCTION("""COMPUTED_VALUE"""),3300)</f>
        <v>3300</v>
      </c>
      <c r="F705" s="2">
        <f ca="1">IFERROR(__xludf.DUMMYFUNCTION("""COMPUTED_VALUE"""),103889000)</f>
        <v>103889000</v>
      </c>
    </row>
    <row r="706" spans="1:6">
      <c r="A706" s="5">
        <f ca="1">IFERROR(__xludf.DUMMYFUNCTION("""COMPUTED_VALUE"""),43073.625)</f>
        <v>43073.625</v>
      </c>
      <c r="B706" s="2">
        <f ca="1">IFERROR(__xludf.DUMMYFUNCTION("""COMPUTED_VALUE"""),3330)</f>
        <v>3330</v>
      </c>
      <c r="C706" s="2">
        <f ca="1">IFERROR(__xludf.DUMMYFUNCTION("""COMPUTED_VALUE"""),3350)</f>
        <v>3350</v>
      </c>
      <c r="D706" s="2">
        <f ca="1">IFERROR(__xludf.DUMMYFUNCTION("""COMPUTED_VALUE"""),3260)</f>
        <v>3260</v>
      </c>
      <c r="E706" s="2">
        <f ca="1">IFERROR(__xludf.DUMMYFUNCTION("""COMPUTED_VALUE"""),3300)</f>
        <v>3300</v>
      </c>
      <c r="F706" s="2">
        <f ca="1">IFERROR(__xludf.DUMMYFUNCTION("""COMPUTED_VALUE"""),133236100)</f>
        <v>133236100</v>
      </c>
    </row>
    <row r="707" spans="1:6">
      <c r="A707" s="5">
        <f ca="1">IFERROR(__xludf.DUMMYFUNCTION("""COMPUTED_VALUE"""),43074.625)</f>
        <v>43074.625</v>
      </c>
      <c r="B707" s="2">
        <f ca="1">IFERROR(__xludf.DUMMYFUNCTION("""COMPUTED_VALUE"""),3340)</f>
        <v>3340</v>
      </c>
      <c r="C707" s="2">
        <f ca="1">IFERROR(__xludf.DUMMYFUNCTION("""COMPUTED_VALUE"""),3360)</f>
        <v>3360</v>
      </c>
      <c r="D707" s="2">
        <f ca="1">IFERROR(__xludf.DUMMYFUNCTION("""COMPUTED_VALUE"""),3310)</f>
        <v>3310</v>
      </c>
      <c r="E707" s="2">
        <f ca="1">IFERROR(__xludf.DUMMYFUNCTION("""COMPUTED_VALUE"""),3350)</f>
        <v>3350</v>
      </c>
      <c r="F707" s="2">
        <f ca="1">IFERROR(__xludf.DUMMYFUNCTION("""COMPUTED_VALUE"""),65374200)</f>
        <v>65374200</v>
      </c>
    </row>
    <row r="708" spans="1:6">
      <c r="A708" s="5">
        <f ca="1">IFERROR(__xludf.DUMMYFUNCTION("""COMPUTED_VALUE"""),43075.625)</f>
        <v>43075.625</v>
      </c>
      <c r="B708" s="2">
        <f ca="1">IFERROR(__xludf.DUMMYFUNCTION("""COMPUTED_VALUE"""),3350)</f>
        <v>3350</v>
      </c>
      <c r="C708" s="2">
        <f ca="1">IFERROR(__xludf.DUMMYFUNCTION("""COMPUTED_VALUE"""),3470)</f>
        <v>3470</v>
      </c>
      <c r="D708" s="2">
        <f ca="1">IFERROR(__xludf.DUMMYFUNCTION("""COMPUTED_VALUE"""),3340)</f>
        <v>3340</v>
      </c>
      <c r="E708" s="2">
        <f ca="1">IFERROR(__xludf.DUMMYFUNCTION("""COMPUTED_VALUE"""),3460)</f>
        <v>3460</v>
      </c>
      <c r="F708" s="2">
        <f ca="1">IFERROR(__xludf.DUMMYFUNCTION("""COMPUTED_VALUE"""),166654900)</f>
        <v>166654900</v>
      </c>
    </row>
    <row r="709" spans="1:6">
      <c r="A709" s="5">
        <f ca="1">IFERROR(__xludf.DUMMYFUNCTION("""COMPUTED_VALUE"""),43076.625)</f>
        <v>43076.625</v>
      </c>
      <c r="B709" s="2">
        <f ca="1">IFERROR(__xludf.DUMMYFUNCTION("""COMPUTED_VALUE"""),3460)</f>
        <v>3460</v>
      </c>
      <c r="C709" s="2">
        <f ca="1">IFERROR(__xludf.DUMMYFUNCTION("""COMPUTED_VALUE"""),3470)</f>
        <v>3470</v>
      </c>
      <c r="D709" s="2">
        <f ca="1">IFERROR(__xludf.DUMMYFUNCTION("""COMPUTED_VALUE"""),3380)</f>
        <v>3380</v>
      </c>
      <c r="E709" s="2">
        <f ca="1">IFERROR(__xludf.DUMMYFUNCTION("""COMPUTED_VALUE"""),3380)</f>
        <v>3380</v>
      </c>
      <c r="F709" s="2">
        <f ca="1">IFERROR(__xludf.DUMMYFUNCTION("""COMPUTED_VALUE"""),57218100)</f>
        <v>57218100</v>
      </c>
    </row>
    <row r="710" spans="1:6">
      <c r="A710" s="5">
        <f ca="1">IFERROR(__xludf.DUMMYFUNCTION("""COMPUTED_VALUE"""),43077.625)</f>
        <v>43077.625</v>
      </c>
      <c r="B710" s="2">
        <f ca="1">IFERROR(__xludf.DUMMYFUNCTION("""COMPUTED_VALUE"""),3400)</f>
        <v>3400</v>
      </c>
      <c r="C710" s="2">
        <f ca="1">IFERROR(__xludf.DUMMYFUNCTION("""COMPUTED_VALUE"""),3430)</f>
        <v>3430</v>
      </c>
      <c r="D710" s="2">
        <f ca="1">IFERROR(__xludf.DUMMYFUNCTION("""COMPUTED_VALUE"""),3370)</f>
        <v>3370</v>
      </c>
      <c r="E710" s="2">
        <f ca="1">IFERROR(__xludf.DUMMYFUNCTION("""COMPUTED_VALUE"""),3370)</f>
        <v>3370</v>
      </c>
      <c r="F710" s="2">
        <f ca="1">IFERROR(__xludf.DUMMYFUNCTION("""COMPUTED_VALUE"""),65653200)</f>
        <v>65653200</v>
      </c>
    </row>
    <row r="711" spans="1:6">
      <c r="A711" s="5">
        <f ca="1">IFERROR(__xludf.DUMMYFUNCTION("""COMPUTED_VALUE"""),43080.625)</f>
        <v>43080.625</v>
      </c>
      <c r="B711" s="2">
        <f ca="1">IFERROR(__xludf.DUMMYFUNCTION("""COMPUTED_VALUE"""),3430)</f>
        <v>3430</v>
      </c>
      <c r="C711" s="2">
        <f ca="1">IFERROR(__xludf.DUMMYFUNCTION("""COMPUTED_VALUE"""),3440)</f>
        <v>3440</v>
      </c>
      <c r="D711" s="2">
        <f ca="1">IFERROR(__xludf.DUMMYFUNCTION("""COMPUTED_VALUE"""),3410)</f>
        <v>3410</v>
      </c>
      <c r="E711" s="2">
        <f ca="1">IFERROR(__xludf.DUMMYFUNCTION("""COMPUTED_VALUE"""),3440)</f>
        <v>3440</v>
      </c>
      <c r="F711" s="2">
        <f ca="1">IFERROR(__xludf.DUMMYFUNCTION("""COMPUTED_VALUE"""),66901400)</f>
        <v>66901400</v>
      </c>
    </row>
    <row r="712" spans="1:6">
      <c r="A712" s="5">
        <f ca="1">IFERROR(__xludf.DUMMYFUNCTION("""COMPUTED_VALUE"""),43081.625)</f>
        <v>43081.625</v>
      </c>
      <c r="B712" s="2">
        <f ca="1">IFERROR(__xludf.DUMMYFUNCTION("""COMPUTED_VALUE"""),3450)</f>
        <v>3450</v>
      </c>
      <c r="C712" s="2">
        <f ca="1">IFERROR(__xludf.DUMMYFUNCTION("""COMPUTED_VALUE"""),3460)</f>
        <v>3460</v>
      </c>
      <c r="D712" s="2">
        <f ca="1">IFERROR(__xludf.DUMMYFUNCTION("""COMPUTED_VALUE"""),3410)</f>
        <v>3410</v>
      </c>
      <c r="E712" s="2">
        <f ca="1">IFERROR(__xludf.DUMMYFUNCTION("""COMPUTED_VALUE"""),3450)</f>
        <v>3450</v>
      </c>
      <c r="F712" s="2">
        <f ca="1">IFERROR(__xludf.DUMMYFUNCTION("""COMPUTED_VALUE"""),61413100)</f>
        <v>61413100</v>
      </c>
    </row>
    <row r="713" spans="1:6">
      <c r="A713" s="5">
        <f ca="1">IFERROR(__xludf.DUMMYFUNCTION("""COMPUTED_VALUE"""),43082.625)</f>
        <v>43082.625</v>
      </c>
      <c r="B713" s="2">
        <f ca="1">IFERROR(__xludf.DUMMYFUNCTION("""COMPUTED_VALUE"""),3450)</f>
        <v>3450</v>
      </c>
      <c r="C713" s="2">
        <f ca="1">IFERROR(__xludf.DUMMYFUNCTION("""COMPUTED_VALUE"""),3450)</f>
        <v>3450</v>
      </c>
      <c r="D713" s="2">
        <f ca="1">IFERROR(__xludf.DUMMYFUNCTION("""COMPUTED_VALUE"""),3420)</f>
        <v>3420</v>
      </c>
      <c r="E713" s="2">
        <f ca="1">IFERROR(__xludf.DUMMYFUNCTION("""COMPUTED_VALUE"""),3450)</f>
        <v>3450</v>
      </c>
      <c r="F713" s="2">
        <f ca="1">IFERROR(__xludf.DUMMYFUNCTION("""COMPUTED_VALUE"""),43015500)</f>
        <v>43015500</v>
      </c>
    </row>
    <row r="714" spans="1:6">
      <c r="A714" s="5">
        <f ca="1">IFERROR(__xludf.DUMMYFUNCTION("""COMPUTED_VALUE"""),43083.625)</f>
        <v>43083.625</v>
      </c>
      <c r="B714" s="2">
        <f ca="1">IFERROR(__xludf.DUMMYFUNCTION("""COMPUTED_VALUE"""),3430)</f>
        <v>3430</v>
      </c>
      <c r="C714" s="2">
        <f ca="1">IFERROR(__xludf.DUMMYFUNCTION("""COMPUTED_VALUE"""),3460)</f>
        <v>3460</v>
      </c>
      <c r="D714" s="2">
        <f ca="1">IFERROR(__xludf.DUMMYFUNCTION("""COMPUTED_VALUE"""),3390)</f>
        <v>3390</v>
      </c>
      <c r="E714" s="2">
        <f ca="1">IFERROR(__xludf.DUMMYFUNCTION("""COMPUTED_VALUE"""),3460)</f>
        <v>3460</v>
      </c>
      <c r="F714" s="2">
        <f ca="1">IFERROR(__xludf.DUMMYFUNCTION("""COMPUTED_VALUE"""),96228400)</f>
        <v>96228400</v>
      </c>
    </row>
    <row r="715" spans="1:6">
      <c r="A715" s="5">
        <f ca="1">IFERROR(__xludf.DUMMYFUNCTION("""COMPUTED_VALUE"""),43084.625)</f>
        <v>43084.625</v>
      </c>
      <c r="B715" s="2">
        <f ca="1">IFERROR(__xludf.DUMMYFUNCTION("""COMPUTED_VALUE"""),3460)</f>
        <v>3460</v>
      </c>
      <c r="C715" s="2">
        <f ca="1">IFERROR(__xludf.DUMMYFUNCTION("""COMPUTED_VALUE"""),3460)</f>
        <v>3460</v>
      </c>
      <c r="D715" s="2">
        <f ca="1">IFERROR(__xludf.DUMMYFUNCTION("""COMPUTED_VALUE"""),3380)</f>
        <v>3380</v>
      </c>
      <c r="E715" s="2">
        <f ca="1">IFERROR(__xludf.DUMMYFUNCTION("""COMPUTED_VALUE"""),3390)</f>
        <v>3390</v>
      </c>
      <c r="F715" s="2">
        <f ca="1">IFERROR(__xludf.DUMMYFUNCTION("""COMPUTED_VALUE"""),114011200)</f>
        <v>114011200</v>
      </c>
    </row>
    <row r="716" spans="1:6">
      <c r="A716" s="5">
        <f ca="1">IFERROR(__xludf.DUMMYFUNCTION("""COMPUTED_VALUE"""),43087.625)</f>
        <v>43087.625</v>
      </c>
      <c r="B716" s="2">
        <f ca="1">IFERROR(__xludf.DUMMYFUNCTION("""COMPUTED_VALUE"""),3390)</f>
        <v>3390</v>
      </c>
      <c r="C716" s="2">
        <f ca="1">IFERROR(__xludf.DUMMYFUNCTION("""COMPUTED_VALUE"""),3400)</f>
        <v>3400</v>
      </c>
      <c r="D716" s="2">
        <f ca="1">IFERROR(__xludf.DUMMYFUNCTION("""COMPUTED_VALUE"""),3350)</f>
        <v>3350</v>
      </c>
      <c r="E716" s="2">
        <f ca="1">IFERROR(__xludf.DUMMYFUNCTION("""COMPUTED_VALUE"""),3390)</f>
        <v>3390</v>
      </c>
      <c r="F716" s="2">
        <f ca="1">IFERROR(__xludf.DUMMYFUNCTION("""COMPUTED_VALUE"""),69279000)</f>
        <v>69279000</v>
      </c>
    </row>
    <row r="717" spans="1:6">
      <c r="A717" s="5">
        <f ca="1">IFERROR(__xludf.DUMMYFUNCTION("""COMPUTED_VALUE"""),43088.625)</f>
        <v>43088.625</v>
      </c>
      <c r="B717" s="2">
        <f ca="1">IFERROR(__xludf.DUMMYFUNCTION("""COMPUTED_VALUE"""),3430)</f>
        <v>3430</v>
      </c>
      <c r="C717" s="2">
        <f ca="1">IFERROR(__xludf.DUMMYFUNCTION("""COMPUTED_VALUE"""),3440)</f>
        <v>3440</v>
      </c>
      <c r="D717" s="2">
        <f ca="1">IFERROR(__xludf.DUMMYFUNCTION("""COMPUTED_VALUE"""),3390)</f>
        <v>3390</v>
      </c>
      <c r="E717" s="2">
        <f ca="1">IFERROR(__xludf.DUMMYFUNCTION("""COMPUTED_VALUE"""),3440)</f>
        <v>3440</v>
      </c>
      <c r="F717" s="2">
        <f ca="1">IFERROR(__xludf.DUMMYFUNCTION("""COMPUTED_VALUE"""),90867800)</f>
        <v>90867800</v>
      </c>
    </row>
    <row r="718" spans="1:6">
      <c r="A718" s="5">
        <f ca="1">IFERROR(__xludf.DUMMYFUNCTION("""COMPUTED_VALUE"""),43089.625)</f>
        <v>43089.625</v>
      </c>
      <c r="B718" s="2">
        <f ca="1">IFERROR(__xludf.DUMMYFUNCTION("""COMPUTED_VALUE"""),3460)</f>
        <v>3460</v>
      </c>
      <c r="C718" s="2">
        <f ca="1">IFERROR(__xludf.DUMMYFUNCTION("""COMPUTED_VALUE"""),3460)</f>
        <v>3460</v>
      </c>
      <c r="D718" s="2">
        <f ca="1">IFERROR(__xludf.DUMMYFUNCTION("""COMPUTED_VALUE"""),3390)</f>
        <v>3390</v>
      </c>
      <c r="E718" s="2">
        <f ca="1">IFERROR(__xludf.DUMMYFUNCTION("""COMPUTED_VALUE"""),3400)</f>
        <v>3400</v>
      </c>
      <c r="F718" s="2">
        <f ca="1">IFERROR(__xludf.DUMMYFUNCTION("""COMPUTED_VALUE"""),75330200)</f>
        <v>75330200</v>
      </c>
    </row>
    <row r="719" spans="1:6">
      <c r="A719" s="5">
        <f ca="1">IFERROR(__xludf.DUMMYFUNCTION("""COMPUTED_VALUE"""),43090.625)</f>
        <v>43090.625</v>
      </c>
      <c r="B719" s="2">
        <f ca="1">IFERROR(__xludf.DUMMYFUNCTION("""COMPUTED_VALUE"""),3440)</f>
        <v>3440</v>
      </c>
      <c r="C719" s="2">
        <f ca="1">IFERROR(__xludf.DUMMYFUNCTION("""COMPUTED_VALUE"""),3460)</f>
        <v>3460</v>
      </c>
      <c r="D719" s="2">
        <f ca="1">IFERROR(__xludf.DUMMYFUNCTION("""COMPUTED_VALUE"""),3410)</f>
        <v>3410</v>
      </c>
      <c r="E719" s="2">
        <f ca="1">IFERROR(__xludf.DUMMYFUNCTION("""COMPUTED_VALUE"""),3420)</f>
        <v>3420</v>
      </c>
      <c r="F719" s="2">
        <f ca="1">IFERROR(__xludf.DUMMYFUNCTION("""COMPUTED_VALUE"""),68727700)</f>
        <v>68727700</v>
      </c>
    </row>
    <row r="720" spans="1:6">
      <c r="A720" s="5">
        <f ca="1">IFERROR(__xludf.DUMMYFUNCTION("""COMPUTED_VALUE"""),43091.625)</f>
        <v>43091.625</v>
      </c>
      <c r="B720" s="2">
        <f ca="1">IFERROR(__xludf.DUMMYFUNCTION("""COMPUTED_VALUE"""),3430)</f>
        <v>3430</v>
      </c>
      <c r="C720" s="2">
        <f ca="1">IFERROR(__xludf.DUMMYFUNCTION("""COMPUTED_VALUE"""),3470)</f>
        <v>3470</v>
      </c>
      <c r="D720" s="2">
        <f ca="1">IFERROR(__xludf.DUMMYFUNCTION("""COMPUTED_VALUE"""),3410)</f>
        <v>3410</v>
      </c>
      <c r="E720" s="2">
        <f ca="1">IFERROR(__xludf.DUMMYFUNCTION("""COMPUTED_VALUE"""),3460)</f>
        <v>3460</v>
      </c>
      <c r="F720" s="2">
        <f ca="1">IFERROR(__xludf.DUMMYFUNCTION("""COMPUTED_VALUE"""),66126700)</f>
        <v>66126700</v>
      </c>
    </row>
    <row r="721" spans="1:6">
      <c r="A721" s="5">
        <f ca="1">IFERROR(__xludf.DUMMYFUNCTION("""COMPUTED_VALUE"""),43096.625)</f>
        <v>43096.625</v>
      </c>
      <c r="B721" s="2">
        <f ca="1">IFERROR(__xludf.DUMMYFUNCTION("""COMPUTED_VALUE"""),3470)</f>
        <v>3470</v>
      </c>
      <c r="C721" s="2">
        <f ca="1">IFERROR(__xludf.DUMMYFUNCTION("""COMPUTED_VALUE"""),3550)</f>
        <v>3550</v>
      </c>
      <c r="D721" s="2">
        <f ca="1">IFERROR(__xludf.DUMMYFUNCTION("""COMPUTED_VALUE"""),3460)</f>
        <v>3460</v>
      </c>
      <c r="E721" s="2">
        <f ca="1">IFERROR(__xludf.DUMMYFUNCTION("""COMPUTED_VALUE"""),3550)</f>
        <v>3550</v>
      </c>
      <c r="F721" s="2">
        <f ca="1">IFERROR(__xludf.DUMMYFUNCTION("""COMPUTED_VALUE"""),83657200)</f>
        <v>83657200</v>
      </c>
    </row>
    <row r="722" spans="1:6">
      <c r="A722" s="5">
        <f ca="1">IFERROR(__xludf.DUMMYFUNCTION("""COMPUTED_VALUE"""),43097.625)</f>
        <v>43097.625</v>
      </c>
      <c r="B722" s="2">
        <f ca="1">IFERROR(__xludf.DUMMYFUNCTION("""COMPUTED_VALUE"""),3580)</f>
        <v>3580</v>
      </c>
      <c r="C722" s="2">
        <f ca="1">IFERROR(__xludf.DUMMYFUNCTION("""COMPUTED_VALUE"""),3650)</f>
        <v>3650</v>
      </c>
      <c r="D722" s="2">
        <f ca="1">IFERROR(__xludf.DUMMYFUNCTION("""COMPUTED_VALUE"""),3560)</f>
        <v>3560</v>
      </c>
      <c r="E722" s="2">
        <f ca="1">IFERROR(__xludf.DUMMYFUNCTION("""COMPUTED_VALUE"""),3630)</f>
        <v>3630</v>
      </c>
      <c r="F722" s="2">
        <f ca="1">IFERROR(__xludf.DUMMYFUNCTION("""COMPUTED_VALUE"""),92953000)</f>
        <v>92953000</v>
      </c>
    </row>
    <row r="723" spans="1:6">
      <c r="A723" s="5">
        <f ca="1">IFERROR(__xludf.DUMMYFUNCTION("""COMPUTED_VALUE"""),43098.625)</f>
        <v>43098.625</v>
      </c>
      <c r="B723" s="2">
        <f ca="1">IFERROR(__xludf.DUMMYFUNCTION("""COMPUTED_VALUE"""),3650)</f>
        <v>3650</v>
      </c>
      <c r="C723" s="2">
        <f ca="1">IFERROR(__xludf.DUMMYFUNCTION("""COMPUTED_VALUE"""),3720)</f>
        <v>3720</v>
      </c>
      <c r="D723" s="2">
        <f ca="1">IFERROR(__xludf.DUMMYFUNCTION("""COMPUTED_VALUE"""),3580)</f>
        <v>3580</v>
      </c>
      <c r="E723" s="2">
        <f ca="1">IFERROR(__xludf.DUMMYFUNCTION("""COMPUTED_VALUE"""),3640)</f>
        <v>3640</v>
      </c>
      <c r="F723" s="2">
        <f ca="1">IFERROR(__xludf.DUMMYFUNCTION("""COMPUTED_VALUE"""),107708500)</f>
        <v>107708500</v>
      </c>
    </row>
    <row r="724" spans="1:6">
      <c r="A724" s="5">
        <f ca="1">IFERROR(__xludf.DUMMYFUNCTION("""COMPUTED_VALUE"""),43102.625)</f>
        <v>43102.625</v>
      </c>
      <c r="B724" s="2">
        <f ca="1">IFERROR(__xludf.DUMMYFUNCTION("""COMPUTED_VALUE"""),3690)</f>
        <v>3690</v>
      </c>
      <c r="C724" s="2">
        <f ca="1">IFERROR(__xludf.DUMMYFUNCTION("""COMPUTED_VALUE"""),3720)</f>
        <v>3720</v>
      </c>
      <c r="D724" s="2">
        <f ca="1">IFERROR(__xludf.DUMMYFUNCTION("""COMPUTED_VALUE"""),3610)</f>
        <v>3610</v>
      </c>
      <c r="E724" s="2">
        <f ca="1">IFERROR(__xludf.DUMMYFUNCTION("""COMPUTED_VALUE"""),3630)</f>
        <v>3630</v>
      </c>
      <c r="F724" s="2">
        <f ca="1">IFERROR(__xludf.DUMMYFUNCTION("""COMPUTED_VALUE"""),91127100)</f>
        <v>91127100</v>
      </c>
    </row>
    <row r="725" spans="1:6">
      <c r="A725" s="5">
        <f ca="1">IFERROR(__xludf.DUMMYFUNCTION("""COMPUTED_VALUE"""),43103.625)</f>
        <v>43103.625</v>
      </c>
      <c r="B725" s="2">
        <f ca="1">IFERROR(__xludf.DUMMYFUNCTION("""COMPUTED_VALUE"""),3630)</f>
        <v>3630</v>
      </c>
      <c r="C725" s="2">
        <f ca="1">IFERROR(__xludf.DUMMYFUNCTION("""COMPUTED_VALUE"""),3630)</f>
        <v>3630</v>
      </c>
      <c r="D725" s="2">
        <f ca="1">IFERROR(__xludf.DUMMYFUNCTION("""COMPUTED_VALUE"""),3560)</f>
        <v>3560</v>
      </c>
      <c r="E725" s="2">
        <f ca="1">IFERROR(__xludf.DUMMYFUNCTION("""COMPUTED_VALUE"""),3610)</f>
        <v>3610</v>
      </c>
      <c r="F725" s="2">
        <f ca="1">IFERROR(__xludf.DUMMYFUNCTION("""COMPUTED_VALUE"""),70148700)</f>
        <v>70148700</v>
      </c>
    </row>
    <row r="726" spans="1:6">
      <c r="A726" s="5">
        <f ca="1">IFERROR(__xludf.DUMMYFUNCTION("""COMPUTED_VALUE"""),43104.625)</f>
        <v>43104.625</v>
      </c>
      <c r="B726" s="2">
        <f ca="1">IFERROR(__xludf.DUMMYFUNCTION("""COMPUTED_VALUE"""),3610)</f>
        <v>3610</v>
      </c>
      <c r="C726" s="2">
        <f ca="1">IFERROR(__xludf.DUMMYFUNCTION("""COMPUTED_VALUE"""),3610)</f>
        <v>3610</v>
      </c>
      <c r="D726" s="2">
        <f ca="1">IFERROR(__xludf.DUMMYFUNCTION("""COMPUTED_VALUE"""),3460)</f>
        <v>3460</v>
      </c>
      <c r="E726" s="2">
        <f ca="1">IFERROR(__xludf.DUMMYFUNCTION("""COMPUTED_VALUE"""),3550)</f>
        <v>3550</v>
      </c>
      <c r="F726" s="2">
        <f ca="1">IFERROR(__xludf.DUMMYFUNCTION("""COMPUTED_VALUE"""),156406300)</f>
        <v>156406300</v>
      </c>
    </row>
    <row r="727" spans="1:6">
      <c r="A727" s="5">
        <f ca="1">IFERROR(__xludf.DUMMYFUNCTION("""COMPUTED_VALUE"""),43105.625)</f>
        <v>43105.625</v>
      </c>
      <c r="B727" s="2">
        <f ca="1">IFERROR(__xludf.DUMMYFUNCTION("""COMPUTED_VALUE"""),3550)</f>
        <v>3550</v>
      </c>
      <c r="C727" s="2">
        <f ca="1">IFERROR(__xludf.DUMMYFUNCTION("""COMPUTED_VALUE"""),3590)</f>
        <v>3590</v>
      </c>
      <c r="D727" s="2">
        <f ca="1">IFERROR(__xludf.DUMMYFUNCTION("""COMPUTED_VALUE"""),3520)</f>
        <v>3520</v>
      </c>
      <c r="E727" s="2">
        <f ca="1">IFERROR(__xludf.DUMMYFUNCTION("""COMPUTED_VALUE"""),3590)</f>
        <v>3590</v>
      </c>
      <c r="F727" s="2">
        <f ca="1">IFERROR(__xludf.DUMMYFUNCTION("""COMPUTED_VALUE"""),87095600)</f>
        <v>87095600</v>
      </c>
    </row>
    <row r="728" spans="1:6">
      <c r="A728" s="5">
        <f ca="1">IFERROR(__xludf.DUMMYFUNCTION("""COMPUTED_VALUE"""),43108.625)</f>
        <v>43108.625</v>
      </c>
      <c r="B728" s="2">
        <f ca="1">IFERROR(__xludf.DUMMYFUNCTION("""COMPUTED_VALUE"""),3590)</f>
        <v>3590</v>
      </c>
      <c r="C728" s="2">
        <f ca="1">IFERROR(__xludf.DUMMYFUNCTION("""COMPUTED_VALUE"""),3590)</f>
        <v>3590</v>
      </c>
      <c r="D728" s="2">
        <f ca="1">IFERROR(__xludf.DUMMYFUNCTION("""COMPUTED_VALUE"""),3560)</f>
        <v>3560</v>
      </c>
      <c r="E728" s="2">
        <f ca="1">IFERROR(__xludf.DUMMYFUNCTION("""COMPUTED_VALUE"""),3590)</f>
        <v>3590</v>
      </c>
      <c r="F728" s="2">
        <f ca="1">IFERROR(__xludf.DUMMYFUNCTION("""COMPUTED_VALUE"""),54559100)</f>
        <v>54559100</v>
      </c>
    </row>
    <row r="729" spans="1:6">
      <c r="A729" s="5">
        <f ca="1">IFERROR(__xludf.DUMMYFUNCTION("""COMPUTED_VALUE"""),43109.625)</f>
        <v>43109.625</v>
      </c>
      <c r="B729" s="2">
        <f ca="1">IFERROR(__xludf.DUMMYFUNCTION("""COMPUTED_VALUE"""),3600)</f>
        <v>3600</v>
      </c>
      <c r="C729" s="2">
        <f ca="1">IFERROR(__xludf.DUMMYFUNCTION("""COMPUTED_VALUE"""),3600)</f>
        <v>3600</v>
      </c>
      <c r="D729" s="2">
        <f ca="1">IFERROR(__xludf.DUMMYFUNCTION("""COMPUTED_VALUE"""),3530)</f>
        <v>3530</v>
      </c>
      <c r="E729" s="2">
        <f ca="1">IFERROR(__xludf.DUMMYFUNCTION("""COMPUTED_VALUE"""),3570)</f>
        <v>3570</v>
      </c>
      <c r="F729" s="2">
        <f ca="1">IFERROR(__xludf.DUMMYFUNCTION("""COMPUTED_VALUE"""),90606700)</f>
        <v>90606700</v>
      </c>
    </row>
    <row r="730" spans="1:6">
      <c r="A730" s="5">
        <f ca="1">IFERROR(__xludf.DUMMYFUNCTION("""COMPUTED_VALUE"""),43110.625)</f>
        <v>43110.625</v>
      </c>
      <c r="B730" s="2">
        <f ca="1">IFERROR(__xludf.DUMMYFUNCTION("""COMPUTED_VALUE"""),3580)</f>
        <v>3580</v>
      </c>
      <c r="C730" s="2">
        <f ca="1">IFERROR(__xludf.DUMMYFUNCTION("""COMPUTED_VALUE"""),3590)</f>
        <v>3590</v>
      </c>
      <c r="D730" s="2">
        <f ca="1">IFERROR(__xludf.DUMMYFUNCTION("""COMPUTED_VALUE"""),3500)</f>
        <v>3500</v>
      </c>
      <c r="E730" s="2">
        <f ca="1">IFERROR(__xludf.DUMMYFUNCTION("""COMPUTED_VALUE"""),3530)</f>
        <v>3530</v>
      </c>
      <c r="F730" s="2">
        <f ca="1">IFERROR(__xludf.DUMMYFUNCTION("""COMPUTED_VALUE"""),116409100)</f>
        <v>116409100</v>
      </c>
    </row>
    <row r="731" spans="1:6">
      <c r="A731" s="5">
        <f ca="1">IFERROR(__xludf.DUMMYFUNCTION("""COMPUTED_VALUE"""),43111.625)</f>
        <v>43111.625</v>
      </c>
      <c r="B731" s="2">
        <f ca="1">IFERROR(__xludf.DUMMYFUNCTION("""COMPUTED_VALUE"""),3540)</f>
        <v>3540</v>
      </c>
      <c r="C731" s="2">
        <f ca="1">IFERROR(__xludf.DUMMYFUNCTION("""COMPUTED_VALUE"""),3540)</f>
        <v>3540</v>
      </c>
      <c r="D731" s="2">
        <f ca="1">IFERROR(__xludf.DUMMYFUNCTION("""COMPUTED_VALUE"""),3480)</f>
        <v>3480</v>
      </c>
      <c r="E731" s="2">
        <f ca="1">IFERROR(__xludf.DUMMYFUNCTION("""COMPUTED_VALUE"""),3540)</f>
        <v>3540</v>
      </c>
      <c r="F731" s="2">
        <f ca="1">IFERROR(__xludf.DUMMYFUNCTION("""COMPUTED_VALUE"""),114378900)</f>
        <v>114378900</v>
      </c>
    </row>
    <row r="732" spans="1:6">
      <c r="A732" s="5">
        <f ca="1">IFERROR(__xludf.DUMMYFUNCTION("""COMPUTED_VALUE"""),43112.625)</f>
        <v>43112.625</v>
      </c>
      <c r="B732" s="2">
        <f ca="1">IFERROR(__xludf.DUMMYFUNCTION("""COMPUTED_VALUE"""),3550)</f>
        <v>3550</v>
      </c>
      <c r="C732" s="2">
        <f ca="1">IFERROR(__xludf.DUMMYFUNCTION("""COMPUTED_VALUE"""),3580)</f>
        <v>3580</v>
      </c>
      <c r="D732" s="2">
        <f ca="1">IFERROR(__xludf.DUMMYFUNCTION("""COMPUTED_VALUE"""),3500)</f>
        <v>3500</v>
      </c>
      <c r="E732" s="2">
        <f ca="1">IFERROR(__xludf.DUMMYFUNCTION("""COMPUTED_VALUE"""),3540)</f>
        <v>3540</v>
      </c>
      <c r="F732" s="2">
        <f ca="1">IFERROR(__xludf.DUMMYFUNCTION("""COMPUTED_VALUE"""),133445300)</f>
        <v>133445300</v>
      </c>
    </row>
    <row r="733" spans="1:6">
      <c r="A733" s="5">
        <f ca="1">IFERROR(__xludf.DUMMYFUNCTION("""COMPUTED_VALUE"""),43115.625)</f>
        <v>43115.625</v>
      </c>
      <c r="B733" s="2">
        <f ca="1">IFERROR(__xludf.DUMMYFUNCTION("""COMPUTED_VALUE"""),3540)</f>
        <v>3540</v>
      </c>
      <c r="C733" s="2">
        <f ca="1">IFERROR(__xludf.DUMMYFUNCTION("""COMPUTED_VALUE"""),3570)</f>
        <v>3570</v>
      </c>
      <c r="D733" s="2">
        <f ca="1">IFERROR(__xludf.DUMMYFUNCTION("""COMPUTED_VALUE"""),3540)</f>
        <v>3540</v>
      </c>
      <c r="E733" s="2">
        <f ca="1">IFERROR(__xludf.DUMMYFUNCTION("""COMPUTED_VALUE"""),3550)</f>
        <v>3550</v>
      </c>
      <c r="F733" s="2">
        <f ca="1">IFERROR(__xludf.DUMMYFUNCTION("""COMPUTED_VALUE"""),86615800)</f>
        <v>86615800</v>
      </c>
    </row>
    <row r="734" spans="1:6">
      <c r="A734" s="5">
        <f ca="1">IFERROR(__xludf.DUMMYFUNCTION("""COMPUTED_VALUE"""),43116.625)</f>
        <v>43116.625</v>
      </c>
      <c r="B734" s="2">
        <f ca="1">IFERROR(__xludf.DUMMYFUNCTION("""COMPUTED_VALUE"""),3530)</f>
        <v>3530</v>
      </c>
      <c r="C734" s="2">
        <f ca="1">IFERROR(__xludf.DUMMYFUNCTION("""COMPUTED_VALUE"""),3610)</f>
        <v>3610</v>
      </c>
      <c r="D734" s="2">
        <f ca="1">IFERROR(__xludf.DUMMYFUNCTION("""COMPUTED_VALUE"""),3530)</f>
        <v>3530</v>
      </c>
      <c r="E734" s="2">
        <f ca="1">IFERROR(__xludf.DUMMYFUNCTION("""COMPUTED_VALUE"""),3610)</f>
        <v>3610</v>
      </c>
      <c r="F734" s="2">
        <f ca="1">IFERROR(__xludf.DUMMYFUNCTION("""COMPUTED_VALUE"""),92106400)</f>
        <v>92106400</v>
      </c>
    </row>
    <row r="735" spans="1:6">
      <c r="A735" s="5">
        <f ca="1">IFERROR(__xludf.DUMMYFUNCTION("""COMPUTED_VALUE"""),43117.625)</f>
        <v>43117.625</v>
      </c>
      <c r="B735" s="2">
        <f ca="1">IFERROR(__xludf.DUMMYFUNCTION("""COMPUTED_VALUE"""),3620)</f>
        <v>3620</v>
      </c>
      <c r="C735" s="2">
        <f ca="1">IFERROR(__xludf.DUMMYFUNCTION("""COMPUTED_VALUE"""),3630)</f>
        <v>3630</v>
      </c>
      <c r="D735" s="2">
        <f ca="1">IFERROR(__xludf.DUMMYFUNCTION("""COMPUTED_VALUE"""),3580)</f>
        <v>3580</v>
      </c>
      <c r="E735" s="2">
        <f ca="1">IFERROR(__xludf.DUMMYFUNCTION("""COMPUTED_VALUE"""),3630)</f>
        <v>3630</v>
      </c>
      <c r="F735" s="2">
        <f ca="1">IFERROR(__xludf.DUMMYFUNCTION("""COMPUTED_VALUE"""),81465500)</f>
        <v>81465500</v>
      </c>
    </row>
    <row r="736" spans="1:6">
      <c r="A736" s="5">
        <f ca="1">IFERROR(__xludf.DUMMYFUNCTION("""COMPUTED_VALUE"""),43118.625)</f>
        <v>43118.625</v>
      </c>
      <c r="B736" s="2">
        <f ca="1">IFERROR(__xludf.DUMMYFUNCTION("""COMPUTED_VALUE"""),3630)</f>
        <v>3630</v>
      </c>
      <c r="C736" s="2">
        <f ca="1">IFERROR(__xludf.DUMMYFUNCTION("""COMPUTED_VALUE"""),3650)</f>
        <v>3650</v>
      </c>
      <c r="D736" s="2">
        <f ca="1">IFERROR(__xludf.DUMMYFUNCTION("""COMPUTED_VALUE"""),3590)</f>
        <v>3590</v>
      </c>
      <c r="E736" s="2">
        <f ca="1">IFERROR(__xludf.DUMMYFUNCTION("""COMPUTED_VALUE"""),3620)</f>
        <v>3620</v>
      </c>
      <c r="F736" s="2">
        <f ca="1">IFERROR(__xludf.DUMMYFUNCTION("""COMPUTED_VALUE"""),79140800)</f>
        <v>79140800</v>
      </c>
    </row>
    <row r="737" spans="1:6">
      <c r="A737" s="5">
        <f ca="1">IFERROR(__xludf.DUMMYFUNCTION("""COMPUTED_VALUE"""),43119.625)</f>
        <v>43119.625</v>
      </c>
      <c r="B737" s="2">
        <f ca="1">IFERROR(__xludf.DUMMYFUNCTION("""COMPUTED_VALUE"""),3620)</f>
        <v>3620</v>
      </c>
      <c r="C737" s="2">
        <f ca="1">IFERROR(__xludf.DUMMYFUNCTION("""COMPUTED_VALUE"""),3630)</f>
        <v>3630</v>
      </c>
      <c r="D737" s="2">
        <f ca="1">IFERROR(__xludf.DUMMYFUNCTION("""COMPUTED_VALUE"""),3580)</f>
        <v>3580</v>
      </c>
      <c r="E737" s="2">
        <f ca="1">IFERROR(__xludf.DUMMYFUNCTION("""COMPUTED_VALUE"""),3620)</f>
        <v>3620</v>
      </c>
      <c r="F737" s="2">
        <f ca="1">IFERROR(__xludf.DUMMYFUNCTION("""COMPUTED_VALUE"""),79576200)</f>
        <v>79576200</v>
      </c>
    </row>
    <row r="738" spans="1:6">
      <c r="A738" s="5">
        <f ca="1">IFERROR(__xludf.DUMMYFUNCTION("""COMPUTED_VALUE"""),43122.625)</f>
        <v>43122.625</v>
      </c>
      <c r="B738" s="2">
        <f ca="1">IFERROR(__xludf.DUMMYFUNCTION("""COMPUTED_VALUE"""),3620)</f>
        <v>3620</v>
      </c>
      <c r="C738" s="2">
        <f ca="1">IFERROR(__xludf.DUMMYFUNCTION("""COMPUTED_VALUE"""),3670)</f>
        <v>3670</v>
      </c>
      <c r="D738" s="2">
        <f ca="1">IFERROR(__xludf.DUMMYFUNCTION("""COMPUTED_VALUE"""),3610)</f>
        <v>3610</v>
      </c>
      <c r="E738" s="2">
        <f ca="1">IFERROR(__xludf.DUMMYFUNCTION("""COMPUTED_VALUE"""),3650)</f>
        <v>3650</v>
      </c>
      <c r="F738" s="2">
        <f ca="1">IFERROR(__xludf.DUMMYFUNCTION("""COMPUTED_VALUE"""),116838000)</f>
        <v>116838000</v>
      </c>
    </row>
    <row r="739" spans="1:6">
      <c r="A739" s="5">
        <f ca="1">IFERROR(__xludf.DUMMYFUNCTION("""COMPUTED_VALUE"""),43123.625)</f>
        <v>43123.625</v>
      </c>
      <c r="B739" s="2">
        <f ca="1">IFERROR(__xludf.DUMMYFUNCTION("""COMPUTED_VALUE"""),3680)</f>
        <v>3680</v>
      </c>
      <c r="C739" s="2">
        <f ca="1">IFERROR(__xludf.DUMMYFUNCTION("""COMPUTED_VALUE"""),3920)</f>
        <v>3920</v>
      </c>
      <c r="D739" s="2">
        <f ca="1">IFERROR(__xludf.DUMMYFUNCTION("""COMPUTED_VALUE"""),3670)</f>
        <v>3670</v>
      </c>
      <c r="E739" s="2">
        <f ca="1">IFERROR(__xludf.DUMMYFUNCTION("""COMPUTED_VALUE"""),3920)</f>
        <v>3920</v>
      </c>
      <c r="F739" s="2">
        <f ca="1">IFERROR(__xludf.DUMMYFUNCTION("""COMPUTED_VALUE"""),169304700)</f>
        <v>169304700</v>
      </c>
    </row>
    <row r="740" spans="1:6">
      <c r="A740" s="5">
        <f ca="1">IFERROR(__xludf.DUMMYFUNCTION("""COMPUTED_VALUE"""),43124.625)</f>
        <v>43124.625</v>
      </c>
      <c r="B740" s="2">
        <f ca="1">IFERROR(__xludf.DUMMYFUNCTION("""COMPUTED_VALUE"""),3900)</f>
        <v>3900</v>
      </c>
      <c r="C740" s="2">
        <f ca="1">IFERROR(__xludf.DUMMYFUNCTION("""COMPUTED_VALUE"""),3900)</f>
        <v>3900</v>
      </c>
      <c r="D740" s="2">
        <f ca="1">IFERROR(__xludf.DUMMYFUNCTION("""COMPUTED_VALUE"""),3820)</f>
        <v>3820</v>
      </c>
      <c r="E740" s="2">
        <f ca="1">IFERROR(__xludf.DUMMYFUNCTION("""COMPUTED_VALUE"""),3830)</f>
        <v>3830</v>
      </c>
      <c r="F740" s="2">
        <f ca="1">IFERROR(__xludf.DUMMYFUNCTION("""COMPUTED_VALUE"""),150067600)</f>
        <v>150067600</v>
      </c>
    </row>
    <row r="741" spans="1:6">
      <c r="A741" s="5">
        <f ca="1">IFERROR(__xludf.DUMMYFUNCTION("""COMPUTED_VALUE"""),43125.625)</f>
        <v>43125.625</v>
      </c>
      <c r="B741" s="2">
        <f ca="1">IFERROR(__xludf.DUMMYFUNCTION("""COMPUTED_VALUE"""),3860)</f>
        <v>3860</v>
      </c>
      <c r="C741" s="2">
        <f ca="1">IFERROR(__xludf.DUMMYFUNCTION("""COMPUTED_VALUE"""),3860)</f>
        <v>3860</v>
      </c>
      <c r="D741" s="2">
        <f ca="1">IFERROR(__xludf.DUMMYFUNCTION("""COMPUTED_VALUE"""),3720)</f>
        <v>3720</v>
      </c>
      <c r="E741" s="2">
        <f ca="1">IFERROR(__xludf.DUMMYFUNCTION("""COMPUTED_VALUE"""),3770)</f>
        <v>3770</v>
      </c>
      <c r="F741" s="2">
        <f ca="1">IFERROR(__xludf.DUMMYFUNCTION("""COMPUTED_VALUE"""),141273900)</f>
        <v>141273900</v>
      </c>
    </row>
    <row r="742" spans="1:6">
      <c r="A742" s="5">
        <f ca="1">IFERROR(__xludf.DUMMYFUNCTION("""COMPUTED_VALUE"""),43126.625)</f>
        <v>43126.625</v>
      </c>
      <c r="B742" s="2">
        <f ca="1">IFERROR(__xludf.DUMMYFUNCTION("""COMPUTED_VALUE"""),3790)</f>
        <v>3790</v>
      </c>
      <c r="C742" s="2">
        <f ca="1">IFERROR(__xludf.DUMMYFUNCTION("""COMPUTED_VALUE"""),3860)</f>
        <v>3860</v>
      </c>
      <c r="D742" s="2">
        <f ca="1">IFERROR(__xludf.DUMMYFUNCTION("""COMPUTED_VALUE"""),3780)</f>
        <v>3780</v>
      </c>
      <c r="E742" s="2">
        <f ca="1">IFERROR(__xludf.DUMMYFUNCTION("""COMPUTED_VALUE"""),3850)</f>
        <v>3850</v>
      </c>
      <c r="F742" s="2">
        <f ca="1">IFERROR(__xludf.DUMMYFUNCTION("""COMPUTED_VALUE"""),135628300)</f>
        <v>135628300</v>
      </c>
    </row>
    <row r="743" spans="1:6">
      <c r="A743" s="5">
        <f ca="1">IFERROR(__xludf.DUMMYFUNCTION("""COMPUTED_VALUE"""),43129.625)</f>
        <v>43129.625</v>
      </c>
      <c r="B743" s="2">
        <f ca="1">IFERROR(__xludf.DUMMYFUNCTION("""COMPUTED_VALUE"""),3850)</f>
        <v>3850</v>
      </c>
      <c r="C743" s="2">
        <f ca="1">IFERROR(__xludf.DUMMYFUNCTION("""COMPUTED_VALUE"""),3850)</f>
        <v>3850</v>
      </c>
      <c r="D743" s="2">
        <f ca="1">IFERROR(__xludf.DUMMYFUNCTION("""COMPUTED_VALUE"""),3760)</f>
        <v>3760</v>
      </c>
      <c r="E743" s="2">
        <f ca="1">IFERROR(__xludf.DUMMYFUNCTION("""COMPUTED_VALUE"""),3800)</f>
        <v>3800</v>
      </c>
      <c r="F743" s="2">
        <f ca="1">IFERROR(__xludf.DUMMYFUNCTION("""COMPUTED_VALUE"""),122622900)</f>
        <v>122622900</v>
      </c>
    </row>
    <row r="744" spans="1:6">
      <c r="A744" s="5">
        <f ca="1">IFERROR(__xludf.DUMMYFUNCTION("""COMPUTED_VALUE"""),43130.625)</f>
        <v>43130.625</v>
      </c>
      <c r="B744" s="2">
        <f ca="1">IFERROR(__xludf.DUMMYFUNCTION("""COMPUTED_VALUE"""),3800)</f>
        <v>3800</v>
      </c>
      <c r="C744" s="2">
        <f ca="1">IFERROR(__xludf.DUMMYFUNCTION("""COMPUTED_VALUE"""),3800)</f>
        <v>3800</v>
      </c>
      <c r="D744" s="2">
        <f ca="1">IFERROR(__xludf.DUMMYFUNCTION("""COMPUTED_VALUE"""),3710)</f>
        <v>3710</v>
      </c>
      <c r="E744" s="2">
        <f ca="1">IFERROR(__xludf.DUMMYFUNCTION("""COMPUTED_VALUE"""),3720)</f>
        <v>3720</v>
      </c>
      <c r="F744" s="2">
        <f ca="1">IFERROR(__xludf.DUMMYFUNCTION("""COMPUTED_VALUE"""),179332000)</f>
        <v>179332000</v>
      </c>
    </row>
    <row r="745" spans="1:6">
      <c r="A745" s="5">
        <f ca="1">IFERROR(__xludf.DUMMYFUNCTION("""COMPUTED_VALUE"""),43131.625)</f>
        <v>43131.625</v>
      </c>
      <c r="B745" s="2">
        <f ca="1">IFERROR(__xludf.DUMMYFUNCTION("""COMPUTED_VALUE"""),3700)</f>
        <v>3700</v>
      </c>
      <c r="C745" s="2">
        <f ca="1">IFERROR(__xludf.DUMMYFUNCTION("""COMPUTED_VALUE"""),3720)</f>
        <v>3720</v>
      </c>
      <c r="D745" s="2">
        <f ca="1">IFERROR(__xludf.DUMMYFUNCTION("""COMPUTED_VALUE"""),3630)</f>
        <v>3630</v>
      </c>
      <c r="E745" s="2">
        <f ca="1">IFERROR(__xludf.DUMMYFUNCTION("""COMPUTED_VALUE"""),3700)</f>
        <v>3700</v>
      </c>
      <c r="F745" s="2">
        <f ca="1">IFERROR(__xludf.DUMMYFUNCTION("""COMPUTED_VALUE"""),263207500)</f>
        <v>263207500</v>
      </c>
    </row>
    <row r="746" spans="1:6">
      <c r="A746" s="5">
        <f ca="1">IFERROR(__xludf.DUMMYFUNCTION("""COMPUTED_VALUE"""),43132.625)</f>
        <v>43132.625</v>
      </c>
      <c r="B746" s="2">
        <f ca="1">IFERROR(__xludf.DUMMYFUNCTION("""COMPUTED_VALUE"""),3730)</f>
        <v>3730</v>
      </c>
      <c r="C746" s="2">
        <f ca="1">IFERROR(__xludf.DUMMYFUNCTION("""COMPUTED_VALUE"""),3760)</f>
        <v>3760</v>
      </c>
      <c r="D746" s="2">
        <f ca="1">IFERROR(__xludf.DUMMYFUNCTION("""COMPUTED_VALUE"""),3700)</f>
        <v>3700</v>
      </c>
      <c r="E746" s="2">
        <f ca="1">IFERROR(__xludf.DUMMYFUNCTION("""COMPUTED_VALUE"""),3700)</f>
        <v>3700</v>
      </c>
      <c r="F746" s="2">
        <f ca="1">IFERROR(__xludf.DUMMYFUNCTION("""COMPUTED_VALUE"""),145586000)</f>
        <v>145586000</v>
      </c>
    </row>
    <row r="747" spans="1:6">
      <c r="A747" s="5">
        <f ca="1">IFERROR(__xludf.DUMMYFUNCTION("""COMPUTED_VALUE"""),43133.625)</f>
        <v>43133.625</v>
      </c>
      <c r="B747" s="2">
        <f ca="1">IFERROR(__xludf.DUMMYFUNCTION("""COMPUTED_VALUE"""),3740)</f>
        <v>3740</v>
      </c>
      <c r="C747" s="2">
        <f ca="1">IFERROR(__xludf.DUMMYFUNCTION("""COMPUTED_VALUE"""),3750)</f>
        <v>3750</v>
      </c>
      <c r="D747" s="2">
        <f ca="1">IFERROR(__xludf.DUMMYFUNCTION("""COMPUTED_VALUE"""),3710)</f>
        <v>3710</v>
      </c>
      <c r="E747" s="2">
        <f ca="1">IFERROR(__xludf.DUMMYFUNCTION("""COMPUTED_VALUE"""),3740)</f>
        <v>3740</v>
      </c>
      <c r="F747" s="2">
        <f ca="1">IFERROR(__xludf.DUMMYFUNCTION("""COMPUTED_VALUE"""),114113200)</f>
        <v>114113200</v>
      </c>
    </row>
    <row r="748" spans="1:6">
      <c r="A748" s="5">
        <f ca="1">IFERROR(__xludf.DUMMYFUNCTION("""COMPUTED_VALUE"""),43136.625)</f>
        <v>43136.625</v>
      </c>
      <c r="B748" s="2">
        <f ca="1">IFERROR(__xludf.DUMMYFUNCTION("""COMPUTED_VALUE"""),3650)</f>
        <v>3650</v>
      </c>
      <c r="C748" s="2">
        <f ca="1">IFERROR(__xludf.DUMMYFUNCTION("""COMPUTED_VALUE"""),3790)</f>
        <v>3790</v>
      </c>
      <c r="D748" s="2">
        <f ca="1">IFERROR(__xludf.DUMMYFUNCTION("""COMPUTED_VALUE"""),3650)</f>
        <v>3650</v>
      </c>
      <c r="E748" s="2">
        <f ca="1">IFERROR(__xludf.DUMMYFUNCTION("""COMPUTED_VALUE"""),3780)</f>
        <v>3780</v>
      </c>
      <c r="F748" s="2">
        <f ca="1">IFERROR(__xludf.DUMMYFUNCTION("""COMPUTED_VALUE"""),112677000)</f>
        <v>112677000</v>
      </c>
    </row>
    <row r="749" spans="1:6">
      <c r="A749" s="5">
        <f ca="1">IFERROR(__xludf.DUMMYFUNCTION("""COMPUTED_VALUE"""),43137.625)</f>
        <v>43137.625</v>
      </c>
      <c r="B749" s="2">
        <f ca="1">IFERROR(__xludf.DUMMYFUNCTION("""COMPUTED_VALUE"""),3690)</f>
        <v>3690</v>
      </c>
      <c r="C749" s="2">
        <f ca="1">IFERROR(__xludf.DUMMYFUNCTION("""COMPUTED_VALUE"""),3720)</f>
        <v>3720</v>
      </c>
      <c r="D749" s="2">
        <f ca="1">IFERROR(__xludf.DUMMYFUNCTION("""COMPUTED_VALUE"""),3660)</f>
        <v>3660</v>
      </c>
      <c r="E749" s="2">
        <f ca="1">IFERROR(__xludf.DUMMYFUNCTION("""COMPUTED_VALUE"""),3680)</f>
        <v>3680</v>
      </c>
      <c r="F749" s="2">
        <f ca="1">IFERROR(__xludf.DUMMYFUNCTION("""COMPUTED_VALUE"""),260283000)</f>
        <v>260283000</v>
      </c>
    </row>
    <row r="750" spans="1:6">
      <c r="A750" s="5">
        <f ca="1">IFERROR(__xludf.DUMMYFUNCTION("""COMPUTED_VALUE"""),43138.625)</f>
        <v>43138.625</v>
      </c>
      <c r="B750" s="2">
        <f ca="1">IFERROR(__xludf.DUMMYFUNCTION("""COMPUTED_VALUE"""),3710)</f>
        <v>3710</v>
      </c>
      <c r="C750" s="2">
        <f ca="1">IFERROR(__xludf.DUMMYFUNCTION("""COMPUTED_VALUE"""),3750)</f>
        <v>3750</v>
      </c>
      <c r="D750" s="2">
        <f ca="1">IFERROR(__xludf.DUMMYFUNCTION("""COMPUTED_VALUE"""),3700)</f>
        <v>3700</v>
      </c>
      <c r="E750" s="2">
        <f ca="1">IFERROR(__xludf.DUMMYFUNCTION("""COMPUTED_VALUE"""),3700)</f>
        <v>3700</v>
      </c>
      <c r="F750" s="2">
        <f ca="1">IFERROR(__xludf.DUMMYFUNCTION("""COMPUTED_VALUE"""),137926500)</f>
        <v>137926500</v>
      </c>
    </row>
    <row r="751" spans="1:6">
      <c r="A751" s="5">
        <f ca="1">IFERROR(__xludf.DUMMYFUNCTION("""COMPUTED_VALUE"""),43139.625)</f>
        <v>43139.625</v>
      </c>
      <c r="B751" s="2">
        <f ca="1">IFERROR(__xludf.DUMMYFUNCTION("""COMPUTED_VALUE"""),3680)</f>
        <v>3680</v>
      </c>
      <c r="C751" s="2">
        <f ca="1">IFERROR(__xludf.DUMMYFUNCTION("""COMPUTED_VALUE"""),3730)</f>
        <v>3730</v>
      </c>
      <c r="D751" s="2">
        <f ca="1">IFERROR(__xludf.DUMMYFUNCTION("""COMPUTED_VALUE"""),3680)</f>
        <v>3680</v>
      </c>
      <c r="E751" s="2">
        <f ca="1">IFERROR(__xludf.DUMMYFUNCTION("""COMPUTED_VALUE"""),3720)</f>
        <v>3720</v>
      </c>
      <c r="F751" s="2">
        <f ca="1">IFERROR(__xludf.DUMMYFUNCTION("""COMPUTED_VALUE"""),111109200)</f>
        <v>111109200</v>
      </c>
    </row>
    <row r="752" spans="1:6">
      <c r="A752" s="5">
        <f ca="1">IFERROR(__xludf.DUMMYFUNCTION("""COMPUTED_VALUE"""),43140.625)</f>
        <v>43140.625</v>
      </c>
      <c r="B752" s="2">
        <f ca="1">IFERROR(__xludf.DUMMYFUNCTION("""COMPUTED_VALUE"""),3690)</f>
        <v>3690</v>
      </c>
      <c r="C752" s="2">
        <f ca="1">IFERROR(__xludf.DUMMYFUNCTION("""COMPUTED_VALUE"""),3730)</f>
        <v>3730</v>
      </c>
      <c r="D752" s="2">
        <f ca="1">IFERROR(__xludf.DUMMYFUNCTION("""COMPUTED_VALUE"""),3680)</f>
        <v>3680</v>
      </c>
      <c r="E752" s="2">
        <f ca="1">IFERROR(__xludf.DUMMYFUNCTION("""COMPUTED_VALUE"""),3710)</f>
        <v>3710</v>
      </c>
      <c r="F752" s="2">
        <f ca="1">IFERROR(__xludf.DUMMYFUNCTION("""COMPUTED_VALUE"""),93140200)</f>
        <v>93140200</v>
      </c>
    </row>
    <row r="753" spans="1:6">
      <c r="A753" s="5">
        <f ca="1">IFERROR(__xludf.DUMMYFUNCTION("""COMPUTED_VALUE"""),43143.625)</f>
        <v>43143.625</v>
      </c>
      <c r="B753" s="2">
        <f ca="1">IFERROR(__xludf.DUMMYFUNCTION("""COMPUTED_VALUE"""),3700)</f>
        <v>3700</v>
      </c>
      <c r="C753" s="2">
        <f ca="1">IFERROR(__xludf.DUMMYFUNCTION("""COMPUTED_VALUE"""),3800)</f>
        <v>3800</v>
      </c>
      <c r="D753" s="2">
        <f ca="1">IFERROR(__xludf.DUMMYFUNCTION("""COMPUTED_VALUE"""),3700)</f>
        <v>3700</v>
      </c>
      <c r="E753" s="2">
        <f ca="1">IFERROR(__xludf.DUMMYFUNCTION("""COMPUTED_VALUE"""),3800)</f>
        <v>3800</v>
      </c>
      <c r="F753" s="2">
        <f ca="1">IFERROR(__xludf.DUMMYFUNCTION("""COMPUTED_VALUE"""),81517000)</f>
        <v>81517000</v>
      </c>
    </row>
    <row r="754" spans="1:6">
      <c r="A754" s="5">
        <f ca="1">IFERROR(__xludf.DUMMYFUNCTION("""COMPUTED_VALUE"""),43144.625)</f>
        <v>43144.625</v>
      </c>
      <c r="B754" s="2">
        <f ca="1">IFERROR(__xludf.DUMMYFUNCTION("""COMPUTED_VALUE"""),3810)</f>
        <v>3810</v>
      </c>
      <c r="C754" s="2">
        <f ca="1">IFERROR(__xludf.DUMMYFUNCTION("""COMPUTED_VALUE"""),3890)</f>
        <v>3890</v>
      </c>
      <c r="D754" s="2">
        <f ca="1">IFERROR(__xludf.DUMMYFUNCTION("""COMPUTED_VALUE"""),3810)</f>
        <v>3810</v>
      </c>
      <c r="E754" s="2">
        <f ca="1">IFERROR(__xludf.DUMMYFUNCTION("""COMPUTED_VALUE"""),3880)</f>
        <v>3880</v>
      </c>
      <c r="F754" s="2">
        <f ca="1">IFERROR(__xludf.DUMMYFUNCTION("""COMPUTED_VALUE"""),108236400)</f>
        <v>108236400</v>
      </c>
    </row>
    <row r="755" spans="1:6">
      <c r="A755" s="5">
        <f ca="1">IFERROR(__xludf.DUMMYFUNCTION("""COMPUTED_VALUE"""),43145.625)</f>
        <v>43145.625</v>
      </c>
      <c r="B755" s="2">
        <f ca="1">IFERROR(__xludf.DUMMYFUNCTION("""COMPUTED_VALUE"""),3900)</f>
        <v>3900</v>
      </c>
      <c r="C755" s="2">
        <f ca="1">IFERROR(__xludf.DUMMYFUNCTION("""COMPUTED_VALUE"""),3910)</f>
        <v>3910</v>
      </c>
      <c r="D755" s="2">
        <f ca="1">IFERROR(__xludf.DUMMYFUNCTION("""COMPUTED_VALUE"""),3830)</f>
        <v>3830</v>
      </c>
      <c r="E755" s="2">
        <f ca="1">IFERROR(__xludf.DUMMYFUNCTION("""COMPUTED_VALUE"""),3860)</f>
        <v>3860</v>
      </c>
      <c r="F755" s="2">
        <f ca="1">IFERROR(__xludf.DUMMYFUNCTION("""COMPUTED_VALUE"""),67665200)</f>
        <v>67665200</v>
      </c>
    </row>
    <row r="756" spans="1:6">
      <c r="A756" s="5">
        <f ca="1">IFERROR(__xludf.DUMMYFUNCTION("""COMPUTED_VALUE"""),43146.5416666666)</f>
        <v>43146.541666666599</v>
      </c>
      <c r="B756" s="2">
        <f ca="1">IFERROR(__xludf.DUMMYFUNCTION("""COMPUTED_VALUE"""),3860)</f>
        <v>3860</v>
      </c>
      <c r="C756" s="2">
        <f ca="1">IFERROR(__xludf.DUMMYFUNCTION("""COMPUTED_VALUE"""),3870)</f>
        <v>3870</v>
      </c>
      <c r="D756" s="2">
        <f ca="1">IFERROR(__xludf.DUMMYFUNCTION("""COMPUTED_VALUE"""),3820)</f>
        <v>3820</v>
      </c>
      <c r="E756" s="2">
        <f ca="1">IFERROR(__xludf.DUMMYFUNCTION("""COMPUTED_VALUE"""),3840)</f>
        <v>3840</v>
      </c>
      <c r="F756" s="2">
        <f ca="1">IFERROR(__xludf.DUMMYFUNCTION("""COMPUTED_VALUE"""),52893500)</f>
        <v>52893500</v>
      </c>
    </row>
    <row r="757" spans="1:6">
      <c r="A757" s="5">
        <f ca="1">IFERROR(__xludf.DUMMYFUNCTION("""COMPUTED_VALUE"""),43150.625)</f>
        <v>43150.625</v>
      </c>
      <c r="B757" s="2">
        <f ca="1">IFERROR(__xludf.DUMMYFUNCTION("""COMPUTED_VALUE"""),3850)</f>
        <v>3850</v>
      </c>
      <c r="C757" s="2">
        <f ca="1">IFERROR(__xludf.DUMMYFUNCTION("""COMPUTED_VALUE"""),3860)</f>
        <v>3860</v>
      </c>
      <c r="D757" s="2">
        <f ca="1">IFERROR(__xludf.DUMMYFUNCTION("""COMPUTED_VALUE"""),3820)</f>
        <v>3820</v>
      </c>
      <c r="E757" s="2">
        <f ca="1">IFERROR(__xludf.DUMMYFUNCTION("""COMPUTED_VALUE"""),3860)</f>
        <v>3860</v>
      </c>
      <c r="F757" s="2">
        <f ca="1">IFERROR(__xludf.DUMMYFUNCTION("""COMPUTED_VALUE"""),63409000)</f>
        <v>63409000</v>
      </c>
    </row>
    <row r="758" spans="1:6">
      <c r="A758" s="5">
        <f ca="1">IFERROR(__xludf.DUMMYFUNCTION("""COMPUTED_VALUE"""),43151.625)</f>
        <v>43151.625</v>
      </c>
      <c r="B758" s="2">
        <f ca="1">IFERROR(__xludf.DUMMYFUNCTION("""COMPUTED_VALUE"""),3840)</f>
        <v>3840</v>
      </c>
      <c r="C758" s="2">
        <f ca="1">IFERROR(__xludf.DUMMYFUNCTION("""COMPUTED_VALUE"""),3860)</f>
        <v>3860</v>
      </c>
      <c r="D758" s="2">
        <f ca="1">IFERROR(__xludf.DUMMYFUNCTION("""COMPUTED_VALUE"""),3780)</f>
        <v>3780</v>
      </c>
      <c r="E758" s="2">
        <f ca="1">IFERROR(__xludf.DUMMYFUNCTION("""COMPUTED_VALUE"""),3800)</f>
        <v>3800</v>
      </c>
      <c r="F758" s="2">
        <f ca="1">IFERROR(__xludf.DUMMYFUNCTION("""COMPUTED_VALUE"""),91506500)</f>
        <v>91506500</v>
      </c>
    </row>
    <row r="759" spans="1:6">
      <c r="A759" s="5">
        <f ca="1">IFERROR(__xludf.DUMMYFUNCTION("""COMPUTED_VALUE"""),43152.625)</f>
        <v>43152.625</v>
      </c>
      <c r="B759" s="2">
        <f ca="1">IFERROR(__xludf.DUMMYFUNCTION("""COMPUTED_VALUE"""),3800)</f>
        <v>3800</v>
      </c>
      <c r="C759" s="2">
        <f ca="1">IFERROR(__xludf.DUMMYFUNCTION("""COMPUTED_VALUE"""),3800)</f>
        <v>3800</v>
      </c>
      <c r="D759" s="2">
        <f ca="1">IFERROR(__xludf.DUMMYFUNCTION("""COMPUTED_VALUE"""),3750)</f>
        <v>3750</v>
      </c>
      <c r="E759" s="2">
        <f ca="1">IFERROR(__xludf.DUMMYFUNCTION("""COMPUTED_VALUE"""),3800)</f>
        <v>3800</v>
      </c>
      <c r="F759" s="2">
        <f ca="1">IFERROR(__xludf.DUMMYFUNCTION("""COMPUTED_VALUE"""),109361300)</f>
        <v>109361300</v>
      </c>
    </row>
    <row r="760" spans="1:6">
      <c r="A760" s="5">
        <f ca="1">IFERROR(__xludf.DUMMYFUNCTION("""COMPUTED_VALUE"""),43153.625)</f>
        <v>43153.625</v>
      </c>
      <c r="B760" s="2">
        <f ca="1">IFERROR(__xludf.DUMMYFUNCTION("""COMPUTED_VALUE"""),3780)</f>
        <v>3780</v>
      </c>
      <c r="C760" s="2">
        <f ca="1">IFERROR(__xludf.DUMMYFUNCTION("""COMPUTED_VALUE"""),3790)</f>
        <v>3790</v>
      </c>
      <c r="D760" s="2">
        <f ca="1">IFERROR(__xludf.DUMMYFUNCTION("""COMPUTED_VALUE"""),3760)</f>
        <v>3760</v>
      </c>
      <c r="E760" s="2">
        <f ca="1">IFERROR(__xludf.DUMMYFUNCTION("""COMPUTED_VALUE"""),3770)</f>
        <v>3770</v>
      </c>
      <c r="F760" s="2">
        <f ca="1">IFERROR(__xludf.DUMMYFUNCTION("""COMPUTED_VALUE"""),103834700)</f>
        <v>103834700</v>
      </c>
    </row>
    <row r="761" spans="1:6">
      <c r="A761" s="5">
        <f ca="1">IFERROR(__xludf.DUMMYFUNCTION("""COMPUTED_VALUE"""),43154.625)</f>
        <v>43154.625</v>
      </c>
      <c r="B761" s="2">
        <f ca="1">IFERROR(__xludf.DUMMYFUNCTION("""COMPUTED_VALUE"""),3760)</f>
        <v>3760</v>
      </c>
      <c r="C761" s="2">
        <f ca="1">IFERROR(__xludf.DUMMYFUNCTION("""COMPUTED_VALUE"""),3810)</f>
        <v>3810</v>
      </c>
      <c r="D761" s="2">
        <f ca="1">IFERROR(__xludf.DUMMYFUNCTION("""COMPUTED_VALUE"""),3760)</f>
        <v>3760</v>
      </c>
      <c r="E761" s="2">
        <f ca="1">IFERROR(__xludf.DUMMYFUNCTION("""COMPUTED_VALUE"""),3790)</f>
        <v>3790</v>
      </c>
      <c r="F761" s="2">
        <f ca="1">IFERROR(__xludf.DUMMYFUNCTION("""COMPUTED_VALUE"""),107749300)</f>
        <v>107749300</v>
      </c>
    </row>
    <row r="762" spans="1:6">
      <c r="A762" s="5">
        <f ca="1">IFERROR(__xludf.DUMMYFUNCTION("""COMPUTED_VALUE"""),43157.625)</f>
        <v>43157.625</v>
      </c>
      <c r="B762" s="2">
        <f ca="1">IFERROR(__xludf.DUMMYFUNCTION("""COMPUTED_VALUE"""),3750)</f>
        <v>3750</v>
      </c>
      <c r="C762" s="2">
        <f ca="1">IFERROR(__xludf.DUMMYFUNCTION("""COMPUTED_VALUE"""),3790)</f>
        <v>3790</v>
      </c>
      <c r="D762" s="2">
        <f ca="1">IFERROR(__xludf.DUMMYFUNCTION("""COMPUTED_VALUE"""),3730)</f>
        <v>3730</v>
      </c>
      <c r="E762" s="2">
        <f ca="1">IFERROR(__xludf.DUMMYFUNCTION("""COMPUTED_VALUE"""),3740)</f>
        <v>3740</v>
      </c>
      <c r="F762" s="2">
        <f ca="1">IFERROR(__xludf.DUMMYFUNCTION("""COMPUTED_VALUE"""),97544400)</f>
        <v>97544400</v>
      </c>
    </row>
    <row r="763" spans="1:6">
      <c r="A763" s="5">
        <f ca="1">IFERROR(__xludf.DUMMYFUNCTION("""COMPUTED_VALUE"""),43158.625)</f>
        <v>43158.625</v>
      </c>
      <c r="B763" s="2">
        <f ca="1">IFERROR(__xludf.DUMMYFUNCTION("""COMPUTED_VALUE"""),3740)</f>
        <v>3740</v>
      </c>
      <c r="C763" s="2">
        <f ca="1">IFERROR(__xludf.DUMMYFUNCTION("""COMPUTED_VALUE"""),3790)</f>
        <v>3790</v>
      </c>
      <c r="D763" s="2">
        <f ca="1">IFERROR(__xludf.DUMMYFUNCTION("""COMPUTED_VALUE"""),3730)</f>
        <v>3730</v>
      </c>
      <c r="E763" s="2">
        <f ca="1">IFERROR(__xludf.DUMMYFUNCTION("""COMPUTED_VALUE"""),3770)</f>
        <v>3770</v>
      </c>
      <c r="F763" s="2">
        <f ca="1">IFERROR(__xludf.DUMMYFUNCTION("""COMPUTED_VALUE"""),76509500)</f>
        <v>76509500</v>
      </c>
    </row>
    <row r="764" spans="1:6">
      <c r="A764" s="5">
        <f ca="1">IFERROR(__xludf.DUMMYFUNCTION("""COMPUTED_VALUE"""),43159.625)</f>
        <v>43159.625</v>
      </c>
      <c r="B764" s="2">
        <f ca="1">IFERROR(__xludf.DUMMYFUNCTION("""COMPUTED_VALUE"""),3780)</f>
        <v>3780</v>
      </c>
      <c r="C764" s="2">
        <f ca="1">IFERROR(__xludf.DUMMYFUNCTION("""COMPUTED_VALUE"""),3790)</f>
        <v>3790</v>
      </c>
      <c r="D764" s="2">
        <f ca="1">IFERROR(__xludf.DUMMYFUNCTION("""COMPUTED_VALUE"""),3740)</f>
        <v>3740</v>
      </c>
      <c r="E764" s="2">
        <f ca="1">IFERROR(__xludf.DUMMYFUNCTION("""COMPUTED_VALUE"""),3780)</f>
        <v>3780</v>
      </c>
      <c r="F764" s="2">
        <f ca="1">IFERROR(__xludf.DUMMYFUNCTION("""COMPUTED_VALUE"""),126297800)</f>
        <v>126297800</v>
      </c>
    </row>
    <row r="765" spans="1:6">
      <c r="A765" s="5">
        <f ca="1">IFERROR(__xludf.DUMMYFUNCTION("""COMPUTED_VALUE"""),43160.625)</f>
        <v>43160.625</v>
      </c>
      <c r="B765" s="2">
        <f ca="1">IFERROR(__xludf.DUMMYFUNCTION("""COMPUTED_VALUE"""),3800)</f>
        <v>3800</v>
      </c>
      <c r="C765" s="2">
        <f ca="1">IFERROR(__xludf.DUMMYFUNCTION("""COMPUTED_VALUE"""),3820)</f>
        <v>3820</v>
      </c>
      <c r="D765" s="2">
        <f ca="1">IFERROR(__xludf.DUMMYFUNCTION("""COMPUTED_VALUE"""),3780)</f>
        <v>3780</v>
      </c>
      <c r="E765" s="2">
        <f ca="1">IFERROR(__xludf.DUMMYFUNCTION("""COMPUTED_VALUE"""),3790)</f>
        <v>3790</v>
      </c>
      <c r="F765" s="2">
        <f ca="1">IFERROR(__xludf.DUMMYFUNCTION("""COMPUTED_VALUE"""),107991400)</f>
        <v>107991400</v>
      </c>
    </row>
    <row r="766" spans="1:6">
      <c r="A766" s="5">
        <f ca="1">IFERROR(__xludf.DUMMYFUNCTION("""COMPUTED_VALUE"""),43161.625)</f>
        <v>43161.625</v>
      </c>
      <c r="B766" s="2">
        <f ca="1">IFERROR(__xludf.DUMMYFUNCTION("""COMPUTED_VALUE"""),3790)</f>
        <v>3790</v>
      </c>
      <c r="C766" s="2">
        <f ca="1">IFERROR(__xludf.DUMMYFUNCTION("""COMPUTED_VALUE"""),3790)</f>
        <v>3790</v>
      </c>
      <c r="D766" s="2">
        <f ca="1">IFERROR(__xludf.DUMMYFUNCTION("""COMPUTED_VALUE"""),3740)</f>
        <v>3740</v>
      </c>
      <c r="E766" s="2">
        <f ca="1">IFERROR(__xludf.DUMMYFUNCTION("""COMPUTED_VALUE"""),3790)</f>
        <v>3790</v>
      </c>
      <c r="F766" s="2">
        <f ca="1">IFERROR(__xludf.DUMMYFUNCTION("""COMPUTED_VALUE"""),61833600)</f>
        <v>61833600</v>
      </c>
    </row>
    <row r="767" spans="1:6">
      <c r="A767" s="5">
        <f ca="1">IFERROR(__xludf.DUMMYFUNCTION("""COMPUTED_VALUE"""),43164.625)</f>
        <v>43164.625</v>
      </c>
      <c r="B767" s="2">
        <f ca="1">IFERROR(__xludf.DUMMYFUNCTION("""COMPUTED_VALUE"""),3800)</f>
        <v>3800</v>
      </c>
      <c r="C767" s="2">
        <f ca="1">IFERROR(__xludf.DUMMYFUNCTION("""COMPUTED_VALUE"""),3800)</f>
        <v>3800</v>
      </c>
      <c r="D767" s="2">
        <f ca="1">IFERROR(__xludf.DUMMYFUNCTION("""COMPUTED_VALUE"""),3770)</f>
        <v>3770</v>
      </c>
      <c r="E767" s="2">
        <f ca="1">IFERROR(__xludf.DUMMYFUNCTION("""COMPUTED_VALUE"""),3770)</f>
        <v>3770</v>
      </c>
      <c r="F767" s="2">
        <f ca="1">IFERROR(__xludf.DUMMYFUNCTION("""COMPUTED_VALUE"""),55258400)</f>
        <v>55258400</v>
      </c>
    </row>
    <row r="768" spans="1:6">
      <c r="A768" s="5">
        <f ca="1">IFERROR(__xludf.DUMMYFUNCTION("""COMPUTED_VALUE"""),43165.625)</f>
        <v>43165.625</v>
      </c>
      <c r="B768" s="2">
        <f ca="1">IFERROR(__xludf.DUMMYFUNCTION("""COMPUTED_VALUE"""),3780)</f>
        <v>3780</v>
      </c>
      <c r="C768" s="2">
        <f ca="1">IFERROR(__xludf.DUMMYFUNCTION("""COMPUTED_VALUE"""),3810)</f>
        <v>3810</v>
      </c>
      <c r="D768" s="2">
        <f ca="1">IFERROR(__xludf.DUMMYFUNCTION("""COMPUTED_VALUE"""),3700)</f>
        <v>3700</v>
      </c>
      <c r="E768" s="2">
        <f ca="1">IFERROR(__xludf.DUMMYFUNCTION("""COMPUTED_VALUE"""),3730)</f>
        <v>3730</v>
      </c>
      <c r="F768" s="2">
        <f ca="1">IFERROR(__xludf.DUMMYFUNCTION("""COMPUTED_VALUE"""),91074000)</f>
        <v>91074000</v>
      </c>
    </row>
    <row r="769" spans="1:6">
      <c r="A769" s="5">
        <f ca="1">IFERROR(__xludf.DUMMYFUNCTION("""COMPUTED_VALUE"""),43166.625)</f>
        <v>43166.625</v>
      </c>
      <c r="B769" s="2">
        <f ca="1">IFERROR(__xludf.DUMMYFUNCTION("""COMPUTED_VALUE"""),3720)</f>
        <v>3720</v>
      </c>
      <c r="C769" s="2">
        <f ca="1">IFERROR(__xludf.DUMMYFUNCTION("""COMPUTED_VALUE"""),3730)</f>
        <v>3730</v>
      </c>
      <c r="D769" s="2">
        <f ca="1">IFERROR(__xludf.DUMMYFUNCTION("""COMPUTED_VALUE"""),3650)</f>
        <v>3650</v>
      </c>
      <c r="E769" s="2">
        <f ca="1">IFERROR(__xludf.DUMMYFUNCTION("""COMPUTED_VALUE"""),3660)</f>
        <v>3660</v>
      </c>
      <c r="F769" s="2">
        <f ca="1">IFERROR(__xludf.DUMMYFUNCTION("""COMPUTED_VALUE"""),141612300)</f>
        <v>141612300</v>
      </c>
    </row>
    <row r="770" spans="1:6">
      <c r="A770" s="5">
        <f ca="1">IFERROR(__xludf.DUMMYFUNCTION("""COMPUTED_VALUE"""),43167.625)</f>
        <v>43167.625</v>
      </c>
      <c r="B770" s="2">
        <f ca="1">IFERROR(__xludf.DUMMYFUNCTION("""COMPUTED_VALUE"""),3730)</f>
        <v>3730</v>
      </c>
      <c r="C770" s="2">
        <f ca="1">IFERROR(__xludf.DUMMYFUNCTION("""COMPUTED_VALUE"""),3770)</f>
        <v>3770</v>
      </c>
      <c r="D770" s="2">
        <f ca="1">IFERROR(__xludf.DUMMYFUNCTION("""COMPUTED_VALUE"""),3690)</f>
        <v>3690</v>
      </c>
      <c r="E770" s="2">
        <f ca="1">IFERROR(__xludf.DUMMYFUNCTION("""COMPUTED_VALUE"""),3770)</f>
        <v>3770</v>
      </c>
      <c r="F770" s="2">
        <f ca="1">IFERROR(__xludf.DUMMYFUNCTION("""COMPUTED_VALUE"""),130641100)</f>
        <v>130641100</v>
      </c>
    </row>
    <row r="771" spans="1:6">
      <c r="A771" s="5">
        <f ca="1">IFERROR(__xludf.DUMMYFUNCTION("""COMPUTED_VALUE"""),43168.625)</f>
        <v>43168.625</v>
      </c>
      <c r="B771" s="2">
        <f ca="1">IFERROR(__xludf.DUMMYFUNCTION("""COMPUTED_VALUE"""),3720)</f>
        <v>3720</v>
      </c>
      <c r="C771" s="2">
        <f ca="1">IFERROR(__xludf.DUMMYFUNCTION("""COMPUTED_VALUE"""),3750)</f>
        <v>3750</v>
      </c>
      <c r="D771" s="2">
        <f ca="1">IFERROR(__xludf.DUMMYFUNCTION("""COMPUTED_VALUE"""),3680)</f>
        <v>3680</v>
      </c>
      <c r="E771" s="2">
        <f ca="1">IFERROR(__xludf.DUMMYFUNCTION("""COMPUTED_VALUE"""),3690)</f>
        <v>3690</v>
      </c>
      <c r="F771" s="2">
        <f ca="1">IFERROR(__xludf.DUMMYFUNCTION("""COMPUTED_VALUE"""),99179200)</f>
        <v>99179200</v>
      </c>
    </row>
    <row r="772" spans="1:6">
      <c r="A772" s="5">
        <f ca="1">IFERROR(__xludf.DUMMYFUNCTION("""COMPUTED_VALUE"""),43171.625)</f>
        <v>43171.625</v>
      </c>
      <c r="B772" s="2">
        <f ca="1">IFERROR(__xludf.DUMMYFUNCTION("""COMPUTED_VALUE"""),3700)</f>
        <v>3700</v>
      </c>
      <c r="C772" s="2">
        <f ca="1">IFERROR(__xludf.DUMMYFUNCTION("""COMPUTED_VALUE"""),3760)</f>
        <v>3760</v>
      </c>
      <c r="D772" s="2">
        <f ca="1">IFERROR(__xludf.DUMMYFUNCTION("""COMPUTED_VALUE"""),3700)</f>
        <v>3700</v>
      </c>
      <c r="E772" s="2">
        <f ca="1">IFERROR(__xludf.DUMMYFUNCTION("""COMPUTED_VALUE"""),3760)</f>
        <v>3760</v>
      </c>
      <c r="F772" s="2">
        <f ca="1">IFERROR(__xludf.DUMMYFUNCTION("""COMPUTED_VALUE"""),144225600)</f>
        <v>144225600</v>
      </c>
    </row>
    <row r="773" spans="1:6">
      <c r="A773" s="5">
        <f ca="1">IFERROR(__xludf.DUMMYFUNCTION("""COMPUTED_VALUE"""),43172.625)</f>
        <v>43172.625</v>
      </c>
      <c r="B773" s="2">
        <f ca="1">IFERROR(__xludf.DUMMYFUNCTION("""COMPUTED_VALUE"""),3760)</f>
        <v>3760</v>
      </c>
      <c r="C773" s="2">
        <f ca="1">IFERROR(__xludf.DUMMYFUNCTION("""COMPUTED_VALUE"""),3770)</f>
        <v>3770</v>
      </c>
      <c r="D773" s="2">
        <f ca="1">IFERROR(__xludf.DUMMYFUNCTION("""COMPUTED_VALUE"""),3720)</f>
        <v>3720</v>
      </c>
      <c r="E773" s="2">
        <f ca="1">IFERROR(__xludf.DUMMYFUNCTION("""COMPUTED_VALUE"""),3760)</f>
        <v>3760</v>
      </c>
      <c r="F773" s="2">
        <f ca="1">IFERROR(__xludf.DUMMYFUNCTION("""COMPUTED_VALUE"""),127738800)</f>
        <v>127738800</v>
      </c>
    </row>
    <row r="774" spans="1:6">
      <c r="A774" s="5">
        <f ca="1">IFERROR(__xludf.DUMMYFUNCTION("""COMPUTED_VALUE"""),43173.625)</f>
        <v>43173.625</v>
      </c>
      <c r="B774" s="2">
        <f ca="1">IFERROR(__xludf.DUMMYFUNCTION("""COMPUTED_VALUE"""),3750)</f>
        <v>3750</v>
      </c>
      <c r="C774" s="2">
        <f ca="1">IFERROR(__xludf.DUMMYFUNCTION("""COMPUTED_VALUE"""),3750)</f>
        <v>3750</v>
      </c>
      <c r="D774" s="2">
        <f ca="1">IFERROR(__xludf.DUMMYFUNCTION("""COMPUTED_VALUE"""),3700)</f>
        <v>3700</v>
      </c>
      <c r="E774" s="2">
        <f ca="1">IFERROR(__xludf.DUMMYFUNCTION("""COMPUTED_VALUE"""),3750)</f>
        <v>3750</v>
      </c>
      <c r="F774" s="2">
        <f ca="1">IFERROR(__xludf.DUMMYFUNCTION("""COMPUTED_VALUE"""),58574900)</f>
        <v>58574900</v>
      </c>
    </row>
    <row r="775" spans="1:6">
      <c r="A775" s="5">
        <f ca="1">IFERROR(__xludf.DUMMYFUNCTION("""COMPUTED_VALUE"""),43174.625)</f>
        <v>43174.625</v>
      </c>
      <c r="B775" s="2">
        <f ca="1">IFERROR(__xludf.DUMMYFUNCTION("""COMPUTED_VALUE"""),3700)</f>
        <v>3700</v>
      </c>
      <c r="C775" s="2">
        <f ca="1">IFERROR(__xludf.DUMMYFUNCTION("""COMPUTED_VALUE"""),3720)</f>
        <v>3720</v>
      </c>
      <c r="D775" s="2">
        <f ca="1">IFERROR(__xludf.DUMMYFUNCTION("""COMPUTED_VALUE"""),3640)</f>
        <v>3640</v>
      </c>
      <c r="E775" s="2">
        <f ca="1">IFERROR(__xludf.DUMMYFUNCTION("""COMPUTED_VALUE"""),3640)</f>
        <v>3640</v>
      </c>
      <c r="F775" s="2">
        <f ca="1">IFERROR(__xludf.DUMMYFUNCTION("""COMPUTED_VALUE"""),150015200)</f>
        <v>150015200</v>
      </c>
    </row>
    <row r="776" spans="1:6">
      <c r="A776" s="5">
        <f ca="1">IFERROR(__xludf.DUMMYFUNCTION("""COMPUTED_VALUE"""),43175.625)</f>
        <v>43175.625</v>
      </c>
      <c r="B776" s="2">
        <f ca="1">IFERROR(__xludf.DUMMYFUNCTION("""COMPUTED_VALUE"""),3640)</f>
        <v>3640</v>
      </c>
      <c r="C776" s="2">
        <f ca="1">IFERROR(__xludf.DUMMYFUNCTION("""COMPUTED_VALUE"""),3680)</f>
        <v>3680</v>
      </c>
      <c r="D776" s="2">
        <f ca="1">IFERROR(__xludf.DUMMYFUNCTION("""COMPUTED_VALUE"""),3550)</f>
        <v>3550</v>
      </c>
      <c r="E776" s="2">
        <f ca="1">IFERROR(__xludf.DUMMYFUNCTION("""COMPUTED_VALUE"""),3680)</f>
        <v>3680</v>
      </c>
      <c r="F776" s="2">
        <f ca="1">IFERROR(__xludf.DUMMYFUNCTION("""COMPUTED_VALUE"""),226448600)</f>
        <v>226448600</v>
      </c>
    </row>
    <row r="777" spans="1:6">
      <c r="A777" s="5">
        <f ca="1">IFERROR(__xludf.DUMMYFUNCTION("""COMPUTED_VALUE"""),43178.625)</f>
        <v>43178.625</v>
      </c>
      <c r="B777" s="2">
        <f ca="1">IFERROR(__xludf.DUMMYFUNCTION("""COMPUTED_VALUE"""),3690)</f>
        <v>3690</v>
      </c>
      <c r="C777" s="2">
        <f ca="1">IFERROR(__xludf.DUMMYFUNCTION("""COMPUTED_VALUE"""),3720)</f>
        <v>3720</v>
      </c>
      <c r="D777" s="2">
        <f ca="1">IFERROR(__xludf.DUMMYFUNCTION("""COMPUTED_VALUE"""),3670)</f>
        <v>3670</v>
      </c>
      <c r="E777" s="2">
        <f ca="1">IFERROR(__xludf.DUMMYFUNCTION("""COMPUTED_VALUE"""),3690)</f>
        <v>3690</v>
      </c>
      <c r="F777" s="2">
        <f ca="1">IFERROR(__xludf.DUMMYFUNCTION("""COMPUTED_VALUE"""),90107600)</f>
        <v>90107600</v>
      </c>
    </row>
    <row r="778" spans="1:6">
      <c r="A778" s="5">
        <f ca="1">IFERROR(__xludf.DUMMYFUNCTION("""COMPUTED_VALUE"""),43179.625)</f>
        <v>43179.625</v>
      </c>
      <c r="B778" s="2">
        <f ca="1">IFERROR(__xludf.DUMMYFUNCTION("""COMPUTED_VALUE"""),3720)</f>
        <v>3720</v>
      </c>
      <c r="C778" s="2">
        <f ca="1">IFERROR(__xludf.DUMMYFUNCTION("""COMPUTED_VALUE"""),3740)</f>
        <v>3740</v>
      </c>
      <c r="D778" s="2">
        <f ca="1">IFERROR(__xludf.DUMMYFUNCTION("""COMPUTED_VALUE"""),3660)</f>
        <v>3660</v>
      </c>
      <c r="E778" s="2">
        <f ca="1">IFERROR(__xludf.DUMMYFUNCTION("""COMPUTED_VALUE"""),3740)</f>
        <v>3740</v>
      </c>
      <c r="F778" s="2">
        <f ca="1">IFERROR(__xludf.DUMMYFUNCTION("""COMPUTED_VALUE"""),105284400)</f>
        <v>105284400</v>
      </c>
    </row>
    <row r="779" spans="1:6">
      <c r="A779" s="5">
        <f ca="1">IFERROR(__xludf.DUMMYFUNCTION("""COMPUTED_VALUE"""),43180.625)</f>
        <v>43180.625</v>
      </c>
      <c r="B779" s="2">
        <f ca="1">IFERROR(__xludf.DUMMYFUNCTION("""COMPUTED_VALUE"""),3750)</f>
        <v>3750</v>
      </c>
      <c r="C779" s="2">
        <f ca="1">IFERROR(__xludf.DUMMYFUNCTION("""COMPUTED_VALUE"""),3820)</f>
        <v>3820</v>
      </c>
      <c r="D779" s="2">
        <f ca="1">IFERROR(__xludf.DUMMYFUNCTION("""COMPUTED_VALUE"""),3740)</f>
        <v>3740</v>
      </c>
      <c r="E779" s="2">
        <f ca="1">IFERROR(__xludf.DUMMYFUNCTION("""COMPUTED_VALUE"""),3810)</f>
        <v>3810</v>
      </c>
      <c r="F779" s="2">
        <f ca="1">IFERROR(__xludf.DUMMYFUNCTION("""COMPUTED_VALUE"""),134110400)</f>
        <v>134110400</v>
      </c>
    </row>
    <row r="780" spans="1:6">
      <c r="A780" s="5">
        <f ca="1">IFERROR(__xludf.DUMMYFUNCTION("""COMPUTED_VALUE"""),43181.625)</f>
        <v>43181.625</v>
      </c>
      <c r="B780" s="2">
        <f ca="1">IFERROR(__xludf.DUMMYFUNCTION("""COMPUTED_VALUE"""),3800)</f>
        <v>3800</v>
      </c>
      <c r="C780" s="2">
        <f ca="1">IFERROR(__xludf.DUMMYFUNCTION("""COMPUTED_VALUE"""),3800)</f>
        <v>3800</v>
      </c>
      <c r="D780" s="2">
        <f ca="1">IFERROR(__xludf.DUMMYFUNCTION("""COMPUTED_VALUE"""),3660)</f>
        <v>3660</v>
      </c>
      <c r="E780" s="2">
        <f ca="1">IFERROR(__xludf.DUMMYFUNCTION("""COMPUTED_VALUE"""),3670)</f>
        <v>3670</v>
      </c>
      <c r="F780" s="2">
        <f ca="1">IFERROR(__xludf.DUMMYFUNCTION("""COMPUTED_VALUE"""),144557000)</f>
        <v>144557000</v>
      </c>
    </row>
    <row r="781" spans="1:6">
      <c r="A781" s="5">
        <f ca="1">IFERROR(__xludf.DUMMYFUNCTION("""COMPUTED_VALUE"""),43182.625)</f>
        <v>43182.625</v>
      </c>
      <c r="B781" s="2">
        <f ca="1">IFERROR(__xludf.DUMMYFUNCTION("""COMPUTED_VALUE"""),3560)</f>
        <v>3560</v>
      </c>
      <c r="C781" s="2">
        <f ca="1">IFERROR(__xludf.DUMMYFUNCTION("""COMPUTED_VALUE"""),3600)</f>
        <v>3600</v>
      </c>
      <c r="D781" s="2">
        <f ca="1">IFERROR(__xludf.DUMMYFUNCTION("""COMPUTED_VALUE"""),3450)</f>
        <v>3450</v>
      </c>
      <c r="E781" s="2">
        <f ca="1">IFERROR(__xludf.DUMMYFUNCTION("""COMPUTED_VALUE"""),3600)</f>
        <v>3600</v>
      </c>
      <c r="F781" s="2">
        <f ca="1">IFERROR(__xludf.DUMMYFUNCTION("""COMPUTED_VALUE"""),196695900)</f>
        <v>196695900</v>
      </c>
    </row>
    <row r="782" spans="1:6">
      <c r="A782" s="5">
        <f ca="1">IFERROR(__xludf.DUMMYFUNCTION("""COMPUTED_VALUE"""),43185.625)</f>
        <v>43185.625</v>
      </c>
      <c r="B782" s="2">
        <f ca="1">IFERROR(__xludf.DUMMYFUNCTION("""COMPUTED_VALUE"""),3580)</f>
        <v>3580</v>
      </c>
      <c r="C782" s="2">
        <f ca="1">IFERROR(__xludf.DUMMYFUNCTION("""COMPUTED_VALUE"""),3610)</f>
        <v>3610</v>
      </c>
      <c r="D782" s="2">
        <f ca="1">IFERROR(__xludf.DUMMYFUNCTION("""COMPUTED_VALUE"""),3540)</f>
        <v>3540</v>
      </c>
      <c r="E782" s="2">
        <f ca="1">IFERROR(__xludf.DUMMYFUNCTION("""COMPUTED_VALUE"""),3600)</f>
        <v>3600</v>
      </c>
      <c r="F782" s="2">
        <f ca="1">IFERROR(__xludf.DUMMYFUNCTION("""COMPUTED_VALUE"""),89913100)</f>
        <v>89913100</v>
      </c>
    </row>
    <row r="783" spans="1:6">
      <c r="A783" s="5">
        <f ca="1">IFERROR(__xludf.DUMMYFUNCTION("""COMPUTED_VALUE"""),43186.625)</f>
        <v>43186.625</v>
      </c>
      <c r="B783" s="2">
        <f ca="1">IFERROR(__xludf.DUMMYFUNCTION("""COMPUTED_VALUE"""),3660)</f>
        <v>3660</v>
      </c>
      <c r="C783" s="2">
        <f ca="1">IFERROR(__xludf.DUMMYFUNCTION("""COMPUTED_VALUE"""),3670)</f>
        <v>3670</v>
      </c>
      <c r="D783" s="2">
        <f ca="1">IFERROR(__xludf.DUMMYFUNCTION("""COMPUTED_VALUE"""),3570)</f>
        <v>3570</v>
      </c>
      <c r="E783" s="2">
        <f ca="1">IFERROR(__xludf.DUMMYFUNCTION("""COMPUTED_VALUE"""),3600)</f>
        <v>3600</v>
      </c>
      <c r="F783" s="2">
        <f ca="1">IFERROR(__xludf.DUMMYFUNCTION("""COMPUTED_VALUE"""),102444600)</f>
        <v>102444600</v>
      </c>
    </row>
    <row r="784" spans="1:6">
      <c r="A784" s="5">
        <f ca="1">IFERROR(__xludf.DUMMYFUNCTION("""COMPUTED_VALUE"""),43187.625)</f>
        <v>43187.625</v>
      </c>
      <c r="B784" s="2">
        <f ca="1">IFERROR(__xludf.DUMMYFUNCTION("""COMPUTED_VALUE"""),3640)</f>
        <v>3640</v>
      </c>
      <c r="C784" s="2">
        <f ca="1">IFERROR(__xludf.DUMMYFUNCTION("""COMPUTED_VALUE"""),3650)</f>
        <v>3650</v>
      </c>
      <c r="D784" s="2">
        <f ca="1">IFERROR(__xludf.DUMMYFUNCTION("""COMPUTED_VALUE"""),3500)</f>
        <v>3500</v>
      </c>
      <c r="E784" s="2">
        <f ca="1">IFERROR(__xludf.DUMMYFUNCTION("""COMPUTED_VALUE"""),3550)</f>
        <v>3550</v>
      </c>
      <c r="F784" s="2">
        <f ca="1">IFERROR(__xludf.DUMMYFUNCTION("""COMPUTED_VALUE"""),98368300)</f>
        <v>98368300</v>
      </c>
    </row>
    <row r="785" spans="1:6">
      <c r="A785" s="5">
        <f ca="1">IFERROR(__xludf.DUMMYFUNCTION("""COMPUTED_VALUE"""),43188.625)</f>
        <v>43188.625</v>
      </c>
      <c r="B785" s="2">
        <f ca="1">IFERROR(__xludf.DUMMYFUNCTION("""COMPUTED_VALUE"""),3590)</f>
        <v>3590</v>
      </c>
      <c r="C785" s="2">
        <f ca="1">IFERROR(__xludf.DUMMYFUNCTION("""COMPUTED_VALUE"""),3600)</f>
        <v>3600</v>
      </c>
      <c r="D785" s="2">
        <f ca="1">IFERROR(__xludf.DUMMYFUNCTION("""COMPUTED_VALUE"""),3520)</f>
        <v>3520</v>
      </c>
      <c r="E785" s="2">
        <f ca="1">IFERROR(__xludf.DUMMYFUNCTION("""COMPUTED_VALUE"""),3600)</f>
        <v>3600</v>
      </c>
      <c r="F785" s="2">
        <f ca="1">IFERROR(__xludf.DUMMYFUNCTION("""COMPUTED_VALUE"""),130860500)</f>
        <v>130860500</v>
      </c>
    </row>
    <row r="786" spans="1:6">
      <c r="A786" s="5">
        <f ca="1">IFERROR(__xludf.DUMMYFUNCTION("""COMPUTED_VALUE"""),43192.625)</f>
        <v>43192.625</v>
      </c>
      <c r="B786" s="2">
        <f ca="1">IFERROR(__xludf.DUMMYFUNCTION("""COMPUTED_VALUE"""),3500)</f>
        <v>3500</v>
      </c>
      <c r="C786" s="2">
        <f ca="1">IFERROR(__xludf.DUMMYFUNCTION("""COMPUTED_VALUE"""),3600)</f>
        <v>3600</v>
      </c>
      <c r="D786" s="2">
        <f ca="1">IFERROR(__xludf.DUMMYFUNCTION("""COMPUTED_VALUE"""),3490)</f>
        <v>3490</v>
      </c>
      <c r="E786" s="2">
        <f ca="1">IFERROR(__xludf.DUMMYFUNCTION("""COMPUTED_VALUE"""),3600)</f>
        <v>3600</v>
      </c>
      <c r="F786" s="2">
        <f ca="1">IFERROR(__xludf.DUMMYFUNCTION("""COMPUTED_VALUE"""),69286700)</f>
        <v>69286700</v>
      </c>
    </row>
    <row r="787" spans="1:6">
      <c r="A787" s="5">
        <f ca="1">IFERROR(__xludf.DUMMYFUNCTION("""COMPUTED_VALUE"""),43193.625)</f>
        <v>43193.625</v>
      </c>
      <c r="B787" s="2">
        <f ca="1">IFERROR(__xludf.DUMMYFUNCTION("""COMPUTED_VALUE"""),3530)</f>
        <v>3530</v>
      </c>
      <c r="C787" s="2">
        <f ca="1">IFERROR(__xludf.DUMMYFUNCTION("""COMPUTED_VALUE"""),3600)</f>
        <v>3600</v>
      </c>
      <c r="D787" s="2">
        <f ca="1">IFERROR(__xludf.DUMMYFUNCTION("""COMPUTED_VALUE"""),3530)</f>
        <v>3530</v>
      </c>
      <c r="E787" s="2">
        <f ca="1">IFERROR(__xludf.DUMMYFUNCTION("""COMPUTED_VALUE"""),3600)</f>
        <v>3600</v>
      </c>
      <c r="F787" s="2">
        <f ca="1">IFERROR(__xludf.DUMMYFUNCTION("""COMPUTED_VALUE"""),45524700)</f>
        <v>45524700</v>
      </c>
    </row>
    <row r="788" spans="1:6">
      <c r="A788" s="5">
        <f ca="1">IFERROR(__xludf.DUMMYFUNCTION("""COMPUTED_VALUE"""),43194.625)</f>
        <v>43194.625</v>
      </c>
      <c r="B788" s="2">
        <f ca="1">IFERROR(__xludf.DUMMYFUNCTION("""COMPUTED_VALUE"""),3600)</f>
        <v>3600</v>
      </c>
      <c r="C788" s="2">
        <f ca="1">IFERROR(__xludf.DUMMYFUNCTION("""COMPUTED_VALUE"""),3600)</f>
        <v>3600</v>
      </c>
      <c r="D788" s="2">
        <f ca="1">IFERROR(__xludf.DUMMYFUNCTION("""COMPUTED_VALUE"""),3460)</f>
        <v>3460</v>
      </c>
      <c r="E788" s="2">
        <f ca="1">IFERROR(__xludf.DUMMYFUNCTION("""COMPUTED_VALUE"""),3490)</f>
        <v>3490</v>
      </c>
      <c r="F788" s="2">
        <f ca="1">IFERROR(__xludf.DUMMYFUNCTION("""COMPUTED_VALUE"""),88879000)</f>
        <v>88879000</v>
      </c>
    </row>
    <row r="789" spans="1:6">
      <c r="A789" s="5">
        <f ca="1">IFERROR(__xludf.DUMMYFUNCTION("""COMPUTED_VALUE"""),43195.625)</f>
        <v>43195.625</v>
      </c>
      <c r="B789" s="2">
        <f ca="1">IFERROR(__xludf.DUMMYFUNCTION("""COMPUTED_VALUE"""),3510)</f>
        <v>3510</v>
      </c>
      <c r="C789" s="2">
        <f ca="1">IFERROR(__xludf.DUMMYFUNCTION("""COMPUTED_VALUE"""),3540)</f>
        <v>3540</v>
      </c>
      <c r="D789" s="2">
        <f ca="1">IFERROR(__xludf.DUMMYFUNCTION("""COMPUTED_VALUE"""),3470)</f>
        <v>3470</v>
      </c>
      <c r="E789" s="2">
        <f ca="1">IFERROR(__xludf.DUMMYFUNCTION("""COMPUTED_VALUE"""),3470)</f>
        <v>3470</v>
      </c>
      <c r="F789" s="2">
        <f ca="1">IFERROR(__xludf.DUMMYFUNCTION("""COMPUTED_VALUE"""),80015200)</f>
        <v>80015200</v>
      </c>
    </row>
    <row r="790" spans="1:6">
      <c r="A790" s="5">
        <f ca="1">IFERROR(__xludf.DUMMYFUNCTION("""COMPUTED_VALUE"""),43196.625)</f>
        <v>43196.625</v>
      </c>
      <c r="B790" s="2">
        <f ca="1">IFERROR(__xludf.DUMMYFUNCTION("""COMPUTED_VALUE"""),3470)</f>
        <v>3470</v>
      </c>
      <c r="C790" s="2">
        <f ca="1">IFERROR(__xludf.DUMMYFUNCTION("""COMPUTED_VALUE"""),3490)</f>
        <v>3490</v>
      </c>
      <c r="D790" s="2">
        <f ca="1">IFERROR(__xludf.DUMMYFUNCTION("""COMPUTED_VALUE"""),3450)</f>
        <v>3450</v>
      </c>
      <c r="E790" s="2">
        <f ca="1">IFERROR(__xludf.DUMMYFUNCTION("""COMPUTED_VALUE"""),3480)</f>
        <v>3480</v>
      </c>
      <c r="F790" s="2">
        <f ca="1">IFERROR(__xludf.DUMMYFUNCTION("""COMPUTED_VALUE"""),67557000)</f>
        <v>67557000</v>
      </c>
    </row>
    <row r="791" spans="1:6">
      <c r="A791" s="5">
        <f ca="1">IFERROR(__xludf.DUMMYFUNCTION("""COMPUTED_VALUE"""),43199.625)</f>
        <v>43199.625</v>
      </c>
      <c r="B791" s="2">
        <f ca="1">IFERROR(__xludf.DUMMYFUNCTION("""COMPUTED_VALUE"""),3530)</f>
        <v>3530</v>
      </c>
      <c r="C791" s="2">
        <f ca="1">IFERROR(__xludf.DUMMYFUNCTION("""COMPUTED_VALUE"""),3530)</f>
        <v>3530</v>
      </c>
      <c r="D791" s="2">
        <f ca="1">IFERROR(__xludf.DUMMYFUNCTION("""COMPUTED_VALUE"""),3480)</f>
        <v>3480</v>
      </c>
      <c r="E791" s="2">
        <f ca="1">IFERROR(__xludf.DUMMYFUNCTION("""COMPUTED_VALUE"""),3530)</f>
        <v>3530</v>
      </c>
      <c r="F791" s="2">
        <f ca="1">IFERROR(__xludf.DUMMYFUNCTION("""COMPUTED_VALUE"""),48595300)</f>
        <v>48595300</v>
      </c>
    </row>
    <row r="792" spans="1:6">
      <c r="A792" s="5">
        <f ca="1">IFERROR(__xludf.DUMMYFUNCTION("""COMPUTED_VALUE"""),43200.625)</f>
        <v>43200.625</v>
      </c>
      <c r="B792" s="2">
        <f ca="1">IFERROR(__xludf.DUMMYFUNCTION("""COMPUTED_VALUE"""),3540)</f>
        <v>3540</v>
      </c>
      <c r="C792" s="2">
        <f ca="1">IFERROR(__xludf.DUMMYFUNCTION("""COMPUTED_VALUE"""),3630)</f>
        <v>3630</v>
      </c>
      <c r="D792" s="2">
        <f ca="1">IFERROR(__xludf.DUMMYFUNCTION("""COMPUTED_VALUE"""),3530)</f>
        <v>3530</v>
      </c>
      <c r="E792" s="2">
        <f ca="1">IFERROR(__xludf.DUMMYFUNCTION("""COMPUTED_VALUE"""),3580)</f>
        <v>3580</v>
      </c>
      <c r="F792" s="2">
        <f ca="1">IFERROR(__xludf.DUMMYFUNCTION("""COMPUTED_VALUE"""),85668600)</f>
        <v>85668600</v>
      </c>
    </row>
    <row r="793" spans="1:6">
      <c r="A793" s="5">
        <f ca="1">IFERROR(__xludf.DUMMYFUNCTION("""COMPUTED_VALUE"""),43201.625)</f>
        <v>43201.625</v>
      </c>
      <c r="B793" s="2">
        <f ca="1">IFERROR(__xludf.DUMMYFUNCTION("""COMPUTED_VALUE"""),3650)</f>
        <v>3650</v>
      </c>
      <c r="C793" s="2">
        <f ca="1">IFERROR(__xludf.DUMMYFUNCTION("""COMPUTED_VALUE"""),3670)</f>
        <v>3670</v>
      </c>
      <c r="D793" s="2">
        <f ca="1">IFERROR(__xludf.DUMMYFUNCTION("""COMPUTED_VALUE"""),3630)</f>
        <v>3630</v>
      </c>
      <c r="E793" s="2">
        <f ca="1">IFERROR(__xludf.DUMMYFUNCTION("""COMPUTED_VALUE"""),3650)</f>
        <v>3650</v>
      </c>
      <c r="F793" s="2">
        <f ca="1">IFERROR(__xludf.DUMMYFUNCTION("""COMPUTED_VALUE"""),87702400)</f>
        <v>87702400</v>
      </c>
    </row>
    <row r="794" spans="1:6">
      <c r="A794" s="5">
        <f ca="1">IFERROR(__xludf.DUMMYFUNCTION("""COMPUTED_VALUE"""),43202.625)</f>
        <v>43202.625</v>
      </c>
      <c r="B794" s="2">
        <f ca="1">IFERROR(__xludf.DUMMYFUNCTION("""COMPUTED_VALUE"""),3670)</f>
        <v>3670</v>
      </c>
      <c r="C794" s="2">
        <f ca="1">IFERROR(__xludf.DUMMYFUNCTION("""COMPUTED_VALUE"""),3670)</f>
        <v>3670</v>
      </c>
      <c r="D794" s="2">
        <f ca="1">IFERROR(__xludf.DUMMYFUNCTION("""COMPUTED_VALUE"""),3570)</f>
        <v>3570</v>
      </c>
      <c r="E794" s="2">
        <f ca="1">IFERROR(__xludf.DUMMYFUNCTION("""COMPUTED_VALUE"""),3590)</f>
        <v>3590</v>
      </c>
      <c r="F794" s="2">
        <f ca="1">IFERROR(__xludf.DUMMYFUNCTION("""COMPUTED_VALUE"""),61989600)</f>
        <v>61989600</v>
      </c>
    </row>
    <row r="795" spans="1:6">
      <c r="A795" s="5">
        <f ca="1">IFERROR(__xludf.DUMMYFUNCTION("""COMPUTED_VALUE"""),43203.625)</f>
        <v>43203.625</v>
      </c>
      <c r="B795" s="2">
        <f ca="1">IFERROR(__xludf.DUMMYFUNCTION("""COMPUTED_VALUE"""),3640)</f>
        <v>3640</v>
      </c>
      <c r="C795" s="2">
        <f ca="1">IFERROR(__xludf.DUMMYFUNCTION("""COMPUTED_VALUE"""),3650)</f>
        <v>3650</v>
      </c>
      <c r="D795" s="2">
        <f ca="1">IFERROR(__xludf.DUMMYFUNCTION("""COMPUTED_VALUE"""),3550)</f>
        <v>3550</v>
      </c>
      <c r="E795" s="2">
        <f ca="1">IFERROR(__xludf.DUMMYFUNCTION("""COMPUTED_VALUE"""),3550)</f>
        <v>3550</v>
      </c>
      <c r="F795" s="2">
        <f ca="1">IFERROR(__xludf.DUMMYFUNCTION("""COMPUTED_VALUE"""),58708000)</f>
        <v>58708000</v>
      </c>
    </row>
    <row r="796" spans="1:6">
      <c r="A796" s="5">
        <f ca="1">IFERROR(__xludf.DUMMYFUNCTION("""COMPUTED_VALUE"""),43206.625)</f>
        <v>43206.625</v>
      </c>
      <c r="B796" s="2">
        <f ca="1">IFERROR(__xludf.DUMMYFUNCTION("""COMPUTED_VALUE"""),3580)</f>
        <v>3580</v>
      </c>
      <c r="C796" s="2">
        <f ca="1">IFERROR(__xludf.DUMMYFUNCTION("""COMPUTED_VALUE"""),3590)</f>
        <v>3590</v>
      </c>
      <c r="D796" s="2">
        <f ca="1">IFERROR(__xludf.DUMMYFUNCTION("""COMPUTED_VALUE"""),3540)</f>
        <v>3540</v>
      </c>
      <c r="E796" s="2">
        <f ca="1">IFERROR(__xludf.DUMMYFUNCTION("""COMPUTED_VALUE"""),3560)</f>
        <v>3560</v>
      </c>
      <c r="F796" s="2">
        <f ca="1">IFERROR(__xludf.DUMMYFUNCTION("""COMPUTED_VALUE"""),33337200)</f>
        <v>33337200</v>
      </c>
    </row>
    <row r="797" spans="1:6">
      <c r="A797" s="5">
        <f ca="1">IFERROR(__xludf.DUMMYFUNCTION("""COMPUTED_VALUE"""),43207.625)</f>
        <v>43207.625</v>
      </c>
      <c r="B797" s="2">
        <f ca="1">IFERROR(__xludf.DUMMYFUNCTION("""COMPUTED_VALUE"""),3540)</f>
        <v>3540</v>
      </c>
      <c r="C797" s="2">
        <f ca="1">IFERROR(__xludf.DUMMYFUNCTION("""COMPUTED_VALUE"""),3610)</f>
        <v>3610</v>
      </c>
      <c r="D797" s="2">
        <f ca="1">IFERROR(__xludf.DUMMYFUNCTION("""COMPUTED_VALUE"""),3540)</f>
        <v>3540</v>
      </c>
      <c r="E797" s="2">
        <f ca="1">IFERROR(__xludf.DUMMYFUNCTION("""COMPUTED_VALUE"""),3590)</f>
        <v>3590</v>
      </c>
      <c r="F797" s="2">
        <f ca="1">IFERROR(__xludf.DUMMYFUNCTION("""COMPUTED_VALUE"""),57838000)</f>
        <v>57838000</v>
      </c>
    </row>
    <row r="798" spans="1:6">
      <c r="A798" s="5">
        <f ca="1">IFERROR(__xludf.DUMMYFUNCTION("""COMPUTED_VALUE"""),43208.625)</f>
        <v>43208.625</v>
      </c>
      <c r="B798" s="2">
        <f ca="1">IFERROR(__xludf.DUMMYFUNCTION("""COMPUTED_VALUE"""),3640)</f>
        <v>3640</v>
      </c>
      <c r="C798" s="2">
        <f ca="1">IFERROR(__xludf.DUMMYFUNCTION("""COMPUTED_VALUE"""),3660)</f>
        <v>3660</v>
      </c>
      <c r="D798" s="2">
        <f ca="1">IFERROR(__xludf.DUMMYFUNCTION("""COMPUTED_VALUE"""),3620)</f>
        <v>3620</v>
      </c>
      <c r="E798" s="2">
        <f ca="1">IFERROR(__xludf.DUMMYFUNCTION("""COMPUTED_VALUE"""),3660)</f>
        <v>3660</v>
      </c>
      <c r="F798" s="2">
        <f ca="1">IFERROR(__xludf.DUMMYFUNCTION("""COMPUTED_VALUE"""),67903000)</f>
        <v>67903000</v>
      </c>
    </row>
    <row r="799" spans="1:6">
      <c r="A799" s="5">
        <f ca="1">IFERROR(__xludf.DUMMYFUNCTION("""COMPUTED_VALUE"""),43209.625)</f>
        <v>43209.625</v>
      </c>
      <c r="B799" s="2">
        <f ca="1">IFERROR(__xludf.DUMMYFUNCTION("""COMPUTED_VALUE"""),3660)</f>
        <v>3660</v>
      </c>
      <c r="C799" s="2">
        <f ca="1">IFERROR(__xludf.DUMMYFUNCTION("""COMPUTED_VALUE"""),3660)</f>
        <v>3660</v>
      </c>
      <c r="D799" s="2">
        <f ca="1">IFERROR(__xludf.DUMMYFUNCTION("""COMPUTED_VALUE"""),3610)</f>
        <v>3610</v>
      </c>
      <c r="E799" s="2">
        <f ca="1">IFERROR(__xludf.DUMMYFUNCTION("""COMPUTED_VALUE"""),3630)</f>
        <v>3630</v>
      </c>
      <c r="F799" s="2">
        <f ca="1">IFERROR(__xludf.DUMMYFUNCTION("""COMPUTED_VALUE"""),79775800)</f>
        <v>79775800</v>
      </c>
    </row>
    <row r="800" spans="1:6">
      <c r="A800" s="5">
        <f ca="1">IFERROR(__xludf.DUMMYFUNCTION("""COMPUTED_VALUE"""),43210.625)</f>
        <v>43210.625</v>
      </c>
      <c r="B800" s="2">
        <f ca="1">IFERROR(__xludf.DUMMYFUNCTION("""COMPUTED_VALUE"""),3650)</f>
        <v>3650</v>
      </c>
      <c r="C800" s="2">
        <f ca="1">IFERROR(__xludf.DUMMYFUNCTION("""COMPUTED_VALUE"""),3660)</f>
        <v>3660</v>
      </c>
      <c r="D800" s="2">
        <f ca="1">IFERROR(__xludf.DUMMYFUNCTION("""COMPUTED_VALUE"""),3590)</f>
        <v>3590</v>
      </c>
      <c r="E800" s="2">
        <f ca="1">IFERROR(__xludf.DUMMYFUNCTION("""COMPUTED_VALUE"""),3660)</f>
        <v>3660</v>
      </c>
      <c r="F800" s="2">
        <f ca="1">IFERROR(__xludf.DUMMYFUNCTION("""COMPUTED_VALUE"""),69834000)</f>
        <v>69834000</v>
      </c>
    </row>
    <row r="801" spans="1:6">
      <c r="A801" s="5">
        <f ca="1">IFERROR(__xludf.DUMMYFUNCTION("""COMPUTED_VALUE"""),43213.625)</f>
        <v>43213.625</v>
      </c>
      <c r="B801" s="2">
        <f ca="1">IFERROR(__xludf.DUMMYFUNCTION("""COMPUTED_VALUE"""),3630)</f>
        <v>3630</v>
      </c>
      <c r="C801" s="2">
        <f ca="1">IFERROR(__xludf.DUMMYFUNCTION("""COMPUTED_VALUE"""),3640)</f>
        <v>3640</v>
      </c>
      <c r="D801" s="2">
        <f ca="1">IFERROR(__xludf.DUMMYFUNCTION("""COMPUTED_VALUE"""),3580)</f>
        <v>3580</v>
      </c>
      <c r="E801" s="2">
        <f ca="1">IFERROR(__xludf.DUMMYFUNCTION("""COMPUTED_VALUE"""),3580)</f>
        <v>3580</v>
      </c>
      <c r="F801" s="2">
        <f ca="1">IFERROR(__xludf.DUMMYFUNCTION("""COMPUTED_VALUE"""),87721200)</f>
        <v>87721200</v>
      </c>
    </row>
    <row r="802" spans="1:6">
      <c r="A802" s="5">
        <f ca="1">IFERROR(__xludf.DUMMYFUNCTION("""COMPUTED_VALUE"""),43214.625)</f>
        <v>43214.625</v>
      </c>
      <c r="B802" s="2">
        <f ca="1">IFERROR(__xludf.DUMMYFUNCTION("""COMPUTED_VALUE"""),3570)</f>
        <v>3570</v>
      </c>
      <c r="C802" s="2">
        <f ca="1">IFERROR(__xludf.DUMMYFUNCTION("""COMPUTED_VALUE"""),3580)</f>
        <v>3580</v>
      </c>
      <c r="D802" s="2">
        <f ca="1">IFERROR(__xludf.DUMMYFUNCTION("""COMPUTED_VALUE"""),3480)</f>
        <v>3480</v>
      </c>
      <c r="E802" s="2">
        <f ca="1">IFERROR(__xludf.DUMMYFUNCTION("""COMPUTED_VALUE"""),3490)</f>
        <v>3490</v>
      </c>
      <c r="F802" s="2">
        <f ca="1">IFERROR(__xludf.DUMMYFUNCTION("""COMPUTED_VALUE"""),101460000)</f>
        <v>101460000</v>
      </c>
    </row>
    <row r="803" spans="1:6">
      <c r="A803" s="5">
        <f ca="1">IFERROR(__xludf.DUMMYFUNCTION("""COMPUTED_VALUE"""),43215.625)</f>
        <v>43215.625</v>
      </c>
      <c r="B803" s="2">
        <f ca="1">IFERROR(__xludf.DUMMYFUNCTION("""COMPUTED_VALUE"""),3450)</f>
        <v>3450</v>
      </c>
      <c r="C803" s="2">
        <f ca="1">IFERROR(__xludf.DUMMYFUNCTION("""COMPUTED_VALUE"""),3460)</f>
        <v>3460</v>
      </c>
      <c r="D803" s="2">
        <f ca="1">IFERROR(__xludf.DUMMYFUNCTION("""COMPUTED_VALUE"""),3290)</f>
        <v>3290</v>
      </c>
      <c r="E803" s="2">
        <f ca="1">IFERROR(__xludf.DUMMYFUNCTION("""COMPUTED_VALUE"""),3310)</f>
        <v>3310</v>
      </c>
      <c r="F803" s="2">
        <f ca="1">IFERROR(__xludf.DUMMYFUNCTION("""COMPUTED_VALUE"""),191386400)</f>
        <v>191386400</v>
      </c>
    </row>
    <row r="804" spans="1:6">
      <c r="A804" s="5">
        <f ca="1">IFERROR(__xludf.DUMMYFUNCTION("""COMPUTED_VALUE"""),43216.625)</f>
        <v>43216.625</v>
      </c>
      <c r="B804" s="2">
        <f ca="1">IFERROR(__xludf.DUMMYFUNCTION("""COMPUTED_VALUE"""),3290)</f>
        <v>3290</v>
      </c>
      <c r="C804" s="2">
        <f ca="1">IFERROR(__xludf.DUMMYFUNCTION("""COMPUTED_VALUE"""),3310)</f>
        <v>3310</v>
      </c>
      <c r="D804" s="2">
        <f ca="1">IFERROR(__xludf.DUMMYFUNCTION("""COMPUTED_VALUE"""),3120)</f>
        <v>3120</v>
      </c>
      <c r="E804" s="2">
        <f ca="1">IFERROR(__xludf.DUMMYFUNCTION("""COMPUTED_VALUE"""),3140)</f>
        <v>3140</v>
      </c>
      <c r="F804" s="2">
        <f ca="1">IFERROR(__xludf.DUMMYFUNCTION("""COMPUTED_VALUE"""),312116000)</f>
        <v>312116000</v>
      </c>
    </row>
    <row r="805" spans="1:6">
      <c r="A805" s="5">
        <f ca="1">IFERROR(__xludf.DUMMYFUNCTION("""COMPUTED_VALUE"""),43217.625)</f>
        <v>43217.625</v>
      </c>
      <c r="B805" s="2">
        <f ca="1">IFERROR(__xludf.DUMMYFUNCTION("""COMPUTED_VALUE"""),3200)</f>
        <v>3200</v>
      </c>
      <c r="C805" s="2">
        <f ca="1">IFERROR(__xludf.DUMMYFUNCTION("""COMPUTED_VALUE"""),3250)</f>
        <v>3250</v>
      </c>
      <c r="D805" s="2">
        <f ca="1">IFERROR(__xludf.DUMMYFUNCTION("""COMPUTED_VALUE"""),3130)</f>
        <v>3130</v>
      </c>
      <c r="E805" s="2">
        <f ca="1">IFERROR(__xludf.DUMMYFUNCTION("""COMPUTED_VALUE"""),3150)</f>
        <v>3150</v>
      </c>
      <c r="F805" s="2">
        <f ca="1">IFERROR(__xludf.DUMMYFUNCTION("""COMPUTED_VALUE"""),212898600)</f>
        <v>212898600</v>
      </c>
    </row>
    <row r="806" spans="1:6">
      <c r="A806" s="5">
        <f ca="1">IFERROR(__xludf.DUMMYFUNCTION("""COMPUTED_VALUE"""),43220.625)</f>
        <v>43220.625</v>
      </c>
      <c r="B806" s="2">
        <f ca="1">IFERROR(__xludf.DUMMYFUNCTION("""COMPUTED_VALUE"""),3190)</f>
        <v>3190</v>
      </c>
      <c r="C806" s="2">
        <f ca="1">IFERROR(__xludf.DUMMYFUNCTION("""COMPUTED_VALUE"""),3280)</f>
        <v>3280</v>
      </c>
      <c r="D806" s="2">
        <f ca="1">IFERROR(__xludf.DUMMYFUNCTION("""COMPUTED_VALUE"""),3160)</f>
        <v>3160</v>
      </c>
      <c r="E806" s="2">
        <f ca="1">IFERROR(__xludf.DUMMYFUNCTION("""COMPUTED_VALUE"""),3220)</f>
        <v>3220</v>
      </c>
      <c r="F806" s="2">
        <f ca="1">IFERROR(__xludf.DUMMYFUNCTION("""COMPUTED_VALUE"""),130203400)</f>
        <v>130203400</v>
      </c>
    </row>
    <row r="807" spans="1:6">
      <c r="A807" s="5">
        <f ca="1">IFERROR(__xludf.DUMMYFUNCTION("""COMPUTED_VALUE"""),43222.625)</f>
        <v>43222.625</v>
      </c>
      <c r="B807" s="2">
        <f ca="1">IFERROR(__xludf.DUMMYFUNCTION("""COMPUTED_VALUE"""),3230)</f>
        <v>3230</v>
      </c>
      <c r="C807" s="2">
        <f ca="1">IFERROR(__xludf.DUMMYFUNCTION("""COMPUTED_VALUE"""),3240)</f>
        <v>3240</v>
      </c>
      <c r="D807" s="2">
        <f ca="1">IFERROR(__xludf.DUMMYFUNCTION("""COMPUTED_VALUE"""),3190)</f>
        <v>3190</v>
      </c>
      <c r="E807" s="2">
        <f ca="1">IFERROR(__xludf.DUMMYFUNCTION("""COMPUTED_VALUE"""),3230)</f>
        <v>3230</v>
      </c>
      <c r="F807" s="2">
        <f ca="1">IFERROR(__xludf.DUMMYFUNCTION("""COMPUTED_VALUE"""),118974600)</f>
        <v>118974600</v>
      </c>
    </row>
    <row r="808" spans="1:6">
      <c r="A808" s="5">
        <f ca="1">IFERROR(__xludf.DUMMYFUNCTION("""COMPUTED_VALUE"""),43223.625)</f>
        <v>43223.625</v>
      </c>
      <c r="B808" s="2">
        <f ca="1">IFERROR(__xludf.DUMMYFUNCTION("""COMPUTED_VALUE"""),3200)</f>
        <v>3200</v>
      </c>
      <c r="C808" s="2">
        <f ca="1">IFERROR(__xludf.DUMMYFUNCTION("""COMPUTED_VALUE"""),3200)</f>
        <v>3200</v>
      </c>
      <c r="D808" s="2">
        <f ca="1">IFERROR(__xludf.DUMMYFUNCTION("""COMPUTED_VALUE"""),3140)</f>
        <v>3140</v>
      </c>
      <c r="E808" s="2">
        <f ca="1">IFERROR(__xludf.DUMMYFUNCTION("""COMPUTED_VALUE"""),3150)</f>
        <v>3150</v>
      </c>
      <c r="F808" s="2">
        <f ca="1">IFERROR(__xludf.DUMMYFUNCTION("""COMPUTED_VALUE"""),144844300)</f>
        <v>144844300</v>
      </c>
    </row>
    <row r="809" spans="1:6">
      <c r="A809" s="5">
        <f ca="1">IFERROR(__xludf.DUMMYFUNCTION("""COMPUTED_VALUE"""),43224.625)</f>
        <v>43224.625</v>
      </c>
      <c r="B809" s="2">
        <f ca="1">IFERROR(__xludf.DUMMYFUNCTION("""COMPUTED_VALUE"""),3150)</f>
        <v>3150</v>
      </c>
      <c r="C809" s="2">
        <f ca="1">IFERROR(__xludf.DUMMYFUNCTION("""COMPUTED_VALUE"""),3170)</f>
        <v>3170</v>
      </c>
      <c r="D809" s="2">
        <f ca="1">IFERROR(__xludf.DUMMYFUNCTION("""COMPUTED_VALUE"""),3010)</f>
        <v>3010</v>
      </c>
      <c r="E809" s="2">
        <f ca="1">IFERROR(__xludf.DUMMYFUNCTION("""COMPUTED_VALUE"""),3030)</f>
        <v>3030</v>
      </c>
      <c r="F809" s="2">
        <f ca="1">IFERROR(__xludf.DUMMYFUNCTION("""COMPUTED_VALUE"""),182507000)</f>
        <v>182507000</v>
      </c>
    </row>
    <row r="810" spans="1:6">
      <c r="A810" s="5">
        <f ca="1">IFERROR(__xludf.DUMMYFUNCTION("""COMPUTED_VALUE"""),43227.625)</f>
        <v>43227.625</v>
      </c>
      <c r="B810" s="2">
        <f ca="1">IFERROR(__xludf.DUMMYFUNCTION("""COMPUTED_VALUE"""),3080)</f>
        <v>3080</v>
      </c>
      <c r="C810" s="2">
        <f ca="1">IFERROR(__xludf.DUMMYFUNCTION("""COMPUTED_VALUE"""),3100)</f>
        <v>3100</v>
      </c>
      <c r="D810" s="2">
        <f ca="1">IFERROR(__xludf.DUMMYFUNCTION("""COMPUTED_VALUE"""),2990)</f>
        <v>2990</v>
      </c>
      <c r="E810" s="2">
        <f ca="1">IFERROR(__xludf.DUMMYFUNCTION("""COMPUTED_VALUE"""),3050)</f>
        <v>3050</v>
      </c>
      <c r="F810" s="2">
        <f ca="1">IFERROR(__xludf.DUMMYFUNCTION("""COMPUTED_VALUE"""),184094400)</f>
        <v>184094400</v>
      </c>
    </row>
    <row r="811" spans="1:6">
      <c r="A811" s="5">
        <f ca="1">IFERROR(__xludf.DUMMYFUNCTION("""COMPUTED_VALUE"""),43228.625)</f>
        <v>43228.625</v>
      </c>
      <c r="B811" s="2">
        <f ca="1">IFERROR(__xludf.DUMMYFUNCTION("""COMPUTED_VALUE"""),3090)</f>
        <v>3090</v>
      </c>
      <c r="C811" s="2">
        <f ca="1">IFERROR(__xludf.DUMMYFUNCTION("""COMPUTED_VALUE"""),3090)</f>
        <v>3090</v>
      </c>
      <c r="D811" s="2">
        <f ca="1">IFERROR(__xludf.DUMMYFUNCTION("""COMPUTED_VALUE"""),3020)</f>
        <v>3020</v>
      </c>
      <c r="E811" s="2">
        <f ca="1">IFERROR(__xludf.DUMMYFUNCTION("""COMPUTED_VALUE"""),3070)</f>
        <v>3070</v>
      </c>
      <c r="F811" s="2">
        <f ca="1">IFERROR(__xludf.DUMMYFUNCTION("""COMPUTED_VALUE"""),110461000)</f>
        <v>110461000</v>
      </c>
    </row>
    <row r="812" spans="1:6">
      <c r="A812" s="5">
        <f ca="1">IFERROR(__xludf.DUMMYFUNCTION("""COMPUTED_VALUE"""),43229.625)</f>
        <v>43229.625</v>
      </c>
      <c r="B812" s="2">
        <f ca="1">IFERROR(__xludf.DUMMYFUNCTION("""COMPUTED_VALUE"""),3120)</f>
        <v>3120</v>
      </c>
      <c r="C812" s="2">
        <f ca="1">IFERROR(__xludf.DUMMYFUNCTION("""COMPUTED_VALUE"""),3230)</f>
        <v>3230</v>
      </c>
      <c r="D812" s="2">
        <f ca="1">IFERROR(__xludf.DUMMYFUNCTION("""COMPUTED_VALUE"""),3070)</f>
        <v>3070</v>
      </c>
      <c r="E812" s="2">
        <f ca="1">IFERROR(__xludf.DUMMYFUNCTION("""COMPUTED_VALUE"""),3210)</f>
        <v>3210</v>
      </c>
      <c r="F812" s="2">
        <f ca="1">IFERROR(__xludf.DUMMYFUNCTION("""COMPUTED_VALUE"""),185427300)</f>
        <v>185427300</v>
      </c>
    </row>
    <row r="813" spans="1:6">
      <c r="A813" s="5">
        <f ca="1">IFERROR(__xludf.DUMMYFUNCTION("""COMPUTED_VALUE"""),43231.625)</f>
        <v>43231.625</v>
      </c>
      <c r="B813" s="2">
        <f ca="1">IFERROR(__xludf.DUMMYFUNCTION("""COMPUTED_VALUE"""),3260)</f>
        <v>3260</v>
      </c>
      <c r="C813" s="2">
        <f ca="1">IFERROR(__xludf.DUMMYFUNCTION("""COMPUTED_VALUE"""),3300)</f>
        <v>3300</v>
      </c>
      <c r="D813" s="2">
        <f ca="1">IFERROR(__xludf.DUMMYFUNCTION("""COMPUTED_VALUE"""),3160)</f>
        <v>3160</v>
      </c>
      <c r="E813" s="2">
        <f ca="1">IFERROR(__xludf.DUMMYFUNCTION("""COMPUTED_VALUE"""),3160)</f>
        <v>3160</v>
      </c>
      <c r="F813" s="2">
        <f ca="1">IFERROR(__xludf.DUMMYFUNCTION("""COMPUTED_VALUE"""),161449300)</f>
        <v>161449300</v>
      </c>
    </row>
    <row r="814" spans="1:6">
      <c r="A814" s="5">
        <f ca="1">IFERROR(__xludf.DUMMYFUNCTION("""COMPUTED_VALUE"""),43234.625)</f>
        <v>43234.625</v>
      </c>
      <c r="B814" s="2">
        <f ca="1">IFERROR(__xludf.DUMMYFUNCTION("""COMPUTED_VALUE"""),3150)</f>
        <v>3150</v>
      </c>
      <c r="C814" s="2">
        <f ca="1">IFERROR(__xludf.DUMMYFUNCTION("""COMPUTED_VALUE"""),3190)</f>
        <v>3190</v>
      </c>
      <c r="D814" s="2">
        <f ca="1">IFERROR(__xludf.DUMMYFUNCTION("""COMPUTED_VALUE"""),3100)</f>
        <v>3100</v>
      </c>
      <c r="E814" s="2">
        <f ca="1">IFERROR(__xludf.DUMMYFUNCTION("""COMPUTED_VALUE"""),3190)</f>
        <v>3190</v>
      </c>
      <c r="F814" s="2">
        <f ca="1">IFERROR(__xludf.DUMMYFUNCTION("""COMPUTED_VALUE"""),96224700)</f>
        <v>96224700</v>
      </c>
    </row>
    <row r="815" spans="1:6">
      <c r="A815" s="5">
        <f ca="1">IFERROR(__xludf.DUMMYFUNCTION("""COMPUTED_VALUE"""),43235.625)</f>
        <v>43235.625</v>
      </c>
      <c r="B815" s="2">
        <f ca="1">IFERROR(__xludf.DUMMYFUNCTION("""COMPUTED_VALUE"""),3220)</f>
        <v>3220</v>
      </c>
      <c r="C815" s="2">
        <f ca="1">IFERROR(__xludf.DUMMYFUNCTION("""COMPUTED_VALUE"""),3220)</f>
        <v>3220</v>
      </c>
      <c r="D815" s="2">
        <f ca="1">IFERROR(__xludf.DUMMYFUNCTION("""COMPUTED_VALUE"""),3060)</f>
        <v>3060</v>
      </c>
      <c r="E815" s="2">
        <f ca="1">IFERROR(__xludf.DUMMYFUNCTION("""COMPUTED_VALUE"""),3070)</f>
        <v>3070</v>
      </c>
      <c r="F815" s="2">
        <f ca="1">IFERROR(__xludf.DUMMYFUNCTION("""COMPUTED_VALUE"""),108029400)</f>
        <v>108029400</v>
      </c>
    </row>
    <row r="816" spans="1:6">
      <c r="A816" s="5">
        <f ca="1">IFERROR(__xludf.DUMMYFUNCTION("""COMPUTED_VALUE"""),43236.625)</f>
        <v>43236.625</v>
      </c>
      <c r="B816" s="2">
        <f ca="1">IFERROR(__xludf.DUMMYFUNCTION("""COMPUTED_VALUE"""),3010)</f>
        <v>3010</v>
      </c>
      <c r="C816" s="2">
        <f ca="1">IFERROR(__xludf.DUMMYFUNCTION("""COMPUTED_VALUE"""),3070)</f>
        <v>3070</v>
      </c>
      <c r="D816" s="2">
        <f ca="1">IFERROR(__xludf.DUMMYFUNCTION("""COMPUTED_VALUE"""),2950)</f>
        <v>2950</v>
      </c>
      <c r="E816" s="2">
        <f ca="1">IFERROR(__xludf.DUMMYFUNCTION("""COMPUTED_VALUE"""),3070)</f>
        <v>3070</v>
      </c>
      <c r="F816" s="2">
        <f ca="1">IFERROR(__xludf.DUMMYFUNCTION("""COMPUTED_VALUE"""),298925000)</f>
        <v>298925000</v>
      </c>
    </row>
    <row r="817" spans="1:6">
      <c r="A817" s="5">
        <f ca="1">IFERROR(__xludf.DUMMYFUNCTION("""COMPUTED_VALUE"""),43237.625)</f>
        <v>43237.625</v>
      </c>
      <c r="B817" s="2">
        <f ca="1">IFERROR(__xludf.DUMMYFUNCTION("""COMPUTED_VALUE"""),3070)</f>
        <v>3070</v>
      </c>
      <c r="C817" s="2">
        <f ca="1">IFERROR(__xludf.DUMMYFUNCTION("""COMPUTED_VALUE"""),3100)</f>
        <v>3100</v>
      </c>
      <c r="D817" s="2">
        <f ca="1">IFERROR(__xludf.DUMMYFUNCTION("""COMPUTED_VALUE"""),2990)</f>
        <v>2990</v>
      </c>
      <c r="E817" s="2">
        <f ca="1">IFERROR(__xludf.DUMMYFUNCTION("""COMPUTED_VALUE"""),2990)</f>
        <v>2990</v>
      </c>
      <c r="F817" s="2">
        <f ca="1">IFERROR(__xludf.DUMMYFUNCTION("""COMPUTED_VALUE"""),172832900)</f>
        <v>172832900</v>
      </c>
    </row>
    <row r="818" spans="1:6">
      <c r="A818" s="5">
        <f ca="1">IFERROR(__xludf.DUMMYFUNCTION("""COMPUTED_VALUE"""),43238.625)</f>
        <v>43238.625</v>
      </c>
      <c r="B818" s="2">
        <f ca="1">IFERROR(__xludf.DUMMYFUNCTION("""COMPUTED_VALUE"""),3000)</f>
        <v>3000</v>
      </c>
      <c r="C818" s="2">
        <f ca="1">IFERROR(__xludf.DUMMYFUNCTION("""COMPUTED_VALUE"""),3040)</f>
        <v>3040</v>
      </c>
      <c r="D818" s="2">
        <f ca="1">IFERROR(__xludf.DUMMYFUNCTION("""COMPUTED_VALUE"""),2920)</f>
        <v>2920</v>
      </c>
      <c r="E818" s="2">
        <f ca="1">IFERROR(__xludf.DUMMYFUNCTION("""COMPUTED_VALUE"""),2940)</f>
        <v>2940</v>
      </c>
      <c r="F818" s="2">
        <f ca="1">IFERROR(__xludf.DUMMYFUNCTION("""COMPUTED_VALUE"""),215062300)</f>
        <v>215062300</v>
      </c>
    </row>
    <row r="819" spans="1:6">
      <c r="A819" s="5">
        <f ca="1">IFERROR(__xludf.DUMMYFUNCTION("""COMPUTED_VALUE"""),43241.625)</f>
        <v>43241.625</v>
      </c>
      <c r="B819" s="2">
        <f ca="1">IFERROR(__xludf.DUMMYFUNCTION("""COMPUTED_VALUE"""),2900)</f>
        <v>2900</v>
      </c>
      <c r="C819" s="2">
        <f ca="1">IFERROR(__xludf.DUMMYFUNCTION("""COMPUTED_VALUE"""),2920)</f>
        <v>2920</v>
      </c>
      <c r="D819" s="2">
        <f ca="1">IFERROR(__xludf.DUMMYFUNCTION("""COMPUTED_VALUE"""),2750)</f>
        <v>2750</v>
      </c>
      <c r="E819" s="2">
        <f ca="1">IFERROR(__xludf.DUMMYFUNCTION("""COMPUTED_VALUE"""),2760)</f>
        <v>2760</v>
      </c>
      <c r="F819" s="2">
        <f ca="1">IFERROR(__xludf.DUMMYFUNCTION("""COMPUTED_VALUE"""),517921400)</f>
        <v>517921400</v>
      </c>
    </row>
    <row r="820" spans="1:6">
      <c r="A820" s="5">
        <f ca="1">IFERROR(__xludf.DUMMYFUNCTION("""COMPUTED_VALUE"""),43242.625)</f>
        <v>43242.625</v>
      </c>
      <c r="B820" s="2">
        <f ca="1">IFERROR(__xludf.DUMMYFUNCTION("""COMPUTED_VALUE"""),2770)</f>
        <v>2770</v>
      </c>
      <c r="C820" s="2">
        <f ca="1">IFERROR(__xludf.DUMMYFUNCTION("""COMPUTED_VALUE"""),2840)</f>
        <v>2840</v>
      </c>
      <c r="D820" s="2">
        <f ca="1">IFERROR(__xludf.DUMMYFUNCTION("""COMPUTED_VALUE"""),2720)</f>
        <v>2720</v>
      </c>
      <c r="E820" s="2">
        <f ca="1">IFERROR(__xludf.DUMMYFUNCTION("""COMPUTED_VALUE"""),2720)</f>
        <v>2720</v>
      </c>
      <c r="F820" s="2">
        <f ca="1">IFERROR(__xludf.DUMMYFUNCTION("""COMPUTED_VALUE"""),332514600)</f>
        <v>332514600</v>
      </c>
    </row>
    <row r="821" spans="1:6">
      <c r="A821" s="5">
        <f ca="1">IFERROR(__xludf.DUMMYFUNCTION("""COMPUTED_VALUE"""),43243.625)</f>
        <v>43243.625</v>
      </c>
      <c r="B821" s="2">
        <f ca="1">IFERROR(__xludf.DUMMYFUNCTION("""COMPUTED_VALUE"""),2780)</f>
        <v>2780</v>
      </c>
      <c r="C821" s="2">
        <f ca="1">IFERROR(__xludf.DUMMYFUNCTION("""COMPUTED_VALUE"""),2920)</f>
        <v>2920</v>
      </c>
      <c r="D821" s="2">
        <f ca="1">IFERROR(__xludf.DUMMYFUNCTION("""COMPUTED_VALUE"""),2770)</f>
        <v>2770</v>
      </c>
      <c r="E821" s="2">
        <f ca="1">IFERROR(__xludf.DUMMYFUNCTION("""COMPUTED_VALUE"""),2880)</f>
        <v>2880</v>
      </c>
      <c r="F821" s="2">
        <f ca="1">IFERROR(__xludf.DUMMYFUNCTION("""COMPUTED_VALUE"""),409918600)</f>
        <v>409918600</v>
      </c>
    </row>
    <row r="822" spans="1:6">
      <c r="A822" s="5">
        <f ca="1">IFERROR(__xludf.DUMMYFUNCTION("""COMPUTED_VALUE"""),43244.625)</f>
        <v>43244.625</v>
      </c>
      <c r="B822" s="2">
        <f ca="1">IFERROR(__xludf.DUMMYFUNCTION("""COMPUTED_VALUE"""),2930)</f>
        <v>2930</v>
      </c>
      <c r="C822" s="2">
        <f ca="1">IFERROR(__xludf.DUMMYFUNCTION("""COMPUTED_VALUE"""),3070)</f>
        <v>3070</v>
      </c>
      <c r="D822" s="2">
        <f ca="1">IFERROR(__xludf.DUMMYFUNCTION("""COMPUTED_VALUE"""),2920)</f>
        <v>2920</v>
      </c>
      <c r="E822" s="2">
        <f ca="1">IFERROR(__xludf.DUMMYFUNCTION("""COMPUTED_VALUE"""),3060)</f>
        <v>3060</v>
      </c>
      <c r="F822" s="2">
        <f ca="1">IFERROR(__xludf.DUMMYFUNCTION("""COMPUTED_VALUE"""),251856200)</f>
        <v>251856200</v>
      </c>
    </row>
    <row r="823" spans="1:6">
      <c r="A823" s="5">
        <f ca="1">IFERROR(__xludf.DUMMYFUNCTION("""COMPUTED_VALUE"""),43245.625)</f>
        <v>43245.625</v>
      </c>
      <c r="B823" s="2">
        <f ca="1">IFERROR(__xludf.DUMMYFUNCTION("""COMPUTED_VALUE"""),3090)</f>
        <v>3090</v>
      </c>
      <c r="C823" s="2">
        <f ca="1">IFERROR(__xludf.DUMMYFUNCTION("""COMPUTED_VALUE"""),3130)</f>
        <v>3130</v>
      </c>
      <c r="D823" s="2">
        <f ca="1">IFERROR(__xludf.DUMMYFUNCTION("""COMPUTED_VALUE"""),3020)</f>
        <v>3020</v>
      </c>
      <c r="E823" s="2">
        <f ca="1">IFERROR(__xludf.DUMMYFUNCTION("""COMPUTED_VALUE"""),3120)</f>
        <v>3120</v>
      </c>
      <c r="F823" s="2">
        <f ca="1">IFERROR(__xludf.DUMMYFUNCTION("""COMPUTED_VALUE"""),192249700)</f>
        <v>192249700</v>
      </c>
    </row>
    <row r="824" spans="1:6">
      <c r="A824" s="5">
        <f ca="1">IFERROR(__xludf.DUMMYFUNCTION("""COMPUTED_VALUE"""),43248.625)</f>
        <v>43248.625</v>
      </c>
      <c r="B824" s="2">
        <f ca="1">IFERROR(__xludf.DUMMYFUNCTION("""COMPUTED_VALUE"""),3130)</f>
        <v>3130</v>
      </c>
      <c r="C824" s="2">
        <f ca="1">IFERROR(__xludf.DUMMYFUNCTION("""COMPUTED_VALUE"""),3290)</f>
        <v>3290</v>
      </c>
      <c r="D824" s="2">
        <f ca="1">IFERROR(__xludf.DUMMYFUNCTION("""COMPUTED_VALUE"""),3120)</f>
        <v>3120</v>
      </c>
      <c r="E824" s="2">
        <f ca="1">IFERROR(__xludf.DUMMYFUNCTION("""COMPUTED_VALUE"""),3250)</f>
        <v>3250</v>
      </c>
      <c r="F824" s="2">
        <f ca="1">IFERROR(__xludf.DUMMYFUNCTION("""COMPUTED_VALUE"""),186045100)</f>
        <v>186045100</v>
      </c>
    </row>
    <row r="825" spans="1:6">
      <c r="A825" s="5">
        <f ca="1">IFERROR(__xludf.DUMMYFUNCTION("""COMPUTED_VALUE"""),43250.625)</f>
        <v>43250.625</v>
      </c>
      <c r="B825" s="2">
        <f ca="1">IFERROR(__xludf.DUMMYFUNCTION("""COMPUTED_VALUE"""),3250)</f>
        <v>3250</v>
      </c>
      <c r="C825" s="2">
        <f ca="1">IFERROR(__xludf.DUMMYFUNCTION("""COMPUTED_VALUE"""),3280)</f>
        <v>3280</v>
      </c>
      <c r="D825" s="2">
        <f ca="1">IFERROR(__xludf.DUMMYFUNCTION("""COMPUTED_VALUE"""),3140)</f>
        <v>3140</v>
      </c>
      <c r="E825" s="2">
        <f ca="1">IFERROR(__xludf.DUMMYFUNCTION("""COMPUTED_VALUE"""),3140)</f>
        <v>3140</v>
      </c>
      <c r="F825" s="2">
        <f ca="1">IFERROR(__xludf.DUMMYFUNCTION("""COMPUTED_VALUE"""),306227900)</f>
        <v>306227900</v>
      </c>
    </row>
    <row r="826" spans="1:6">
      <c r="A826" s="5">
        <f ca="1">IFERROR(__xludf.DUMMYFUNCTION("""COMPUTED_VALUE"""),43251.625)</f>
        <v>43251.625</v>
      </c>
      <c r="B826" s="2">
        <f ca="1">IFERROR(__xludf.DUMMYFUNCTION("""COMPUTED_VALUE"""),3170)</f>
        <v>3170</v>
      </c>
      <c r="C826" s="2">
        <f ca="1">IFERROR(__xludf.DUMMYFUNCTION("""COMPUTED_VALUE"""),3190)</f>
        <v>3190</v>
      </c>
      <c r="D826" s="2">
        <f ca="1">IFERROR(__xludf.DUMMYFUNCTION("""COMPUTED_VALUE"""),3070)</f>
        <v>3070</v>
      </c>
      <c r="E826" s="2">
        <f ca="1">IFERROR(__xludf.DUMMYFUNCTION("""COMPUTED_VALUE"""),3080)</f>
        <v>3080</v>
      </c>
      <c r="F826" s="2">
        <f ca="1">IFERROR(__xludf.DUMMYFUNCTION("""COMPUTED_VALUE"""),312316900)</f>
        <v>312316900</v>
      </c>
    </row>
    <row r="827" spans="1:6">
      <c r="A827" s="5">
        <f ca="1">IFERROR(__xludf.DUMMYFUNCTION("""COMPUTED_VALUE"""),43255.625)</f>
        <v>43255.625</v>
      </c>
      <c r="B827" s="2">
        <f ca="1">IFERROR(__xludf.DUMMYFUNCTION("""COMPUTED_VALUE"""),3150)</f>
        <v>3150</v>
      </c>
      <c r="C827" s="2">
        <f ca="1">IFERROR(__xludf.DUMMYFUNCTION("""COMPUTED_VALUE"""),3170)</f>
        <v>3170</v>
      </c>
      <c r="D827" s="2">
        <f ca="1">IFERROR(__xludf.DUMMYFUNCTION("""COMPUTED_VALUE"""),3100)</f>
        <v>3100</v>
      </c>
      <c r="E827" s="2">
        <f ca="1">IFERROR(__xludf.DUMMYFUNCTION("""COMPUTED_VALUE"""),3130)</f>
        <v>3130</v>
      </c>
      <c r="F827" s="2">
        <f ca="1">IFERROR(__xludf.DUMMYFUNCTION("""COMPUTED_VALUE"""),211936400)</f>
        <v>211936400</v>
      </c>
    </row>
    <row r="828" spans="1:6">
      <c r="A828" s="5">
        <f ca="1">IFERROR(__xludf.DUMMYFUNCTION("""COMPUTED_VALUE"""),43256.625)</f>
        <v>43256.625</v>
      </c>
      <c r="B828" s="2">
        <f ca="1">IFERROR(__xludf.DUMMYFUNCTION("""COMPUTED_VALUE"""),3150)</f>
        <v>3150</v>
      </c>
      <c r="C828" s="2">
        <f ca="1">IFERROR(__xludf.DUMMYFUNCTION("""COMPUTED_VALUE"""),3160)</f>
        <v>3160</v>
      </c>
      <c r="D828" s="2">
        <f ca="1">IFERROR(__xludf.DUMMYFUNCTION("""COMPUTED_VALUE"""),3090)</f>
        <v>3090</v>
      </c>
      <c r="E828" s="2">
        <f ca="1">IFERROR(__xludf.DUMMYFUNCTION("""COMPUTED_VALUE"""),3110)</f>
        <v>3110</v>
      </c>
      <c r="F828" s="2">
        <f ca="1">IFERROR(__xludf.DUMMYFUNCTION("""COMPUTED_VALUE"""),135979600)</f>
        <v>135979600</v>
      </c>
    </row>
    <row r="829" spans="1:6">
      <c r="A829" s="5">
        <f ca="1">IFERROR(__xludf.DUMMYFUNCTION("""COMPUTED_VALUE"""),43257.625)</f>
        <v>43257.625</v>
      </c>
      <c r="B829" s="2">
        <f ca="1">IFERROR(__xludf.DUMMYFUNCTION("""COMPUTED_VALUE"""),3120)</f>
        <v>3120</v>
      </c>
      <c r="C829" s="2">
        <f ca="1">IFERROR(__xludf.DUMMYFUNCTION("""COMPUTED_VALUE"""),3160)</f>
        <v>3160</v>
      </c>
      <c r="D829" s="2">
        <f ca="1">IFERROR(__xludf.DUMMYFUNCTION("""COMPUTED_VALUE"""),3090)</f>
        <v>3090</v>
      </c>
      <c r="E829" s="2">
        <f ca="1">IFERROR(__xludf.DUMMYFUNCTION("""COMPUTED_VALUE"""),3150)</f>
        <v>3150</v>
      </c>
      <c r="F829" s="2">
        <f ca="1">IFERROR(__xludf.DUMMYFUNCTION("""COMPUTED_VALUE"""),99509500)</f>
        <v>99509500</v>
      </c>
    </row>
    <row r="830" spans="1:6">
      <c r="A830" s="5">
        <f ca="1">IFERROR(__xludf.DUMMYFUNCTION("""COMPUTED_VALUE"""),43258.625)</f>
        <v>43258.625</v>
      </c>
      <c r="B830" s="2">
        <f ca="1">IFERROR(__xludf.DUMMYFUNCTION("""COMPUTED_VALUE"""),3180)</f>
        <v>3180</v>
      </c>
      <c r="C830" s="2">
        <f ca="1">IFERROR(__xludf.DUMMYFUNCTION("""COMPUTED_VALUE"""),3270)</f>
        <v>3270</v>
      </c>
      <c r="D830" s="2">
        <f ca="1">IFERROR(__xludf.DUMMYFUNCTION("""COMPUTED_VALUE"""),3160)</f>
        <v>3160</v>
      </c>
      <c r="E830" s="2">
        <f ca="1">IFERROR(__xludf.DUMMYFUNCTION("""COMPUTED_VALUE"""),3270)</f>
        <v>3270</v>
      </c>
      <c r="F830" s="2">
        <f ca="1">IFERROR(__xludf.DUMMYFUNCTION("""COMPUTED_VALUE"""),183746200)</f>
        <v>183746200</v>
      </c>
    </row>
    <row r="831" spans="1:6">
      <c r="A831" s="5">
        <f ca="1">IFERROR(__xludf.DUMMYFUNCTION("""COMPUTED_VALUE"""),43259.625)</f>
        <v>43259.625</v>
      </c>
      <c r="B831" s="2">
        <f ca="1">IFERROR(__xludf.DUMMYFUNCTION("""COMPUTED_VALUE"""),3210)</f>
        <v>3210</v>
      </c>
      <c r="C831" s="2">
        <f ca="1">IFERROR(__xludf.DUMMYFUNCTION("""COMPUTED_VALUE"""),3250)</f>
        <v>3250</v>
      </c>
      <c r="D831" s="2">
        <f ca="1">IFERROR(__xludf.DUMMYFUNCTION("""COMPUTED_VALUE"""),3110)</f>
        <v>3110</v>
      </c>
      <c r="E831" s="2">
        <f ca="1">IFERROR(__xludf.DUMMYFUNCTION("""COMPUTED_VALUE"""),3140)</f>
        <v>3140</v>
      </c>
      <c r="F831" s="2">
        <f ca="1">IFERROR(__xludf.DUMMYFUNCTION("""COMPUTED_VALUE"""),262972300)</f>
        <v>262972300</v>
      </c>
    </row>
    <row r="832" spans="1:6">
      <c r="A832" s="5">
        <f ca="1">IFERROR(__xludf.DUMMYFUNCTION("""COMPUTED_VALUE"""),43271.625)</f>
        <v>43271.625</v>
      </c>
      <c r="B832" s="2">
        <f ca="1">IFERROR(__xludf.DUMMYFUNCTION("""COMPUTED_VALUE"""),3020)</f>
        <v>3020</v>
      </c>
      <c r="C832" s="2">
        <f ca="1">IFERROR(__xludf.DUMMYFUNCTION("""COMPUTED_VALUE"""),3030)</f>
        <v>3030</v>
      </c>
      <c r="D832" s="2">
        <f ca="1">IFERROR(__xludf.DUMMYFUNCTION("""COMPUTED_VALUE"""),2950)</f>
        <v>2950</v>
      </c>
      <c r="E832" s="2">
        <f ca="1">IFERROR(__xludf.DUMMYFUNCTION("""COMPUTED_VALUE"""),2960)</f>
        <v>2960</v>
      </c>
      <c r="F832" s="2">
        <f ca="1">IFERROR(__xludf.DUMMYFUNCTION("""COMPUTED_VALUE"""),355486900)</f>
        <v>355486900</v>
      </c>
    </row>
    <row r="833" spans="1:6">
      <c r="A833" s="5">
        <f ca="1">IFERROR(__xludf.DUMMYFUNCTION("""COMPUTED_VALUE"""),43272.625)</f>
        <v>43272.625</v>
      </c>
      <c r="B833" s="2">
        <f ca="1">IFERROR(__xludf.DUMMYFUNCTION("""COMPUTED_VALUE"""),2950)</f>
        <v>2950</v>
      </c>
      <c r="C833" s="2">
        <f ca="1">IFERROR(__xludf.DUMMYFUNCTION("""COMPUTED_VALUE"""),2990)</f>
        <v>2990</v>
      </c>
      <c r="D833" s="2">
        <f ca="1">IFERROR(__xludf.DUMMYFUNCTION("""COMPUTED_VALUE"""),2910)</f>
        <v>2910</v>
      </c>
      <c r="E833" s="2">
        <f ca="1">IFERROR(__xludf.DUMMYFUNCTION("""COMPUTED_VALUE"""),2910)</f>
        <v>2910</v>
      </c>
      <c r="F833" s="2">
        <f ca="1">IFERROR(__xludf.DUMMYFUNCTION("""COMPUTED_VALUE"""),135602900)</f>
        <v>135602900</v>
      </c>
    </row>
    <row r="834" spans="1:6">
      <c r="A834" s="5">
        <f ca="1">IFERROR(__xludf.DUMMYFUNCTION("""COMPUTED_VALUE"""),43273.625)</f>
        <v>43273.625</v>
      </c>
      <c r="B834" s="2">
        <f ca="1">IFERROR(__xludf.DUMMYFUNCTION("""COMPUTED_VALUE"""),2900)</f>
        <v>2900</v>
      </c>
      <c r="C834" s="2">
        <f ca="1">IFERROR(__xludf.DUMMYFUNCTION("""COMPUTED_VALUE"""),2980)</f>
        <v>2980</v>
      </c>
      <c r="D834" s="2">
        <f ca="1">IFERROR(__xludf.DUMMYFUNCTION("""COMPUTED_VALUE"""),2870)</f>
        <v>2870</v>
      </c>
      <c r="E834" s="2">
        <f ca="1">IFERROR(__xludf.DUMMYFUNCTION("""COMPUTED_VALUE"""),2980)</f>
        <v>2980</v>
      </c>
      <c r="F834" s="2">
        <f ca="1">IFERROR(__xludf.DUMMYFUNCTION("""COMPUTED_VALUE"""),211595500)</f>
        <v>211595500</v>
      </c>
    </row>
    <row r="835" spans="1:6">
      <c r="A835" s="5">
        <f ca="1">IFERROR(__xludf.DUMMYFUNCTION("""COMPUTED_VALUE"""),43276.625)</f>
        <v>43276.625</v>
      </c>
      <c r="B835" s="2">
        <f ca="1">IFERROR(__xludf.DUMMYFUNCTION("""COMPUTED_VALUE"""),2980)</f>
        <v>2980</v>
      </c>
      <c r="C835" s="2">
        <f ca="1">IFERROR(__xludf.DUMMYFUNCTION("""COMPUTED_VALUE"""),3000)</f>
        <v>3000</v>
      </c>
      <c r="D835" s="2">
        <f ca="1">IFERROR(__xludf.DUMMYFUNCTION("""COMPUTED_VALUE"""),2870)</f>
        <v>2870</v>
      </c>
      <c r="E835" s="2">
        <f ca="1">IFERROR(__xludf.DUMMYFUNCTION("""COMPUTED_VALUE"""),2890)</f>
        <v>2890</v>
      </c>
      <c r="F835" s="2">
        <f ca="1">IFERROR(__xludf.DUMMYFUNCTION("""COMPUTED_VALUE"""),143039300)</f>
        <v>143039300</v>
      </c>
    </row>
    <row r="836" spans="1:6">
      <c r="A836" s="5">
        <f ca="1">IFERROR(__xludf.DUMMYFUNCTION("""COMPUTED_VALUE"""),43277.625)</f>
        <v>43277.625</v>
      </c>
      <c r="B836" s="2">
        <f ca="1">IFERROR(__xludf.DUMMYFUNCTION("""COMPUTED_VALUE"""),2810)</f>
        <v>2810</v>
      </c>
      <c r="C836" s="2">
        <f ca="1">IFERROR(__xludf.DUMMYFUNCTION("""COMPUTED_VALUE"""),2910)</f>
        <v>2910</v>
      </c>
      <c r="D836" s="2">
        <f ca="1">IFERROR(__xludf.DUMMYFUNCTION("""COMPUTED_VALUE"""),2810)</f>
        <v>2810</v>
      </c>
      <c r="E836" s="2">
        <f ca="1">IFERROR(__xludf.DUMMYFUNCTION("""COMPUTED_VALUE"""),2820)</f>
        <v>2820</v>
      </c>
      <c r="F836" s="2">
        <f ca="1">IFERROR(__xludf.DUMMYFUNCTION("""COMPUTED_VALUE"""),185812800)</f>
        <v>185812800</v>
      </c>
    </row>
    <row r="837" spans="1:6">
      <c r="A837" s="5">
        <f ca="1">IFERROR(__xludf.DUMMYFUNCTION("""COMPUTED_VALUE"""),43278.625)</f>
        <v>43278.625</v>
      </c>
      <c r="B837" s="2">
        <f ca="1">IFERROR(__xludf.DUMMYFUNCTION("""COMPUTED_VALUE"""),2880)</f>
        <v>2880</v>
      </c>
      <c r="C837" s="2">
        <f ca="1">IFERROR(__xludf.DUMMYFUNCTION("""COMPUTED_VALUE"""),2880)</f>
        <v>2880</v>
      </c>
      <c r="D837" s="2">
        <f ca="1">IFERROR(__xludf.DUMMYFUNCTION("""COMPUTED_VALUE"""),2830)</f>
        <v>2830</v>
      </c>
      <c r="E837" s="2">
        <f ca="1">IFERROR(__xludf.DUMMYFUNCTION("""COMPUTED_VALUE"""),2840)</f>
        <v>2840</v>
      </c>
      <c r="F837" s="2">
        <f ca="1">IFERROR(__xludf.DUMMYFUNCTION("""COMPUTED_VALUE"""),133617400)</f>
        <v>133617400</v>
      </c>
    </row>
    <row r="838" spans="1:6">
      <c r="A838" s="5">
        <f ca="1">IFERROR(__xludf.DUMMYFUNCTION("""COMPUTED_VALUE"""),43279.625)</f>
        <v>43279.625</v>
      </c>
      <c r="B838" s="2">
        <f ca="1">IFERROR(__xludf.DUMMYFUNCTION("""COMPUTED_VALUE"""),2820)</f>
        <v>2820</v>
      </c>
      <c r="C838" s="2">
        <f ca="1">IFERROR(__xludf.DUMMYFUNCTION("""COMPUTED_VALUE"""),2850)</f>
        <v>2850</v>
      </c>
      <c r="D838" s="2">
        <f ca="1">IFERROR(__xludf.DUMMYFUNCTION("""COMPUTED_VALUE"""),2740)</f>
        <v>2740</v>
      </c>
      <c r="E838" s="2">
        <f ca="1">IFERROR(__xludf.DUMMYFUNCTION("""COMPUTED_VALUE"""),2750)</f>
        <v>2750</v>
      </c>
      <c r="F838" s="2">
        <f ca="1">IFERROR(__xludf.DUMMYFUNCTION("""COMPUTED_VALUE"""),197464500)</f>
        <v>197464500</v>
      </c>
    </row>
    <row r="839" spans="1:6">
      <c r="A839" s="5">
        <f ca="1">IFERROR(__xludf.DUMMYFUNCTION("""COMPUTED_VALUE"""),43280.625)</f>
        <v>43280.625</v>
      </c>
      <c r="B839" s="2">
        <f ca="1">IFERROR(__xludf.DUMMYFUNCTION("""COMPUTED_VALUE"""),2800)</f>
        <v>2800</v>
      </c>
      <c r="C839" s="2">
        <f ca="1">IFERROR(__xludf.DUMMYFUNCTION("""COMPUTED_VALUE"""),2900)</f>
        <v>2900</v>
      </c>
      <c r="D839" s="2">
        <f ca="1">IFERROR(__xludf.DUMMYFUNCTION("""COMPUTED_VALUE"""),2780)</f>
        <v>2780</v>
      </c>
      <c r="E839" s="2">
        <f ca="1">IFERROR(__xludf.DUMMYFUNCTION("""COMPUTED_VALUE"""),2840)</f>
        <v>2840</v>
      </c>
      <c r="F839" s="2">
        <f ca="1">IFERROR(__xludf.DUMMYFUNCTION("""COMPUTED_VALUE"""),216878100)</f>
        <v>216878100</v>
      </c>
    </row>
    <row r="840" spans="1:6">
      <c r="A840" s="5">
        <f ca="1">IFERROR(__xludf.DUMMYFUNCTION("""COMPUTED_VALUE"""),43283.625)</f>
        <v>43283.625</v>
      </c>
      <c r="B840" s="2">
        <f ca="1">IFERROR(__xludf.DUMMYFUNCTION("""COMPUTED_VALUE"""),2890)</f>
        <v>2890</v>
      </c>
      <c r="C840" s="2">
        <f ca="1">IFERROR(__xludf.DUMMYFUNCTION("""COMPUTED_VALUE"""),2910)</f>
        <v>2910</v>
      </c>
      <c r="D840" s="2">
        <f ca="1">IFERROR(__xludf.DUMMYFUNCTION("""COMPUTED_VALUE"""),2820)</f>
        <v>2820</v>
      </c>
      <c r="E840" s="2">
        <f ca="1">IFERROR(__xludf.DUMMYFUNCTION("""COMPUTED_VALUE"""),2850)</f>
        <v>2850</v>
      </c>
      <c r="F840" s="2">
        <f ca="1">IFERROR(__xludf.DUMMYFUNCTION("""COMPUTED_VALUE"""),151334600)</f>
        <v>151334600</v>
      </c>
    </row>
    <row r="841" spans="1:6">
      <c r="A841" s="5">
        <f ca="1">IFERROR(__xludf.DUMMYFUNCTION("""COMPUTED_VALUE"""),43284.625)</f>
        <v>43284.625</v>
      </c>
      <c r="B841" s="2">
        <f ca="1">IFERROR(__xludf.DUMMYFUNCTION("""COMPUTED_VALUE"""),2850)</f>
        <v>2850</v>
      </c>
      <c r="C841" s="2">
        <f ca="1">IFERROR(__xludf.DUMMYFUNCTION("""COMPUTED_VALUE"""),2860)</f>
        <v>2860</v>
      </c>
      <c r="D841" s="2">
        <f ca="1">IFERROR(__xludf.DUMMYFUNCTION("""COMPUTED_VALUE"""),2770)</f>
        <v>2770</v>
      </c>
      <c r="E841" s="2">
        <f ca="1">IFERROR(__xludf.DUMMYFUNCTION("""COMPUTED_VALUE"""),2830)</f>
        <v>2830</v>
      </c>
      <c r="F841" s="2">
        <f ca="1">IFERROR(__xludf.DUMMYFUNCTION("""COMPUTED_VALUE"""),88835200)</f>
        <v>88835200</v>
      </c>
    </row>
    <row r="842" spans="1:6">
      <c r="A842" s="5">
        <f ca="1">IFERROR(__xludf.DUMMYFUNCTION("""COMPUTED_VALUE"""),43285.625)</f>
        <v>43285.625</v>
      </c>
      <c r="B842" s="2">
        <f ca="1">IFERROR(__xludf.DUMMYFUNCTION("""COMPUTED_VALUE"""),2830)</f>
        <v>2830</v>
      </c>
      <c r="C842" s="2">
        <f ca="1">IFERROR(__xludf.DUMMYFUNCTION("""COMPUTED_VALUE"""),2950)</f>
        <v>2950</v>
      </c>
      <c r="D842" s="2">
        <f ca="1">IFERROR(__xludf.DUMMYFUNCTION("""COMPUTED_VALUE"""),2790)</f>
        <v>2790</v>
      </c>
      <c r="E842" s="2">
        <f ca="1">IFERROR(__xludf.DUMMYFUNCTION("""COMPUTED_VALUE"""),2930)</f>
        <v>2930</v>
      </c>
      <c r="F842" s="2">
        <f ca="1">IFERROR(__xludf.DUMMYFUNCTION("""COMPUTED_VALUE"""),128906900)</f>
        <v>128906900</v>
      </c>
    </row>
    <row r="843" spans="1:6">
      <c r="A843" s="5">
        <f ca="1">IFERROR(__xludf.DUMMYFUNCTION("""COMPUTED_VALUE"""),43286.625)</f>
        <v>43286.625</v>
      </c>
      <c r="B843" s="2">
        <f ca="1">IFERROR(__xludf.DUMMYFUNCTION("""COMPUTED_VALUE"""),2890)</f>
        <v>2890</v>
      </c>
      <c r="C843" s="2">
        <f ca="1">IFERROR(__xludf.DUMMYFUNCTION("""COMPUTED_VALUE"""),2920)</f>
        <v>2920</v>
      </c>
      <c r="D843" s="2">
        <f ca="1">IFERROR(__xludf.DUMMYFUNCTION("""COMPUTED_VALUE"""),2860)</f>
        <v>2860</v>
      </c>
      <c r="E843" s="2">
        <f ca="1">IFERROR(__xludf.DUMMYFUNCTION("""COMPUTED_VALUE"""),2910)</f>
        <v>2910</v>
      </c>
      <c r="F843" s="2">
        <f ca="1">IFERROR(__xludf.DUMMYFUNCTION("""COMPUTED_VALUE"""),63494300)</f>
        <v>63494300</v>
      </c>
    </row>
    <row r="844" spans="1:6">
      <c r="A844" s="5">
        <f ca="1">IFERROR(__xludf.DUMMYFUNCTION("""COMPUTED_VALUE"""),43287.625)</f>
        <v>43287.625</v>
      </c>
      <c r="B844" s="2">
        <f ca="1">IFERROR(__xludf.DUMMYFUNCTION("""COMPUTED_VALUE"""),2910)</f>
        <v>2910</v>
      </c>
      <c r="C844" s="2">
        <f ca="1">IFERROR(__xludf.DUMMYFUNCTION("""COMPUTED_VALUE"""),2910)</f>
        <v>2910</v>
      </c>
      <c r="D844" s="2">
        <f ca="1">IFERROR(__xludf.DUMMYFUNCTION("""COMPUTED_VALUE"""),2840)</f>
        <v>2840</v>
      </c>
      <c r="E844" s="2">
        <f ca="1">IFERROR(__xludf.DUMMYFUNCTION("""COMPUTED_VALUE"""),2840)</f>
        <v>2840</v>
      </c>
      <c r="F844" s="2">
        <f ca="1">IFERROR(__xludf.DUMMYFUNCTION("""COMPUTED_VALUE"""),76368500)</f>
        <v>76368500</v>
      </c>
    </row>
    <row r="845" spans="1:6">
      <c r="A845" s="5">
        <f ca="1">IFERROR(__xludf.DUMMYFUNCTION("""COMPUTED_VALUE"""),43290.625)</f>
        <v>43290.625</v>
      </c>
      <c r="B845" s="2">
        <f ca="1">IFERROR(__xludf.DUMMYFUNCTION("""COMPUTED_VALUE"""),2860)</f>
        <v>2860</v>
      </c>
      <c r="C845" s="2">
        <f ca="1">IFERROR(__xludf.DUMMYFUNCTION("""COMPUTED_VALUE"""),3030)</f>
        <v>3030</v>
      </c>
      <c r="D845" s="2">
        <f ca="1">IFERROR(__xludf.DUMMYFUNCTION("""COMPUTED_VALUE"""),2860)</f>
        <v>2860</v>
      </c>
      <c r="E845" s="2">
        <f ca="1">IFERROR(__xludf.DUMMYFUNCTION("""COMPUTED_VALUE"""),3010)</f>
        <v>3010</v>
      </c>
      <c r="F845" s="2">
        <f ca="1">IFERROR(__xludf.DUMMYFUNCTION("""COMPUTED_VALUE"""),127889400)</f>
        <v>127889400</v>
      </c>
    </row>
    <row r="846" spans="1:6">
      <c r="A846" s="5">
        <f ca="1">IFERROR(__xludf.DUMMYFUNCTION("""COMPUTED_VALUE"""),43291.625)</f>
        <v>43291.625</v>
      </c>
      <c r="B846" s="2">
        <f ca="1">IFERROR(__xludf.DUMMYFUNCTION("""COMPUTED_VALUE"""),3040)</f>
        <v>3040</v>
      </c>
      <c r="C846" s="2">
        <f ca="1">IFERROR(__xludf.DUMMYFUNCTION("""COMPUTED_VALUE"""),3080)</f>
        <v>3080</v>
      </c>
      <c r="D846" s="2">
        <f ca="1">IFERROR(__xludf.DUMMYFUNCTION("""COMPUTED_VALUE"""),2980)</f>
        <v>2980</v>
      </c>
      <c r="E846" s="2">
        <f ca="1">IFERROR(__xludf.DUMMYFUNCTION("""COMPUTED_VALUE"""),3050)</f>
        <v>3050</v>
      </c>
      <c r="F846" s="2">
        <f ca="1">IFERROR(__xludf.DUMMYFUNCTION("""COMPUTED_VALUE"""),131641500)</f>
        <v>131641500</v>
      </c>
    </row>
    <row r="847" spans="1:6">
      <c r="A847" s="5">
        <f ca="1">IFERROR(__xludf.DUMMYFUNCTION("""COMPUTED_VALUE"""),43292.625)</f>
        <v>43292.625</v>
      </c>
      <c r="B847" s="2">
        <f ca="1">IFERROR(__xludf.DUMMYFUNCTION("""COMPUTED_VALUE"""),3000)</f>
        <v>3000</v>
      </c>
      <c r="C847" s="2">
        <f ca="1">IFERROR(__xludf.DUMMYFUNCTION("""COMPUTED_VALUE"""),3000)</f>
        <v>3000</v>
      </c>
      <c r="D847" s="2">
        <f ca="1">IFERROR(__xludf.DUMMYFUNCTION("""COMPUTED_VALUE"""),2950)</f>
        <v>2950</v>
      </c>
      <c r="E847" s="2">
        <f ca="1">IFERROR(__xludf.DUMMYFUNCTION("""COMPUTED_VALUE"""),2990)</f>
        <v>2990</v>
      </c>
      <c r="F847" s="2">
        <f ca="1">IFERROR(__xludf.DUMMYFUNCTION("""COMPUTED_VALUE"""),133041300)</f>
        <v>133041300</v>
      </c>
    </row>
    <row r="848" spans="1:6">
      <c r="A848" s="5">
        <f ca="1">IFERROR(__xludf.DUMMYFUNCTION("""COMPUTED_VALUE"""),43293.625)</f>
        <v>43293.625</v>
      </c>
      <c r="B848" s="2">
        <f ca="1">IFERROR(__xludf.DUMMYFUNCTION("""COMPUTED_VALUE"""),2960)</f>
        <v>2960</v>
      </c>
      <c r="C848" s="2">
        <f ca="1">IFERROR(__xludf.DUMMYFUNCTION("""COMPUTED_VALUE"""),3000)</f>
        <v>3000</v>
      </c>
      <c r="D848" s="2">
        <f ca="1">IFERROR(__xludf.DUMMYFUNCTION("""COMPUTED_VALUE"""),2950)</f>
        <v>2950</v>
      </c>
      <c r="E848" s="2">
        <f ca="1">IFERROR(__xludf.DUMMYFUNCTION("""COMPUTED_VALUE"""),2970)</f>
        <v>2970</v>
      </c>
      <c r="F848" s="2">
        <f ca="1">IFERROR(__xludf.DUMMYFUNCTION("""COMPUTED_VALUE"""),91682700)</f>
        <v>91682700</v>
      </c>
    </row>
    <row r="849" spans="1:6">
      <c r="A849" s="5">
        <f ca="1">IFERROR(__xludf.DUMMYFUNCTION("""COMPUTED_VALUE"""),43294.625)</f>
        <v>43294.625</v>
      </c>
      <c r="B849" s="2">
        <f ca="1">IFERROR(__xludf.DUMMYFUNCTION("""COMPUTED_VALUE"""),2960)</f>
        <v>2960</v>
      </c>
      <c r="C849" s="2">
        <f ca="1">IFERROR(__xludf.DUMMYFUNCTION("""COMPUTED_VALUE"""),3030)</f>
        <v>3030</v>
      </c>
      <c r="D849" s="2">
        <f ca="1">IFERROR(__xludf.DUMMYFUNCTION("""COMPUTED_VALUE"""),2960)</f>
        <v>2960</v>
      </c>
      <c r="E849" s="2">
        <f ca="1">IFERROR(__xludf.DUMMYFUNCTION("""COMPUTED_VALUE"""),2970)</f>
        <v>2970</v>
      </c>
      <c r="F849" s="2">
        <f ca="1">IFERROR(__xludf.DUMMYFUNCTION("""COMPUTED_VALUE"""),101916100)</f>
        <v>101916100</v>
      </c>
    </row>
    <row r="850" spans="1:6">
      <c r="A850" s="5">
        <f ca="1">IFERROR(__xludf.DUMMYFUNCTION("""COMPUTED_VALUE"""),43297.625)</f>
        <v>43297.625</v>
      </c>
      <c r="B850" s="2">
        <f ca="1">IFERROR(__xludf.DUMMYFUNCTION("""COMPUTED_VALUE"""),3000)</f>
        <v>3000</v>
      </c>
      <c r="C850" s="2">
        <f ca="1">IFERROR(__xludf.DUMMYFUNCTION("""COMPUTED_VALUE"""),3010)</f>
        <v>3010</v>
      </c>
      <c r="D850" s="2">
        <f ca="1">IFERROR(__xludf.DUMMYFUNCTION("""COMPUTED_VALUE"""),2890)</f>
        <v>2890</v>
      </c>
      <c r="E850" s="2">
        <f ca="1">IFERROR(__xludf.DUMMYFUNCTION("""COMPUTED_VALUE"""),2970)</f>
        <v>2970</v>
      </c>
      <c r="F850" s="2">
        <f ca="1">IFERROR(__xludf.DUMMYFUNCTION("""COMPUTED_VALUE"""),86614100)</f>
        <v>86614100</v>
      </c>
    </row>
    <row r="851" spans="1:6">
      <c r="A851" s="5">
        <f ca="1">IFERROR(__xludf.DUMMYFUNCTION("""COMPUTED_VALUE"""),43298.625)</f>
        <v>43298.625</v>
      </c>
      <c r="B851" s="2">
        <f ca="1">IFERROR(__xludf.DUMMYFUNCTION("""COMPUTED_VALUE"""),2930)</f>
        <v>2930</v>
      </c>
      <c r="C851" s="2">
        <f ca="1">IFERROR(__xludf.DUMMYFUNCTION("""COMPUTED_VALUE"""),2940)</f>
        <v>2940</v>
      </c>
      <c r="D851" s="2">
        <f ca="1">IFERROR(__xludf.DUMMYFUNCTION("""COMPUTED_VALUE"""),2860)</f>
        <v>2860</v>
      </c>
      <c r="E851" s="2">
        <f ca="1">IFERROR(__xludf.DUMMYFUNCTION("""COMPUTED_VALUE"""),2870)</f>
        <v>2870</v>
      </c>
      <c r="F851" s="2">
        <f ca="1">IFERROR(__xludf.DUMMYFUNCTION("""COMPUTED_VALUE"""),137087200)</f>
        <v>137087200</v>
      </c>
    </row>
    <row r="852" spans="1:6">
      <c r="A852" s="5">
        <f ca="1">IFERROR(__xludf.DUMMYFUNCTION("""COMPUTED_VALUE"""),43299.625)</f>
        <v>43299.625</v>
      </c>
      <c r="B852" s="2">
        <f ca="1">IFERROR(__xludf.DUMMYFUNCTION("""COMPUTED_VALUE"""),2870)</f>
        <v>2870</v>
      </c>
      <c r="C852" s="2">
        <f ca="1">IFERROR(__xludf.DUMMYFUNCTION("""COMPUTED_VALUE"""),2900)</f>
        <v>2900</v>
      </c>
      <c r="D852" s="2">
        <f ca="1">IFERROR(__xludf.DUMMYFUNCTION("""COMPUTED_VALUE"""),2850)</f>
        <v>2850</v>
      </c>
      <c r="E852" s="2">
        <f ca="1">IFERROR(__xludf.DUMMYFUNCTION("""COMPUTED_VALUE"""),2850)</f>
        <v>2850</v>
      </c>
      <c r="F852" s="2">
        <f ca="1">IFERROR(__xludf.DUMMYFUNCTION("""COMPUTED_VALUE"""),114063400)</f>
        <v>114063400</v>
      </c>
    </row>
    <row r="853" spans="1:6">
      <c r="A853" s="5">
        <f ca="1">IFERROR(__xludf.DUMMYFUNCTION("""COMPUTED_VALUE"""),43300.625)</f>
        <v>43300.625</v>
      </c>
      <c r="B853" s="2">
        <f ca="1">IFERROR(__xludf.DUMMYFUNCTION("""COMPUTED_VALUE"""),2900)</f>
        <v>2900</v>
      </c>
      <c r="C853" s="2">
        <f ca="1">IFERROR(__xludf.DUMMYFUNCTION("""COMPUTED_VALUE"""),2960)</f>
        <v>2960</v>
      </c>
      <c r="D853" s="2">
        <f ca="1">IFERROR(__xludf.DUMMYFUNCTION("""COMPUTED_VALUE"""),2870)</f>
        <v>2870</v>
      </c>
      <c r="E853" s="2">
        <f ca="1">IFERROR(__xludf.DUMMYFUNCTION("""COMPUTED_VALUE"""),2890)</f>
        <v>2890</v>
      </c>
      <c r="F853" s="2">
        <f ca="1">IFERROR(__xludf.DUMMYFUNCTION("""COMPUTED_VALUE"""),142315400)</f>
        <v>142315400</v>
      </c>
    </row>
    <row r="854" spans="1:6">
      <c r="A854" s="5">
        <f ca="1">IFERROR(__xludf.DUMMYFUNCTION("""COMPUTED_VALUE"""),43301.625)</f>
        <v>43301.625</v>
      </c>
      <c r="B854" s="2">
        <f ca="1">IFERROR(__xludf.DUMMYFUNCTION("""COMPUTED_VALUE"""),2890)</f>
        <v>2890</v>
      </c>
      <c r="C854" s="2">
        <f ca="1">IFERROR(__xludf.DUMMYFUNCTION("""COMPUTED_VALUE"""),2980)</f>
        <v>2980</v>
      </c>
      <c r="D854" s="2">
        <f ca="1">IFERROR(__xludf.DUMMYFUNCTION("""COMPUTED_VALUE"""),2870)</f>
        <v>2870</v>
      </c>
      <c r="E854" s="2">
        <f ca="1">IFERROR(__xludf.DUMMYFUNCTION("""COMPUTED_VALUE"""),2980)</f>
        <v>2980</v>
      </c>
      <c r="F854" s="2">
        <f ca="1">IFERROR(__xludf.DUMMYFUNCTION("""COMPUTED_VALUE"""),72551000)</f>
        <v>72551000</v>
      </c>
    </row>
    <row r="855" spans="1:6">
      <c r="A855" s="5">
        <f ca="1">IFERROR(__xludf.DUMMYFUNCTION("""COMPUTED_VALUE"""),43304.625)</f>
        <v>43304.625</v>
      </c>
      <c r="B855" s="2">
        <f ca="1">IFERROR(__xludf.DUMMYFUNCTION("""COMPUTED_VALUE"""),3000)</f>
        <v>3000</v>
      </c>
      <c r="C855" s="2">
        <f ca="1">IFERROR(__xludf.DUMMYFUNCTION("""COMPUTED_VALUE"""),3050)</f>
        <v>3050</v>
      </c>
      <c r="D855" s="2">
        <f ca="1">IFERROR(__xludf.DUMMYFUNCTION("""COMPUTED_VALUE"""),2990)</f>
        <v>2990</v>
      </c>
      <c r="E855" s="2">
        <f ca="1">IFERROR(__xludf.DUMMYFUNCTION("""COMPUTED_VALUE"""),3040)</f>
        <v>3040</v>
      </c>
      <c r="F855" s="2">
        <f ca="1">IFERROR(__xludf.DUMMYFUNCTION("""COMPUTED_VALUE"""),88975300)</f>
        <v>88975300</v>
      </c>
    </row>
    <row r="856" spans="1:6">
      <c r="A856" s="5">
        <f ca="1">IFERROR(__xludf.DUMMYFUNCTION("""COMPUTED_VALUE"""),43305.625)</f>
        <v>43305.625</v>
      </c>
      <c r="B856" s="2">
        <f ca="1">IFERROR(__xludf.DUMMYFUNCTION("""COMPUTED_VALUE"""),3060)</f>
        <v>3060</v>
      </c>
      <c r="C856" s="2">
        <f ca="1">IFERROR(__xludf.DUMMYFUNCTION("""COMPUTED_VALUE"""),3070)</f>
        <v>3070</v>
      </c>
      <c r="D856" s="2">
        <f ca="1">IFERROR(__xludf.DUMMYFUNCTION("""COMPUTED_VALUE"""),3010)</f>
        <v>3010</v>
      </c>
      <c r="E856" s="2">
        <f ca="1">IFERROR(__xludf.DUMMYFUNCTION("""COMPUTED_VALUE"""),3010)</f>
        <v>3010</v>
      </c>
      <c r="F856" s="2">
        <f ca="1">IFERROR(__xludf.DUMMYFUNCTION("""COMPUTED_VALUE"""),72961600)</f>
        <v>72961600</v>
      </c>
    </row>
    <row r="857" spans="1:6">
      <c r="A857" s="5">
        <f ca="1">IFERROR(__xludf.DUMMYFUNCTION("""COMPUTED_VALUE"""),43306.625)</f>
        <v>43306.625</v>
      </c>
      <c r="B857" s="2">
        <f ca="1">IFERROR(__xludf.DUMMYFUNCTION("""COMPUTED_VALUE"""),2980)</f>
        <v>2980</v>
      </c>
      <c r="C857" s="2">
        <f ca="1">IFERROR(__xludf.DUMMYFUNCTION("""COMPUTED_VALUE"""),3020)</f>
        <v>3020</v>
      </c>
      <c r="D857" s="2">
        <f ca="1">IFERROR(__xludf.DUMMYFUNCTION("""COMPUTED_VALUE"""),2950)</f>
        <v>2950</v>
      </c>
      <c r="E857" s="2">
        <f ca="1">IFERROR(__xludf.DUMMYFUNCTION("""COMPUTED_VALUE"""),2990)</f>
        <v>2990</v>
      </c>
      <c r="F857" s="2">
        <f ca="1">IFERROR(__xludf.DUMMYFUNCTION("""COMPUTED_VALUE"""),71955500)</f>
        <v>71955500</v>
      </c>
    </row>
    <row r="858" spans="1:6">
      <c r="A858" s="5">
        <f ca="1">IFERROR(__xludf.DUMMYFUNCTION("""COMPUTED_VALUE"""),43307.625)</f>
        <v>43307.625</v>
      </c>
      <c r="B858" s="2">
        <f ca="1">IFERROR(__xludf.DUMMYFUNCTION("""COMPUTED_VALUE"""),3050)</f>
        <v>3050</v>
      </c>
      <c r="C858" s="2">
        <f ca="1">IFERROR(__xludf.DUMMYFUNCTION("""COMPUTED_VALUE"""),3070)</f>
        <v>3070</v>
      </c>
      <c r="D858" s="2">
        <f ca="1">IFERROR(__xludf.DUMMYFUNCTION("""COMPUTED_VALUE"""),3030)</f>
        <v>3030</v>
      </c>
      <c r="E858" s="2">
        <f ca="1">IFERROR(__xludf.DUMMYFUNCTION("""COMPUTED_VALUE"""),3040)</f>
        <v>3040</v>
      </c>
      <c r="F858" s="2">
        <f ca="1">IFERROR(__xludf.DUMMYFUNCTION("""COMPUTED_VALUE"""),84696100)</f>
        <v>84696100</v>
      </c>
    </row>
    <row r="859" spans="1:6">
      <c r="A859" s="5">
        <f ca="1">IFERROR(__xludf.DUMMYFUNCTION("""COMPUTED_VALUE"""),43308.625)</f>
        <v>43308.625</v>
      </c>
      <c r="B859" s="2">
        <f ca="1">IFERROR(__xludf.DUMMYFUNCTION("""COMPUTED_VALUE"""),3060)</f>
        <v>3060</v>
      </c>
      <c r="C859" s="2">
        <f ca="1">IFERROR(__xludf.DUMMYFUNCTION("""COMPUTED_VALUE"""),3090)</f>
        <v>3090</v>
      </c>
      <c r="D859" s="2">
        <f ca="1">IFERROR(__xludf.DUMMYFUNCTION("""COMPUTED_VALUE"""),3020)</f>
        <v>3020</v>
      </c>
      <c r="E859" s="2">
        <f ca="1">IFERROR(__xludf.DUMMYFUNCTION("""COMPUTED_VALUE"""),3090)</f>
        <v>3090</v>
      </c>
      <c r="F859" s="2">
        <f ca="1">IFERROR(__xludf.DUMMYFUNCTION("""COMPUTED_VALUE"""),54705200)</f>
        <v>54705200</v>
      </c>
    </row>
    <row r="860" spans="1:6">
      <c r="A860" s="5">
        <f ca="1">IFERROR(__xludf.DUMMYFUNCTION("""COMPUTED_VALUE"""),43311.625)</f>
        <v>43311.625</v>
      </c>
      <c r="B860" s="2">
        <f ca="1">IFERROR(__xludf.DUMMYFUNCTION("""COMPUTED_VALUE"""),3100)</f>
        <v>3100</v>
      </c>
      <c r="C860" s="2">
        <f ca="1">IFERROR(__xludf.DUMMYFUNCTION("""COMPUTED_VALUE"""),3110)</f>
        <v>3110</v>
      </c>
      <c r="D860" s="2">
        <f ca="1">IFERROR(__xludf.DUMMYFUNCTION("""COMPUTED_VALUE"""),3070)</f>
        <v>3070</v>
      </c>
      <c r="E860" s="2">
        <f ca="1">IFERROR(__xludf.DUMMYFUNCTION("""COMPUTED_VALUE"""),3080)</f>
        <v>3080</v>
      </c>
      <c r="F860" s="2">
        <f ca="1">IFERROR(__xludf.DUMMYFUNCTION("""COMPUTED_VALUE"""),66856300)</f>
        <v>66856300</v>
      </c>
    </row>
    <row r="861" spans="1:6">
      <c r="A861" s="5">
        <f ca="1">IFERROR(__xludf.DUMMYFUNCTION("""COMPUTED_VALUE"""),43312.625)</f>
        <v>43312.625</v>
      </c>
      <c r="B861" s="2">
        <f ca="1">IFERROR(__xludf.DUMMYFUNCTION("""COMPUTED_VALUE"""),3080)</f>
        <v>3080</v>
      </c>
      <c r="C861" s="2">
        <f ca="1">IFERROR(__xludf.DUMMYFUNCTION("""COMPUTED_VALUE"""),3080)</f>
        <v>3080</v>
      </c>
      <c r="D861" s="2">
        <f ca="1">IFERROR(__xludf.DUMMYFUNCTION("""COMPUTED_VALUE"""),3000)</f>
        <v>3000</v>
      </c>
      <c r="E861" s="2">
        <f ca="1">IFERROR(__xludf.DUMMYFUNCTION("""COMPUTED_VALUE"""),3070)</f>
        <v>3070</v>
      </c>
      <c r="F861" s="2">
        <f ca="1">IFERROR(__xludf.DUMMYFUNCTION("""COMPUTED_VALUE"""),107458400)</f>
        <v>107458400</v>
      </c>
    </row>
    <row r="862" spans="1:6">
      <c r="A862" s="5">
        <f ca="1">IFERROR(__xludf.DUMMYFUNCTION("""COMPUTED_VALUE"""),43313.625)</f>
        <v>43313.625</v>
      </c>
      <c r="B862" s="2">
        <f ca="1">IFERROR(__xludf.DUMMYFUNCTION("""COMPUTED_VALUE"""),3070)</f>
        <v>3070</v>
      </c>
      <c r="C862" s="2">
        <f ca="1">IFERROR(__xludf.DUMMYFUNCTION("""COMPUTED_VALUE"""),3200)</f>
        <v>3200</v>
      </c>
      <c r="D862" s="2">
        <f ca="1">IFERROR(__xludf.DUMMYFUNCTION("""COMPUTED_VALUE"""),3050)</f>
        <v>3050</v>
      </c>
      <c r="E862" s="2">
        <f ca="1">IFERROR(__xludf.DUMMYFUNCTION("""COMPUTED_VALUE"""),3190)</f>
        <v>3190</v>
      </c>
      <c r="F862" s="2">
        <f ca="1">IFERROR(__xludf.DUMMYFUNCTION("""COMPUTED_VALUE"""),147098300)</f>
        <v>147098300</v>
      </c>
    </row>
    <row r="863" spans="1:6">
      <c r="A863" s="5">
        <f ca="1">IFERROR(__xludf.DUMMYFUNCTION("""COMPUTED_VALUE"""),43314.625)</f>
        <v>43314.625</v>
      </c>
      <c r="B863" s="2">
        <f ca="1">IFERROR(__xludf.DUMMYFUNCTION("""COMPUTED_VALUE"""),3200)</f>
        <v>3200</v>
      </c>
      <c r="C863" s="2">
        <f ca="1">IFERROR(__xludf.DUMMYFUNCTION("""COMPUTED_VALUE"""),3260)</f>
        <v>3260</v>
      </c>
      <c r="D863" s="2">
        <f ca="1">IFERROR(__xludf.DUMMYFUNCTION("""COMPUTED_VALUE"""),3190)</f>
        <v>3190</v>
      </c>
      <c r="E863" s="2">
        <f ca="1">IFERROR(__xludf.DUMMYFUNCTION("""COMPUTED_VALUE"""),3250)</f>
        <v>3250</v>
      </c>
      <c r="F863" s="2">
        <f ca="1">IFERROR(__xludf.DUMMYFUNCTION("""COMPUTED_VALUE"""),158406800)</f>
        <v>158406800</v>
      </c>
    </row>
    <row r="864" spans="1:6">
      <c r="A864" s="5">
        <f ca="1">IFERROR(__xludf.DUMMYFUNCTION("""COMPUTED_VALUE"""),43315.625)</f>
        <v>43315.625</v>
      </c>
      <c r="B864" s="2">
        <f ca="1">IFERROR(__xludf.DUMMYFUNCTION("""COMPUTED_VALUE"""),3270)</f>
        <v>3270</v>
      </c>
      <c r="C864" s="2">
        <f ca="1">IFERROR(__xludf.DUMMYFUNCTION("""COMPUTED_VALUE"""),3350)</f>
        <v>3350</v>
      </c>
      <c r="D864" s="2">
        <f ca="1">IFERROR(__xludf.DUMMYFUNCTION("""COMPUTED_VALUE"""),3230)</f>
        <v>3230</v>
      </c>
      <c r="E864" s="2">
        <f ca="1">IFERROR(__xludf.DUMMYFUNCTION("""COMPUTED_VALUE"""),3330)</f>
        <v>3330</v>
      </c>
      <c r="F864" s="2">
        <f ca="1">IFERROR(__xludf.DUMMYFUNCTION("""COMPUTED_VALUE"""),100589700)</f>
        <v>100589700</v>
      </c>
    </row>
    <row r="865" spans="1:6">
      <c r="A865" s="5">
        <f ca="1">IFERROR(__xludf.DUMMYFUNCTION("""COMPUTED_VALUE"""),43318.625)</f>
        <v>43318.625</v>
      </c>
      <c r="B865" s="2">
        <f ca="1">IFERROR(__xludf.DUMMYFUNCTION("""COMPUTED_VALUE"""),3350)</f>
        <v>3350</v>
      </c>
      <c r="C865" s="2">
        <f ca="1">IFERROR(__xludf.DUMMYFUNCTION("""COMPUTED_VALUE"""),3420)</f>
        <v>3420</v>
      </c>
      <c r="D865" s="2">
        <f ca="1">IFERROR(__xludf.DUMMYFUNCTION("""COMPUTED_VALUE"""),3340)</f>
        <v>3340</v>
      </c>
      <c r="E865" s="2">
        <f ca="1">IFERROR(__xludf.DUMMYFUNCTION("""COMPUTED_VALUE"""),3410)</f>
        <v>3410</v>
      </c>
      <c r="F865" s="2">
        <f ca="1">IFERROR(__xludf.DUMMYFUNCTION("""COMPUTED_VALUE"""),143310900)</f>
        <v>143310900</v>
      </c>
    </row>
    <row r="866" spans="1:6">
      <c r="A866" s="5">
        <f ca="1">IFERROR(__xludf.DUMMYFUNCTION("""COMPUTED_VALUE"""),43319.625)</f>
        <v>43319.625</v>
      </c>
      <c r="B866" s="2">
        <f ca="1">IFERROR(__xludf.DUMMYFUNCTION("""COMPUTED_VALUE"""),3350)</f>
        <v>3350</v>
      </c>
      <c r="C866" s="2">
        <f ca="1">IFERROR(__xludf.DUMMYFUNCTION("""COMPUTED_VALUE"""),3400)</f>
        <v>3400</v>
      </c>
      <c r="D866" s="2">
        <f ca="1">IFERROR(__xludf.DUMMYFUNCTION("""COMPUTED_VALUE"""),3330)</f>
        <v>3330</v>
      </c>
      <c r="E866" s="2">
        <f ca="1">IFERROR(__xludf.DUMMYFUNCTION("""COMPUTED_VALUE"""),3350)</f>
        <v>3350</v>
      </c>
      <c r="F866" s="2">
        <f ca="1">IFERROR(__xludf.DUMMYFUNCTION("""COMPUTED_VALUE"""),89404000)</f>
        <v>89404000</v>
      </c>
    </row>
    <row r="867" spans="1:6">
      <c r="A867" s="5">
        <f ca="1">IFERROR(__xludf.DUMMYFUNCTION("""COMPUTED_VALUE"""),43320.625)</f>
        <v>43320.625</v>
      </c>
      <c r="B867" s="2">
        <f ca="1">IFERROR(__xludf.DUMMYFUNCTION("""COMPUTED_VALUE"""),3400)</f>
        <v>3400</v>
      </c>
      <c r="C867" s="2">
        <f ca="1">IFERROR(__xludf.DUMMYFUNCTION("""COMPUTED_VALUE"""),3400)</f>
        <v>3400</v>
      </c>
      <c r="D867" s="2">
        <f ca="1">IFERROR(__xludf.DUMMYFUNCTION("""COMPUTED_VALUE"""),3310)</f>
        <v>3310</v>
      </c>
      <c r="E867" s="2">
        <f ca="1">IFERROR(__xludf.DUMMYFUNCTION("""COMPUTED_VALUE"""),3330)</f>
        <v>3330</v>
      </c>
      <c r="F867" s="2">
        <f ca="1">IFERROR(__xludf.DUMMYFUNCTION("""COMPUTED_VALUE"""),90710200)</f>
        <v>90710200</v>
      </c>
    </row>
    <row r="868" spans="1:6">
      <c r="A868" s="5">
        <f ca="1">IFERROR(__xludf.DUMMYFUNCTION("""COMPUTED_VALUE"""),43321.625)</f>
        <v>43321.625</v>
      </c>
      <c r="B868" s="2">
        <f ca="1">IFERROR(__xludf.DUMMYFUNCTION("""COMPUTED_VALUE"""),3330)</f>
        <v>3330</v>
      </c>
      <c r="C868" s="2">
        <f ca="1">IFERROR(__xludf.DUMMYFUNCTION("""COMPUTED_VALUE"""),3350)</f>
        <v>3350</v>
      </c>
      <c r="D868" s="2">
        <f ca="1">IFERROR(__xludf.DUMMYFUNCTION("""COMPUTED_VALUE"""),3300)</f>
        <v>3300</v>
      </c>
      <c r="E868" s="2">
        <f ca="1">IFERROR(__xludf.DUMMYFUNCTION("""COMPUTED_VALUE"""),3330)</f>
        <v>3330</v>
      </c>
      <c r="F868" s="2">
        <f ca="1">IFERROR(__xludf.DUMMYFUNCTION("""COMPUTED_VALUE"""),69654300)</f>
        <v>69654300</v>
      </c>
    </row>
    <row r="869" spans="1:6">
      <c r="A869" s="5">
        <f ca="1">IFERROR(__xludf.DUMMYFUNCTION("""COMPUTED_VALUE"""),43322.625)</f>
        <v>43322.625</v>
      </c>
      <c r="B869" s="2">
        <f ca="1">IFERROR(__xludf.DUMMYFUNCTION("""COMPUTED_VALUE"""),3350)</f>
        <v>3350</v>
      </c>
      <c r="C869" s="2">
        <f ca="1">IFERROR(__xludf.DUMMYFUNCTION("""COMPUTED_VALUE"""),3470)</f>
        <v>3470</v>
      </c>
      <c r="D869" s="2">
        <f ca="1">IFERROR(__xludf.DUMMYFUNCTION("""COMPUTED_VALUE"""),3350)</f>
        <v>3350</v>
      </c>
      <c r="E869" s="2">
        <f ca="1">IFERROR(__xludf.DUMMYFUNCTION("""COMPUTED_VALUE"""),3390)</f>
        <v>3390</v>
      </c>
      <c r="F869" s="2">
        <f ca="1">IFERROR(__xludf.DUMMYFUNCTION("""COMPUTED_VALUE"""),115961500)</f>
        <v>115961500</v>
      </c>
    </row>
    <row r="870" spans="1:6">
      <c r="A870" s="5">
        <f ca="1">IFERROR(__xludf.DUMMYFUNCTION("""COMPUTED_VALUE"""),43325.625)</f>
        <v>43325.625</v>
      </c>
      <c r="B870" s="2">
        <f ca="1">IFERROR(__xludf.DUMMYFUNCTION("""COMPUTED_VALUE"""),3300)</f>
        <v>3300</v>
      </c>
      <c r="C870" s="2">
        <f ca="1">IFERROR(__xludf.DUMMYFUNCTION("""COMPUTED_VALUE"""),3320)</f>
        <v>3320</v>
      </c>
      <c r="D870" s="2">
        <f ca="1">IFERROR(__xludf.DUMMYFUNCTION("""COMPUTED_VALUE"""),3130)</f>
        <v>3130</v>
      </c>
      <c r="E870" s="2">
        <f ca="1">IFERROR(__xludf.DUMMYFUNCTION("""COMPUTED_VALUE"""),3140)</f>
        <v>3140</v>
      </c>
      <c r="F870" s="2">
        <f ca="1">IFERROR(__xludf.DUMMYFUNCTION("""COMPUTED_VALUE"""),179328600)</f>
        <v>179328600</v>
      </c>
    </row>
    <row r="871" spans="1:6">
      <c r="A871" s="5">
        <f ca="1">IFERROR(__xludf.DUMMYFUNCTION("""COMPUTED_VALUE"""),43326.625)</f>
        <v>43326.625</v>
      </c>
      <c r="B871" s="2">
        <f ca="1">IFERROR(__xludf.DUMMYFUNCTION("""COMPUTED_VALUE"""),3090)</f>
        <v>3090</v>
      </c>
      <c r="C871" s="2">
        <f ca="1">IFERROR(__xludf.DUMMYFUNCTION("""COMPUTED_VALUE"""),3150)</f>
        <v>3150</v>
      </c>
      <c r="D871" s="2">
        <f ca="1">IFERROR(__xludf.DUMMYFUNCTION("""COMPUTED_VALUE"""),3040)</f>
        <v>3040</v>
      </c>
      <c r="E871" s="2">
        <f ca="1">IFERROR(__xludf.DUMMYFUNCTION("""COMPUTED_VALUE"""),3130)</f>
        <v>3130</v>
      </c>
      <c r="F871" s="2">
        <f ca="1">IFERROR(__xludf.DUMMYFUNCTION("""COMPUTED_VALUE"""),154831700)</f>
        <v>154831700</v>
      </c>
    </row>
    <row r="872" spans="1:6">
      <c r="A872" s="5">
        <f ca="1">IFERROR(__xludf.DUMMYFUNCTION("""COMPUTED_VALUE"""),43327.625)</f>
        <v>43327.625</v>
      </c>
      <c r="B872" s="2">
        <f ca="1">IFERROR(__xludf.DUMMYFUNCTION("""COMPUTED_VALUE"""),3150)</f>
        <v>3150</v>
      </c>
      <c r="C872" s="2">
        <f ca="1">IFERROR(__xludf.DUMMYFUNCTION("""COMPUTED_VALUE"""),3220)</f>
        <v>3220</v>
      </c>
      <c r="D872" s="2">
        <f ca="1">IFERROR(__xludf.DUMMYFUNCTION("""COMPUTED_VALUE"""),3020)</f>
        <v>3020</v>
      </c>
      <c r="E872" s="2">
        <f ca="1">IFERROR(__xludf.DUMMYFUNCTION("""COMPUTED_VALUE"""),3210)</f>
        <v>3210</v>
      </c>
      <c r="F872" s="2">
        <f ca="1">IFERROR(__xludf.DUMMYFUNCTION("""COMPUTED_VALUE"""),138367300)</f>
        <v>138367300</v>
      </c>
    </row>
    <row r="873" spans="1:6">
      <c r="A873" s="5">
        <f ca="1">IFERROR(__xludf.DUMMYFUNCTION("""COMPUTED_VALUE"""),43328.625)</f>
        <v>43328.625</v>
      </c>
      <c r="B873" s="2">
        <f ca="1">IFERROR(__xludf.DUMMYFUNCTION("""COMPUTED_VALUE"""),3180)</f>
        <v>3180</v>
      </c>
      <c r="C873" s="2">
        <f ca="1">IFERROR(__xludf.DUMMYFUNCTION("""COMPUTED_VALUE"""),3180)</f>
        <v>3180</v>
      </c>
      <c r="D873" s="2">
        <f ca="1">IFERROR(__xludf.DUMMYFUNCTION("""COMPUTED_VALUE"""),3050)</f>
        <v>3050</v>
      </c>
      <c r="E873" s="2">
        <f ca="1">IFERROR(__xludf.DUMMYFUNCTION("""COMPUTED_VALUE"""),3050)</f>
        <v>3050</v>
      </c>
      <c r="F873" s="2">
        <f ca="1">IFERROR(__xludf.DUMMYFUNCTION("""COMPUTED_VALUE"""),163665300)</f>
        <v>163665300</v>
      </c>
    </row>
    <row r="874" spans="1:6">
      <c r="A874" s="5">
        <f ca="1">IFERROR(__xludf.DUMMYFUNCTION("""COMPUTED_VALUE"""),43332.625)</f>
        <v>43332.625</v>
      </c>
      <c r="B874" s="2">
        <f ca="1">IFERROR(__xludf.DUMMYFUNCTION("""COMPUTED_VALUE"""),3080)</f>
        <v>3080</v>
      </c>
      <c r="C874" s="2">
        <f ca="1">IFERROR(__xludf.DUMMYFUNCTION("""COMPUTED_VALUE"""),3190)</f>
        <v>3190</v>
      </c>
      <c r="D874" s="2">
        <f ca="1">IFERROR(__xludf.DUMMYFUNCTION("""COMPUTED_VALUE"""),3080)</f>
        <v>3080</v>
      </c>
      <c r="E874" s="2">
        <f ca="1">IFERROR(__xludf.DUMMYFUNCTION("""COMPUTED_VALUE"""),3180)</f>
        <v>3180</v>
      </c>
      <c r="F874" s="2">
        <f ca="1">IFERROR(__xludf.DUMMYFUNCTION("""COMPUTED_VALUE"""),101377000)</f>
        <v>101377000</v>
      </c>
    </row>
    <row r="875" spans="1:6">
      <c r="A875" s="5">
        <f ca="1">IFERROR(__xludf.DUMMYFUNCTION("""COMPUTED_VALUE"""),43333.625)</f>
        <v>43333.625</v>
      </c>
      <c r="B875" s="2">
        <f ca="1">IFERROR(__xludf.DUMMYFUNCTION("""COMPUTED_VALUE"""),3130)</f>
        <v>3130</v>
      </c>
      <c r="C875" s="2">
        <f ca="1">IFERROR(__xludf.DUMMYFUNCTION("""COMPUTED_VALUE"""),3180)</f>
        <v>3180</v>
      </c>
      <c r="D875" s="2">
        <f ca="1">IFERROR(__xludf.DUMMYFUNCTION("""COMPUTED_VALUE"""),3120)</f>
        <v>3120</v>
      </c>
      <c r="E875" s="2">
        <f ca="1">IFERROR(__xludf.DUMMYFUNCTION("""COMPUTED_VALUE"""),3150)</f>
        <v>3150</v>
      </c>
      <c r="F875" s="2">
        <f ca="1">IFERROR(__xludf.DUMMYFUNCTION("""COMPUTED_VALUE"""),59513000)</f>
        <v>59513000</v>
      </c>
    </row>
    <row r="876" spans="1:6">
      <c r="A876" s="5">
        <f ca="1">IFERROR(__xludf.DUMMYFUNCTION("""COMPUTED_VALUE"""),43335.625)</f>
        <v>43335.625</v>
      </c>
      <c r="B876" s="2">
        <f ca="1">IFERROR(__xludf.DUMMYFUNCTION("""COMPUTED_VALUE"""),3180)</f>
        <v>3180</v>
      </c>
      <c r="C876" s="2">
        <f ca="1">IFERROR(__xludf.DUMMYFUNCTION("""COMPUTED_VALUE"""),3270)</f>
        <v>3270</v>
      </c>
      <c r="D876" s="2">
        <f ca="1">IFERROR(__xludf.DUMMYFUNCTION("""COMPUTED_VALUE"""),3130)</f>
        <v>3130</v>
      </c>
      <c r="E876" s="2">
        <f ca="1">IFERROR(__xludf.DUMMYFUNCTION("""COMPUTED_VALUE"""),3270)</f>
        <v>3270</v>
      </c>
      <c r="F876" s="2">
        <f ca="1">IFERROR(__xludf.DUMMYFUNCTION("""COMPUTED_VALUE"""),155835200)</f>
        <v>155835200</v>
      </c>
    </row>
    <row r="877" spans="1:6">
      <c r="A877" s="5">
        <f ca="1">IFERROR(__xludf.DUMMYFUNCTION("""COMPUTED_VALUE"""),43336.625)</f>
        <v>43336.625</v>
      </c>
      <c r="B877" s="2">
        <f ca="1">IFERROR(__xludf.DUMMYFUNCTION("""COMPUTED_VALUE"""),3270)</f>
        <v>3270</v>
      </c>
      <c r="C877" s="2">
        <f ca="1">IFERROR(__xludf.DUMMYFUNCTION("""COMPUTED_VALUE"""),3290)</f>
        <v>3290</v>
      </c>
      <c r="D877" s="2">
        <f ca="1">IFERROR(__xludf.DUMMYFUNCTION("""COMPUTED_VALUE"""),3230)</f>
        <v>3230</v>
      </c>
      <c r="E877" s="2">
        <f ca="1">IFERROR(__xludf.DUMMYFUNCTION("""COMPUTED_VALUE"""),3270)</f>
        <v>3270</v>
      </c>
      <c r="F877" s="2">
        <f ca="1">IFERROR(__xludf.DUMMYFUNCTION("""COMPUTED_VALUE"""),96811700)</f>
        <v>96811700</v>
      </c>
    </row>
    <row r="878" spans="1:6">
      <c r="A878" s="5">
        <f ca="1">IFERROR(__xludf.DUMMYFUNCTION("""COMPUTED_VALUE"""),43339.625)</f>
        <v>43339.625</v>
      </c>
      <c r="B878" s="2">
        <f ca="1">IFERROR(__xludf.DUMMYFUNCTION("""COMPUTED_VALUE"""),3320)</f>
        <v>3320</v>
      </c>
      <c r="C878" s="2">
        <f ca="1">IFERROR(__xludf.DUMMYFUNCTION("""COMPUTED_VALUE"""),3380)</f>
        <v>3380</v>
      </c>
      <c r="D878" s="2">
        <f ca="1">IFERROR(__xludf.DUMMYFUNCTION("""COMPUTED_VALUE"""),3290)</f>
        <v>3290</v>
      </c>
      <c r="E878" s="2">
        <f ca="1">IFERROR(__xludf.DUMMYFUNCTION("""COMPUTED_VALUE"""),3380)</f>
        <v>3380</v>
      </c>
      <c r="F878" s="2">
        <f ca="1">IFERROR(__xludf.DUMMYFUNCTION("""COMPUTED_VALUE"""),112367400)</f>
        <v>112367400</v>
      </c>
    </row>
    <row r="879" spans="1:6">
      <c r="A879" s="5">
        <f ca="1">IFERROR(__xludf.DUMMYFUNCTION("""COMPUTED_VALUE"""),43340.625)</f>
        <v>43340.625</v>
      </c>
      <c r="B879" s="2">
        <f ca="1">IFERROR(__xludf.DUMMYFUNCTION("""COMPUTED_VALUE"""),3330)</f>
        <v>3330</v>
      </c>
      <c r="C879" s="2">
        <f ca="1">IFERROR(__xludf.DUMMYFUNCTION("""COMPUTED_VALUE"""),3380)</f>
        <v>3380</v>
      </c>
      <c r="D879" s="2">
        <f ca="1">IFERROR(__xludf.DUMMYFUNCTION("""COMPUTED_VALUE"""),3300)</f>
        <v>3300</v>
      </c>
      <c r="E879" s="2">
        <f ca="1">IFERROR(__xludf.DUMMYFUNCTION("""COMPUTED_VALUE"""),3330)</f>
        <v>3330</v>
      </c>
      <c r="F879" s="2">
        <f ca="1">IFERROR(__xludf.DUMMYFUNCTION("""COMPUTED_VALUE"""),99638200)</f>
        <v>99638200</v>
      </c>
    </row>
    <row r="880" spans="1:6">
      <c r="A880" s="5">
        <f ca="1">IFERROR(__xludf.DUMMYFUNCTION("""COMPUTED_VALUE"""),43341.625)</f>
        <v>43341.625</v>
      </c>
      <c r="B880" s="2">
        <f ca="1">IFERROR(__xludf.DUMMYFUNCTION("""COMPUTED_VALUE"""),3260)</f>
        <v>3260</v>
      </c>
      <c r="C880" s="2">
        <f ca="1">IFERROR(__xludf.DUMMYFUNCTION("""COMPUTED_VALUE"""),3300)</f>
        <v>3300</v>
      </c>
      <c r="D880" s="2">
        <f ca="1">IFERROR(__xludf.DUMMYFUNCTION("""COMPUTED_VALUE"""),3250)</f>
        <v>3250</v>
      </c>
      <c r="E880" s="2">
        <f ca="1">IFERROR(__xludf.DUMMYFUNCTION("""COMPUTED_VALUE"""),3290)</f>
        <v>3290</v>
      </c>
      <c r="F880" s="2">
        <f ca="1">IFERROR(__xludf.DUMMYFUNCTION("""COMPUTED_VALUE"""),79096600)</f>
        <v>79096600</v>
      </c>
    </row>
    <row r="881" spans="1:6">
      <c r="A881" s="5">
        <f ca="1">IFERROR(__xludf.DUMMYFUNCTION("""COMPUTED_VALUE"""),43342.625)</f>
        <v>43342.625</v>
      </c>
      <c r="B881" s="2">
        <f ca="1">IFERROR(__xludf.DUMMYFUNCTION("""COMPUTED_VALUE"""),3290)</f>
        <v>3290</v>
      </c>
      <c r="C881" s="2">
        <f ca="1">IFERROR(__xludf.DUMMYFUNCTION("""COMPUTED_VALUE"""),3310)</f>
        <v>3310</v>
      </c>
      <c r="D881" s="2">
        <f ca="1">IFERROR(__xludf.DUMMYFUNCTION("""COMPUTED_VALUE"""),3190)</f>
        <v>3190</v>
      </c>
      <c r="E881" s="2">
        <f ca="1">IFERROR(__xludf.DUMMYFUNCTION("""COMPUTED_VALUE"""),3190)</f>
        <v>3190</v>
      </c>
      <c r="F881" s="2">
        <f ca="1">IFERROR(__xludf.DUMMYFUNCTION("""COMPUTED_VALUE"""),83543000)</f>
        <v>83543000</v>
      </c>
    </row>
    <row r="882" spans="1:6">
      <c r="A882" s="5">
        <f ca="1">IFERROR(__xludf.DUMMYFUNCTION("""COMPUTED_VALUE"""),43343.625)</f>
        <v>43343.625</v>
      </c>
      <c r="B882" s="2">
        <f ca="1">IFERROR(__xludf.DUMMYFUNCTION("""COMPUTED_VALUE"""),3180)</f>
        <v>3180</v>
      </c>
      <c r="C882" s="2">
        <f ca="1">IFERROR(__xludf.DUMMYFUNCTION("""COMPUTED_VALUE"""),3180)</f>
        <v>3180</v>
      </c>
      <c r="D882" s="2">
        <f ca="1">IFERROR(__xludf.DUMMYFUNCTION("""COMPUTED_VALUE"""),3110)</f>
        <v>3110</v>
      </c>
      <c r="E882" s="2">
        <f ca="1">IFERROR(__xludf.DUMMYFUNCTION("""COMPUTED_VALUE"""),3180)</f>
        <v>3180</v>
      </c>
      <c r="F882" s="2">
        <f ca="1">IFERROR(__xludf.DUMMYFUNCTION("""COMPUTED_VALUE"""),142665100)</f>
        <v>142665100</v>
      </c>
    </row>
    <row r="883" spans="1:6">
      <c r="A883" s="5">
        <f ca="1">IFERROR(__xludf.DUMMYFUNCTION("""COMPUTED_VALUE"""),43346.625)</f>
        <v>43346.625</v>
      </c>
      <c r="B883" s="2">
        <f ca="1">IFERROR(__xludf.DUMMYFUNCTION("""COMPUTED_VALUE"""),3180)</f>
        <v>3180</v>
      </c>
      <c r="C883" s="2">
        <f ca="1">IFERROR(__xludf.DUMMYFUNCTION("""COMPUTED_VALUE"""),3220)</f>
        <v>3220</v>
      </c>
      <c r="D883" s="2">
        <f ca="1">IFERROR(__xludf.DUMMYFUNCTION("""COMPUTED_VALUE"""),3160)</f>
        <v>3160</v>
      </c>
      <c r="E883" s="2">
        <f ca="1">IFERROR(__xludf.DUMMYFUNCTION("""COMPUTED_VALUE"""),3170)</f>
        <v>3170</v>
      </c>
      <c r="F883" s="2">
        <f ca="1">IFERROR(__xludf.DUMMYFUNCTION("""COMPUTED_VALUE"""),64396700)</f>
        <v>64396700</v>
      </c>
    </row>
    <row r="884" spans="1:6">
      <c r="A884" s="5">
        <f ca="1">IFERROR(__xludf.DUMMYFUNCTION("""COMPUTED_VALUE"""),43347.625)</f>
        <v>43347.625</v>
      </c>
      <c r="B884" s="2">
        <f ca="1">IFERROR(__xludf.DUMMYFUNCTION("""COMPUTED_VALUE"""),3200)</f>
        <v>3200</v>
      </c>
      <c r="C884" s="2">
        <f ca="1">IFERROR(__xludf.DUMMYFUNCTION("""COMPUTED_VALUE"""),3200)</f>
        <v>3200</v>
      </c>
      <c r="D884" s="2">
        <f ca="1">IFERROR(__xludf.DUMMYFUNCTION("""COMPUTED_VALUE"""),3090)</f>
        <v>3090</v>
      </c>
      <c r="E884" s="2">
        <f ca="1">IFERROR(__xludf.DUMMYFUNCTION("""COMPUTED_VALUE"""),3110)</f>
        <v>3110</v>
      </c>
      <c r="F884" s="2">
        <f ca="1">IFERROR(__xludf.DUMMYFUNCTION("""COMPUTED_VALUE"""),76142400)</f>
        <v>76142400</v>
      </c>
    </row>
    <row r="885" spans="1:6">
      <c r="A885" s="5">
        <f ca="1">IFERROR(__xludf.DUMMYFUNCTION("""COMPUTED_VALUE"""),43348.625)</f>
        <v>43348.625</v>
      </c>
      <c r="B885" s="2">
        <f ca="1">IFERROR(__xludf.DUMMYFUNCTION("""COMPUTED_VALUE"""),3070)</f>
        <v>3070</v>
      </c>
      <c r="C885" s="2">
        <f ca="1">IFERROR(__xludf.DUMMYFUNCTION("""COMPUTED_VALUE"""),3070)</f>
        <v>3070</v>
      </c>
      <c r="D885" s="2">
        <f ca="1">IFERROR(__xludf.DUMMYFUNCTION("""COMPUTED_VALUE"""),2900)</f>
        <v>2900</v>
      </c>
      <c r="E885" s="2">
        <f ca="1">IFERROR(__xludf.DUMMYFUNCTION("""COMPUTED_VALUE"""),2930)</f>
        <v>2930</v>
      </c>
      <c r="F885" s="2">
        <f ca="1">IFERROR(__xludf.DUMMYFUNCTION("""COMPUTED_VALUE"""),212574400)</f>
        <v>212574400</v>
      </c>
    </row>
    <row r="886" spans="1:6">
      <c r="A886" s="5">
        <f ca="1">IFERROR(__xludf.DUMMYFUNCTION("""COMPUTED_VALUE"""),43349.625)</f>
        <v>43349.625</v>
      </c>
      <c r="B886" s="2">
        <f ca="1">IFERROR(__xludf.DUMMYFUNCTION("""COMPUTED_VALUE"""),2910)</f>
        <v>2910</v>
      </c>
      <c r="C886" s="2">
        <f ca="1">IFERROR(__xludf.DUMMYFUNCTION("""COMPUTED_VALUE"""),2990)</f>
        <v>2990</v>
      </c>
      <c r="D886" s="2">
        <f ca="1">IFERROR(__xludf.DUMMYFUNCTION("""COMPUTED_VALUE"""),2910)</f>
        <v>2910</v>
      </c>
      <c r="E886" s="2">
        <f ca="1">IFERROR(__xludf.DUMMYFUNCTION("""COMPUTED_VALUE"""),2960)</f>
        <v>2960</v>
      </c>
      <c r="F886" s="2">
        <f ca="1">IFERROR(__xludf.DUMMYFUNCTION("""COMPUTED_VALUE"""),205998900)</f>
        <v>205998900</v>
      </c>
    </row>
    <row r="887" spans="1:6">
      <c r="A887" s="5">
        <f ca="1">IFERROR(__xludf.DUMMYFUNCTION("""COMPUTED_VALUE"""),43350.625)</f>
        <v>43350.625</v>
      </c>
      <c r="B887" s="2">
        <f ca="1">IFERROR(__xludf.DUMMYFUNCTION("""COMPUTED_VALUE"""),2980)</f>
        <v>2980</v>
      </c>
      <c r="C887" s="2">
        <f ca="1">IFERROR(__xludf.DUMMYFUNCTION("""COMPUTED_VALUE"""),3030)</f>
        <v>3030</v>
      </c>
      <c r="D887" s="2">
        <f ca="1">IFERROR(__xludf.DUMMYFUNCTION("""COMPUTED_VALUE"""),2960)</f>
        <v>2960</v>
      </c>
      <c r="E887" s="2">
        <f ca="1">IFERROR(__xludf.DUMMYFUNCTION("""COMPUTED_VALUE"""),3030)</f>
        <v>3030</v>
      </c>
      <c r="F887" s="2">
        <f ca="1">IFERROR(__xludf.DUMMYFUNCTION("""COMPUTED_VALUE"""),141556200)</f>
        <v>141556200</v>
      </c>
    </row>
    <row r="888" spans="1:6">
      <c r="A888" s="5">
        <f ca="1">IFERROR(__xludf.DUMMYFUNCTION("""COMPUTED_VALUE"""),43353.625)</f>
        <v>43353.625</v>
      </c>
      <c r="B888" s="2">
        <f ca="1">IFERROR(__xludf.DUMMYFUNCTION("""COMPUTED_VALUE"""),3030)</f>
        <v>3030</v>
      </c>
      <c r="C888" s="2">
        <f ca="1">IFERROR(__xludf.DUMMYFUNCTION("""COMPUTED_VALUE"""),3030)</f>
        <v>3030</v>
      </c>
      <c r="D888" s="2">
        <f ca="1">IFERROR(__xludf.DUMMYFUNCTION("""COMPUTED_VALUE"""),2960)</f>
        <v>2960</v>
      </c>
      <c r="E888" s="2">
        <f ca="1">IFERROR(__xludf.DUMMYFUNCTION("""COMPUTED_VALUE"""),2970)</f>
        <v>2970</v>
      </c>
      <c r="F888" s="2">
        <f ca="1">IFERROR(__xludf.DUMMYFUNCTION("""COMPUTED_VALUE"""),86547600)</f>
        <v>86547600</v>
      </c>
    </row>
    <row r="889" spans="1:6">
      <c r="A889" s="5">
        <f ca="1">IFERROR(__xludf.DUMMYFUNCTION("""COMPUTED_VALUE"""),43355.625)</f>
        <v>43355.625</v>
      </c>
      <c r="B889" s="2">
        <f ca="1">IFERROR(__xludf.DUMMYFUNCTION("""COMPUTED_VALUE"""),2980)</f>
        <v>2980</v>
      </c>
      <c r="C889" s="2">
        <f ca="1">IFERROR(__xludf.DUMMYFUNCTION("""COMPUTED_VALUE"""),3010)</f>
        <v>3010</v>
      </c>
      <c r="D889" s="2">
        <f ca="1">IFERROR(__xludf.DUMMYFUNCTION("""COMPUTED_VALUE"""),2910)</f>
        <v>2910</v>
      </c>
      <c r="E889" s="2">
        <f ca="1">IFERROR(__xludf.DUMMYFUNCTION("""COMPUTED_VALUE"""),2910)</f>
        <v>2910</v>
      </c>
      <c r="F889" s="2">
        <f ca="1">IFERROR(__xludf.DUMMYFUNCTION("""COMPUTED_VALUE"""),118077900)</f>
        <v>118077900</v>
      </c>
    </row>
    <row r="890" spans="1:6">
      <c r="A890" s="5">
        <f ca="1">IFERROR(__xludf.DUMMYFUNCTION("""COMPUTED_VALUE"""),43356.625)</f>
        <v>43356.625</v>
      </c>
      <c r="B890" s="2">
        <f ca="1">IFERROR(__xludf.DUMMYFUNCTION("""COMPUTED_VALUE"""),2960)</f>
        <v>2960</v>
      </c>
      <c r="C890" s="2">
        <f ca="1">IFERROR(__xludf.DUMMYFUNCTION("""COMPUTED_VALUE"""),3010)</f>
        <v>3010</v>
      </c>
      <c r="D890" s="2">
        <f ca="1">IFERROR(__xludf.DUMMYFUNCTION("""COMPUTED_VALUE"""),2960)</f>
        <v>2960</v>
      </c>
      <c r="E890" s="2">
        <f ca="1">IFERROR(__xludf.DUMMYFUNCTION("""COMPUTED_VALUE"""),3000)</f>
        <v>3000</v>
      </c>
      <c r="F890" s="2">
        <f ca="1">IFERROR(__xludf.DUMMYFUNCTION("""COMPUTED_VALUE"""),125523000)</f>
        <v>125523000</v>
      </c>
    </row>
    <row r="891" spans="1:6">
      <c r="A891" s="5">
        <f ca="1">IFERROR(__xludf.DUMMYFUNCTION("""COMPUTED_VALUE"""),43357.625)</f>
        <v>43357.625</v>
      </c>
      <c r="B891" s="2">
        <f ca="1">IFERROR(__xludf.DUMMYFUNCTION("""COMPUTED_VALUE"""),3030)</f>
        <v>3030</v>
      </c>
      <c r="C891" s="2">
        <f ca="1">IFERROR(__xludf.DUMMYFUNCTION("""COMPUTED_VALUE"""),3070)</f>
        <v>3070</v>
      </c>
      <c r="D891" s="2">
        <f ca="1">IFERROR(__xludf.DUMMYFUNCTION("""COMPUTED_VALUE"""),3000)</f>
        <v>3000</v>
      </c>
      <c r="E891" s="2">
        <f ca="1">IFERROR(__xludf.DUMMYFUNCTION("""COMPUTED_VALUE"""),3070)</f>
        <v>3070</v>
      </c>
      <c r="F891" s="2">
        <f ca="1">IFERROR(__xludf.DUMMYFUNCTION("""COMPUTED_VALUE"""),105124900)</f>
        <v>105124900</v>
      </c>
    </row>
    <row r="892" spans="1:6">
      <c r="A892" s="5">
        <f ca="1">IFERROR(__xludf.DUMMYFUNCTION("""COMPUTED_VALUE"""),43360.625)</f>
        <v>43360.625</v>
      </c>
      <c r="B892" s="2">
        <f ca="1">IFERROR(__xludf.DUMMYFUNCTION("""COMPUTED_VALUE"""),3060)</f>
        <v>3060</v>
      </c>
      <c r="C892" s="2">
        <f ca="1">IFERROR(__xludf.DUMMYFUNCTION("""COMPUTED_VALUE"""),3060)</f>
        <v>3060</v>
      </c>
      <c r="D892" s="2">
        <f ca="1">IFERROR(__xludf.DUMMYFUNCTION("""COMPUTED_VALUE"""),2950)</f>
        <v>2950</v>
      </c>
      <c r="E892" s="2">
        <f ca="1">IFERROR(__xludf.DUMMYFUNCTION("""COMPUTED_VALUE"""),2970)</f>
        <v>2970</v>
      </c>
      <c r="F892" s="2">
        <f ca="1">IFERROR(__xludf.DUMMYFUNCTION("""COMPUTED_VALUE"""),91365700)</f>
        <v>91365700</v>
      </c>
    </row>
    <row r="893" spans="1:6">
      <c r="A893" s="5">
        <f ca="1">IFERROR(__xludf.DUMMYFUNCTION("""COMPUTED_VALUE"""),43361.625)</f>
        <v>43361.625</v>
      </c>
      <c r="B893" s="2">
        <f ca="1">IFERROR(__xludf.DUMMYFUNCTION("""COMPUTED_VALUE"""),2970)</f>
        <v>2970</v>
      </c>
      <c r="C893" s="2">
        <f ca="1">IFERROR(__xludf.DUMMYFUNCTION("""COMPUTED_VALUE"""),2980)</f>
        <v>2980</v>
      </c>
      <c r="D893" s="2">
        <f ca="1">IFERROR(__xludf.DUMMYFUNCTION("""COMPUTED_VALUE"""),2920)</f>
        <v>2920</v>
      </c>
      <c r="E893" s="2">
        <f ca="1">IFERROR(__xludf.DUMMYFUNCTION("""COMPUTED_VALUE"""),2940)</f>
        <v>2940</v>
      </c>
      <c r="F893" s="2">
        <f ca="1">IFERROR(__xludf.DUMMYFUNCTION("""COMPUTED_VALUE"""),138381800)</f>
        <v>138381800</v>
      </c>
    </row>
    <row r="894" spans="1:6">
      <c r="A894" s="5">
        <f ca="1">IFERROR(__xludf.DUMMYFUNCTION("""COMPUTED_VALUE"""),43362.625)</f>
        <v>43362.625</v>
      </c>
      <c r="B894" s="2">
        <f ca="1">IFERROR(__xludf.DUMMYFUNCTION("""COMPUTED_VALUE"""),2970)</f>
        <v>2970</v>
      </c>
      <c r="C894" s="2">
        <f ca="1">IFERROR(__xludf.DUMMYFUNCTION("""COMPUTED_VALUE"""),3020)</f>
        <v>3020</v>
      </c>
      <c r="D894" s="2">
        <f ca="1">IFERROR(__xludf.DUMMYFUNCTION("""COMPUTED_VALUE"""),2970)</f>
        <v>2970</v>
      </c>
      <c r="E894" s="2">
        <f ca="1">IFERROR(__xludf.DUMMYFUNCTION("""COMPUTED_VALUE"""),3000)</f>
        <v>3000</v>
      </c>
      <c r="F894" s="2">
        <f ca="1">IFERROR(__xludf.DUMMYFUNCTION("""COMPUTED_VALUE"""),105405100)</f>
        <v>105405100</v>
      </c>
    </row>
    <row r="895" spans="1:6">
      <c r="A895" s="5">
        <f ca="1">IFERROR(__xludf.DUMMYFUNCTION("""COMPUTED_VALUE"""),43363.625)</f>
        <v>43363.625</v>
      </c>
      <c r="B895" s="2">
        <f ca="1">IFERROR(__xludf.DUMMYFUNCTION("""COMPUTED_VALUE"""),3050)</f>
        <v>3050</v>
      </c>
      <c r="C895" s="2">
        <f ca="1">IFERROR(__xludf.DUMMYFUNCTION("""COMPUTED_VALUE"""),3120)</f>
        <v>3120</v>
      </c>
      <c r="D895" s="2">
        <f ca="1">IFERROR(__xludf.DUMMYFUNCTION("""COMPUTED_VALUE"""),3020)</f>
        <v>3020</v>
      </c>
      <c r="E895" s="2">
        <f ca="1">IFERROR(__xludf.DUMMYFUNCTION("""COMPUTED_VALUE"""),3090)</f>
        <v>3090</v>
      </c>
      <c r="F895" s="2">
        <f ca="1">IFERROR(__xludf.DUMMYFUNCTION("""COMPUTED_VALUE"""),154589900)</f>
        <v>154589900</v>
      </c>
    </row>
    <row r="896" spans="1:6">
      <c r="A896" s="5">
        <f ca="1">IFERROR(__xludf.DUMMYFUNCTION("""COMPUTED_VALUE"""),43364.625)</f>
        <v>43364.625</v>
      </c>
      <c r="B896" s="2">
        <f ca="1">IFERROR(__xludf.DUMMYFUNCTION("""COMPUTED_VALUE"""),3150)</f>
        <v>3150</v>
      </c>
      <c r="C896" s="2">
        <f ca="1">IFERROR(__xludf.DUMMYFUNCTION("""COMPUTED_VALUE"""),3190)</f>
        <v>3190</v>
      </c>
      <c r="D896" s="2">
        <f ca="1">IFERROR(__xludf.DUMMYFUNCTION("""COMPUTED_VALUE"""),3120)</f>
        <v>3120</v>
      </c>
      <c r="E896" s="2">
        <f ca="1">IFERROR(__xludf.DUMMYFUNCTION("""COMPUTED_VALUE"""),3120)</f>
        <v>3120</v>
      </c>
      <c r="F896" s="2">
        <f ca="1">IFERROR(__xludf.DUMMYFUNCTION("""COMPUTED_VALUE"""),203213300)</f>
        <v>203213300</v>
      </c>
    </row>
    <row r="897" spans="1:6">
      <c r="A897" s="5">
        <f ca="1">IFERROR(__xludf.DUMMYFUNCTION("""COMPUTED_VALUE"""),43367.625)</f>
        <v>43367.625</v>
      </c>
      <c r="B897" s="2">
        <f ca="1">IFERROR(__xludf.DUMMYFUNCTION("""COMPUTED_VALUE"""),3120)</f>
        <v>3120</v>
      </c>
      <c r="C897" s="2">
        <f ca="1">IFERROR(__xludf.DUMMYFUNCTION("""COMPUTED_VALUE"""),3120)</f>
        <v>3120</v>
      </c>
      <c r="D897" s="2">
        <f ca="1">IFERROR(__xludf.DUMMYFUNCTION("""COMPUTED_VALUE"""),3000)</f>
        <v>3000</v>
      </c>
      <c r="E897" s="2">
        <f ca="1">IFERROR(__xludf.DUMMYFUNCTION("""COMPUTED_VALUE"""),3010)</f>
        <v>3010</v>
      </c>
      <c r="F897" s="2">
        <f ca="1">IFERROR(__xludf.DUMMYFUNCTION("""COMPUTED_VALUE"""),95256300)</f>
        <v>95256300</v>
      </c>
    </row>
    <row r="898" spans="1:6">
      <c r="A898" s="5">
        <f ca="1">IFERROR(__xludf.DUMMYFUNCTION("""COMPUTED_VALUE"""),43368.625)</f>
        <v>43368.625</v>
      </c>
      <c r="B898" s="2">
        <f ca="1">IFERROR(__xludf.DUMMYFUNCTION("""COMPUTED_VALUE"""),3010)</f>
        <v>3010</v>
      </c>
      <c r="C898" s="2">
        <f ca="1">IFERROR(__xludf.DUMMYFUNCTION("""COMPUTED_VALUE"""),3030)</f>
        <v>3030</v>
      </c>
      <c r="D898" s="2">
        <f ca="1">IFERROR(__xludf.DUMMYFUNCTION("""COMPUTED_VALUE"""),2980)</f>
        <v>2980</v>
      </c>
      <c r="E898" s="2">
        <f ca="1">IFERROR(__xludf.DUMMYFUNCTION("""COMPUTED_VALUE"""),3030)</f>
        <v>3030</v>
      </c>
      <c r="F898" s="2">
        <f ca="1">IFERROR(__xludf.DUMMYFUNCTION("""COMPUTED_VALUE"""),110115400)</f>
        <v>110115400</v>
      </c>
    </row>
    <row r="899" spans="1:6">
      <c r="A899" s="5">
        <f ca="1">IFERROR(__xludf.DUMMYFUNCTION("""COMPUTED_VALUE"""),43369.625)</f>
        <v>43369.625</v>
      </c>
      <c r="B899" s="2">
        <f ca="1">IFERROR(__xludf.DUMMYFUNCTION("""COMPUTED_VALUE"""),3030)</f>
        <v>3030</v>
      </c>
      <c r="C899" s="2">
        <f ca="1">IFERROR(__xludf.DUMMYFUNCTION("""COMPUTED_VALUE"""),3060)</f>
        <v>3060</v>
      </c>
      <c r="D899" s="2">
        <f ca="1">IFERROR(__xludf.DUMMYFUNCTION("""COMPUTED_VALUE"""),2990)</f>
        <v>2990</v>
      </c>
      <c r="E899" s="2">
        <f ca="1">IFERROR(__xludf.DUMMYFUNCTION("""COMPUTED_VALUE"""),2990)</f>
        <v>2990</v>
      </c>
      <c r="F899" s="2">
        <f ca="1">IFERROR(__xludf.DUMMYFUNCTION("""COMPUTED_VALUE"""),66799500)</f>
        <v>66799500</v>
      </c>
    </row>
    <row r="900" spans="1:6">
      <c r="A900" s="5">
        <f ca="1">IFERROR(__xludf.DUMMYFUNCTION("""COMPUTED_VALUE"""),43370.625)</f>
        <v>43370.625</v>
      </c>
      <c r="B900" s="2">
        <f ca="1">IFERROR(__xludf.DUMMYFUNCTION("""COMPUTED_VALUE"""),3000)</f>
        <v>3000</v>
      </c>
      <c r="C900" s="2">
        <f ca="1">IFERROR(__xludf.DUMMYFUNCTION("""COMPUTED_VALUE"""),3080)</f>
        <v>3080</v>
      </c>
      <c r="D900" s="2">
        <f ca="1">IFERROR(__xludf.DUMMYFUNCTION("""COMPUTED_VALUE"""),3000)</f>
        <v>3000</v>
      </c>
      <c r="E900" s="2">
        <f ca="1">IFERROR(__xludf.DUMMYFUNCTION("""COMPUTED_VALUE"""),3070)</f>
        <v>3070</v>
      </c>
      <c r="F900" s="2">
        <f ca="1">IFERROR(__xludf.DUMMYFUNCTION("""COMPUTED_VALUE"""),123373000)</f>
        <v>123373000</v>
      </c>
    </row>
    <row r="901" spans="1:6">
      <c r="A901" s="5">
        <f ca="1">IFERROR(__xludf.DUMMYFUNCTION("""COMPUTED_VALUE"""),43371.625)</f>
        <v>43371.625</v>
      </c>
      <c r="B901" s="2">
        <f ca="1">IFERROR(__xludf.DUMMYFUNCTION("""COMPUTED_VALUE"""),3090)</f>
        <v>3090</v>
      </c>
      <c r="C901" s="2">
        <f ca="1">IFERROR(__xludf.DUMMYFUNCTION("""COMPUTED_VALUE"""),3170)</f>
        <v>3170</v>
      </c>
      <c r="D901" s="2">
        <f ca="1">IFERROR(__xludf.DUMMYFUNCTION("""COMPUTED_VALUE"""),3080)</f>
        <v>3080</v>
      </c>
      <c r="E901" s="2">
        <f ca="1">IFERROR(__xludf.DUMMYFUNCTION("""COMPUTED_VALUE"""),3150)</f>
        <v>3150</v>
      </c>
      <c r="F901" s="2">
        <f ca="1">IFERROR(__xludf.DUMMYFUNCTION("""COMPUTED_VALUE"""),154582600)</f>
        <v>154582600</v>
      </c>
    </row>
    <row r="902" spans="1:6">
      <c r="A902" s="5">
        <f ca="1">IFERROR(__xludf.DUMMYFUNCTION("""COMPUTED_VALUE"""),43374.625)</f>
        <v>43374.625</v>
      </c>
      <c r="B902" s="2">
        <f ca="1">IFERROR(__xludf.DUMMYFUNCTION("""COMPUTED_VALUE"""),3150)</f>
        <v>3150</v>
      </c>
      <c r="C902" s="2">
        <f ca="1">IFERROR(__xludf.DUMMYFUNCTION("""COMPUTED_VALUE"""),3190)</f>
        <v>3190</v>
      </c>
      <c r="D902" s="2">
        <f ca="1">IFERROR(__xludf.DUMMYFUNCTION("""COMPUTED_VALUE"""),3150)</f>
        <v>3150</v>
      </c>
      <c r="E902" s="2">
        <f ca="1">IFERROR(__xludf.DUMMYFUNCTION("""COMPUTED_VALUE"""),3180)</f>
        <v>3180</v>
      </c>
      <c r="F902" s="2">
        <f ca="1">IFERROR(__xludf.DUMMYFUNCTION("""COMPUTED_VALUE"""),91436300)</f>
        <v>91436300</v>
      </c>
    </row>
    <row r="903" spans="1:6">
      <c r="A903" s="5">
        <f ca="1">IFERROR(__xludf.DUMMYFUNCTION("""COMPUTED_VALUE"""),43375.625)</f>
        <v>43375.625</v>
      </c>
      <c r="B903" s="2">
        <f ca="1">IFERROR(__xludf.DUMMYFUNCTION("""COMPUTED_VALUE"""),3150)</f>
        <v>3150</v>
      </c>
      <c r="C903" s="2">
        <f ca="1">IFERROR(__xludf.DUMMYFUNCTION("""COMPUTED_VALUE"""),3180)</f>
        <v>3180</v>
      </c>
      <c r="D903" s="2">
        <f ca="1">IFERROR(__xludf.DUMMYFUNCTION("""COMPUTED_VALUE"""),3080)</f>
        <v>3080</v>
      </c>
      <c r="E903" s="2">
        <f ca="1">IFERROR(__xludf.DUMMYFUNCTION("""COMPUTED_VALUE"""),3110)</f>
        <v>3110</v>
      </c>
      <c r="F903" s="2">
        <f ca="1">IFERROR(__xludf.DUMMYFUNCTION("""COMPUTED_VALUE"""),132361000)</f>
        <v>132361000</v>
      </c>
    </row>
    <row r="904" spans="1:6">
      <c r="A904" s="5">
        <f ca="1">IFERROR(__xludf.DUMMYFUNCTION("""COMPUTED_VALUE"""),43376.625)</f>
        <v>43376.625</v>
      </c>
      <c r="B904" s="2">
        <f ca="1">IFERROR(__xludf.DUMMYFUNCTION("""COMPUTED_VALUE"""),3150)</f>
        <v>3150</v>
      </c>
      <c r="C904" s="2">
        <f ca="1">IFERROR(__xludf.DUMMYFUNCTION("""COMPUTED_VALUE"""),3150)</f>
        <v>3150</v>
      </c>
      <c r="D904" s="2">
        <f ca="1">IFERROR(__xludf.DUMMYFUNCTION("""COMPUTED_VALUE"""),3080)</f>
        <v>3080</v>
      </c>
      <c r="E904" s="2">
        <f ca="1">IFERROR(__xludf.DUMMYFUNCTION("""COMPUTED_VALUE"""),3100)</f>
        <v>3100</v>
      </c>
      <c r="F904" s="2">
        <f ca="1">IFERROR(__xludf.DUMMYFUNCTION("""COMPUTED_VALUE"""),70057000)</f>
        <v>70057000</v>
      </c>
    </row>
    <row r="905" spans="1:6">
      <c r="A905" s="5">
        <f ca="1">IFERROR(__xludf.DUMMYFUNCTION("""COMPUTED_VALUE"""),43377.625)</f>
        <v>43377.625</v>
      </c>
      <c r="B905" s="2">
        <f ca="1">IFERROR(__xludf.DUMMYFUNCTION("""COMPUTED_VALUE"""),3060)</f>
        <v>3060</v>
      </c>
      <c r="C905" s="2">
        <f ca="1">IFERROR(__xludf.DUMMYFUNCTION("""COMPUTED_VALUE"""),3060)</f>
        <v>3060</v>
      </c>
      <c r="D905" s="2">
        <f ca="1">IFERROR(__xludf.DUMMYFUNCTION("""COMPUTED_VALUE"""),2980)</f>
        <v>2980</v>
      </c>
      <c r="E905" s="2">
        <f ca="1">IFERROR(__xludf.DUMMYFUNCTION("""COMPUTED_VALUE"""),3000)</f>
        <v>3000</v>
      </c>
      <c r="F905" s="2">
        <f ca="1">IFERROR(__xludf.DUMMYFUNCTION("""COMPUTED_VALUE"""),147172500)</f>
        <v>147172500</v>
      </c>
    </row>
    <row r="906" spans="1:6">
      <c r="A906" s="5">
        <f ca="1">IFERROR(__xludf.DUMMYFUNCTION("""COMPUTED_VALUE"""),43378.625)</f>
        <v>43378.625</v>
      </c>
      <c r="B906" s="2">
        <f ca="1">IFERROR(__xludf.DUMMYFUNCTION("""COMPUTED_VALUE"""),3000)</f>
        <v>3000</v>
      </c>
      <c r="C906" s="2">
        <f ca="1">IFERROR(__xludf.DUMMYFUNCTION("""COMPUTED_VALUE"""),3040)</f>
        <v>3040</v>
      </c>
      <c r="D906" s="2">
        <f ca="1">IFERROR(__xludf.DUMMYFUNCTION("""COMPUTED_VALUE"""),2960)</f>
        <v>2960</v>
      </c>
      <c r="E906" s="2">
        <f ca="1">IFERROR(__xludf.DUMMYFUNCTION("""COMPUTED_VALUE"""),2980)</f>
        <v>2980</v>
      </c>
      <c r="F906" s="2">
        <f ca="1">IFERROR(__xludf.DUMMYFUNCTION("""COMPUTED_VALUE"""),145459400)</f>
        <v>145459400</v>
      </c>
    </row>
    <row r="907" spans="1:6">
      <c r="A907" s="5">
        <f ca="1">IFERROR(__xludf.DUMMYFUNCTION("""COMPUTED_VALUE"""),43381.625)</f>
        <v>43381.625</v>
      </c>
      <c r="B907" s="2">
        <f ca="1">IFERROR(__xludf.DUMMYFUNCTION("""COMPUTED_VALUE"""),2970)</f>
        <v>2970</v>
      </c>
      <c r="C907" s="2">
        <f ca="1">IFERROR(__xludf.DUMMYFUNCTION("""COMPUTED_VALUE"""),3010)</f>
        <v>3010</v>
      </c>
      <c r="D907" s="2">
        <f ca="1">IFERROR(__xludf.DUMMYFUNCTION("""COMPUTED_VALUE"""),2960)</f>
        <v>2960</v>
      </c>
      <c r="E907" s="2">
        <f ca="1">IFERROR(__xludf.DUMMYFUNCTION("""COMPUTED_VALUE"""),2970)</f>
        <v>2970</v>
      </c>
      <c r="F907" s="2">
        <f ca="1">IFERROR(__xludf.DUMMYFUNCTION("""COMPUTED_VALUE"""),64842800)</f>
        <v>64842800</v>
      </c>
    </row>
    <row r="908" spans="1:6">
      <c r="A908" s="5">
        <f ca="1">IFERROR(__xludf.DUMMYFUNCTION("""COMPUTED_VALUE"""),43382.625)</f>
        <v>43382.625</v>
      </c>
      <c r="B908" s="2">
        <f ca="1">IFERROR(__xludf.DUMMYFUNCTION("""COMPUTED_VALUE"""),2970)</f>
        <v>2970</v>
      </c>
      <c r="C908" s="2">
        <f ca="1">IFERROR(__xludf.DUMMYFUNCTION("""COMPUTED_VALUE"""),3030)</f>
        <v>3030</v>
      </c>
      <c r="D908" s="2">
        <f ca="1">IFERROR(__xludf.DUMMYFUNCTION("""COMPUTED_VALUE"""),2970)</f>
        <v>2970</v>
      </c>
      <c r="E908" s="2">
        <f ca="1">IFERROR(__xludf.DUMMYFUNCTION("""COMPUTED_VALUE"""),3020)</f>
        <v>3020</v>
      </c>
      <c r="F908" s="2">
        <f ca="1">IFERROR(__xludf.DUMMYFUNCTION("""COMPUTED_VALUE"""),51204000)</f>
        <v>51204000</v>
      </c>
    </row>
    <row r="909" spans="1:6">
      <c r="A909" s="5">
        <f ca="1">IFERROR(__xludf.DUMMYFUNCTION("""COMPUTED_VALUE"""),43383.625)</f>
        <v>43383.625</v>
      </c>
      <c r="B909" s="2">
        <f ca="1">IFERROR(__xludf.DUMMYFUNCTION("""COMPUTED_VALUE"""),3030)</f>
        <v>3030</v>
      </c>
      <c r="C909" s="2">
        <f ca="1">IFERROR(__xludf.DUMMYFUNCTION("""COMPUTED_VALUE"""),3040)</f>
        <v>3040</v>
      </c>
      <c r="D909" s="2">
        <f ca="1">IFERROR(__xludf.DUMMYFUNCTION("""COMPUTED_VALUE"""),3010)</f>
        <v>3010</v>
      </c>
      <c r="E909" s="2">
        <f ca="1">IFERROR(__xludf.DUMMYFUNCTION("""COMPUTED_VALUE"""),3010)</f>
        <v>3010</v>
      </c>
      <c r="F909" s="2">
        <f ca="1">IFERROR(__xludf.DUMMYFUNCTION("""COMPUTED_VALUE"""),61258600)</f>
        <v>61258600</v>
      </c>
    </row>
    <row r="910" spans="1:6">
      <c r="A910" s="5">
        <f ca="1">IFERROR(__xludf.DUMMYFUNCTION("""COMPUTED_VALUE"""),43384.625)</f>
        <v>43384.625</v>
      </c>
      <c r="B910" s="2">
        <f ca="1">IFERROR(__xludf.DUMMYFUNCTION("""COMPUTED_VALUE"""),2930)</f>
        <v>2930</v>
      </c>
      <c r="C910" s="2">
        <f ca="1">IFERROR(__xludf.DUMMYFUNCTION("""COMPUTED_VALUE"""),2950)</f>
        <v>2950</v>
      </c>
      <c r="D910" s="2">
        <f ca="1">IFERROR(__xludf.DUMMYFUNCTION("""COMPUTED_VALUE"""),2870)</f>
        <v>2870</v>
      </c>
      <c r="E910" s="2">
        <f ca="1">IFERROR(__xludf.DUMMYFUNCTION("""COMPUTED_VALUE"""),2910)</f>
        <v>2910</v>
      </c>
      <c r="F910" s="2">
        <f ca="1">IFERROR(__xludf.DUMMYFUNCTION("""COMPUTED_VALUE"""),175505100)</f>
        <v>175505100</v>
      </c>
    </row>
    <row r="911" spans="1:6">
      <c r="A911" s="5">
        <f ca="1">IFERROR(__xludf.DUMMYFUNCTION("""COMPUTED_VALUE"""),43385.625)</f>
        <v>43385.625</v>
      </c>
      <c r="B911" s="2">
        <f ca="1">IFERROR(__xludf.DUMMYFUNCTION("""COMPUTED_VALUE"""),2930)</f>
        <v>2930</v>
      </c>
      <c r="C911" s="2">
        <f ca="1">IFERROR(__xludf.DUMMYFUNCTION("""COMPUTED_VALUE"""),2990)</f>
        <v>2990</v>
      </c>
      <c r="D911" s="2">
        <f ca="1">IFERROR(__xludf.DUMMYFUNCTION("""COMPUTED_VALUE"""),2920)</f>
        <v>2920</v>
      </c>
      <c r="E911" s="2">
        <f ca="1">IFERROR(__xludf.DUMMYFUNCTION("""COMPUTED_VALUE"""),2950)</f>
        <v>2950</v>
      </c>
      <c r="F911" s="2">
        <f ca="1">IFERROR(__xludf.DUMMYFUNCTION("""COMPUTED_VALUE"""),118327100)</f>
        <v>118327100</v>
      </c>
    </row>
    <row r="912" spans="1:6">
      <c r="A912" s="5">
        <f ca="1">IFERROR(__xludf.DUMMYFUNCTION("""COMPUTED_VALUE"""),43388.625)</f>
        <v>43388.625</v>
      </c>
      <c r="B912" s="2">
        <f ca="1">IFERROR(__xludf.DUMMYFUNCTION("""COMPUTED_VALUE"""),2960)</f>
        <v>2960</v>
      </c>
      <c r="C912" s="2">
        <f ca="1">IFERROR(__xludf.DUMMYFUNCTION("""COMPUTED_VALUE"""),3030)</f>
        <v>3030</v>
      </c>
      <c r="D912" s="2">
        <f ca="1">IFERROR(__xludf.DUMMYFUNCTION("""COMPUTED_VALUE"""),2960)</f>
        <v>2960</v>
      </c>
      <c r="E912" s="2">
        <f ca="1">IFERROR(__xludf.DUMMYFUNCTION("""COMPUTED_VALUE"""),3000)</f>
        <v>3000</v>
      </c>
      <c r="F912" s="2">
        <f ca="1">IFERROR(__xludf.DUMMYFUNCTION("""COMPUTED_VALUE"""),85743500)</f>
        <v>85743500</v>
      </c>
    </row>
    <row r="913" spans="1:6">
      <c r="A913" s="5">
        <f ca="1">IFERROR(__xludf.DUMMYFUNCTION("""COMPUTED_VALUE"""),43389.625)</f>
        <v>43389.625</v>
      </c>
      <c r="B913" s="2">
        <f ca="1">IFERROR(__xludf.DUMMYFUNCTION("""COMPUTED_VALUE"""),3000)</f>
        <v>3000</v>
      </c>
      <c r="C913" s="2">
        <f ca="1">IFERROR(__xludf.DUMMYFUNCTION("""COMPUTED_VALUE"""),3020)</f>
        <v>3020</v>
      </c>
      <c r="D913" s="2">
        <f ca="1">IFERROR(__xludf.DUMMYFUNCTION("""COMPUTED_VALUE"""),2960)</f>
        <v>2960</v>
      </c>
      <c r="E913" s="2">
        <f ca="1">IFERROR(__xludf.DUMMYFUNCTION("""COMPUTED_VALUE"""),3000)</f>
        <v>3000</v>
      </c>
      <c r="F913" s="2">
        <f ca="1">IFERROR(__xludf.DUMMYFUNCTION("""COMPUTED_VALUE"""),65060100)</f>
        <v>65060100</v>
      </c>
    </row>
    <row r="914" spans="1:6">
      <c r="A914" s="5">
        <f ca="1">IFERROR(__xludf.DUMMYFUNCTION("""COMPUTED_VALUE"""),43390.625)</f>
        <v>43390.625</v>
      </c>
      <c r="B914" s="2">
        <f ca="1">IFERROR(__xludf.DUMMYFUNCTION("""COMPUTED_VALUE"""),3060)</f>
        <v>3060</v>
      </c>
      <c r="C914" s="2">
        <f ca="1">IFERROR(__xludf.DUMMYFUNCTION("""COMPUTED_VALUE"""),3080)</f>
        <v>3080</v>
      </c>
      <c r="D914" s="2">
        <f ca="1">IFERROR(__xludf.DUMMYFUNCTION("""COMPUTED_VALUE"""),3030)</f>
        <v>3030</v>
      </c>
      <c r="E914" s="2">
        <f ca="1">IFERROR(__xludf.DUMMYFUNCTION("""COMPUTED_VALUE"""),3070)</f>
        <v>3070</v>
      </c>
      <c r="F914" s="2">
        <f ca="1">IFERROR(__xludf.DUMMYFUNCTION("""COMPUTED_VALUE"""),80082100)</f>
        <v>80082100</v>
      </c>
    </row>
    <row r="915" spans="1:6">
      <c r="A915" s="5">
        <f ca="1">IFERROR(__xludf.DUMMYFUNCTION("""COMPUTED_VALUE"""),43391.625)</f>
        <v>43391.625</v>
      </c>
      <c r="B915" s="2">
        <f ca="1">IFERROR(__xludf.DUMMYFUNCTION("""COMPUTED_VALUE"""),3070)</f>
        <v>3070</v>
      </c>
      <c r="C915" s="2">
        <f ca="1">IFERROR(__xludf.DUMMYFUNCTION("""COMPUTED_VALUE"""),3100)</f>
        <v>3100</v>
      </c>
      <c r="D915" s="2">
        <f ca="1">IFERROR(__xludf.DUMMYFUNCTION("""COMPUTED_VALUE"""),3050)</f>
        <v>3050</v>
      </c>
      <c r="E915" s="2">
        <f ca="1">IFERROR(__xludf.DUMMYFUNCTION("""COMPUTED_VALUE"""),3090)</f>
        <v>3090</v>
      </c>
      <c r="F915" s="2">
        <f ca="1">IFERROR(__xludf.DUMMYFUNCTION("""COMPUTED_VALUE"""),65133400)</f>
        <v>65133400</v>
      </c>
    </row>
    <row r="916" spans="1:6">
      <c r="A916" s="5">
        <f ca="1">IFERROR(__xludf.DUMMYFUNCTION("""COMPUTED_VALUE"""),43392.625)</f>
        <v>43392.625</v>
      </c>
      <c r="B916" s="2">
        <f ca="1">IFERROR(__xludf.DUMMYFUNCTION("""COMPUTED_VALUE"""),3070)</f>
        <v>3070</v>
      </c>
      <c r="C916" s="2">
        <f ca="1">IFERROR(__xludf.DUMMYFUNCTION("""COMPUTED_VALUE"""),3090)</f>
        <v>3090</v>
      </c>
      <c r="D916" s="2">
        <f ca="1">IFERROR(__xludf.DUMMYFUNCTION("""COMPUTED_VALUE"""),3020)</f>
        <v>3020</v>
      </c>
      <c r="E916" s="2">
        <f ca="1">IFERROR(__xludf.DUMMYFUNCTION("""COMPUTED_VALUE"""),3020)</f>
        <v>3020</v>
      </c>
      <c r="F916" s="2">
        <f ca="1">IFERROR(__xludf.DUMMYFUNCTION("""COMPUTED_VALUE"""),80989700)</f>
        <v>80989700</v>
      </c>
    </row>
    <row r="917" spans="1:6">
      <c r="A917" s="5">
        <f ca="1">IFERROR(__xludf.DUMMYFUNCTION("""COMPUTED_VALUE"""),43395.625)</f>
        <v>43395.625</v>
      </c>
      <c r="B917" s="2">
        <f ca="1">IFERROR(__xludf.DUMMYFUNCTION("""COMPUTED_VALUE"""),3010)</f>
        <v>3010</v>
      </c>
      <c r="C917" s="2">
        <f ca="1">IFERROR(__xludf.DUMMYFUNCTION("""COMPUTED_VALUE"""),3080)</f>
        <v>3080</v>
      </c>
      <c r="D917" s="2">
        <f ca="1">IFERROR(__xludf.DUMMYFUNCTION("""COMPUTED_VALUE"""),3010)</f>
        <v>3010</v>
      </c>
      <c r="E917" s="2">
        <f ca="1">IFERROR(__xludf.DUMMYFUNCTION("""COMPUTED_VALUE"""),3050)</f>
        <v>3050</v>
      </c>
      <c r="F917" s="2">
        <f ca="1">IFERROR(__xludf.DUMMYFUNCTION("""COMPUTED_VALUE"""),48806100)</f>
        <v>48806100</v>
      </c>
    </row>
    <row r="918" spans="1:6">
      <c r="A918" s="5">
        <f ca="1">IFERROR(__xludf.DUMMYFUNCTION("""COMPUTED_VALUE"""),43396.625)</f>
        <v>43396.625</v>
      </c>
      <c r="B918" s="2">
        <f ca="1">IFERROR(__xludf.DUMMYFUNCTION("""COMPUTED_VALUE"""),3040)</f>
        <v>3040</v>
      </c>
      <c r="C918" s="2">
        <f ca="1">IFERROR(__xludf.DUMMYFUNCTION("""COMPUTED_VALUE"""),3070)</f>
        <v>3070</v>
      </c>
      <c r="D918" s="2">
        <f ca="1">IFERROR(__xludf.DUMMYFUNCTION("""COMPUTED_VALUE"""),3010)</f>
        <v>3010</v>
      </c>
      <c r="E918" s="2">
        <f ca="1">IFERROR(__xludf.DUMMYFUNCTION("""COMPUTED_VALUE"""),3020)</f>
        <v>3020</v>
      </c>
      <c r="F918" s="2">
        <f ca="1">IFERROR(__xludf.DUMMYFUNCTION("""COMPUTED_VALUE"""),58554200)</f>
        <v>58554200</v>
      </c>
    </row>
    <row r="919" spans="1:6">
      <c r="A919" s="5">
        <f ca="1">IFERROR(__xludf.DUMMYFUNCTION("""COMPUTED_VALUE"""),43397.625)</f>
        <v>43397.625</v>
      </c>
      <c r="B919" s="2">
        <f ca="1">IFERROR(__xludf.DUMMYFUNCTION("""COMPUTED_VALUE"""),3000)</f>
        <v>3000</v>
      </c>
      <c r="C919" s="2">
        <f ca="1">IFERROR(__xludf.DUMMYFUNCTION("""COMPUTED_VALUE"""),3040)</f>
        <v>3040</v>
      </c>
      <c r="D919" s="2">
        <f ca="1">IFERROR(__xludf.DUMMYFUNCTION("""COMPUTED_VALUE"""),2950)</f>
        <v>2950</v>
      </c>
      <c r="E919" s="2">
        <f ca="1">IFERROR(__xludf.DUMMYFUNCTION("""COMPUTED_VALUE"""),2950)</f>
        <v>2950</v>
      </c>
      <c r="F919" s="2">
        <f ca="1">IFERROR(__xludf.DUMMYFUNCTION("""COMPUTED_VALUE"""),84562000)</f>
        <v>84562000</v>
      </c>
    </row>
    <row r="920" spans="1:6">
      <c r="A920" s="5">
        <f ca="1">IFERROR(__xludf.DUMMYFUNCTION("""COMPUTED_VALUE"""),43398.625)</f>
        <v>43398.625</v>
      </c>
      <c r="B920" s="2">
        <f ca="1">IFERROR(__xludf.DUMMYFUNCTION("""COMPUTED_VALUE"""),2910)</f>
        <v>2910</v>
      </c>
      <c r="C920" s="2">
        <f ca="1">IFERROR(__xludf.DUMMYFUNCTION("""COMPUTED_VALUE"""),3000)</f>
        <v>3000</v>
      </c>
      <c r="D920" s="2">
        <f ca="1">IFERROR(__xludf.DUMMYFUNCTION("""COMPUTED_VALUE"""),2910)</f>
        <v>2910</v>
      </c>
      <c r="E920" s="2">
        <f ca="1">IFERROR(__xludf.DUMMYFUNCTION("""COMPUTED_VALUE"""),3000)</f>
        <v>3000</v>
      </c>
      <c r="F920" s="2">
        <f ca="1">IFERROR(__xludf.DUMMYFUNCTION("""COMPUTED_VALUE"""),131210200)</f>
        <v>131210200</v>
      </c>
    </row>
    <row r="921" spans="1:6">
      <c r="A921" s="5">
        <f ca="1">IFERROR(__xludf.DUMMYFUNCTION("""COMPUTED_VALUE"""),43399.625)</f>
        <v>43399.625</v>
      </c>
      <c r="B921" s="2">
        <f ca="1">IFERROR(__xludf.DUMMYFUNCTION("""COMPUTED_VALUE"""),3000)</f>
        <v>3000</v>
      </c>
      <c r="C921" s="2">
        <f ca="1">IFERROR(__xludf.DUMMYFUNCTION("""COMPUTED_VALUE"""),3020)</f>
        <v>3020</v>
      </c>
      <c r="D921" s="2">
        <f ca="1">IFERROR(__xludf.DUMMYFUNCTION("""COMPUTED_VALUE"""),2980)</f>
        <v>2980</v>
      </c>
      <c r="E921" s="2">
        <f ca="1">IFERROR(__xludf.DUMMYFUNCTION("""COMPUTED_VALUE"""),2990)</f>
        <v>2990</v>
      </c>
      <c r="F921" s="2">
        <f ca="1">IFERROR(__xludf.DUMMYFUNCTION("""COMPUTED_VALUE"""),66228600)</f>
        <v>66228600</v>
      </c>
    </row>
    <row r="922" spans="1:6">
      <c r="A922" s="5">
        <f ca="1">IFERROR(__xludf.DUMMYFUNCTION("""COMPUTED_VALUE"""),43402.625)</f>
        <v>43402.625</v>
      </c>
      <c r="B922" s="2">
        <f ca="1">IFERROR(__xludf.DUMMYFUNCTION("""COMPUTED_VALUE"""),3000)</f>
        <v>3000</v>
      </c>
      <c r="C922" s="2">
        <f ca="1">IFERROR(__xludf.DUMMYFUNCTION("""COMPUTED_VALUE"""),3020)</f>
        <v>3020</v>
      </c>
      <c r="D922" s="2">
        <f ca="1">IFERROR(__xludf.DUMMYFUNCTION("""COMPUTED_VALUE"""),2950)</f>
        <v>2950</v>
      </c>
      <c r="E922" s="2">
        <f ca="1">IFERROR(__xludf.DUMMYFUNCTION("""COMPUTED_VALUE"""),2950)</f>
        <v>2950</v>
      </c>
      <c r="F922" s="2">
        <f ca="1">IFERROR(__xludf.DUMMYFUNCTION("""COMPUTED_VALUE"""),51288900)</f>
        <v>51288900</v>
      </c>
    </row>
    <row r="923" spans="1:6">
      <c r="A923" s="5">
        <f ca="1">IFERROR(__xludf.DUMMYFUNCTION("""COMPUTED_VALUE"""),43403.625)</f>
        <v>43403.625</v>
      </c>
      <c r="B923" s="2">
        <f ca="1">IFERROR(__xludf.DUMMYFUNCTION("""COMPUTED_VALUE"""),2960)</f>
        <v>2960</v>
      </c>
      <c r="C923" s="2">
        <f ca="1">IFERROR(__xludf.DUMMYFUNCTION("""COMPUTED_VALUE"""),3030)</f>
        <v>3030</v>
      </c>
      <c r="D923" s="2">
        <f ca="1">IFERROR(__xludf.DUMMYFUNCTION("""COMPUTED_VALUE"""),2950)</f>
        <v>2950</v>
      </c>
      <c r="E923" s="2">
        <f ca="1">IFERROR(__xludf.DUMMYFUNCTION("""COMPUTED_VALUE"""),3030)</f>
        <v>3030</v>
      </c>
      <c r="F923" s="2">
        <f ca="1">IFERROR(__xludf.DUMMYFUNCTION("""COMPUTED_VALUE"""),72385100)</f>
        <v>72385100</v>
      </c>
    </row>
    <row r="924" spans="1:6">
      <c r="A924" s="5">
        <f ca="1">IFERROR(__xludf.DUMMYFUNCTION("""COMPUTED_VALUE"""),43404.625)</f>
        <v>43404.625</v>
      </c>
      <c r="B924" s="2">
        <f ca="1">IFERROR(__xludf.DUMMYFUNCTION("""COMPUTED_VALUE"""),3050)</f>
        <v>3050</v>
      </c>
      <c r="C924" s="2">
        <f ca="1">IFERROR(__xludf.DUMMYFUNCTION("""COMPUTED_VALUE"""),3150)</f>
        <v>3150</v>
      </c>
      <c r="D924" s="2">
        <f ca="1">IFERROR(__xludf.DUMMYFUNCTION("""COMPUTED_VALUE"""),3030)</f>
        <v>3030</v>
      </c>
      <c r="E924" s="2">
        <f ca="1">IFERROR(__xludf.DUMMYFUNCTION("""COMPUTED_VALUE"""),3150)</f>
        <v>3150</v>
      </c>
      <c r="F924" s="2">
        <f ca="1">IFERROR(__xludf.DUMMYFUNCTION("""COMPUTED_VALUE"""),218534400)</f>
        <v>218534400</v>
      </c>
    </row>
    <row r="925" spans="1:6">
      <c r="A925" s="5">
        <f ca="1">IFERROR(__xludf.DUMMYFUNCTION("""COMPUTED_VALUE"""),43405.625)</f>
        <v>43405.625</v>
      </c>
      <c r="B925" s="2">
        <f ca="1">IFERROR(__xludf.DUMMYFUNCTION("""COMPUTED_VALUE"""),3190)</f>
        <v>3190</v>
      </c>
      <c r="C925" s="2">
        <f ca="1">IFERROR(__xludf.DUMMYFUNCTION("""COMPUTED_VALUE"""),3250)</f>
        <v>3250</v>
      </c>
      <c r="D925" s="2">
        <f ca="1">IFERROR(__xludf.DUMMYFUNCTION("""COMPUTED_VALUE"""),3160)</f>
        <v>3160</v>
      </c>
      <c r="E925" s="2">
        <f ca="1">IFERROR(__xludf.DUMMYFUNCTION("""COMPUTED_VALUE"""),3200)</f>
        <v>3200</v>
      </c>
      <c r="F925" s="2">
        <f ca="1">IFERROR(__xludf.DUMMYFUNCTION("""COMPUTED_VALUE"""),197180000)</f>
        <v>197180000</v>
      </c>
    </row>
    <row r="926" spans="1:6">
      <c r="A926" s="5">
        <f ca="1">IFERROR(__xludf.DUMMYFUNCTION("""COMPUTED_VALUE"""),43406.625)</f>
        <v>43406.625</v>
      </c>
      <c r="B926" s="2">
        <f ca="1">IFERROR(__xludf.DUMMYFUNCTION("""COMPUTED_VALUE"""),3240)</f>
        <v>3240</v>
      </c>
      <c r="C926" s="2">
        <f ca="1">IFERROR(__xludf.DUMMYFUNCTION("""COMPUTED_VALUE"""),3290)</f>
        <v>3290</v>
      </c>
      <c r="D926" s="2">
        <f ca="1">IFERROR(__xludf.DUMMYFUNCTION("""COMPUTED_VALUE"""),3190)</f>
        <v>3190</v>
      </c>
      <c r="E926" s="2">
        <f ca="1">IFERROR(__xludf.DUMMYFUNCTION("""COMPUTED_VALUE"""),3280)</f>
        <v>3280</v>
      </c>
      <c r="F926" s="2">
        <f ca="1">IFERROR(__xludf.DUMMYFUNCTION("""COMPUTED_VALUE"""),167275500)</f>
        <v>167275500</v>
      </c>
    </row>
    <row r="927" spans="1:6">
      <c r="A927" s="5">
        <f ca="1">IFERROR(__xludf.DUMMYFUNCTION("""COMPUTED_VALUE"""),43409.625)</f>
        <v>43409.625</v>
      </c>
      <c r="B927" s="2">
        <f ca="1">IFERROR(__xludf.DUMMYFUNCTION("""COMPUTED_VALUE"""),3260)</f>
        <v>3260</v>
      </c>
      <c r="C927" s="2">
        <f ca="1">IFERROR(__xludf.DUMMYFUNCTION("""COMPUTED_VALUE"""),3280)</f>
        <v>3280</v>
      </c>
      <c r="D927" s="2">
        <f ca="1">IFERROR(__xludf.DUMMYFUNCTION("""COMPUTED_VALUE"""),3220)</f>
        <v>3220</v>
      </c>
      <c r="E927" s="2">
        <f ca="1">IFERROR(__xludf.DUMMYFUNCTION("""COMPUTED_VALUE"""),3270)</f>
        <v>3270</v>
      </c>
      <c r="F927" s="2">
        <f ca="1">IFERROR(__xludf.DUMMYFUNCTION("""COMPUTED_VALUE"""),79594900)</f>
        <v>79594900</v>
      </c>
    </row>
    <row r="928" spans="1:6">
      <c r="A928" s="5">
        <f ca="1">IFERROR(__xludf.DUMMYFUNCTION("""COMPUTED_VALUE"""),43410.625)</f>
        <v>43410.625</v>
      </c>
      <c r="B928" s="2">
        <f ca="1">IFERROR(__xludf.DUMMYFUNCTION("""COMPUTED_VALUE"""),3280)</f>
        <v>3280</v>
      </c>
      <c r="C928" s="2">
        <f ca="1">IFERROR(__xludf.DUMMYFUNCTION("""COMPUTED_VALUE"""),3330)</f>
        <v>3330</v>
      </c>
      <c r="D928" s="2">
        <f ca="1">IFERROR(__xludf.DUMMYFUNCTION("""COMPUTED_VALUE"""),3260)</f>
        <v>3260</v>
      </c>
      <c r="E928" s="2">
        <f ca="1">IFERROR(__xludf.DUMMYFUNCTION("""COMPUTED_VALUE"""),3330)</f>
        <v>3330</v>
      </c>
      <c r="F928" s="2">
        <f ca="1">IFERROR(__xludf.DUMMYFUNCTION("""COMPUTED_VALUE"""),139465400)</f>
        <v>139465400</v>
      </c>
    </row>
    <row r="929" spans="1:6">
      <c r="A929" s="5">
        <f ca="1">IFERROR(__xludf.DUMMYFUNCTION("""COMPUTED_VALUE"""),43411.625)</f>
        <v>43411.625</v>
      </c>
      <c r="B929" s="2">
        <f ca="1">IFERROR(__xludf.DUMMYFUNCTION("""COMPUTED_VALUE"""),3340)</f>
        <v>3340</v>
      </c>
      <c r="C929" s="2">
        <f ca="1">IFERROR(__xludf.DUMMYFUNCTION("""COMPUTED_VALUE"""),3370)</f>
        <v>3370</v>
      </c>
      <c r="D929" s="2">
        <f ca="1">IFERROR(__xludf.DUMMYFUNCTION("""COMPUTED_VALUE"""),3310)</f>
        <v>3310</v>
      </c>
      <c r="E929" s="2">
        <f ca="1">IFERROR(__xludf.DUMMYFUNCTION("""COMPUTED_VALUE"""),3370)</f>
        <v>3370</v>
      </c>
      <c r="F929" s="2">
        <f ca="1">IFERROR(__xludf.DUMMYFUNCTION("""COMPUTED_VALUE"""),162720800)</f>
        <v>162720800</v>
      </c>
    </row>
    <row r="930" spans="1:6">
      <c r="A930" s="5">
        <f ca="1">IFERROR(__xludf.DUMMYFUNCTION("""COMPUTED_VALUE"""),43412.625)</f>
        <v>43412.625</v>
      </c>
      <c r="B930" s="2">
        <f ca="1">IFERROR(__xludf.DUMMYFUNCTION("""COMPUTED_VALUE"""),3400)</f>
        <v>3400</v>
      </c>
      <c r="C930" s="2">
        <f ca="1">IFERROR(__xludf.DUMMYFUNCTION("""COMPUTED_VALUE"""),3490)</f>
        <v>3490</v>
      </c>
      <c r="D930" s="2">
        <f ca="1">IFERROR(__xludf.DUMMYFUNCTION("""COMPUTED_VALUE"""),3390)</f>
        <v>3390</v>
      </c>
      <c r="E930" s="2">
        <f ca="1">IFERROR(__xludf.DUMMYFUNCTION("""COMPUTED_VALUE"""),3450)</f>
        <v>3450</v>
      </c>
      <c r="F930" s="2">
        <f ca="1">IFERROR(__xludf.DUMMYFUNCTION("""COMPUTED_VALUE"""),200247500)</f>
        <v>200247500</v>
      </c>
    </row>
    <row r="931" spans="1:6">
      <c r="A931" s="5">
        <f ca="1">IFERROR(__xludf.DUMMYFUNCTION("""COMPUTED_VALUE"""),43413.625)</f>
        <v>43413.625</v>
      </c>
      <c r="B931" s="2">
        <f ca="1">IFERROR(__xludf.DUMMYFUNCTION("""COMPUTED_VALUE"""),3430)</f>
        <v>3430</v>
      </c>
      <c r="C931" s="2">
        <f ca="1">IFERROR(__xludf.DUMMYFUNCTION("""COMPUTED_VALUE"""),3430)</f>
        <v>3430</v>
      </c>
      <c r="D931" s="2">
        <f ca="1">IFERROR(__xludf.DUMMYFUNCTION("""COMPUTED_VALUE"""),3330)</f>
        <v>3330</v>
      </c>
      <c r="E931" s="2">
        <f ca="1">IFERROR(__xludf.DUMMYFUNCTION("""COMPUTED_VALUE"""),3340)</f>
        <v>3340</v>
      </c>
      <c r="F931" s="2">
        <f ca="1">IFERROR(__xludf.DUMMYFUNCTION("""COMPUTED_VALUE"""),115086300)</f>
        <v>115086300</v>
      </c>
    </row>
    <row r="932" spans="1:6">
      <c r="A932" s="5">
        <f ca="1">IFERROR(__xludf.DUMMYFUNCTION("""COMPUTED_VALUE"""),43416.625)</f>
        <v>43416.625</v>
      </c>
      <c r="B932" s="2">
        <f ca="1">IFERROR(__xludf.DUMMYFUNCTION("""COMPUTED_VALUE"""),3320)</f>
        <v>3320</v>
      </c>
      <c r="C932" s="2">
        <f ca="1">IFERROR(__xludf.DUMMYFUNCTION("""COMPUTED_VALUE"""),3360)</f>
        <v>3360</v>
      </c>
      <c r="D932" s="2">
        <f ca="1">IFERROR(__xludf.DUMMYFUNCTION("""COMPUTED_VALUE"""),3280)</f>
        <v>3280</v>
      </c>
      <c r="E932" s="2">
        <f ca="1">IFERROR(__xludf.DUMMYFUNCTION("""COMPUTED_VALUE"""),3280)</f>
        <v>3280</v>
      </c>
      <c r="F932" s="2">
        <f ca="1">IFERROR(__xludf.DUMMYFUNCTION("""COMPUTED_VALUE"""),77097900)</f>
        <v>77097900</v>
      </c>
    </row>
    <row r="933" spans="1:6">
      <c r="A933" s="5">
        <f ca="1">IFERROR(__xludf.DUMMYFUNCTION("""COMPUTED_VALUE"""),43417.625)</f>
        <v>43417.625</v>
      </c>
      <c r="B933" s="2">
        <f ca="1">IFERROR(__xludf.DUMMYFUNCTION("""COMPUTED_VALUE"""),3280)</f>
        <v>3280</v>
      </c>
      <c r="C933" s="2">
        <f ca="1">IFERROR(__xludf.DUMMYFUNCTION("""COMPUTED_VALUE"""),3360)</f>
        <v>3360</v>
      </c>
      <c r="D933" s="2">
        <f ca="1">IFERROR(__xludf.DUMMYFUNCTION("""COMPUTED_VALUE"""),3230)</f>
        <v>3230</v>
      </c>
      <c r="E933" s="2">
        <f ca="1">IFERROR(__xludf.DUMMYFUNCTION("""COMPUTED_VALUE"""),3350)</f>
        <v>3350</v>
      </c>
      <c r="F933" s="2">
        <f ca="1">IFERROR(__xludf.DUMMYFUNCTION("""COMPUTED_VALUE"""),101884200)</f>
        <v>101884200</v>
      </c>
    </row>
    <row r="934" spans="1:6">
      <c r="A934" s="5">
        <f ca="1">IFERROR(__xludf.DUMMYFUNCTION("""COMPUTED_VALUE"""),43418.625)</f>
        <v>43418.625</v>
      </c>
      <c r="B934" s="2">
        <f ca="1">IFERROR(__xludf.DUMMYFUNCTION("""COMPUTED_VALUE"""),3350)</f>
        <v>3350</v>
      </c>
      <c r="C934" s="2">
        <f ca="1">IFERROR(__xludf.DUMMYFUNCTION("""COMPUTED_VALUE"""),3420)</f>
        <v>3420</v>
      </c>
      <c r="D934" s="2">
        <f ca="1">IFERROR(__xludf.DUMMYFUNCTION("""COMPUTED_VALUE"""),3350)</f>
        <v>3350</v>
      </c>
      <c r="E934" s="2">
        <f ca="1">IFERROR(__xludf.DUMMYFUNCTION("""COMPUTED_VALUE"""),3350)</f>
        <v>3350</v>
      </c>
      <c r="F934" s="2">
        <f ca="1">IFERROR(__xludf.DUMMYFUNCTION("""COMPUTED_VALUE"""),113793200)</f>
        <v>113793200</v>
      </c>
    </row>
    <row r="935" spans="1:6">
      <c r="A935" s="5">
        <f ca="1">IFERROR(__xludf.DUMMYFUNCTION("""COMPUTED_VALUE"""),43419.625)</f>
        <v>43419.625</v>
      </c>
      <c r="B935" s="2">
        <f ca="1">IFERROR(__xludf.DUMMYFUNCTION("""COMPUTED_VALUE"""),3370)</f>
        <v>3370</v>
      </c>
      <c r="C935" s="2">
        <f ca="1">IFERROR(__xludf.DUMMYFUNCTION("""COMPUTED_VALUE"""),3420)</f>
        <v>3420</v>
      </c>
      <c r="D935" s="2">
        <f ca="1">IFERROR(__xludf.DUMMYFUNCTION("""COMPUTED_VALUE"""),3330)</f>
        <v>3330</v>
      </c>
      <c r="E935" s="2">
        <f ca="1">IFERROR(__xludf.DUMMYFUNCTION("""COMPUTED_VALUE"""),3410)</f>
        <v>3410</v>
      </c>
      <c r="F935" s="2">
        <f ca="1">IFERROR(__xludf.DUMMYFUNCTION("""COMPUTED_VALUE"""),106887100)</f>
        <v>106887100</v>
      </c>
    </row>
    <row r="936" spans="1:6">
      <c r="A936" s="5">
        <f ca="1">IFERROR(__xludf.DUMMYFUNCTION("""COMPUTED_VALUE"""),43420.625)</f>
        <v>43420.625</v>
      </c>
      <c r="B936" s="2">
        <f ca="1">IFERROR(__xludf.DUMMYFUNCTION("""COMPUTED_VALUE"""),3430)</f>
        <v>3430</v>
      </c>
      <c r="C936" s="2">
        <f ca="1">IFERROR(__xludf.DUMMYFUNCTION("""COMPUTED_VALUE"""),3550)</f>
        <v>3550</v>
      </c>
      <c r="D936" s="2">
        <f ca="1">IFERROR(__xludf.DUMMYFUNCTION("""COMPUTED_VALUE"""),3420)</f>
        <v>3420</v>
      </c>
      <c r="E936" s="2">
        <f ca="1">IFERROR(__xludf.DUMMYFUNCTION("""COMPUTED_VALUE"""),3490)</f>
        <v>3490</v>
      </c>
      <c r="F936" s="2">
        <f ca="1">IFERROR(__xludf.DUMMYFUNCTION("""COMPUTED_VALUE"""),173768700)</f>
        <v>173768700</v>
      </c>
    </row>
    <row r="937" spans="1:6">
      <c r="A937" s="5">
        <f ca="1">IFERROR(__xludf.DUMMYFUNCTION("""COMPUTED_VALUE"""),43423.625)</f>
        <v>43423.625</v>
      </c>
      <c r="B937" s="2">
        <f ca="1">IFERROR(__xludf.DUMMYFUNCTION("""COMPUTED_VALUE"""),3540)</f>
        <v>3540</v>
      </c>
      <c r="C937" s="2">
        <f ca="1">IFERROR(__xludf.DUMMYFUNCTION("""COMPUTED_VALUE"""),3540)</f>
        <v>3540</v>
      </c>
      <c r="D937" s="2">
        <f ca="1">IFERROR(__xludf.DUMMYFUNCTION("""COMPUTED_VALUE"""),3450)</f>
        <v>3450</v>
      </c>
      <c r="E937" s="2">
        <f ca="1">IFERROR(__xludf.DUMMYFUNCTION("""COMPUTED_VALUE"""),3520)</f>
        <v>3520</v>
      </c>
      <c r="F937" s="2">
        <f ca="1">IFERROR(__xludf.DUMMYFUNCTION("""COMPUTED_VALUE"""),78672100)</f>
        <v>78672100</v>
      </c>
    </row>
    <row r="938" spans="1:6">
      <c r="A938" s="5">
        <f ca="1">IFERROR(__xludf.DUMMYFUNCTION("""COMPUTED_VALUE"""),43425.625)</f>
        <v>43425.625</v>
      </c>
      <c r="B938" s="2">
        <f ca="1">IFERROR(__xludf.DUMMYFUNCTION("""COMPUTED_VALUE"""),3420)</f>
        <v>3420</v>
      </c>
      <c r="C938" s="2">
        <f ca="1">IFERROR(__xludf.DUMMYFUNCTION("""COMPUTED_VALUE"""),3470)</f>
        <v>3470</v>
      </c>
      <c r="D938" s="2">
        <f ca="1">IFERROR(__xludf.DUMMYFUNCTION("""COMPUTED_VALUE"""),3350)</f>
        <v>3350</v>
      </c>
      <c r="E938" s="2">
        <f ca="1">IFERROR(__xludf.DUMMYFUNCTION("""COMPUTED_VALUE"""),3430)</f>
        <v>3430</v>
      </c>
      <c r="F938" s="2">
        <f ca="1">IFERROR(__xludf.DUMMYFUNCTION("""COMPUTED_VALUE"""),138069100)</f>
        <v>138069100</v>
      </c>
    </row>
    <row r="939" spans="1:6">
      <c r="A939" s="5">
        <f ca="1">IFERROR(__xludf.DUMMYFUNCTION("""COMPUTED_VALUE"""),43426.625)</f>
        <v>43426.625</v>
      </c>
      <c r="B939" s="2">
        <f ca="1">IFERROR(__xludf.DUMMYFUNCTION("""COMPUTED_VALUE"""),3430)</f>
        <v>3430</v>
      </c>
      <c r="C939" s="2">
        <f ca="1">IFERROR(__xludf.DUMMYFUNCTION("""COMPUTED_VALUE"""),3550)</f>
        <v>3550</v>
      </c>
      <c r="D939" s="2">
        <f ca="1">IFERROR(__xludf.DUMMYFUNCTION("""COMPUTED_VALUE"""),3430)</f>
        <v>3430</v>
      </c>
      <c r="E939" s="2">
        <f ca="1">IFERROR(__xludf.DUMMYFUNCTION("""COMPUTED_VALUE"""),3550)</f>
        <v>3550</v>
      </c>
      <c r="F939" s="2">
        <f ca="1">IFERROR(__xludf.DUMMYFUNCTION("""COMPUTED_VALUE"""),118307300)</f>
        <v>118307300</v>
      </c>
    </row>
    <row r="940" spans="1:6">
      <c r="A940" s="5">
        <f ca="1">IFERROR(__xludf.DUMMYFUNCTION("""COMPUTED_VALUE"""),43427.625)</f>
        <v>43427.625</v>
      </c>
      <c r="B940" s="2">
        <f ca="1">IFERROR(__xludf.DUMMYFUNCTION("""COMPUTED_VALUE"""),3530)</f>
        <v>3530</v>
      </c>
      <c r="C940" s="2">
        <f ca="1">IFERROR(__xludf.DUMMYFUNCTION("""COMPUTED_VALUE"""),3580)</f>
        <v>3580</v>
      </c>
      <c r="D940" s="2">
        <f ca="1">IFERROR(__xludf.DUMMYFUNCTION("""COMPUTED_VALUE"""),3470)</f>
        <v>3470</v>
      </c>
      <c r="E940" s="2">
        <f ca="1">IFERROR(__xludf.DUMMYFUNCTION("""COMPUTED_VALUE"""),3480)</f>
        <v>3480</v>
      </c>
      <c r="F940" s="2">
        <f ca="1">IFERROR(__xludf.DUMMYFUNCTION("""COMPUTED_VALUE"""),77910800)</f>
        <v>77910800</v>
      </c>
    </row>
    <row r="941" spans="1:6">
      <c r="A941" s="5">
        <f ca="1">IFERROR(__xludf.DUMMYFUNCTION("""COMPUTED_VALUE"""),43430.625)</f>
        <v>43430.625</v>
      </c>
      <c r="B941" s="2">
        <f ca="1">IFERROR(__xludf.DUMMYFUNCTION("""COMPUTED_VALUE"""),3450)</f>
        <v>3450</v>
      </c>
      <c r="C941" s="2">
        <f ca="1">IFERROR(__xludf.DUMMYFUNCTION("""COMPUTED_VALUE"""),3550)</f>
        <v>3550</v>
      </c>
      <c r="D941" s="2">
        <f ca="1">IFERROR(__xludf.DUMMYFUNCTION("""COMPUTED_VALUE"""),3450)</f>
        <v>3450</v>
      </c>
      <c r="E941" s="2">
        <f ca="1">IFERROR(__xludf.DUMMYFUNCTION("""COMPUTED_VALUE"""),3540)</f>
        <v>3540</v>
      </c>
      <c r="F941" s="2">
        <f ca="1">IFERROR(__xludf.DUMMYFUNCTION("""COMPUTED_VALUE"""),82014400)</f>
        <v>82014400</v>
      </c>
    </row>
    <row r="942" spans="1:6">
      <c r="A942" s="5">
        <f ca="1">IFERROR(__xludf.DUMMYFUNCTION("""COMPUTED_VALUE"""),43431.625)</f>
        <v>43431.625</v>
      </c>
      <c r="B942" s="2">
        <f ca="1">IFERROR(__xludf.DUMMYFUNCTION("""COMPUTED_VALUE"""),3480)</f>
        <v>3480</v>
      </c>
      <c r="C942" s="2">
        <f ca="1">IFERROR(__xludf.DUMMYFUNCTION("""COMPUTED_VALUE"""),3620)</f>
        <v>3620</v>
      </c>
      <c r="D942" s="2">
        <f ca="1">IFERROR(__xludf.DUMMYFUNCTION("""COMPUTED_VALUE"""),3480)</f>
        <v>3480</v>
      </c>
      <c r="E942" s="2">
        <f ca="1">IFERROR(__xludf.DUMMYFUNCTION("""COMPUTED_VALUE"""),3600)</f>
        <v>3600</v>
      </c>
      <c r="F942" s="2">
        <f ca="1">IFERROR(__xludf.DUMMYFUNCTION("""COMPUTED_VALUE"""),172878800)</f>
        <v>172878800</v>
      </c>
    </row>
    <row r="943" spans="1:6">
      <c r="A943" s="5">
        <f ca="1">IFERROR(__xludf.DUMMYFUNCTION("""COMPUTED_VALUE"""),43432.625)</f>
        <v>43432.625</v>
      </c>
      <c r="B943" s="2">
        <f ca="1">IFERROR(__xludf.DUMMYFUNCTION("""COMPUTED_VALUE"""),3650)</f>
        <v>3650</v>
      </c>
      <c r="C943" s="2">
        <f ca="1">IFERROR(__xludf.DUMMYFUNCTION("""COMPUTED_VALUE"""),3660)</f>
        <v>3660</v>
      </c>
      <c r="D943" s="2">
        <f ca="1">IFERROR(__xludf.DUMMYFUNCTION("""COMPUTED_VALUE"""),3580)</f>
        <v>3580</v>
      </c>
      <c r="E943" s="2">
        <f ca="1">IFERROR(__xludf.DUMMYFUNCTION("""COMPUTED_VALUE"""),3650)</f>
        <v>3650</v>
      </c>
      <c r="F943" s="2">
        <f ca="1">IFERROR(__xludf.DUMMYFUNCTION("""COMPUTED_VALUE"""),96069700)</f>
        <v>96069700</v>
      </c>
    </row>
    <row r="944" spans="1:6">
      <c r="A944" s="5">
        <f ca="1">IFERROR(__xludf.DUMMYFUNCTION("""COMPUTED_VALUE"""),43433.625)</f>
        <v>43433.625</v>
      </c>
      <c r="B944" s="2">
        <f ca="1">IFERROR(__xludf.DUMMYFUNCTION("""COMPUTED_VALUE"""),3700)</f>
        <v>3700</v>
      </c>
      <c r="C944" s="2">
        <f ca="1">IFERROR(__xludf.DUMMYFUNCTION("""COMPUTED_VALUE"""),3760)</f>
        <v>3760</v>
      </c>
      <c r="D944" s="2">
        <f ca="1">IFERROR(__xludf.DUMMYFUNCTION("""COMPUTED_VALUE"""),3680)</f>
        <v>3680</v>
      </c>
      <c r="E944" s="2">
        <f ca="1">IFERROR(__xludf.DUMMYFUNCTION("""COMPUTED_VALUE"""),3710)</f>
        <v>3710</v>
      </c>
      <c r="F944" s="2">
        <f ca="1">IFERROR(__xludf.DUMMYFUNCTION("""COMPUTED_VALUE"""),138182700)</f>
        <v>138182700</v>
      </c>
    </row>
    <row r="945" spans="1:6">
      <c r="A945" s="5">
        <f ca="1">IFERROR(__xludf.DUMMYFUNCTION("""COMPUTED_VALUE"""),43434.625)</f>
        <v>43434.625</v>
      </c>
      <c r="B945" s="2">
        <f ca="1">IFERROR(__xludf.DUMMYFUNCTION("""COMPUTED_VALUE"""),3660)</f>
        <v>3660</v>
      </c>
      <c r="C945" s="2">
        <f ca="1">IFERROR(__xludf.DUMMYFUNCTION("""COMPUTED_VALUE"""),3690)</f>
        <v>3690</v>
      </c>
      <c r="D945" s="2">
        <f ca="1">IFERROR(__xludf.DUMMYFUNCTION("""COMPUTED_VALUE"""),3610)</f>
        <v>3610</v>
      </c>
      <c r="E945" s="2">
        <f ca="1">IFERROR(__xludf.DUMMYFUNCTION("""COMPUTED_VALUE"""),3620)</f>
        <v>3620</v>
      </c>
      <c r="F945" s="2">
        <f ca="1">IFERROR(__xludf.DUMMYFUNCTION("""COMPUTED_VALUE"""),211886100)</f>
        <v>211886100</v>
      </c>
    </row>
    <row r="946" spans="1:6">
      <c r="A946" s="5">
        <f ca="1">IFERROR(__xludf.DUMMYFUNCTION("""COMPUTED_VALUE"""),43437.625)</f>
        <v>43437.625</v>
      </c>
      <c r="B946" s="2">
        <f ca="1">IFERROR(__xludf.DUMMYFUNCTION("""COMPUTED_VALUE"""),3720)</f>
        <v>3720</v>
      </c>
      <c r="C946" s="2">
        <f ca="1">IFERROR(__xludf.DUMMYFUNCTION("""COMPUTED_VALUE"""),3780)</f>
        <v>3780</v>
      </c>
      <c r="D946" s="2">
        <f ca="1">IFERROR(__xludf.DUMMYFUNCTION("""COMPUTED_VALUE"""),3690)</f>
        <v>3690</v>
      </c>
      <c r="E946" s="2">
        <f ca="1">IFERROR(__xludf.DUMMYFUNCTION("""COMPUTED_VALUE"""),3690)</f>
        <v>3690</v>
      </c>
      <c r="F946" s="2">
        <f ca="1">IFERROR(__xludf.DUMMYFUNCTION("""COMPUTED_VALUE"""),136737400)</f>
        <v>136737400</v>
      </c>
    </row>
    <row r="947" spans="1:6">
      <c r="A947" s="5">
        <f ca="1">IFERROR(__xludf.DUMMYFUNCTION("""COMPUTED_VALUE"""),43438.625)</f>
        <v>43438.625</v>
      </c>
      <c r="B947" s="2">
        <f ca="1">IFERROR(__xludf.DUMMYFUNCTION("""COMPUTED_VALUE"""),3690)</f>
        <v>3690</v>
      </c>
      <c r="C947" s="2">
        <f ca="1">IFERROR(__xludf.DUMMYFUNCTION("""COMPUTED_VALUE"""),3750)</f>
        <v>3750</v>
      </c>
      <c r="D947" s="2">
        <f ca="1">IFERROR(__xludf.DUMMYFUNCTION("""COMPUTED_VALUE"""),3680)</f>
        <v>3680</v>
      </c>
      <c r="E947" s="2">
        <f ca="1">IFERROR(__xludf.DUMMYFUNCTION("""COMPUTED_VALUE"""),3710)</f>
        <v>3710</v>
      </c>
      <c r="F947" s="2">
        <f ca="1">IFERROR(__xludf.DUMMYFUNCTION("""COMPUTED_VALUE"""),134411900)</f>
        <v>134411900</v>
      </c>
    </row>
    <row r="948" spans="1:6">
      <c r="A948" s="5">
        <f ca="1">IFERROR(__xludf.DUMMYFUNCTION("""COMPUTED_VALUE"""),43439.625)</f>
        <v>43439.625</v>
      </c>
      <c r="B948" s="2">
        <f ca="1">IFERROR(__xludf.DUMMYFUNCTION("""COMPUTED_VALUE"""),3640)</f>
        <v>3640</v>
      </c>
      <c r="C948" s="2">
        <f ca="1">IFERROR(__xludf.DUMMYFUNCTION("""COMPUTED_VALUE"""),3680)</f>
        <v>3680</v>
      </c>
      <c r="D948" s="2">
        <f ca="1">IFERROR(__xludf.DUMMYFUNCTION("""COMPUTED_VALUE"""),3610)</f>
        <v>3610</v>
      </c>
      <c r="E948" s="2">
        <f ca="1">IFERROR(__xludf.DUMMYFUNCTION("""COMPUTED_VALUE"""),3650)</f>
        <v>3650</v>
      </c>
      <c r="F948" s="2">
        <f ca="1">IFERROR(__xludf.DUMMYFUNCTION("""COMPUTED_VALUE"""),140136800)</f>
        <v>140136800</v>
      </c>
    </row>
    <row r="949" spans="1:6">
      <c r="A949" s="5">
        <f ca="1">IFERROR(__xludf.DUMMYFUNCTION("""COMPUTED_VALUE"""),43440.625)</f>
        <v>43440.625</v>
      </c>
      <c r="B949" s="2">
        <f ca="1">IFERROR(__xludf.DUMMYFUNCTION("""COMPUTED_VALUE"""),3640)</f>
        <v>3640</v>
      </c>
      <c r="C949" s="2">
        <f ca="1">IFERROR(__xludf.DUMMYFUNCTION("""COMPUTED_VALUE"""),3680)</f>
        <v>3680</v>
      </c>
      <c r="D949" s="2">
        <f ca="1">IFERROR(__xludf.DUMMYFUNCTION("""COMPUTED_VALUE"""),3610)</f>
        <v>3610</v>
      </c>
      <c r="E949" s="2">
        <f ca="1">IFERROR(__xludf.DUMMYFUNCTION("""COMPUTED_VALUE"""),3650)</f>
        <v>3650</v>
      </c>
      <c r="F949" s="2">
        <f ca="1">IFERROR(__xludf.DUMMYFUNCTION("""COMPUTED_VALUE"""),108827300)</f>
        <v>108827300</v>
      </c>
    </row>
    <row r="950" spans="1:6">
      <c r="A950" s="5">
        <f ca="1">IFERROR(__xludf.DUMMYFUNCTION("""COMPUTED_VALUE"""),43441.625)</f>
        <v>43441.625</v>
      </c>
      <c r="B950" s="2">
        <f ca="1">IFERROR(__xludf.DUMMYFUNCTION("""COMPUTED_VALUE"""),3640)</f>
        <v>3640</v>
      </c>
      <c r="C950" s="2">
        <f ca="1">IFERROR(__xludf.DUMMYFUNCTION("""COMPUTED_VALUE"""),3660)</f>
        <v>3660</v>
      </c>
      <c r="D950" s="2">
        <f ca="1">IFERROR(__xludf.DUMMYFUNCTION("""COMPUTED_VALUE"""),3610)</f>
        <v>3610</v>
      </c>
      <c r="E950" s="2">
        <f ca="1">IFERROR(__xludf.DUMMYFUNCTION("""COMPUTED_VALUE"""),3620)</f>
        <v>3620</v>
      </c>
      <c r="F950" s="2">
        <f ca="1">IFERROR(__xludf.DUMMYFUNCTION("""COMPUTED_VALUE"""),111239100)</f>
        <v>111239100</v>
      </c>
    </row>
    <row r="951" spans="1:6">
      <c r="A951" s="5">
        <f ca="1">IFERROR(__xludf.DUMMYFUNCTION("""COMPUTED_VALUE"""),43444.625)</f>
        <v>43444.625</v>
      </c>
      <c r="B951" s="2">
        <f ca="1">IFERROR(__xludf.DUMMYFUNCTION("""COMPUTED_VALUE"""),3610)</f>
        <v>3610</v>
      </c>
      <c r="C951" s="2">
        <f ca="1">IFERROR(__xludf.DUMMYFUNCTION("""COMPUTED_VALUE"""),3630)</f>
        <v>3630</v>
      </c>
      <c r="D951" s="2">
        <f ca="1">IFERROR(__xludf.DUMMYFUNCTION("""COMPUTED_VALUE"""),3570)</f>
        <v>3570</v>
      </c>
      <c r="E951" s="2">
        <f ca="1">IFERROR(__xludf.DUMMYFUNCTION("""COMPUTED_VALUE"""),3610)</f>
        <v>3610</v>
      </c>
      <c r="F951" s="2">
        <f ca="1">IFERROR(__xludf.DUMMYFUNCTION("""COMPUTED_VALUE"""),93075400)</f>
        <v>93075400</v>
      </c>
    </row>
    <row r="952" spans="1:6">
      <c r="A952" s="5">
        <f ca="1">IFERROR(__xludf.DUMMYFUNCTION("""COMPUTED_VALUE"""),43445.625)</f>
        <v>43445.625</v>
      </c>
      <c r="B952" s="2">
        <f ca="1">IFERROR(__xludf.DUMMYFUNCTION("""COMPUTED_VALUE"""),3610)</f>
        <v>3610</v>
      </c>
      <c r="C952" s="2">
        <f ca="1">IFERROR(__xludf.DUMMYFUNCTION("""COMPUTED_VALUE"""),3630)</f>
        <v>3630</v>
      </c>
      <c r="D952" s="2">
        <f ca="1">IFERROR(__xludf.DUMMYFUNCTION("""COMPUTED_VALUE"""),3580)</f>
        <v>3580</v>
      </c>
      <c r="E952" s="2">
        <f ca="1">IFERROR(__xludf.DUMMYFUNCTION("""COMPUTED_VALUE"""),3620)</f>
        <v>3620</v>
      </c>
      <c r="F952" s="2">
        <f ca="1">IFERROR(__xludf.DUMMYFUNCTION("""COMPUTED_VALUE"""),112667200)</f>
        <v>112667200</v>
      </c>
    </row>
    <row r="953" spans="1:6">
      <c r="A953" s="5">
        <f ca="1">IFERROR(__xludf.DUMMYFUNCTION("""COMPUTED_VALUE"""),43446.625)</f>
        <v>43446.625</v>
      </c>
      <c r="B953" s="2">
        <f ca="1">IFERROR(__xludf.DUMMYFUNCTION("""COMPUTED_VALUE"""),3620)</f>
        <v>3620</v>
      </c>
      <c r="C953" s="2">
        <f ca="1">IFERROR(__xludf.DUMMYFUNCTION("""COMPUTED_VALUE"""),3640)</f>
        <v>3640</v>
      </c>
      <c r="D953" s="2">
        <f ca="1">IFERROR(__xludf.DUMMYFUNCTION("""COMPUTED_VALUE"""),3590)</f>
        <v>3590</v>
      </c>
      <c r="E953" s="2">
        <f ca="1">IFERROR(__xludf.DUMMYFUNCTION("""COMPUTED_VALUE"""),3620)</f>
        <v>3620</v>
      </c>
      <c r="F953" s="2">
        <f ca="1">IFERROR(__xludf.DUMMYFUNCTION("""COMPUTED_VALUE"""),88520300)</f>
        <v>88520300</v>
      </c>
    </row>
    <row r="954" spans="1:6">
      <c r="A954" s="5">
        <f ca="1">IFERROR(__xludf.DUMMYFUNCTION("""COMPUTED_VALUE"""),43447.625)</f>
        <v>43447.625</v>
      </c>
      <c r="B954" s="2">
        <f ca="1">IFERROR(__xludf.DUMMYFUNCTION("""COMPUTED_VALUE"""),3690)</f>
        <v>3690</v>
      </c>
      <c r="C954" s="2">
        <f ca="1">IFERROR(__xludf.DUMMYFUNCTION("""COMPUTED_VALUE"""),3690)</f>
        <v>3690</v>
      </c>
      <c r="D954" s="2">
        <f ca="1">IFERROR(__xludf.DUMMYFUNCTION("""COMPUTED_VALUE"""),3650)</f>
        <v>3650</v>
      </c>
      <c r="E954" s="2">
        <f ca="1">IFERROR(__xludf.DUMMYFUNCTION("""COMPUTED_VALUE"""),3680)</f>
        <v>3680</v>
      </c>
      <c r="F954" s="2">
        <f ca="1">IFERROR(__xludf.DUMMYFUNCTION("""COMPUTED_VALUE"""),106283800)</f>
        <v>106283800</v>
      </c>
    </row>
    <row r="955" spans="1:6">
      <c r="A955" s="5">
        <f ca="1">IFERROR(__xludf.DUMMYFUNCTION("""COMPUTED_VALUE"""),43448.625)</f>
        <v>43448.625</v>
      </c>
      <c r="B955" s="2">
        <f ca="1">IFERROR(__xludf.DUMMYFUNCTION("""COMPUTED_VALUE"""),3670)</f>
        <v>3670</v>
      </c>
      <c r="C955" s="2">
        <f ca="1">IFERROR(__xludf.DUMMYFUNCTION("""COMPUTED_VALUE"""),3690)</f>
        <v>3690</v>
      </c>
      <c r="D955" s="2">
        <f ca="1">IFERROR(__xludf.DUMMYFUNCTION("""COMPUTED_VALUE"""),3640)</f>
        <v>3640</v>
      </c>
      <c r="E955" s="2">
        <f ca="1">IFERROR(__xludf.DUMMYFUNCTION("""COMPUTED_VALUE"""),3680)</f>
        <v>3680</v>
      </c>
      <c r="F955" s="2">
        <f ca="1">IFERROR(__xludf.DUMMYFUNCTION("""COMPUTED_VALUE"""),122909500)</f>
        <v>122909500</v>
      </c>
    </row>
    <row r="956" spans="1:6">
      <c r="A956" s="5">
        <f ca="1">IFERROR(__xludf.DUMMYFUNCTION("""COMPUTED_VALUE"""),43451.625)</f>
        <v>43451.625</v>
      </c>
      <c r="B956" s="2">
        <f ca="1">IFERROR(__xludf.DUMMYFUNCTION("""COMPUTED_VALUE"""),3650)</f>
        <v>3650</v>
      </c>
      <c r="C956" s="2">
        <f ca="1">IFERROR(__xludf.DUMMYFUNCTION("""COMPUTED_VALUE"""),3680)</f>
        <v>3680</v>
      </c>
      <c r="D956" s="2">
        <f ca="1">IFERROR(__xludf.DUMMYFUNCTION("""COMPUTED_VALUE"""),3600)</f>
        <v>3600</v>
      </c>
      <c r="E956" s="2">
        <f ca="1">IFERROR(__xludf.DUMMYFUNCTION("""COMPUTED_VALUE"""),3600)</f>
        <v>3600</v>
      </c>
      <c r="F956" s="2">
        <f ca="1">IFERROR(__xludf.DUMMYFUNCTION("""COMPUTED_VALUE"""),124669800)</f>
        <v>124669800</v>
      </c>
    </row>
    <row r="957" spans="1:6">
      <c r="A957" s="5">
        <f ca="1">IFERROR(__xludf.DUMMYFUNCTION("""COMPUTED_VALUE"""),43452.625)</f>
        <v>43452.625</v>
      </c>
      <c r="B957" s="2">
        <f ca="1">IFERROR(__xludf.DUMMYFUNCTION("""COMPUTED_VALUE"""),3550)</f>
        <v>3550</v>
      </c>
      <c r="C957" s="2">
        <f ca="1">IFERROR(__xludf.DUMMYFUNCTION("""COMPUTED_VALUE"""),3640)</f>
        <v>3640</v>
      </c>
      <c r="D957" s="2">
        <f ca="1">IFERROR(__xludf.DUMMYFUNCTION("""COMPUTED_VALUE"""),3550)</f>
        <v>3550</v>
      </c>
      <c r="E957" s="2">
        <f ca="1">IFERROR(__xludf.DUMMYFUNCTION("""COMPUTED_VALUE"""),3630)</f>
        <v>3630</v>
      </c>
      <c r="F957" s="2">
        <f ca="1">IFERROR(__xludf.DUMMYFUNCTION("""COMPUTED_VALUE"""),118738900)</f>
        <v>118738900</v>
      </c>
    </row>
    <row r="958" spans="1:6">
      <c r="A958" s="5">
        <f ca="1">IFERROR(__xludf.DUMMYFUNCTION("""COMPUTED_VALUE"""),43453.625)</f>
        <v>43453.625</v>
      </c>
      <c r="B958" s="2">
        <f ca="1">IFERROR(__xludf.DUMMYFUNCTION("""COMPUTED_VALUE"""),3600)</f>
        <v>3600</v>
      </c>
      <c r="C958" s="2">
        <f ca="1">IFERROR(__xludf.DUMMYFUNCTION("""COMPUTED_VALUE"""),3670)</f>
        <v>3670</v>
      </c>
      <c r="D958" s="2">
        <f ca="1">IFERROR(__xludf.DUMMYFUNCTION("""COMPUTED_VALUE"""),3600)</f>
        <v>3600</v>
      </c>
      <c r="E958" s="2">
        <f ca="1">IFERROR(__xludf.DUMMYFUNCTION("""COMPUTED_VALUE"""),3670)</f>
        <v>3670</v>
      </c>
      <c r="F958" s="2">
        <f ca="1">IFERROR(__xludf.DUMMYFUNCTION("""COMPUTED_VALUE"""),133097500)</f>
        <v>133097500</v>
      </c>
    </row>
    <row r="959" spans="1:6">
      <c r="A959" s="5">
        <f ca="1">IFERROR(__xludf.DUMMYFUNCTION("""COMPUTED_VALUE"""),43454.625)</f>
        <v>43454.625</v>
      </c>
      <c r="B959" s="2">
        <f ca="1">IFERROR(__xludf.DUMMYFUNCTION("""COMPUTED_VALUE"""),3610)</f>
        <v>3610</v>
      </c>
      <c r="C959" s="2">
        <f ca="1">IFERROR(__xludf.DUMMYFUNCTION("""COMPUTED_VALUE"""),3660)</f>
        <v>3660</v>
      </c>
      <c r="D959" s="2">
        <f ca="1">IFERROR(__xludf.DUMMYFUNCTION("""COMPUTED_VALUE"""),3610)</f>
        <v>3610</v>
      </c>
      <c r="E959" s="2">
        <f ca="1">IFERROR(__xludf.DUMMYFUNCTION("""COMPUTED_VALUE"""),3650)</f>
        <v>3650</v>
      </c>
      <c r="F959" s="2">
        <f ca="1">IFERROR(__xludf.DUMMYFUNCTION("""COMPUTED_VALUE"""),67329000)</f>
        <v>67329000</v>
      </c>
    </row>
    <row r="960" spans="1:6">
      <c r="A960" s="5">
        <f ca="1">IFERROR(__xludf.DUMMYFUNCTION("""COMPUTED_VALUE"""),43455.625)</f>
        <v>43455.625</v>
      </c>
      <c r="B960" s="2">
        <f ca="1">IFERROR(__xludf.DUMMYFUNCTION("""COMPUTED_VALUE"""),3610)</f>
        <v>3610</v>
      </c>
      <c r="C960" s="2">
        <f ca="1">IFERROR(__xludf.DUMMYFUNCTION("""COMPUTED_VALUE"""),3630)</f>
        <v>3630</v>
      </c>
      <c r="D960" s="2">
        <f ca="1">IFERROR(__xludf.DUMMYFUNCTION("""COMPUTED_VALUE"""),3600)</f>
        <v>3600</v>
      </c>
      <c r="E960" s="2">
        <f ca="1">IFERROR(__xludf.DUMMYFUNCTION("""COMPUTED_VALUE"""),3620)</f>
        <v>3620</v>
      </c>
      <c r="F960" s="2">
        <f ca="1">IFERROR(__xludf.DUMMYFUNCTION("""COMPUTED_VALUE"""),174467000)</f>
        <v>174467000</v>
      </c>
    </row>
    <row r="961" spans="1:6">
      <c r="A961" s="5">
        <f ca="1">IFERROR(__xludf.DUMMYFUNCTION("""COMPUTED_VALUE"""),43460.625)</f>
        <v>43460.625</v>
      </c>
      <c r="B961" s="2">
        <f ca="1">IFERROR(__xludf.DUMMYFUNCTION("""COMPUTED_VALUE"""),3550)</f>
        <v>3550</v>
      </c>
      <c r="C961" s="2">
        <f ca="1">IFERROR(__xludf.DUMMYFUNCTION("""COMPUTED_VALUE"""),3630)</f>
        <v>3630</v>
      </c>
      <c r="D961" s="2">
        <f ca="1">IFERROR(__xludf.DUMMYFUNCTION("""COMPUTED_VALUE"""),3520)</f>
        <v>3520</v>
      </c>
      <c r="E961" s="2">
        <f ca="1">IFERROR(__xludf.DUMMYFUNCTION("""COMPUTED_VALUE"""),3600)</f>
        <v>3600</v>
      </c>
      <c r="F961" s="2">
        <f ca="1">IFERROR(__xludf.DUMMYFUNCTION("""COMPUTED_VALUE"""),83406800)</f>
        <v>83406800</v>
      </c>
    </row>
    <row r="962" spans="1:6">
      <c r="A962" s="5">
        <f ca="1">IFERROR(__xludf.DUMMYFUNCTION("""COMPUTED_VALUE"""),43461.625)</f>
        <v>43461.625</v>
      </c>
      <c r="B962" s="2">
        <f ca="1">IFERROR(__xludf.DUMMYFUNCTION("""COMPUTED_VALUE"""),3650)</f>
        <v>3650</v>
      </c>
      <c r="C962" s="2">
        <f ca="1">IFERROR(__xludf.DUMMYFUNCTION("""COMPUTED_VALUE"""),3670)</f>
        <v>3670</v>
      </c>
      <c r="D962" s="2">
        <f ca="1">IFERROR(__xludf.DUMMYFUNCTION("""COMPUTED_VALUE"""),3620)</f>
        <v>3620</v>
      </c>
      <c r="E962" s="2">
        <f ca="1">IFERROR(__xludf.DUMMYFUNCTION("""COMPUTED_VALUE"""),3660)</f>
        <v>3660</v>
      </c>
      <c r="F962" s="2">
        <f ca="1">IFERROR(__xludf.DUMMYFUNCTION("""COMPUTED_VALUE"""),71717800)</f>
        <v>71717800</v>
      </c>
    </row>
    <row r="963" spans="1:6">
      <c r="A963" s="5">
        <f ca="1">IFERROR(__xludf.DUMMYFUNCTION("""COMPUTED_VALUE"""),43462.625)</f>
        <v>43462.625</v>
      </c>
      <c r="B963" s="2">
        <f ca="1">IFERROR(__xludf.DUMMYFUNCTION("""COMPUTED_VALUE"""),3680)</f>
        <v>3680</v>
      </c>
      <c r="C963" s="2">
        <f ca="1">IFERROR(__xludf.DUMMYFUNCTION("""COMPUTED_VALUE"""),3680)</f>
        <v>3680</v>
      </c>
      <c r="D963" s="2">
        <f ca="1">IFERROR(__xludf.DUMMYFUNCTION("""COMPUTED_VALUE"""),3650)</f>
        <v>3650</v>
      </c>
      <c r="E963" s="2">
        <f ca="1">IFERROR(__xludf.DUMMYFUNCTION("""COMPUTED_VALUE"""),3660)</f>
        <v>3660</v>
      </c>
      <c r="F963" s="2">
        <f ca="1">IFERROR(__xludf.DUMMYFUNCTION("""COMPUTED_VALUE"""),122945700)</f>
        <v>122945700</v>
      </c>
    </row>
    <row r="964" spans="1:6">
      <c r="A964" s="5">
        <f ca="1">IFERROR(__xludf.DUMMYFUNCTION("""COMPUTED_VALUE"""),43467.625)</f>
        <v>43467.625</v>
      </c>
      <c r="B964" s="2">
        <f ca="1">IFERROR(__xludf.DUMMYFUNCTION("""COMPUTED_VALUE"""),3610)</f>
        <v>3610</v>
      </c>
      <c r="C964" s="2">
        <f ca="1">IFERROR(__xludf.DUMMYFUNCTION("""COMPUTED_VALUE"""),3640)</f>
        <v>3640</v>
      </c>
      <c r="D964" s="2">
        <f ca="1">IFERROR(__xludf.DUMMYFUNCTION("""COMPUTED_VALUE"""),3590)</f>
        <v>3590</v>
      </c>
      <c r="E964" s="2">
        <f ca="1">IFERROR(__xludf.DUMMYFUNCTION("""COMPUTED_VALUE"""),3610)</f>
        <v>3610</v>
      </c>
      <c r="F964" s="2">
        <f ca="1">IFERROR(__xludf.DUMMYFUNCTION("""COMPUTED_VALUE"""),74945100)</f>
        <v>74945100</v>
      </c>
    </row>
    <row r="965" spans="1:6">
      <c r="A965" s="5">
        <f ca="1">IFERROR(__xludf.DUMMYFUNCTION("""COMPUTED_VALUE"""),43468.625)</f>
        <v>43468.625</v>
      </c>
      <c r="B965" s="2">
        <f ca="1">IFERROR(__xludf.DUMMYFUNCTION("""COMPUTED_VALUE"""),3580)</f>
        <v>3580</v>
      </c>
      <c r="C965" s="2">
        <f ca="1">IFERROR(__xludf.DUMMYFUNCTION("""COMPUTED_VALUE"""),3640)</f>
        <v>3640</v>
      </c>
      <c r="D965" s="2">
        <f ca="1">IFERROR(__xludf.DUMMYFUNCTION("""COMPUTED_VALUE"""),3580)</f>
        <v>3580</v>
      </c>
      <c r="E965" s="2">
        <f ca="1">IFERROR(__xludf.DUMMYFUNCTION("""COMPUTED_VALUE"""),3620)</f>
        <v>3620</v>
      </c>
      <c r="F965" s="2">
        <f ca="1">IFERROR(__xludf.DUMMYFUNCTION("""COMPUTED_VALUE"""),93458300)</f>
        <v>93458300</v>
      </c>
    </row>
    <row r="966" spans="1:6">
      <c r="A966" s="5">
        <f ca="1">IFERROR(__xludf.DUMMYFUNCTION("""COMPUTED_VALUE"""),43469.625)</f>
        <v>43469.625</v>
      </c>
      <c r="B966" s="2">
        <f ca="1">IFERROR(__xludf.DUMMYFUNCTION("""COMPUTED_VALUE"""),3620)</f>
        <v>3620</v>
      </c>
      <c r="C966" s="2">
        <f ca="1">IFERROR(__xludf.DUMMYFUNCTION("""COMPUTED_VALUE"""),3660)</f>
        <v>3660</v>
      </c>
      <c r="D966" s="2">
        <f ca="1">IFERROR(__xludf.DUMMYFUNCTION("""COMPUTED_VALUE"""),3610)</f>
        <v>3610</v>
      </c>
      <c r="E966" s="2">
        <f ca="1">IFERROR(__xludf.DUMMYFUNCTION("""COMPUTED_VALUE"""),3660)</f>
        <v>3660</v>
      </c>
      <c r="F966" s="2">
        <f ca="1">IFERROR(__xludf.DUMMYFUNCTION("""COMPUTED_VALUE"""),114459600)</f>
        <v>114459600</v>
      </c>
    </row>
    <row r="967" spans="1:6">
      <c r="A967" s="5">
        <f ca="1">IFERROR(__xludf.DUMMYFUNCTION("""COMPUTED_VALUE"""),43472.625)</f>
        <v>43472.625</v>
      </c>
      <c r="B967" s="2">
        <f ca="1">IFERROR(__xludf.DUMMYFUNCTION("""COMPUTED_VALUE"""),3700)</f>
        <v>3700</v>
      </c>
      <c r="C967" s="2">
        <f ca="1">IFERROR(__xludf.DUMMYFUNCTION("""COMPUTED_VALUE"""),3710)</f>
        <v>3710</v>
      </c>
      <c r="D967" s="2">
        <f ca="1">IFERROR(__xludf.DUMMYFUNCTION("""COMPUTED_VALUE"""),3660)</f>
        <v>3660</v>
      </c>
      <c r="E967" s="2">
        <f ca="1">IFERROR(__xludf.DUMMYFUNCTION("""COMPUTED_VALUE"""),3660)</f>
        <v>3660</v>
      </c>
      <c r="F967" s="2">
        <f ca="1">IFERROR(__xludf.DUMMYFUNCTION("""COMPUTED_VALUE"""),74641100)</f>
        <v>74641100</v>
      </c>
    </row>
    <row r="968" spans="1:6">
      <c r="A968" s="5">
        <f ca="1">IFERROR(__xludf.DUMMYFUNCTION("""COMPUTED_VALUE"""),43473.625)</f>
        <v>43473.625</v>
      </c>
      <c r="B968" s="2">
        <f ca="1">IFERROR(__xludf.DUMMYFUNCTION("""COMPUTED_VALUE"""),3660)</f>
        <v>3660</v>
      </c>
      <c r="C968" s="2">
        <f ca="1">IFERROR(__xludf.DUMMYFUNCTION("""COMPUTED_VALUE"""),3680)</f>
        <v>3680</v>
      </c>
      <c r="D968" s="2">
        <f ca="1">IFERROR(__xludf.DUMMYFUNCTION("""COMPUTED_VALUE"""),3630)</f>
        <v>3630</v>
      </c>
      <c r="E968" s="2">
        <f ca="1">IFERROR(__xludf.DUMMYFUNCTION("""COMPUTED_VALUE"""),3680)</f>
        <v>3680</v>
      </c>
      <c r="F968" s="2">
        <f ca="1">IFERROR(__xludf.DUMMYFUNCTION("""COMPUTED_VALUE"""),81361900)</f>
        <v>81361900</v>
      </c>
    </row>
    <row r="969" spans="1:6">
      <c r="A969" s="5">
        <f ca="1">IFERROR(__xludf.DUMMYFUNCTION("""COMPUTED_VALUE"""),43474.625)</f>
        <v>43474.625</v>
      </c>
      <c r="B969" s="2">
        <f ca="1">IFERROR(__xludf.DUMMYFUNCTION("""COMPUTED_VALUE"""),3710)</f>
        <v>3710</v>
      </c>
      <c r="C969" s="2">
        <f ca="1">IFERROR(__xludf.DUMMYFUNCTION("""COMPUTED_VALUE"""),3740)</f>
        <v>3740</v>
      </c>
      <c r="D969" s="2">
        <f ca="1">IFERROR(__xludf.DUMMYFUNCTION("""COMPUTED_VALUE"""),3690)</f>
        <v>3690</v>
      </c>
      <c r="E969" s="2">
        <f ca="1">IFERROR(__xludf.DUMMYFUNCTION("""COMPUTED_VALUE"""),3720)</f>
        <v>3720</v>
      </c>
      <c r="F969" s="2">
        <f ca="1">IFERROR(__xludf.DUMMYFUNCTION("""COMPUTED_VALUE"""),119390300)</f>
        <v>119390300</v>
      </c>
    </row>
    <row r="970" spans="1:6">
      <c r="A970" s="5">
        <f ca="1">IFERROR(__xludf.DUMMYFUNCTION("""COMPUTED_VALUE"""),43475.625)</f>
        <v>43475.625</v>
      </c>
      <c r="B970" s="2">
        <f ca="1">IFERROR(__xludf.DUMMYFUNCTION("""COMPUTED_VALUE"""),3740)</f>
        <v>3740</v>
      </c>
      <c r="C970" s="2">
        <f ca="1">IFERROR(__xludf.DUMMYFUNCTION("""COMPUTED_VALUE"""),3750)</f>
        <v>3750</v>
      </c>
      <c r="D970" s="2">
        <f ca="1">IFERROR(__xludf.DUMMYFUNCTION("""COMPUTED_VALUE"""),3710)</f>
        <v>3710</v>
      </c>
      <c r="E970" s="2">
        <f ca="1">IFERROR(__xludf.DUMMYFUNCTION("""COMPUTED_VALUE"""),3750)</f>
        <v>3750</v>
      </c>
      <c r="F970" s="2">
        <f ca="1">IFERROR(__xludf.DUMMYFUNCTION("""COMPUTED_VALUE"""),141926800)</f>
        <v>141926800</v>
      </c>
    </row>
    <row r="971" spans="1:6">
      <c r="A971" s="5">
        <f ca="1">IFERROR(__xludf.DUMMYFUNCTION("""COMPUTED_VALUE"""),43476.625)</f>
        <v>43476.625</v>
      </c>
      <c r="B971" s="2">
        <f ca="1">IFERROR(__xludf.DUMMYFUNCTION("""COMPUTED_VALUE"""),3760)</f>
        <v>3760</v>
      </c>
      <c r="C971" s="2">
        <f ca="1">IFERROR(__xludf.DUMMYFUNCTION("""COMPUTED_VALUE"""),3770)</f>
        <v>3770</v>
      </c>
      <c r="D971" s="2">
        <f ca="1">IFERROR(__xludf.DUMMYFUNCTION("""COMPUTED_VALUE"""),3700)</f>
        <v>3700</v>
      </c>
      <c r="E971" s="2">
        <f ca="1">IFERROR(__xludf.DUMMYFUNCTION("""COMPUTED_VALUE"""),3730)</f>
        <v>3730</v>
      </c>
      <c r="F971" s="2">
        <f ca="1">IFERROR(__xludf.DUMMYFUNCTION("""COMPUTED_VALUE"""),107861300)</f>
        <v>107861300</v>
      </c>
    </row>
    <row r="972" spans="1:6">
      <c r="A972" s="5">
        <f ca="1">IFERROR(__xludf.DUMMYFUNCTION("""COMPUTED_VALUE"""),43479.625)</f>
        <v>43479.625</v>
      </c>
      <c r="B972" s="2">
        <f ca="1">IFERROR(__xludf.DUMMYFUNCTION("""COMPUTED_VALUE"""),3730)</f>
        <v>3730</v>
      </c>
      <c r="C972" s="2">
        <f ca="1">IFERROR(__xludf.DUMMYFUNCTION("""COMPUTED_VALUE"""),3790)</f>
        <v>3790</v>
      </c>
      <c r="D972" s="2">
        <f ca="1">IFERROR(__xludf.DUMMYFUNCTION("""COMPUTED_VALUE"""),3730)</f>
        <v>3730</v>
      </c>
      <c r="E972" s="2">
        <f ca="1">IFERROR(__xludf.DUMMYFUNCTION("""COMPUTED_VALUE"""),3790)</f>
        <v>3790</v>
      </c>
      <c r="F972" s="2">
        <f ca="1">IFERROR(__xludf.DUMMYFUNCTION("""COMPUTED_VALUE"""),115067500)</f>
        <v>115067500</v>
      </c>
    </row>
    <row r="973" spans="1:6">
      <c r="A973" s="5">
        <f ca="1">IFERROR(__xludf.DUMMYFUNCTION("""COMPUTED_VALUE"""),43480.625)</f>
        <v>43480.625</v>
      </c>
      <c r="B973" s="2">
        <f ca="1">IFERROR(__xludf.DUMMYFUNCTION("""COMPUTED_VALUE"""),3770)</f>
        <v>3770</v>
      </c>
      <c r="C973" s="2">
        <f ca="1">IFERROR(__xludf.DUMMYFUNCTION("""COMPUTED_VALUE"""),3790)</f>
        <v>3790</v>
      </c>
      <c r="D973" s="2">
        <f ca="1">IFERROR(__xludf.DUMMYFUNCTION("""COMPUTED_VALUE"""),3740)</f>
        <v>3740</v>
      </c>
      <c r="E973" s="2">
        <f ca="1">IFERROR(__xludf.DUMMYFUNCTION("""COMPUTED_VALUE"""),3780)</f>
        <v>3780</v>
      </c>
      <c r="F973" s="2">
        <f ca="1">IFERROR(__xludf.DUMMYFUNCTION("""COMPUTED_VALUE"""),140860200)</f>
        <v>140860200</v>
      </c>
    </row>
    <row r="974" spans="1:6">
      <c r="A974" s="5">
        <f ca="1">IFERROR(__xludf.DUMMYFUNCTION("""COMPUTED_VALUE"""),43481.625)</f>
        <v>43481.625</v>
      </c>
      <c r="B974" s="2">
        <f ca="1">IFERROR(__xludf.DUMMYFUNCTION("""COMPUTED_VALUE"""),3790)</f>
        <v>3790</v>
      </c>
      <c r="C974" s="2">
        <f ca="1">IFERROR(__xludf.DUMMYFUNCTION("""COMPUTED_VALUE"""),3800)</f>
        <v>3800</v>
      </c>
      <c r="D974" s="2">
        <f ca="1">IFERROR(__xludf.DUMMYFUNCTION("""COMPUTED_VALUE"""),3760)</f>
        <v>3760</v>
      </c>
      <c r="E974" s="2">
        <f ca="1">IFERROR(__xludf.DUMMYFUNCTION("""COMPUTED_VALUE"""),3780)</f>
        <v>3780</v>
      </c>
      <c r="F974" s="2">
        <f ca="1">IFERROR(__xludf.DUMMYFUNCTION("""COMPUTED_VALUE"""),103772600)</f>
        <v>103772600</v>
      </c>
    </row>
    <row r="975" spans="1:6">
      <c r="A975" s="5">
        <f ca="1">IFERROR(__xludf.DUMMYFUNCTION("""COMPUTED_VALUE"""),43482.625)</f>
        <v>43482.625</v>
      </c>
      <c r="B975" s="2">
        <f ca="1">IFERROR(__xludf.DUMMYFUNCTION("""COMPUTED_VALUE"""),3790)</f>
        <v>3790</v>
      </c>
      <c r="C975" s="2">
        <f ca="1">IFERROR(__xludf.DUMMYFUNCTION("""COMPUTED_VALUE"""),3840)</f>
        <v>3840</v>
      </c>
      <c r="D975" s="2">
        <f ca="1">IFERROR(__xludf.DUMMYFUNCTION("""COMPUTED_VALUE"""),3780)</f>
        <v>3780</v>
      </c>
      <c r="E975" s="2">
        <f ca="1">IFERROR(__xludf.DUMMYFUNCTION("""COMPUTED_VALUE"""),3810)</f>
        <v>3810</v>
      </c>
      <c r="F975" s="2">
        <f ca="1">IFERROR(__xludf.DUMMYFUNCTION("""COMPUTED_VALUE"""),119859400)</f>
        <v>119859400</v>
      </c>
    </row>
    <row r="976" spans="1:6">
      <c r="A976" s="5">
        <f ca="1">IFERROR(__xludf.DUMMYFUNCTION("""COMPUTED_VALUE"""),43483.625)</f>
        <v>43483.625</v>
      </c>
      <c r="B976" s="2">
        <f ca="1">IFERROR(__xludf.DUMMYFUNCTION("""COMPUTED_VALUE"""),3850)</f>
        <v>3850</v>
      </c>
      <c r="C976" s="2">
        <f ca="1">IFERROR(__xludf.DUMMYFUNCTION("""COMPUTED_VALUE"""),3850)</f>
        <v>3850</v>
      </c>
      <c r="D976" s="2">
        <f ca="1">IFERROR(__xludf.DUMMYFUNCTION("""COMPUTED_VALUE"""),3790)</f>
        <v>3790</v>
      </c>
      <c r="E976" s="2">
        <f ca="1">IFERROR(__xludf.DUMMYFUNCTION("""COMPUTED_VALUE"""),3820)</f>
        <v>3820</v>
      </c>
      <c r="F976" s="2">
        <f ca="1">IFERROR(__xludf.DUMMYFUNCTION("""COMPUTED_VALUE"""),96096600)</f>
        <v>96096600</v>
      </c>
    </row>
    <row r="977" spans="1:6">
      <c r="A977" s="5">
        <f ca="1">IFERROR(__xludf.DUMMYFUNCTION("""COMPUTED_VALUE"""),43486.625)</f>
        <v>43486.625</v>
      </c>
      <c r="B977" s="2">
        <f ca="1">IFERROR(__xludf.DUMMYFUNCTION("""COMPUTED_VALUE"""),3800)</f>
        <v>3800</v>
      </c>
      <c r="C977" s="2">
        <f ca="1">IFERROR(__xludf.DUMMYFUNCTION("""COMPUTED_VALUE"""),3830)</f>
        <v>3830</v>
      </c>
      <c r="D977" s="2">
        <f ca="1">IFERROR(__xludf.DUMMYFUNCTION("""COMPUTED_VALUE"""),3800)</f>
        <v>3800</v>
      </c>
      <c r="E977" s="2">
        <f ca="1">IFERROR(__xludf.DUMMYFUNCTION("""COMPUTED_VALUE"""),3800)</f>
        <v>3800</v>
      </c>
      <c r="F977" s="2">
        <f ca="1">IFERROR(__xludf.DUMMYFUNCTION("""COMPUTED_VALUE"""),80926000)</f>
        <v>80926000</v>
      </c>
    </row>
    <row r="978" spans="1:6">
      <c r="A978" s="5">
        <f ca="1">IFERROR(__xludf.DUMMYFUNCTION("""COMPUTED_VALUE"""),43487.625)</f>
        <v>43487.625</v>
      </c>
      <c r="B978" s="2">
        <f ca="1">IFERROR(__xludf.DUMMYFUNCTION("""COMPUTED_VALUE"""),3770)</f>
        <v>3770</v>
      </c>
      <c r="C978" s="2">
        <f ca="1">IFERROR(__xludf.DUMMYFUNCTION("""COMPUTED_VALUE"""),3790)</f>
        <v>3790</v>
      </c>
      <c r="D978" s="2">
        <f ca="1">IFERROR(__xludf.DUMMYFUNCTION("""COMPUTED_VALUE"""),3740)</f>
        <v>3740</v>
      </c>
      <c r="E978" s="2">
        <f ca="1">IFERROR(__xludf.DUMMYFUNCTION("""COMPUTED_VALUE"""),3770)</f>
        <v>3770</v>
      </c>
      <c r="F978" s="2">
        <f ca="1">IFERROR(__xludf.DUMMYFUNCTION("""COMPUTED_VALUE"""),119687600)</f>
        <v>119687600</v>
      </c>
    </row>
    <row r="979" spans="1:6">
      <c r="A979" s="5">
        <f ca="1">IFERROR(__xludf.DUMMYFUNCTION("""COMPUTED_VALUE"""),43488.625)</f>
        <v>43488.625</v>
      </c>
      <c r="B979" s="2">
        <f ca="1">IFERROR(__xludf.DUMMYFUNCTION("""COMPUTED_VALUE"""),3760)</f>
        <v>3760</v>
      </c>
      <c r="C979" s="2">
        <f ca="1">IFERROR(__xludf.DUMMYFUNCTION("""COMPUTED_VALUE"""),3810)</f>
        <v>3810</v>
      </c>
      <c r="D979" s="2">
        <f ca="1">IFERROR(__xludf.DUMMYFUNCTION("""COMPUTED_VALUE"""),3730)</f>
        <v>3730</v>
      </c>
      <c r="E979" s="2">
        <f ca="1">IFERROR(__xludf.DUMMYFUNCTION("""COMPUTED_VALUE"""),3770)</f>
        <v>3770</v>
      </c>
      <c r="F979" s="2">
        <f ca="1">IFERROR(__xludf.DUMMYFUNCTION("""COMPUTED_VALUE"""),163458700)</f>
        <v>163458700</v>
      </c>
    </row>
    <row r="980" spans="1:6">
      <c r="A980" s="5">
        <f ca="1">IFERROR(__xludf.DUMMYFUNCTION("""COMPUTED_VALUE"""),43489.625)</f>
        <v>43489.625</v>
      </c>
      <c r="B980" s="2">
        <f ca="1">IFERROR(__xludf.DUMMYFUNCTION("""COMPUTED_VALUE"""),3750)</f>
        <v>3750</v>
      </c>
      <c r="C980" s="2">
        <f ca="1">IFERROR(__xludf.DUMMYFUNCTION("""COMPUTED_VALUE"""),3810)</f>
        <v>3810</v>
      </c>
      <c r="D980" s="2">
        <f ca="1">IFERROR(__xludf.DUMMYFUNCTION("""COMPUTED_VALUE"""),3750)</f>
        <v>3750</v>
      </c>
      <c r="E980" s="2">
        <f ca="1">IFERROR(__xludf.DUMMYFUNCTION("""COMPUTED_VALUE"""),3790)</f>
        <v>3790</v>
      </c>
      <c r="F980" s="2">
        <f ca="1">IFERROR(__xludf.DUMMYFUNCTION("""COMPUTED_VALUE"""),176166500)</f>
        <v>176166500</v>
      </c>
    </row>
    <row r="981" spans="1:6">
      <c r="A981" s="5">
        <f ca="1">IFERROR(__xludf.DUMMYFUNCTION("""COMPUTED_VALUE"""),43490.625)</f>
        <v>43490.625</v>
      </c>
      <c r="B981" s="2">
        <f ca="1">IFERROR(__xludf.DUMMYFUNCTION("""COMPUTED_VALUE"""),3820)</f>
        <v>3820</v>
      </c>
      <c r="C981" s="2">
        <f ca="1">IFERROR(__xludf.DUMMYFUNCTION("""COMPUTED_VALUE"""),3820)</f>
        <v>3820</v>
      </c>
      <c r="D981" s="2">
        <f ca="1">IFERROR(__xludf.DUMMYFUNCTION("""COMPUTED_VALUE"""),3780)</f>
        <v>3780</v>
      </c>
      <c r="E981" s="2">
        <f ca="1">IFERROR(__xludf.DUMMYFUNCTION("""COMPUTED_VALUE"""),3780)</f>
        <v>3780</v>
      </c>
      <c r="F981" s="2">
        <f ca="1">IFERROR(__xludf.DUMMYFUNCTION("""COMPUTED_VALUE"""),127141300)</f>
        <v>127141300</v>
      </c>
    </row>
    <row r="982" spans="1:6">
      <c r="A982" s="5">
        <f ca="1">IFERROR(__xludf.DUMMYFUNCTION("""COMPUTED_VALUE"""),43493.625)</f>
        <v>43493.625</v>
      </c>
      <c r="B982" s="2">
        <f ca="1">IFERROR(__xludf.DUMMYFUNCTION("""COMPUTED_VALUE"""),3750)</f>
        <v>3750</v>
      </c>
      <c r="C982" s="2">
        <f ca="1">IFERROR(__xludf.DUMMYFUNCTION("""COMPUTED_VALUE"""),3790)</f>
        <v>3790</v>
      </c>
      <c r="D982" s="2">
        <f ca="1">IFERROR(__xludf.DUMMYFUNCTION("""COMPUTED_VALUE"""),3750)</f>
        <v>3750</v>
      </c>
      <c r="E982" s="2">
        <f ca="1">IFERROR(__xludf.DUMMYFUNCTION("""COMPUTED_VALUE"""),3780)</f>
        <v>3780</v>
      </c>
      <c r="F982" s="2">
        <f ca="1">IFERROR(__xludf.DUMMYFUNCTION("""COMPUTED_VALUE"""),93581100)</f>
        <v>93581100</v>
      </c>
    </row>
    <row r="983" spans="1:6">
      <c r="A983" s="5">
        <f ca="1">IFERROR(__xludf.DUMMYFUNCTION("""COMPUTED_VALUE"""),43494.625)</f>
        <v>43494.625</v>
      </c>
      <c r="B983" s="2">
        <f ca="1">IFERROR(__xludf.DUMMYFUNCTION("""COMPUTED_VALUE"""),3780)</f>
        <v>3780</v>
      </c>
      <c r="C983" s="2">
        <f ca="1">IFERROR(__xludf.DUMMYFUNCTION("""COMPUTED_VALUE"""),3820)</f>
        <v>3820</v>
      </c>
      <c r="D983" s="2">
        <f ca="1">IFERROR(__xludf.DUMMYFUNCTION("""COMPUTED_VALUE"""),3650)</f>
        <v>3650</v>
      </c>
      <c r="E983" s="2">
        <f ca="1">IFERROR(__xludf.DUMMYFUNCTION("""COMPUTED_VALUE"""),3690)</f>
        <v>3690</v>
      </c>
      <c r="F983" s="2">
        <f ca="1">IFERROR(__xludf.DUMMYFUNCTION("""COMPUTED_VALUE"""),187613500)</f>
        <v>187613500</v>
      </c>
    </row>
    <row r="984" spans="1:6">
      <c r="A984" s="5">
        <f ca="1">IFERROR(__xludf.DUMMYFUNCTION("""COMPUTED_VALUE"""),43495.625)</f>
        <v>43495.625</v>
      </c>
      <c r="B984" s="2">
        <f ca="1">IFERROR(__xludf.DUMMYFUNCTION("""COMPUTED_VALUE"""),3700)</f>
        <v>3700</v>
      </c>
      <c r="C984" s="2">
        <f ca="1">IFERROR(__xludf.DUMMYFUNCTION("""COMPUTED_VALUE"""),3760)</f>
        <v>3760</v>
      </c>
      <c r="D984" s="2">
        <f ca="1">IFERROR(__xludf.DUMMYFUNCTION("""COMPUTED_VALUE"""),3700)</f>
        <v>3700</v>
      </c>
      <c r="E984" s="2">
        <f ca="1">IFERROR(__xludf.DUMMYFUNCTION("""COMPUTED_VALUE"""),3750)</f>
        <v>3750</v>
      </c>
      <c r="F984" s="2">
        <f ca="1">IFERROR(__xludf.DUMMYFUNCTION("""COMPUTED_VALUE"""),144747500)</f>
        <v>144747500</v>
      </c>
    </row>
    <row r="985" spans="1:6">
      <c r="A985" s="5">
        <f ca="1">IFERROR(__xludf.DUMMYFUNCTION("""COMPUTED_VALUE"""),43496.625)</f>
        <v>43496.625</v>
      </c>
      <c r="B985" s="2">
        <f ca="1">IFERROR(__xludf.DUMMYFUNCTION("""COMPUTED_VALUE"""),3800)</f>
        <v>3800</v>
      </c>
      <c r="C985" s="2">
        <f ca="1">IFERROR(__xludf.DUMMYFUNCTION("""COMPUTED_VALUE"""),3870)</f>
        <v>3870</v>
      </c>
      <c r="D985" s="2">
        <f ca="1">IFERROR(__xludf.DUMMYFUNCTION("""COMPUTED_VALUE"""),3800)</f>
        <v>3800</v>
      </c>
      <c r="E985" s="2">
        <f ca="1">IFERROR(__xludf.DUMMYFUNCTION("""COMPUTED_VALUE"""),3850)</f>
        <v>3850</v>
      </c>
      <c r="F985" s="2">
        <f ca="1">IFERROR(__xludf.DUMMYFUNCTION("""COMPUTED_VALUE"""),252448500)</f>
        <v>252448500</v>
      </c>
    </row>
    <row r="986" spans="1:6">
      <c r="A986" s="5">
        <f ca="1">IFERROR(__xludf.DUMMYFUNCTION("""COMPUTED_VALUE"""),43497.625)</f>
        <v>43497.625</v>
      </c>
      <c r="B986" s="2">
        <f ca="1">IFERROR(__xludf.DUMMYFUNCTION("""COMPUTED_VALUE"""),3880)</f>
        <v>3880</v>
      </c>
      <c r="C986" s="2">
        <f ca="1">IFERROR(__xludf.DUMMYFUNCTION("""COMPUTED_VALUE"""),3930)</f>
        <v>3930</v>
      </c>
      <c r="D986" s="2">
        <f ca="1">IFERROR(__xludf.DUMMYFUNCTION("""COMPUTED_VALUE"""),3870)</f>
        <v>3870</v>
      </c>
      <c r="E986" s="2">
        <f ca="1">IFERROR(__xludf.DUMMYFUNCTION("""COMPUTED_VALUE"""),3920)</f>
        <v>3920</v>
      </c>
      <c r="F986" s="2">
        <f ca="1">IFERROR(__xludf.DUMMYFUNCTION("""COMPUTED_VALUE"""),140105900)</f>
        <v>140105900</v>
      </c>
    </row>
    <row r="987" spans="1:6">
      <c r="A987" s="5">
        <f ca="1">IFERROR(__xludf.DUMMYFUNCTION("""COMPUTED_VALUE"""),43500.625)</f>
        <v>43500.625</v>
      </c>
      <c r="B987" s="2">
        <f ca="1">IFERROR(__xludf.DUMMYFUNCTION("""COMPUTED_VALUE"""),3950)</f>
        <v>3950</v>
      </c>
      <c r="C987" s="2">
        <f ca="1">IFERROR(__xludf.DUMMYFUNCTION("""COMPUTED_VALUE"""),3950)</f>
        <v>3950</v>
      </c>
      <c r="D987" s="2">
        <f ca="1">IFERROR(__xludf.DUMMYFUNCTION("""COMPUTED_VALUE"""),3890)</f>
        <v>3890</v>
      </c>
      <c r="E987" s="2">
        <f ca="1">IFERROR(__xludf.DUMMYFUNCTION("""COMPUTED_VALUE"""),3900)</f>
        <v>3900</v>
      </c>
      <c r="F987" s="2">
        <f ca="1">IFERROR(__xludf.DUMMYFUNCTION("""COMPUTED_VALUE"""),75955600)</f>
        <v>75955600</v>
      </c>
    </row>
    <row r="988" spans="1:6">
      <c r="A988" s="5">
        <f ca="1">IFERROR(__xludf.DUMMYFUNCTION("""COMPUTED_VALUE"""),43502.625)</f>
        <v>43502.625</v>
      </c>
      <c r="B988" s="2">
        <f ca="1">IFERROR(__xludf.DUMMYFUNCTION("""COMPUTED_VALUE"""),3920)</f>
        <v>3920</v>
      </c>
      <c r="C988" s="2">
        <f ca="1">IFERROR(__xludf.DUMMYFUNCTION("""COMPUTED_VALUE"""),3940)</f>
        <v>3940</v>
      </c>
      <c r="D988" s="2">
        <f ca="1">IFERROR(__xludf.DUMMYFUNCTION("""COMPUTED_VALUE"""),3910)</f>
        <v>3910</v>
      </c>
      <c r="E988" s="2">
        <f ca="1">IFERROR(__xludf.DUMMYFUNCTION("""COMPUTED_VALUE"""),3920)</f>
        <v>3920</v>
      </c>
      <c r="F988" s="2">
        <f ca="1">IFERROR(__xludf.DUMMYFUNCTION("""COMPUTED_VALUE"""),78073900)</f>
        <v>78073900</v>
      </c>
    </row>
    <row r="989" spans="1:6">
      <c r="A989" s="5">
        <f ca="1">IFERROR(__xludf.DUMMYFUNCTION("""COMPUTED_VALUE"""),43503.625)</f>
        <v>43503.625</v>
      </c>
      <c r="B989" s="2">
        <f ca="1">IFERROR(__xludf.DUMMYFUNCTION("""COMPUTED_VALUE"""),3930)</f>
        <v>3930</v>
      </c>
      <c r="C989" s="2">
        <f ca="1">IFERROR(__xludf.DUMMYFUNCTION("""COMPUTED_VALUE"""),3930)</f>
        <v>3930</v>
      </c>
      <c r="D989" s="2">
        <f ca="1">IFERROR(__xludf.DUMMYFUNCTION("""COMPUTED_VALUE"""),3890)</f>
        <v>3890</v>
      </c>
      <c r="E989" s="2">
        <f ca="1">IFERROR(__xludf.DUMMYFUNCTION("""COMPUTED_VALUE"""),3930)</f>
        <v>3930</v>
      </c>
      <c r="F989" s="2">
        <f ca="1">IFERROR(__xludf.DUMMYFUNCTION("""COMPUTED_VALUE"""),82938300)</f>
        <v>82938300</v>
      </c>
    </row>
    <row r="990" spans="1:6">
      <c r="A990" s="5">
        <f ca="1">IFERROR(__xludf.DUMMYFUNCTION("""COMPUTED_VALUE"""),43504.625)</f>
        <v>43504.625</v>
      </c>
      <c r="B990" s="2">
        <f ca="1">IFERROR(__xludf.DUMMYFUNCTION("""COMPUTED_VALUE"""),3860)</f>
        <v>3860</v>
      </c>
      <c r="C990" s="2">
        <f ca="1">IFERROR(__xludf.DUMMYFUNCTION("""COMPUTED_VALUE"""),3910)</f>
        <v>3910</v>
      </c>
      <c r="D990" s="2">
        <f ca="1">IFERROR(__xludf.DUMMYFUNCTION("""COMPUTED_VALUE"""),3850)</f>
        <v>3850</v>
      </c>
      <c r="E990" s="2">
        <f ca="1">IFERROR(__xludf.DUMMYFUNCTION("""COMPUTED_VALUE"""),3890)</f>
        <v>3890</v>
      </c>
      <c r="F990" s="2">
        <f ca="1">IFERROR(__xludf.DUMMYFUNCTION("""COMPUTED_VALUE"""),78473000)</f>
        <v>78473000</v>
      </c>
    </row>
    <row r="991" spans="1:6">
      <c r="A991" s="5">
        <f ca="1">IFERROR(__xludf.DUMMYFUNCTION("""COMPUTED_VALUE"""),43507.625)</f>
        <v>43507.625</v>
      </c>
      <c r="B991" s="2">
        <f ca="1">IFERROR(__xludf.DUMMYFUNCTION("""COMPUTED_VALUE"""),3890)</f>
        <v>3890</v>
      </c>
      <c r="C991" s="2">
        <f ca="1">IFERROR(__xludf.DUMMYFUNCTION("""COMPUTED_VALUE"""),3920)</f>
        <v>3920</v>
      </c>
      <c r="D991" s="2">
        <f ca="1">IFERROR(__xludf.DUMMYFUNCTION("""COMPUTED_VALUE"""),3860)</f>
        <v>3860</v>
      </c>
      <c r="E991" s="2">
        <f ca="1">IFERROR(__xludf.DUMMYFUNCTION("""COMPUTED_VALUE"""),3870)</f>
        <v>3870</v>
      </c>
      <c r="F991" s="2">
        <f ca="1">IFERROR(__xludf.DUMMYFUNCTION("""COMPUTED_VALUE"""),55587600)</f>
        <v>55587600</v>
      </c>
    </row>
    <row r="992" spans="1:6">
      <c r="A992" s="5">
        <f ca="1">IFERROR(__xludf.DUMMYFUNCTION("""COMPUTED_VALUE"""),43508.625)</f>
        <v>43508.625</v>
      </c>
      <c r="B992" s="2">
        <f ca="1">IFERROR(__xludf.DUMMYFUNCTION("""COMPUTED_VALUE"""),3900)</f>
        <v>3900</v>
      </c>
      <c r="C992" s="2">
        <f ca="1">IFERROR(__xludf.DUMMYFUNCTION("""COMPUTED_VALUE"""),3900)</f>
        <v>3900</v>
      </c>
      <c r="D992" s="2">
        <f ca="1">IFERROR(__xludf.DUMMYFUNCTION("""COMPUTED_VALUE"""),3820)</f>
        <v>3820</v>
      </c>
      <c r="E992" s="2">
        <f ca="1">IFERROR(__xludf.DUMMYFUNCTION("""COMPUTED_VALUE"""),3850)</f>
        <v>3850</v>
      </c>
      <c r="F992" s="2">
        <f ca="1">IFERROR(__xludf.DUMMYFUNCTION("""COMPUTED_VALUE"""),94961400)</f>
        <v>94961400</v>
      </c>
    </row>
    <row r="993" spans="1:6">
      <c r="A993" s="5">
        <f ca="1">IFERROR(__xludf.DUMMYFUNCTION("""COMPUTED_VALUE"""),43509.625)</f>
        <v>43509.625</v>
      </c>
      <c r="B993" s="2">
        <f ca="1">IFERROR(__xludf.DUMMYFUNCTION("""COMPUTED_VALUE"""),3890)</f>
        <v>3890</v>
      </c>
      <c r="C993" s="2">
        <f ca="1">IFERROR(__xludf.DUMMYFUNCTION("""COMPUTED_VALUE"""),3890)</f>
        <v>3890</v>
      </c>
      <c r="D993" s="2">
        <f ca="1">IFERROR(__xludf.DUMMYFUNCTION("""COMPUTED_VALUE"""),3780)</f>
        <v>3780</v>
      </c>
      <c r="E993" s="2">
        <f ca="1">IFERROR(__xludf.DUMMYFUNCTION("""COMPUTED_VALUE"""),3790)</f>
        <v>3790</v>
      </c>
      <c r="F993" s="2">
        <f ca="1">IFERROR(__xludf.DUMMYFUNCTION("""COMPUTED_VALUE"""),108181100)</f>
        <v>108181100</v>
      </c>
    </row>
    <row r="994" spans="1:6">
      <c r="A994" s="5">
        <f ca="1">IFERROR(__xludf.DUMMYFUNCTION("""COMPUTED_VALUE"""),43510.625)</f>
        <v>43510.625</v>
      </c>
      <c r="B994" s="2">
        <f ca="1">IFERROR(__xludf.DUMMYFUNCTION("""COMPUTED_VALUE"""),3820)</f>
        <v>3820</v>
      </c>
      <c r="C994" s="2">
        <f ca="1">IFERROR(__xludf.DUMMYFUNCTION("""COMPUTED_VALUE"""),3850)</f>
        <v>3850</v>
      </c>
      <c r="D994" s="2">
        <f ca="1">IFERROR(__xludf.DUMMYFUNCTION("""COMPUTED_VALUE"""),3750)</f>
        <v>3750</v>
      </c>
      <c r="E994" s="2">
        <f ca="1">IFERROR(__xludf.DUMMYFUNCTION("""COMPUTED_VALUE"""),3800)</f>
        <v>3800</v>
      </c>
      <c r="F994" s="2">
        <f ca="1">IFERROR(__xludf.DUMMYFUNCTION("""COMPUTED_VALUE"""),119542400)</f>
        <v>119542400</v>
      </c>
    </row>
    <row r="995" spans="1:6">
      <c r="A995" s="5">
        <f ca="1">IFERROR(__xludf.DUMMYFUNCTION("""COMPUTED_VALUE"""),43511.625)</f>
        <v>43511.625</v>
      </c>
      <c r="B995" s="2">
        <f ca="1">IFERROR(__xludf.DUMMYFUNCTION("""COMPUTED_VALUE"""),3840)</f>
        <v>3840</v>
      </c>
      <c r="C995" s="2">
        <f ca="1">IFERROR(__xludf.DUMMYFUNCTION("""COMPUTED_VALUE"""),3840)</f>
        <v>3840</v>
      </c>
      <c r="D995" s="2">
        <f ca="1">IFERROR(__xludf.DUMMYFUNCTION("""COMPUTED_VALUE"""),3750)</f>
        <v>3750</v>
      </c>
      <c r="E995" s="2">
        <f ca="1">IFERROR(__xludf.DUMMYFUNCTION("""COMPUTED_VALUE"""),3770)</f>
        <v>3770</v>
      </c>
      <c r="F995" s="2">
        <f ca="1">IFERROR(__xludf.DUMMYFUNCTION("""COMPUTED_VALUE"""),87738200)</f>
        <v>87738200</v>
      </c>
    </row>
    <row r="996" spans="1:6">
      <c r="A996" s="5">
        <f ca="1">IFERROR(__xludf.DUMMYFUNCTION("""COMPUTED_VALUE"""),43514.625)</f>
        <v>43514.625</v>
      </c>
      <c r="B996" s="2">
        <f ca="1">IFERROR(__xludf.DUMMYFUNCTION("""COMPUTED_VALUE"""),3790)</f>
        <v>3790</v>
      </c>
      <c r="C996" s="2">
        <f ca="1">IFERROR(__xludf.DUMMYFUNCTION("""COMPUTED_VALUE"""),3860)</f>
        <v>3860</v>
      </c>
      <c r="D996" s="2">
        <f ca="1">IFERROR(__xludf.DUMMYFUNCTION("""COMPUTED_VALUE"""),3790)</f>
        <v>3790</v>
      </c>
      <c r="E996" s="2">
        <f ca="1">IFERROR(__xludf.DUMMYFUNCTION("""COMPUTED_VALUE"""),3840)</f>
        <v>3840</v>
      </c>
      <c r="F996" s="2">
        <f ca="1">IFERROR(__xludf.DUMMYFUNCTION("""COMPUTED_VALUE"""),93662400)</f>
        <v>93662400</v>
      </c>
    </row>
    <row r="997" spans="1:6">
      <c r="A997" s="5">
        <f ca="1">IFERROR(__xludf.DUMMYFUNCTION("""COMPUTED_VALUE"""),43515.625)</f>
        <v>43515.625</v>
      </c>
      <c r="B997" s="2">
        <f ca="1">IFERROR(__xludf.DUMMYFUNCTION("""COMPUTED_VALUE"""),3900)</f>
        <v>3900</v>
      </c>
      <c r="C997" s="2">
        <f ca="1">IFERROR(__xludf.DUMMYFUNCTION("""COMPUTED_VALUE"""),4000)</f>
        <v>4000</v>
      </c>
      <c r="D997" s="2">
        <f ca="1">IFERROR(__xludf.DUMMYFUNCTION("""COMPUTED_VALUE"""),3880)</f>
        <v>3880</v>
      </c>
      <c r="E997" s="2">
        <f ca="1">IFERROR(__xludf.DUMMYFUNCTION("""COMPUTED_VALUE"""),3910)</f>
        <v>3910</v>
      </c>
      <c r="F997" s="2">
        <f ca="1">IFERROR(__xludf.DUMMYFUNCTION("""COMPUTED_VALUE"""),139946000)</f>
        <v>139946000</v>
      </c>
    </row>
    <row r="998" spans="1:6">
      <c r="A998" s="5">
        <f ca="1">IFERROR(__xludf.DUMMYFUNCTION("""COMPUTED_VALUE"""),43516.625)</f>
        <v>43516.625</v>
      </c>
      <c r="B998" s="2">
        <f ca="1">IFERROR(__xludf.DUMMYFUNCTION("""COMPUTED_VALUE"""),3910)</f>
        <v>3910</v>
      </c>
      <c r="C998" s="2">
        <f ca="1">IFERROR(__xludf.DUMMYFUNCTION("""COMPUTED_VALUE"""),3940)</f>
        <v>3940</v>
      </c>
      <c r="D998" s="2">
        <f ca="1">IFERROR(__xludf.DUMMYFUNCTION("""COMPUTED_VALUE"""),3860)</f>
        <v>3860</v>
      </c>
      <c r="E998" s="2">
        <f ca="1">IFERROR(__xludf.DUMMYFUNCTION("""COMPUTED_VALUE"""),3890)</f>
        <v>3890</v>
      </c>
      <c r="F998" s="2">
        <f ca="1">IFERROR(__xludf.DUMMYFUNCTION("""COMPUTED_VALUE"""),124066500)</f>
        <v>124066500</v>
      </c>
    </row>
    <row r="999" spans="1:6">
      <c r="A999" s="5">
        <f ca="1">IFERROR(__xludf.DUMMYFUNCTION("""COMPUTED_VALUE"""),43517.625)</f>
        <v>43517.625</v>
      </c>
      <c r="B999" s="2">
        <f ca="1">IFERROR(__xludf.DUMMYFUNCTION("""COMPUTED_VALUE"""),3830)</f>
        <v>3830</v>
      </c>
      <c r="C999" s="2">
        <f ca="1">IFERROR(__xludf.DUMMYFUNCTION("""COMPUTED_VALUE"""),3940)</f>
        <v>3940</v>
      </c>
      <c r="D999" s="2">
        <f ca="1">IFERROR(__xludf.DUMMYFUNCTION("""COMPUTED_VALUE"""),3830)</f>
        <v>3830</v>
      </c>
      <c r="E999" s="2">
        <f ca="1">IFERROR(__xludf.DUMMYFUNCTION("""COMPUTED_VALUE"""),3910)</f>
        <v>3910</v>
      </c>
      <c r="F999" s="2">
        <f ca="1">IFERROR(__xludf.DUMMYFUNCTION("""COMPUTED_VALUE"""),114540900)</f>
        <v>114540900</v>
      </c>
    </row>
    <row r="1000" spans="1:6">
      <c r="A1000" s="5">
        <f ca="1">IFERROR(__xludf.DUMMYFUNCTION("""COMPUTED_VALUE"""),43518.625)</f>
        <v>43518.625</v>
      </c>
      <c r="B1000" s="2">
        <f ca="1">IFERROR(__xludf.DUMMYFUNCTION("""COMPUTED_VALUE"""),3860)</f>
        <v>3860</v>
      </c>
      <c r="C1000" s="2">
        <f ca="1">IFERROR(__xludf.DUMMYFUNCTION("""COMPUTED_VALUE"""),3910)</f>
        <v>3910</v>
      </c>
      <c r="D1000" s="2">
        <f ca="1">IFERROR(__xludf.DUMMYFUNCTION("""COMPUTED_VALUE"""),3860)</f>
        <v>3860</v>
      </c>
      <c r="E1000" s="2">
        <f ca="1">IFERROR(__xludf.DUMMYFUNCTION("""COMPUTED_VALUE"""),3900)</f>
        <v>3900</v>
      </c>
      <c r="F1000" s="2">
        <f ca="1">IFERROR(__xludf.DUMMYFUNCTION("""COMPUTED_VALUE"""),81700600)</f>
        <v>81700600</v>
      </c>
    </row>
    <row r="1001" spans="1:6">
      <c r="A1001" s="5">
        <f ca="1">IFERROR(__xludf.DUMMYFUNCTION("""COMPUTED_VALUE"""),43521.625)</f>
        <v>43521.625</v>
      </c>
      <c r="B1001" s="2">
        <f ca="1">IFERROR(__xludf.DUMMYFUNCTION("""COMPUTED_VALUE"""),3940)</f>
        <v>3940</v>
      </c>
      <c r="C1001" s="2">
        <f ca="1">IFERROR(__xludf.DUMMYFUNCTION("""COMPUTED_VALUE"""),3970)</f>
        <v>3970</v>
      </c>
      <c r="D1001" s="2">
        <f ca="1">IFERROR(__xludf.DUMMYFUNCTION("""COMPUTED_VALUE"""),3900)</f>
        <v>3900</v>
      </c>
      <c r="E1001" s="2">
        <f ca="1">IFERROR(__xludf.DUMMYFUNCTION("""COMPUTED_VALUE"""),3960)</f>
        <v>3960</v>
      </c>
      <c r="F1001" s="2">
        <f ca="1">IFERROR(__xludf.DUMMYFUNCTION("""COMPUTED_VALUE"""),106730500)</f>
        <v>106730500</v>
      </c>
    </row>
    <row r="1002" spans="1:6">
      <c r="A1002" s="5">
        <f ca="1">IFERROR(__xludf.DUMMYFUNCTION("""COMPUTED_VALUE"""),43522.625)</f>
        <v>43522.625</v>
      </c>
      <c r="B1002" s="2">
        <f ca="1">IFERROR(__xludf.DUMMYFUNCTION("""COMPUTED_VALUE"""),3960)</f>
        <v>3960</v>
      </c>
      <c r="C1002" s="2">
        <f ca="1">IFERROR(__xludf.DUMMYFUNCTION("""COMPUTED_VALUE"""),3970)</f>
        <v>3970</v>
      </c>
      <c r="D1002" s="2">
        <f ca="1">IFERROR(__xludf.DUMMYFUNCTION("""COMPUTED_VALUE"""),3910)</f>
        <v>3910</v>
      </c>
      <c r="E1002" s="2">
        <f ca="1">IFERROR(__xludf.DUMMYFUNCTION("""COMPUTED_VALUE"""),3940)</f>
        <v>3940</v>
      </c>
      <c r="F1002" s="2">
        <f ca="1">IFERROR(__xludf.DUMMYFUNCTION("""COMPUTED_VALUE"""),61418800)</f>
        <v>61418800</v>
      </c>
    </row>
    <row r="1003" spans="1:6">
      <c r="A1003" s="5">
        <f ca="1">IFERROR(__xludf.DUMMYFUNCTION("""COMPUTED_VALUE"""),43523.625)</f>
        <v>43523.625</v>
      </c>
      <c r="B1003" s="2">
        <f ca="1">IFERROR(__xludf.DUMMYFUNCTION("""COMPUTED_VALUE"""),3910)</f>
        <v>3910</v>
      </c>
      <c r="C1003" s="2">
        <f ca="1">IFERROR(__xludf.DUMMYFUNCTION("""COMPUTED_VALUE"""),3920)</f>
        <v>3920</v>
      </c>
      <c r="D1003" s="2">
        <f ca="1">IFERROR(__xludf.DUMMYFUNCTION("""COMPUTED_VALUE"""),3850)</f>
        <v>3850</v>
      </c>
      <c r="E1003" s="2">
        <f ca="1">IFERROR(__xludf.DUMMYFUNCTION("""COMPUTED_VALUE"""),3870)</f>
        <v>3870</v>
      </c>
      <c r="F1003" s="2">
        <f ca="1">IFERROR(__xludf.DUMMYFUNCTION("""COMPUTED_VALUE"""),88062100)</f>
        <v>88062100</v>
      </c>
    </row>
    <row r="1004" spans="1:6">
      <c r="A1004" s="5">
        <f ca="1">IFERROR(__xludf.DUMMYFUNCTION("""COMPUTED_VALUE"""),43524.625)</f>
        <v>43524.625</v>
      </c>
      <c r="B1004" s="2">
        <f ca="1">IFERROR(__xludf.DUMMYFUNCTION("""COMPUTED_VALUE"""),3850)</f>
        <v>3850</v>
      </c>
      <c r="C1004" s="2">
        <f ca="1">IFERROR(__xludf.DUMMYFUNCTION("""COMPUTED_VALUE"""),3870)</f>
        <v>3870</v>
      </c>
      <c r="D1004" s="2">
        <f ca="1">IFERROR(__xludf.DUMMYFUNCTION("""COMPUTED_VALUE"""),3840)</f>
        <v>3840</v>
      </c>
      <c r="E1004" s="2">
        <f ca="1">IFERROR(__xludf.DUMMYFUNCTION("""COMPUTED_VALUE"""),3850)</f>
        <v>3850</v>
      </c>
      <c r="F1004" s="2">
        <f ca="1">IFERROR(__xludf.DUMMYFUNCTION("""COMPUTED_VALUE"""),106492300)</f>
        <v>106492300</v>
      </c>
    </row>
    <row r="1005" spans="1:6">
      <c r="A1005" s="5">
        <f ca="1">IFERROR(__xludf.DUMMYFUNCTION("""COMPUTED_VALUE"""),43525.625)</f>
        <v>43525.625</v>
      </c>
      <c r="B1005" s="2">
        <f ca="1">IFERROR(__xludf.DUMMYFUNCTION("""COMPUTED_VALUE"""),3870)</f>
        <v>3870</v>
      </c>
      <c r="C1005" s="2">
        <f ca="1">IFERROR(__xludf.DUMMYFUNCTION("""COMPUTED_VALUE"""),3890)</f>
        <v>3890</v>
      </c>
      <c r="D1005" s="2">
        <f ca="1">IFERROR(__xludf.DUMMYFUNCTION("""COMPUTED_VALUE"""),3860)</f>
        <v>3860</v>
      </c>
      <c r="E1005" s="2">
        <f ca="1">IFERROR(__xludf.DUMMYFUNCTION("""COMPUTED_VALUE"""),3870)</f>
        <v>3870</v>
      </c>
      <c r="F1005" s="2">
        <f ca="1">IFERROR(__xludf.DUMMYFUNCTION("""COMPUTED_VALUE"""),71431900)</f>
        <v>71431900</v>
      </c>
    </row>
    <row r="1006" spans="1:6">
      <c r="A1006" s="5">
        <f ca="1">IFERROR(__xludf.DUMMYFUNCTION("""COMPUTED_VALUE"""),43528.625)</f>
        <v>43528.625</v>
      </c>
      <c r="B1006" s="2">
        <f ca="1">IFERROR(__xludf.DUMMYFUNCTION("""COMPUTED_VALUE"""),3900)</f>
        <v>3900</v>
      </c>
      <c r="C1006" s="2">
        <f ca="1">IFERROR(__xludf.DUMMYFUNCTION("""COMPUTED_VALUE"""),3920)</f>
        <v>3920</v>
      </c>
      <c r="D1006" s="2">
        <f ca="1">IFERROR(__xludf.DUMMYFUNCTION("""COMPUTED_VALUE"""),3880)</f>
        <v>3880</v>
      </c>
      <c r="E1006" s="2">
        <f ca="1">IFERROR(__xludf.DUMMYFUNCTION("""COMPUTED_VALUE"""),3880)</f>
        <v>3880</v>
      </c>
      <c r="F1006" s="2">
        <f ca="1">IFERROR(__xludf.DUMMYFUNCTION("""COMPUTED_VALUE"""),57026900)</f>
        <v>57026900</v>
      </c>
    </row>
    <row r="1007" spans="1:6">
      <c r="A1007" s="5">
        <f ca="1">IFERROR(__xludf.DUMMYFUNCTION("""COMPUTED_VALUE"""),43529.625)</f>
        <v>43529.625</v>
      </c>
      <c r="B1007" s="2">
        <f ca="1">IFERROR(__xludf.DUMMYFUNCTION("""COMPUTED_VALUE"""),3900)</f>
        <v>3900</v>
      </c>
      <c r="C1007" s="2">
        <f ca="1">IFERROR(__xludf.DUMMYFUNCTION("""COMPUTED_VALUE"""),3900)</f>
        <v>3900</v>
      </c>
      <c r="D1007" s="2">
        <f ca="1">IFERROR(__xludf.DUMMYFUNCTION("""COMPUTED_VALUE"""),3860)</f>
        <v>3860</v>
      </c>
      <c r="E1007" s="2">
        <f ca="1">IFERROR(__xludf.DUMMYFUNCTION("""COMPUTED_VALUE"""),3860)</f>
        <v>3860</v>
      </c>
      <c r="F1007" s="2">
        <f ca="1">IFERROR(__xludf.DUMMYFUNCTION("""COMPUTED_VALUE"""),70615700)</f>
        <v>70615700</v>
      </c>
    </row>
    <row r="1008" spans="1:6">
      <c r="A1008" s="5">
        <f ca="1">IFERROR(__xludf.DUMMYFUNCTION("""COMPUTED_VALUE"""),43530.625)</f>
        <v>43530.625</v>
      </c>
      <c r="B1008" s="2">
        <f ca="1">IFERROR(__xludf.DUMMYFUNCTION("""COMPUTED_VALUE"""),3890)</f>
        <v>3890</v>
      </c>
      <c r="C1008" s="2">
        <f ca="1">IFERROR(__xludf.DUMMYFUNCTION("""COMPUTED_VALUE"""),3920)</f>
        <v>3920</v>
      </c>
      <c r="D1008" s="2">
        <f ca="1">IFERROR(__xludf.DUMMYFUNCTION("""COMPUTED_VALUE"""),3860)</f>
        <v>3860</v>
      </c>
      <c r="E1008" s="2">
        <f ca="1">IFERROR(__xludf.DUMMYFUNCTION("""COMPUTED_VALUE"""),3900)</f>
        <v>3900</v>
      </c>
      <c r="F1008" s="2">
        <f ca="1">IFERROR(__xludf.DUMMYFUNCTION("""COMPUTED_VALUE"""),56508700)</f>
        <v>56508700</v>
      </c>
    </row>
    <row r="1009" spans="1:6">
      <c r="A1009" s="5">
        <f ca="1">IFERROR(__xludf.DUMMYFUNCTION("""COMPUTED_VALUE"""),43532.625)</f>
        <v>43532.625</v>
      </c>
      <c r="B1009" s="2">
        <f ca="1">IFERROR(__xludf.DUMMYFUNCTION("""COMPUTED_VALUE"""),3820)</f>
        <v>3820</v>
      </c>
      <c r="C1009" s="2">
        <f ca="1">IFERROR(__xludf.DUMMYFUNCTION("""COMPUTED_VALUE"""),3880)</f>
        <v>3880</v>
      </c>
      <c r="D1009" s="2">
        <f ca="1">IFERROR(__xludf.DUMMYFUNCTION("""COMPUTED_VALUE"""),3810)</f>
        <v>3810</v>
      </c>
      <c r="E1009" s="2">
        <f ca="1">IFERROR(__xludf.DUMMYFUNCTION("""COMPUTED_VALUE"""),3850)</f>
        <v>3850</v>
      </c>
      <c r="F1009" s="2">
        <f ca="1">IFERROR(__xludf.DUMMYFUNCTION("""COMPUTED_VALUE"""),129784700)</f>
        <v>129784700</v>
      </c>
    </row>
    <row r="1010" spans="1:6">
      <c r="A1010" s="5">
        <f ca="1">IFERROR(__xludf.DUMMYFUNCTION("""COMPUTED_VALUE"""),43535.625)</f>
        <v>43535.625</v>
      </c>
      <c r="B1010" s="2">
        <f ca="1">IFERROR(__xludf.DUMMYFUNCTION("""COMPUTED_VALUE"""),3900)</f>
        <v>3900</v>
      </c>
      <c r="C1010" s="2">
        <f ca="1">IFERROR(__xludf.DUMMYFUNCTION("""COMPUTED_VALUE"""),3900)</f>
        <v>3900</v>
      </c>
      <c r="D1010" s="2">
        <f ca="1">IFERROR(__xludf.DUMMYFUNCTION("""COMPUTED_VALUE"""),3830)</f>
        <v>3830</v>
      </c>
      <c r="E1010" s="2">
        <f ca="1">IFERROR(__xludf.DUMMYFUNCTION("""COMPUTED_VALUE"""),3850)</f>
        <v>3850</v>
      </c>
      <c r="F1010" s="2">
        <f ca="1">IFERROR(__xludf.DUMMYFUNCTION("""COMPUTED_VALUE"""),69676100)</f>
        <v>69676100</v>
      </c>
    </row>
    <row r="1011" spans="1:6">
      <c r="A1011" s="5">
        <f ca="1">IFERROR(__xludf.DUMMYFUNCTION("""COMPUTED_VALUE"""),43536.625)</f>
        <v>43536.625</v>
      </c>
      <c r="B1011" s="2">
        <f ca="1">IFERROR(__xludf.DUMMYFUNCTION("""COMPUTED_VALUE"""),3880)</f>
        <v>3880</v>
      </c>
      <c r="C1011" s="2">
        <f ca="1">IFERROR(__xludf.DUMMYFUNCTION("""COMPUTED_VALUE"""),3890)</f>
        <v>3890</v>
      </c>
      <c r="D1011" s="2">
        <f ca="1">IFERROR(__xludf.DUMMYFUNCTION("""COMPUTED_VALUE"""),3810)</f>
        <v>3810</v>
      </c>
      <c r="E1011" s="2">
        <f ca="1">IFERROR(__xludf.DUMMYFUNCTION("""COMPUTED_VALUE"""),3830)</f>
        <v>3830</v>
      </c>
      <c r="F1011" s="2">
        <f ca="1">IFERROR(__xludf.DUMMYFUNCTION("""COMPUTED_VALUE"""),79468800)</f>
        <v>79468800</v>
      </c>
    </row>
    <row r="1012" spans="1:6">
      <c r="A1012" s="5">
        <f ca="1">IFERROR(__xludf.DUMMYFUNCTION("""COMPUTED_VALUE"""),43537.625)</f>
        <v>43537.625</v>
      </c>
      <c r="B1012" s="2">
        <f ca="1">IFERROR(__xludf.DUMMYFUNCTION("""COMPUTED_VALUE"""),3800)</f>
        <v>3800</v>
      </c>
      <c r="C1012" s="2">
        <f ca="1">IFERROR(__xludf.DUMMYFUNCTION("""COMPUTED_VALUE"""),3810)</f>
        <v>3810</v>
      </c>
      <c r="D1012" s="2">
        <f ca="1">IFERROR(__xludf.DUMMYFUNCTION("""COMPUTED_VALUE"""),3780)</f>
        <v>3780</v>
      </c>
      <c r="E1012" s="2">
        <f ca="1">IFERROR(__xludf.DUMMYFUNCTION("""COMPUTED_VALUE"""),3800)</f>
        <v>3800</v>
      </c>
      <c r="F1012" s="2">
        <f ca="1">IFERROR(__xludf.DUMMYFUNCTION("""COMPUTED_VALUE"""),84077200)</f>
        <v>84077200</v>
      </c>
    </row>
    <row r="1013" spans="1:6">
      <c r="A1013" s="5">
        <f ca="1">IFERROR(__xludf.DUMMYFUNCTION("""COMPUTED_VALUE"""),43538.625)</f>
        <v>43538.625</v>
      </c>
      <c r="B1013" s="2">
        <f ca="1">IFERROR(__xludf.DUMMYFUNCTION("""COMPUTED_VALUE"""),3780)</f>
        <v>3780</v>
      </c>
      <c r="C1013" s="2">
        <f ca="1">IFERROR(__xludf.DUMMYFUNCTION("""COMPUTED_VALUE"""),3870)</f>
        <v>3870</v>
      </c>
      <c r="D1013" s="2">
        <f ca="1">IFERROR(__xludf.DUMMYFUNCTION("""COMPUTED_VALUE"""),3780)</f>
        <v>3780</v>
      </c>
      <c r="E1013" s="2">
        <f ca="1">IFERROR(__xludf.DUMMYFUNCTION("""COMPUTED_VALUE"""),3870)</f>
        <v>3870</v>
      </c>
      <c r="F1013" s="2">
        <f ca="1">IFERROR(__xludf.DUMMYFUNCTION("""COMPUTED_VALUE"""),138244200)</f>
        <v>138244200</v>
      </c>
    </row>
    <row r="1014" spans="1:6">
      <c r="A1014" s="5">
        <f ca="1">IFERROR(__xludf.DUMMYFUNCTION("""COMPUTED_VALUE"""),43539.625)</f>
        <v>43539.625</v>
      </c>
      <c r="B1014" s="2">
        <f ca="1">IFERROR(__xludf.DUMMYFUNCTION("""COMPUTED_VALUE"""),3900)</f>
        <v>3900</v>
      </c>
      <c r="C1014" s="2">
        <f ca="1">IFERROR(__xludf.DUMMYFUNCTION("""COMPUTED_VALUE"""),3980)</f>
        <v>3980</v>
      </c>
      <c r="D1014" s="2">
        <f ca="1">IFERROR(__xludf.DUMMYFUNCTION("""COMPUTED_VALUE"""),3890)</f>
        <v>3890</v>
      </c>
      <c r="E1014" s="2">
        <f ca="1">IFERROR(__xludf.DUMMYFUNCTION("""COMPUTED_VALUE"""),3980)</f>
        <v>3980</v>
      </c>
      <c r="F1014" s="2">
        <f ca="1">IFERROR(__xludf.DUMMYFUNCTION("""COMPUTED_VALUE"""),201313000)</f>
        <v>201313000</v>
      </c>
    </row>
    <row r="1015" spans="1:6">
      <c r="A1015" s="5">
        <f ca="1">IFERROR(__xludf.DUMMYFUNCTION("""COMPUTED_VALUE"""),43542.625)</f>
        <v>43542.625</v>
      </c>
      <c r="B1015" s="2">
        <f ca="1">IFERROR(__xludf.DUMMYFUNCTION("""COMPUTED_VALUE"""),3990)</f>
        <v>3990</v>
      </c>
      <c r="C1015" s="2">
        <f ca="1">IFERROR(__xludf.DUMMYFUNCTION("""COMPUTED_VALUE"""),4040)</f>
        <v>4040</v>
      </c>
      <c r="D1015" s="2">
        <f ca="1">IFERROR(__xludf.DUMMYFUNCTION("""COMPUTED_VALUE"""),3980)</f>
        <v>3980</v>
      </c>
      <c r="E1015" s="2">
        <f ca="1">IFERROR(__xludf.DUMMYFUNCTION("""COMPUTED_VALUE"""),4040)</f>
        <v>4040</v>
      </c>
      <c r="F1015" s="2">
        <f ca="1">IFERROR(__xludf.DUMMYFUNCTION("""COMPUTED_VALUE"""),118405100)</f>
        <v>118405100</v>
      </c>
    </row>
    <row r="1016" spans="1:6">
      <c r="A1016" s="5">
        <f ca="1">IFERROR(__xludf.DUMMYFUNCTION("""COMPUTED_VALUE"""),43543.625)</f>
        <v>43543.625</v>
      </c>
      <c r="B1016" s="2">
        <f ca="1">IFERROR(__xludf.DUMMYFUNCTION("""COMPUTED_VALUE"""),4040)</f>
        <v>4040</v>
      </c>
      <c r="C1016" s="2">
        <f ca="1">IFERROR(__xludf.DUMMYFUNCTION("""COMPUTED_VALUE"""),4050)</f>
        <v>4050</v>
      </c>
      <c r="D1016" s="2">
        <f ca="1">IFERROR(__xludf.DUMMYFUNCTION("""COMPUTED_VALUE"""),3970)</f>
        <v>3970</v>
      </c>
      <c r="E1016" s="2">
        <f ca="1">IFERROR(__xludf.DUMMYFUNCTION("""COMPUTED_VALUE"""),3990)</f>
        <v>3990</v>
      </c>
      <c r="F1016" s="2">
        <f ca="1">IFERROR(__xludf.DUMMYFUNCTION("""COMPUTED_VALUE"""),95786500)</f>
        <v>95786500</v>
      </c>
    </row>
    <row r="1017" spans="1:6">
      <c r="A1017" s="5">
        <f ca="1">IFERROR(__xludf.DUMMYFUNCTION("""COMPUTED_VALUE"""),43544.625)</f>
        <v>43544.625</v>
      </c>
      <c r="B1017" s="2">
        <f ca="1">IFERROR(__xludf.DUMMYFUNCTION("""COMPUTED_VALUE"""),3960)</f>
        <v>3960</v>
      </c>
      <c r="C1017" s="2">
        <f ca="1">IFERROR(__xludf.DUMMYFUNCTION("""COMPUTED_VALUE"""),4010)</f>
        <v>4010</v>
      </c>
      <c r="D1017" s="2">
        <f ca="1">IFERROR(__xludf.DUMMYFUNCTION("""COMPUTED_VALUE"""),3960)</f>
        <v>3960</v>
      </c>
      <c r="E1017" s="2">
        <f ca="1">IFERROR(__xludf.DUMMYFUNCTION("""COMPUTED_VALUE"""),3980)</f>
        <v>3980</v>
      </c>
      <c r="F1017" s="2">
        <f ca="1">IFERROR(__xludf.DUMMYFUNCTION("""COMPUTED_VALUE"""),121302800)</f>
        <v>121302800</v>
      </c>
    </row>
    <row r="1018" spans="1:6">
      <c r="A1018" s="5">
        <f ca="1">IFERROR(__xludf.DUMMYFUNCTION("""COMPUTED_VALUE"""),43545.625)</f>
        <v>43545.625</v>
      </c>
      <c r="B1018" s="2">
        <f ca="1">IFERROR(__xludf.DUMMYFUNCTION("""COMPUTED_VALUE"""),4010)</f>
        <v>4010</v>
      </c>
      <c r="C1018" s="2">
        <f ca="1">IFERROR(__xludf.DUMMYFUNCTION("""COMPUTED_VALUE"""),4040)</f>
        <v>4040</v>
      </c>
      <c r="D1018" s="2">
        <f ca="1">IFERROR(__xludf.DUMMYFUNCTION("""COMPUTED_VALUE"""),3970)</f>
        <v>3970</v>
      </c>
      <c r="E1018" s="2">
        <f ca="1">IFERROR(__xludf.DUMMYFUNCTION("""COMPUTED_VALUE"""),3980)</f>
        <v>3980</v>
      </c>
      <c r="F1018" s="2">
        <f ca="1">IFERROR(__xludf.DUMMYFUNCTION("""COMPUTED_VALUE"""),142109200)</f>
        <v>142109200</v>
      </c>
    </row>
    <row r="1019" spans="1:6">
      <c r="A1019" s="5">
        <f ca="1">IFERROR(__xludf.DUMMYFUNCTION("""COMPUTED_VALUE"""),43546.625)</f>
        <v>43546.625</v>
      </c>
      <c r="B1019" s="2">
        <f ca="1">IFERROR(__xludf.DUMMYFUNCTION("""COMPUTED_VALUE"""),4030)</f>
        <v>4030</v>
      </c>
      <c r="C1019" s="2">
        <f ca="1">IFERROR(__xludf.DUMMYFUNCTION("""COMPUTED_VALUE"""),4070)</f>
        <v>4070</v>
      </c>
      <c r="D1019" s="2">
        <f ca="1">IFERROR(__xludf.DUMMYFUNCTION("""COMPUTED_VALUE"""),4000)</f>
        <v>4000</v>
      </c>
      <c r="E1019" s="2">
        <f ca="1">IFERROR(__xludf.DUMMYFUNCTION("""COMPUTED_VALUE"""),4060)</f>
        <v>4060</v>
      </c>
      <c r="F1019" s="2">
        <f ca="1">IFERROR(__xludf.DUMMYFUNCTION("""COMPUTED_VALUE"""),122823900)</f>
        <v>122823900</v>
      </c>
    </row>
    <row r="1020" spans="1:6">
      <c r="A1020" s="5">
        <f ca="1">IFERROR(__xludf.DUMMYFUNCTION("""COMPUTED_VALUE"""),43549.625)</f>
        <v>43549.625</v>
      </c>
      <c r="B1020" s="2">
        <f ca="1">IFERROR(__xludf.DUMMYFUNCTION("""COMPUTED_VALUE"""),4030)</f>
        <v>4030</v>
      </c>
      <c r="C1020" s="2">
        <f ca="1">IFERROR(__xludf.DUMMYFUNCTION("""COMPUTED_VALUE"""),4040)</f>
        <v>4040</v>
      </c>
      <c r="D1020" s="2">
        <f ca="1">IFERROR(__xludf.DUMMYFUNCTION("""COMPUTED_VALUE"""),3990)</f>
        <v>3990</v>
      </c>
      <c r="E1020" s="2">
        <f ca="1">IFERROR(__xludf.DUMMYFUNCTION("""COMPUTED_VALUE"""),4000)</f>
        <v>4000</v>
      </c>
      <c r="F1020" s="2">
        <f ca="1">IFERROR(__xludf.DUMMYFUNCTION("""COMPUTED_VALUE"""),120025700)</f>
        <v>120025700</v>
      </c>
    </row>
    <row r="1021" spans="1:6">
      <c r="A1021" s="5">
        <f ca="1">IFERROR(__xludf.DUMMYFUNCTION("""COMPUTED_VALUE"""),43550.625)</f>
        <v>43550.625</v>
      </c>
      <c r="B1021" s="2">
        <f ca="1">IFERROR(__xludf.DUMMYFUNCTION("""COMPUTED_VALUE"""),4050)</f>
        <v>4050</v>
      </c>
      <c r="C1021" s="2">
        <f ca="1">IFERROR(__xludf.DUMMYFUNCTION("""COMPUTED_VALUE"""),4080)</f>
        <v>4080</v>
      </c>
      <c r="D1021" s="2">
        <f ca="1">IFERROR(__xludf.DUMMYFUNCTION("""COMPUTED_VALUE"""),4010)</f>
        <v>4010</v>
      </c>
      <c r="E1021" s="2">
        <f ca="1">IFERROR(__xludf.DUMMYFUNCTION("""COMPUTED_VALUE"""),4060)</f>
        <v>4060</v>
      </c>
      <c r="F1021" s="2">
        <f ca="1">IFERROR(__xludf.DUMMYFUNCTION("""COMPUTED_VALUE"""),102500700)</f>
        <v>102500700</v>
      </c>
    </row>
    <row r="1022" spans="1:6">
      <c r="A1022" s="5">
        <f ca="1">IFERROR(__xludf.DUMMYFUNCTION("""COMPUTED_VALUE"""),43551.625)</f>
        <v>43551.625</v>
      </c>
      <c r="B1022" s="2">
        <f ca="1">IFERROR(__xludf.DUMMYFUNCTION("""COMPUTED_VALUE"""),4080)</f>
        <v>4080</v>
      </c>
      <c r="C1022" s="2">
        <f ca="1">IFERROR(__xludf.DUMMYFUNCTION("""COMPUTED_VALUE"""),4080)</f>
        <v>4080</v>
      </c>
      <c r="D1022" s="2">
        <f ca="1">IFERROR(__xludf.DUMMYFUNCTION("""COMPUTED_VALUE"""),4040)</f>
        <v>4040</v>
      </c>
      <c r="E1022" s="2">
        <f ca="1">IFERROR(__xludf.DUMMYFUNCTION("""COMPUTED_VALUE"""),4040)</f>
        <v>4040</v>
      </c>
      <c r="F1022" s="2">
        <f ca="1">IFERROR(__xludf.DUMMYFUNCTION("""COMPUTED_VALUE"""),85568800)</f>
        <v>85568800</v>
      </c>
    </row>
    <row r="1023" spans="1:6">
      <c r="A1023" s="5">
        <f ca="1">IFERROR(__xludf.DUMMYFUNCTION("""COMPUTED_VALUE"""),43552.625)</f>
        <v>43552.625</v>
      </c>
      <c r="B1023" s="2">
        <f ca="1">IFERROR(__xludf.DUMMYFUNCTION("""COMPUTED_VALUE"""),4070)</f>
        <v>4070</v>
      </c>
      <c r="C1023" s="2">
        <f ca="1">IFERROR(__xludf.DUMMYFUNCTION("""COMPUTED_VALUE"""),4100)</f>
        <v>4100</v>
      </c>
      <c r="D1023" s="2">
        <f ca="1">IFERROR(__xludf.DUMMYFUNCTION("""COMPUTED_VALUE"""),4030)</f>
        <v>4030</v>
      </c>
      <c r="E1023" s="2">
        <f ca="1">IFERROR(__xludf.DUMMYFUNCTION("""COMPUTED_VALUE"""),4100)</f>
        <v>4100</v>
      </c>
      <c r="F1023" s="2">
        <f ca="1">IFERROR(__xludf.DUMMYFUNCTION("""COMPUTED_VALUE"""),85272700)</f>
        <v>85272700</v>
      </c>
    </row>
    <row r="1024" spans="1:6">
      <c r="A1024" s="5">
        <f ca="1">IFERROR(__xludf.DUMMYFUNCTION("""COMPUTED_VALUE"""),43553.625)</f>
        <v>43553.625</v>
      </c>
      <c r="B1024" s="2">
        <f ca="1">IFERROR(__xludf.DUMMYFUNCTION("""COMPUTED_VALUE"""),4050)</f>
        <v>4050</v>
      </c>
      <c r="C1024" s="2">
        <f ca="1">IFERROR(__xludf.DUMMYFUNCTION("""COMPUTED_VALUE"""),4140)</f>
        <v>4140</v>
      </c>
      <c r="D1024" s="2">
        <f ca="1">IFERROR(__xludf.DUMMYFUNCTION("""COMPUTED_VALUE"""),4050)</f>
        <v>4050</v>
      </c>
      <c r="E1024" s="2">
        <f ca="1">IFERROR(__xludf.DUMMYFUNCTION("""COMPUTED_VALUE"""),4120)</f>
        <v>4120</v>
      </c>
      <c r="F1024" s="2">
        <f ca="1">IFERROR(__xludf.DUMMYFUNCTION("""COMPUTED_VALUE"""),131160100)</f>
        <v>131160100</v>
      </c>
    </row>
    <row r="1025" spans="1:6">
      <c r="A1025" s="5">
        <f ca="1">IFERROR(__xludf.DUMMYFUNCTION("""COMPUTED_VALUE"""),43556.625)</f>
        <v>43556.625</v>
      </c>
      <c r="B1025" s="2">
        <f ca="1">IFERROR(__xludf.DUMMYFUNCTION("""COMPUTED_VALUE"""),4140)</f>
        <v>4140</v>
      </c>
      <c r="C1025" s="2">
        <f ca="1">IFERROR(__xludf.DUMMYFUNCTION("""COMPUTED_VALUE"""),4160)</f>
        <v>4160</v>
      </c>
      <c r="D1025" s="2">
        <f ca="1">IFERROR(__xludf.DUMMYFUNCTION("""COMPUTED_VALUE"""),4130)</f>
        <v>4130</v>
      </c>
      <c r="E1025" s="2">
        <f ca="1">IFERROR(__xludf.DUMMYFUNCTION("""COMPUTED_VALUE"""),4140)</f>
        <v>4140</v>
      </c>
      <c r="F1025" s="2">
        <f ca="1">IFERROR(__xludf.DUMMYFUNCTION("""COMPUTED_VALUE"""),83846100)</f>
        <v>83846100</v>
      </c>
    </row>
    <row r="1026" spans="1:6">
      <c r="A1026" s="5">
        <f ca="1">IFERROR(__xludf.DUMMYFUNCTION("""COMPUTED_VALUE"""),43557.625)</f>
        <v>43557.625</v>
      </c>
      <c r="B1026" s="2">
        <f ca="1">IFERROR(__xludf.DUMMYFUNCTION("""COMPUTED_VALUE"""),4170)</f>
        <v>4170</v>
      </c>
      <c r="C1026" s="2">
        <f ca="1">IFERROR(__xludf.DUMMYFUNCTION("""COMPUTED_VALUE"""),4170)</f>
        <v>4170</v>
      </c>
      <c r="D1026" s="2">
        <f ca="1">IFERROR(__xludf.DUMMYFUNCTION("""COMPUTED_VALUE"""),4130)</f>
        <v>4130</v>
      </c>
      <c r="E1026" s="2">
        <f ca="1">IFERROR(__xludf.DUMMYFUNCTION("""COMPUTED_VALUE"""),4150)</f>
        <v>4150</v>
      </c>
      <c r="F1026" s="2">
        <f ca="1">IFERROR(__xludf.DUMMYFUNCTION("""COMPUTED_VALUE"""),63949000)</f>
        <v>63949000</v>
      </c>
    </row>
    <row r="1027" spans="1:6">
      <c r="A1027" s="5">
        <f ca="1">IFERROR(__xludf.DUMMYFUNCTION("""COMPUTED_VALUE"""),43559.625)</f>
        <v>43559.625</v>
      </c>
      <c r="B1027" s="2">
        <f ca="1">IFERROR(__xludf.DUMMYFUNCTION("""COMPUTED_VALUE"""),4180)</f>
        <v>4180</v>
      </c>
      <c r="C1027" s="2">
        <f ca="1">IFERROR(__xludf.DUMMYFUNCTION("""COMPUTED_VALUE"""),4280)</f>
        <v>4280</v>
      </c>
      <c r="D1027" s="2">
        <f ca="1">IFERROR(__xludf.DUMMYFUNCTION("""COMPUTED_VALUE"""),4140)</f>
        <v>4140</v>
      </c>
      <c r="E1027" s="2">
        <f ca="1">IFERROR(__xludf.DUMMYFUNCTION("""COMPUTED_VALUE"""),4220)</f>
        <v>4220</v>
      </c>
      <c r="F1027" s="2">
        <f ca="1">IFERROR(__xludf.DUMMYFUNCTION("""COMPUTED_VALUE"""),81609600)</f>
        <v>81609600</v>
      </c>
    </row>
    <row r="1028" spans="1:6">
      <c r="A1028" s="5">
        <f ca="1">IFERROR(__xludf.DUMMYFUNCTION("""COMPUTED_VALUE"""),43560.625)</f>
        <v>43560.625</v>
      </c>
      <c r="B1028" s="2">
        <f ca="1">IFERROR(__xludf.DUMMYFUNCTION("""COMPUTED_VALUE"""),4260)</f>
        <v>4260</v>
      </c>
      <c r="C1028" s="2">
        <f ca="1">IFERROR(__xludf.DUMMYFUNCTION("""COMPUTED_VALUE"""),4290)</f>
        <v>4290</v>
      </c>
      <c r="D1028" s="2">
        <f ca="1">IFERROR(__xludf.DUMMYFUNCTION("""COMPUTED_VALUE"""),4250)</f>
        <v>4250</v>
      </c>
      <c r="E1028" s="2">
        <f ca="1">IFERROR(__xludf.DUMMYFUNCTION("""COMPUTED_VALUE"""),4260)</f>
        <v>4260</v>
      </c>
      <c r="F1028" s="2">
        <f ca="1">IFERROR(__xludf.DUMMYFUNCTION("""COMPUTED_VALUE"""),68749900)</f>
        <v>68749900</v>
      </c>
    </row>
    <row r="1029" spans="1:6">
      <c r="A1029" s="5">
        <f ca="1">IFERROR(__xludf.DUMMYFUNCTION("""COMPUTED_VALUE"""),43563.625)</f>
        <v>43563.625</v>
      </c>
      <c r="B1029" s="2">
        <f ca="1">IFERROR(__xludf.DUMMYFUNCTION("""COMPUTED_VALUE"""),4290)</f>
        <v>4290</v>
      </c>
      <c r="C1029" s="2">
        <f ca="1">IFERROR(__xludf.DUMMYFUNCTION("""COMPUTED_VALUE"""),4290)</f>
        <v>4290</v>
      </c>
      <c r="D1029" s="2">
        <f ca="1">IFERROR(__xludf.DUMMYFUNCTION("""COMPUTED_VALUE"""),4210)</f>
        <v>4210</v>
      </c>
      <c r="E1029" s="2">
        <f ca="1">IFERROR(__xludf.DUMMYFUNCTION("""COMPUTED_VALUE"""),4290)</f>
        <v>4290</v>
      </c>
      <c r="F1029" s="2">
        <f ca="1">IFERROR(__xludf.DUMMYFUNCTION("""COMPUTED_VALUE"""),99677300)</f>
        <v>99677300</v>
      </c>
    </row>
    <row r="1030" spans="1:6">
      <c r="A1030" s="5">
        <f ca="1">IFERROR(__xludf.DUMMYFUNCTION("""COMPUTED_VALUE"""),43564.625)</f>
        <v>43564.625</v>
      </c>
      <c r="B1030" s="2">
        <f ca="1">IFERROR(__xludf.DUMMYFUNCTION("""COMPUTED_VALUE"""),4280)</f>
        <v>4280</v>
      </c>
      <c r="C1030" s="2">
        <f ca="1">IFERROR(__xludf.DUMMYFUNCTION("""COMPUTED_VALUE"""),4350)</f>
        <v>4350</v>
      </c>
      <c r="D1030" s="2">
        <f ca="1">IFERROR(__xludf.DUMMYFUNCTION("""COMPUTED_VALUE"""),4260)</f>
        <v>4260</v>
      </c>
      <c r="E1030" s="2">
        <f ca="1">IFERROR(__xludf.DUMMYFUNCTION("""COMPUTED_VALUE"""),4310)</f>
        <v>4310</v>
      </c>
      <c r="F1030" s="2">
        <f ca="1">IFERROR(__xludf.DUMMYFUNCTION("""COMPUTED_VALUE"""),105732800)</f>
        <v>105732800</v>
      </c>
    </row>
    <row r="1031" spans="1:6">
      <c r="A1031" s="5">
        <f ca="1">IFERROR(__xludf.DUMMYFUNCTION("""COMPUTED_VALUE"""),43565.625)</f>
        <v>43565.625</v>
      </c>
      <c r="B1031" s="2">
        <f ca="1">IFERROR(__xludf.DUMMYFUNCTION("""COMPUTED_VALUE"""),4300)</f>
        <v>4300</v>
      </c>
      <c r="C1031" s="2">
        <f ca="1">IFERROR(__xludf.DUMMYFUNCTION("""COMPUTED_VALUE"""),4320)</f>
        <v>4320</v>
      </c>
      <c r="D1031" s="2">
        <f ca="1">IFERROR(__xludf.DUMMYFUNCTION("""COMPUTED_VALUE"""),4260)</f>
        <v>4260</v>
      </c>
      <c r="E1031" s="2">
        <f ca="1">IFERROR(__xludf.DUMMYFUNCTION("""COMPUTED_VALUE"""),4320)</f>
        <v>4320</v>
      </c>
      <c r="F1031" s="2">
        <f ca="1">IFERROR(__xludf.DUMMYFUNCTION("""COMPUTED_VALUE"""),130700500)</f>
        <v>130700500</v>
      </c>
    </row>
    <row r="1032" spans="1:6">
      <c r="A1032" s="5">
        <f ca="1">IFERROR(__xludf.DUMMYFUNCTION("""COMPUTED_VALUE"""),43566.625)</f>
        <v>43566.625</v>
      </c>
      <c r="B1032" s="2">
        <f ca="1">IFERROR(__xludf.DUMMYFUNCTION("""COMPUTED_VALUE"""),4300)</f>
        <v>4300</v>
      </c>
      <c r="C1032" s="2">
        <f ca="1">IFERROR(__xludf.DUMMYFUNCTION("""COMPUTED_VALUE"""),4320)</f>
        <v>4320</v>
      </c>
      <c r="D1032" s="2">
        <f ca="1">IFERROR(__xludf.DUMMYFUNCTION("""COMPUTED_VALUE"""),4280)</f>
        <v>4280</v>
      </c>
      <c r="E1032" s="2">
        <f ca="1">IFERROR(__xludf.DUMMYFUNCTION("""COMPUTED_VALUE"""),4300)</f>
        <v>4300</v>
      </c>
      <c r="F1032" s="2">
        <f ca="1">IFERROR(__xludf.DUMMYFUNCTION("""COMPUTED_VALUE"""),198401800)</f>
        <v>198401800</v>
      </c>
    </row>
    <row r="1033" spans="1:6">
      <c r="A1033" s="5">
        <f ca="1">IFERROR(__xludf.DUMMYFUNCTION("""COMPUTED_VALUE"""),43567.625)</f>
        <v>43567.625</v>
      </c>
      <c r="B1033" s="2">
        <f ca="1">IFERROR(__xludf.DUMMYFUNCTION("""COMPUTED_VALUE"""),4300)</f>
        <v>4300</v>
      </c>
      <c r="C1033" s="2">
        <f ca="1">IFERROR(__xludf.DUMMYFUNCTION("""COMPUTED_VALUE"""),4320)</f>
        <v>4320</v>
      </c>
      <c r="D1033" s="2">
        <f ca="1">IFERROR(__xludf.DUMMYFUNCTION("""COMPUTED_VALUE"""),4280)</f>
        <v>4280</v>
      </c>
      <c r="E1033" s="2">
        <f ca="1">IFERROR(__xludf.DUMMYFUNCTION("""COMPUTED_VALUE"""),4310)</f>
        <v>4310</v>
      </c>
      <c r="F1033" s="2">
        <f ca="1">IFERROR(__xludf.DUMMYFUNCTION("""COMPUTED_VALUE"""),120459200)</f>
        <v>120459200</v>
      </c>
    </row>
    <row r="1034" spans="1:6">
      <c r="A1034" s="5">
        <f ca="1">IFERROR(__xludf.DUMMYFUNCTION("""COMPUTED_VALUE"""),43570.625)</f>
        <v>43570.625</v>
      </c>
      <c r="B1034" s="2">
        <f ca="1">IFERROR(__xludf.DUMMYFUNCTION("""COMPUTED_VALUE"""),4350)</f>
        <v>4350</v>
      </c>
      <c r="C1034" s="2">
        <f ca="1">IFERROR(__xludf.DUMMYFUNCTION("""COMPUTED_VALUE"""),4360)</f>
        <v>4360</v>
      </c>
      <c r="D1034" s="2">
        <f ca="1">IFERROR(__xludf.DUMMYFUNCTION("""COMPUTED_VALUE"""),4310)</f>
        <v>4310</v>
      </c>
      <c r="E1034" s="2">
        <f ca="1">IFERROR(__xludf.DUMMYFUNCTION("""COMPUTED_VALUE"""),4350)</f>
        <v>4350</v>
      </c>
      <c r="F1034" s="2">
        <f ca="1">IFERROR(__xludf.DUMMYFUNCTION("""COMPUTED_VALUE"""),64160400)</f>
        <v>64160400</v>
      </c>
    </row>
    <row r="1035" spans="1:6">
      <c r="A1035" s="5">
        <f ca="1">IFERROR(__xludf.DUMMYFUNCTION("""COMPUTED_VALUE"""),43571.625)</f>
        <v>43571.625</v>
      </c>
      <c r="B1035" s="2">
        <f ca="1">IFERROR(__xludf.DUMMYFUNCTION("""COMPUTED_VALUE"""),4330)</f>
        <v>4330</v>
      </c>
      <c r="C1035" s="2">
        <f ca="1">IFERROR(__xludf.DUMMYFUNCTION("""COMPUTED_VALUE"""),4360)</f>
        <v>4360</v>
      </c>
      <c r="D1035" s="2">
        <f ca="1">IFERROR(__xludf.DUMMYFUNCTION("""COMPUTED_VALUE"""),4320)</f>
        <v>4320</v>
      </c>
      <c r="E1035" s="2">
        <f ca="1">IFERROR(__xludf.DUMMYFUNCTION("""COMPUTED_VALUE"""),4340)</f>
        <v>4340</v>
      </c>
      <c r="F1035" s="2">
        <f ca="1">IFERROR(__xludf.DUMMYFUNCTION("""COMPUTED_VALUE"""),90837700)</f>
        <v>90837700</v>
      </c>
    </row>
    <row r="1036" spans="1:6">
      <c r="A1036" s="5">
        <f ca="1">IFERROR(__xludf.DUMMYFUNCTION("""COMPUTED_VALUE"""),43573.625)</f>
        <v>43573.625</v>
      </c>
      <c r="B1036" s="2">
        <f ca="1">IFERROR(__xludf.DUMMYFUNCTION("""COMPUTED_VALUE"""),4450)</f>
        <v>4450</v>
      </c>
      <c r="C1036" s="2">
        <f ca="1">IFERROR(__xludf.DUMMYFUNCTION("""COMPUTED_VALUE"""),4730)</f>
        <v>4730</v>
      </c>
      <c r="D1036" s="2">
        <f ca="1">IFERROR(__xludf.DUMMYFUNCTION("""COMPUTED_VALUE"""),4380)</f>
        <v>4380</v>
      </c>
      <c r="E1036" s="2">
        <f ca="1">IFERROR(__xludf.DUMMYFUNCTION("""COMPUTED_VALUE"""),4460)</f>
        <v>4460</v>
      </c>
      <c r="F1036" s="2">
        <f ca="1">IFERROR(__xludf.DUMMYFUNCTION("""COMPUTED_VALUE"""),182035000)</f>
        <v>182035000</v>
      </c>
    </row>
    <row r="1037" spans="1:6">
      <c r="A1037" s="5">
        <f ca="1">IFERROR(__xludf.DUMMYFUNCTION("""COMPUTED_VALUE"""),43577.625)</f>
        <v>43577.625</v>
      </c>
      <c r="B1037" s="2">
        <f ca="1">IFERROR(__xludf.DUMMYFUNCTION("""COMPUTED_VALUE"""),4460)</f>
        <v>4460</v>
      </c>
      <c r="C1037" s="2">
        <f ca="1">IFERROR(__xludf.DUMMYFUNCTION("""COMPUTED_VALUE"""),4460)</f>
        <v>4460</v>
      </c>
      <c r="D1037" s="2">
        <f ca="1">IFERROR(__xludf.DUMMYFUNCTION("""COMPUTED_VALUE"""),4410)</f>
        <v>4410</v>
      </c>
      <c r="E1037" s="2">
        <f ca="1">IFERROR(__xludf.DUMMYFUNCTION("""COMPUTED_VALUE"""),4440)</f>
        <v>4440</v>
      </c>
      <c r="F1037" s="2">
        <f ca="1">IFERROR(__xludf.DUMMYFUNCTION("""COMPUTED_VALUE"""),101963500)</f>
        <v>101963500</v>
      </c>
    </row>
    <row r="1038" spans="1:6">
      <c r="A1038" s="5">
        <f ca="1">IFERROR(__xludf.DUMMYFUNCTION("""COMPUTED_VALUE"""),43578.625)</f>
        <v>43578.625</v>
      </c>
      <c r="B1038" s="2">
        <f ca="1">IFERROR(__xludf.DUMMYFUNCTION("""COMPUTED_VALUE"""),4410)</f>
        <v>4410</v>
      </c>
      <c r="C1038" s="2">
        <f ca="1">IFERROR(__xludf.DUMMYFUNCTION("""COMPUTED_VALUE"""),4450)</f>
        <v>4450</v>
      </c>
      <c r="D1038" s="2">
        <f ca="1">IFERROR(__xludf.DUMMYFUNCTION("""COMPUTED_VALUE"""),4410)</f>
        <v>4410</v>
      </c>
      <c r="E1038" s="2">
        <f ca="1">IFERROR(__xludf.DUMMYFUNCTION("""COMPUTED_VALUE"""),4430)</f>
        <v>4430</v>
      </c>
      <c r="F1038" s="2">
        <f ca="1">IFERROR(__xludf.DUMMYFUNCTION("""COMPUTED_VALUE"""),54840800)</f>
        <v>54840800</v>
      </c>
    </row>
    <row r="1039" spans="1:6">
      <c r="A1039" s="5">
        <f ca="1">IFERROR(__xludf.DUMMYFUNCTION("""COMPUTED_VALUE"""),43579.625)</f>
        <v>43579.625</v>
      </c>
      <c r="B1039" s="2">
        <f ca="1">IFERROR(__xludf.DUMMYFUNCTION("""COMPUTED_VALUE"""),4410)</f>
        <v>4410</v>
      </c>
      <c r="C1039" s="2">
        <f ca="1">IFERROR(__xludf.DUMMYFUNCTION("""COMPUTED_VALUE"""),4430)</f>
        <v>4430</v>
      </c>
      <c r="D1039" s="2">
        <f ca="1">IFERROR(__xludf.DUMMYFUNCTION("""COMPUTED_VALUE"""),4400)</f>
        <v>4400</v>
      </c>
      <c r="E1039" s="2">
        <f ca="1">IFERROR(__xludf.DUMMYFUNCTION("""COMPUTED_VALUE"""),4400)</f>
        <v>4400</v>
      </c>
      <c r="F1039" s="2">
        <f ca="1">IFERROR(__xludf.DUMMYFUNCTION("""COMPUTED_VALUE"""),172810100)</f>
        <v>172810100</v>
      </c>
    </row>
    <row r="1040" spans="1:6">
      <c r="A1040" s="5">
        <f ca="1">IFERROR(__xludf.DUMMYFUNCTION("""COMPUTED_VALUE"""),43580.625)</f>
        <v>43580.625</v>
      </c>
      <c r="B1040" s="2">
        <f ca="1">IFERROR(__xludf.DUMMYFUNCTION("""COMPUTED_VALUE"""),4380)</f>
        <v>4380</v>
      </c>
      <c r="C1040" s="2">
        <f ca="1">IFERROR(__xludf.DUMMYFUNCTION("""COMPUTED_VALUE"""),4390)</f>
        <v>4390</v>
      </c>
      <c r="D1040" s="2">
        <f ca="1">IFERROR(__xludf.DUMMYFUNCTION("""COMPUTED_VALUE"""),4260)</f>
        <v>4260</v>
      </c>
      <c r="E1040" s="2">
        <f ca="1">IFERROR(__xludf.DUMMYFUNCTION("""COMPUTED_VALUE"""),4330)</f>
        <v>4330</v>
      </c>
      <c r="F1040" s="2">
        <f ca="1">IFERROR(__xludf.DUMMYFUNCTION("""COMPUTED_VALUE"""),184463200)</f>
        <v>184463200</v>
      </c>
    </row>
    <row r="1041" spans="1:6">
      <c r="A1041" s="5">
        <f ca="1">IFERROR(__xludf.DUMMYFUNCTION("""COMPUTED_VALUE"""),43581.625)</f>
        <v>43581.625</v>
      </c>
      <c r="B1041" s="2">
        <f ca="1">IFERROR(__xludf.DUMMYFUNCTION("""COMPUTED_VALUE"""),4240)</f>
        <v>4240</v>
      </c>
      <c r="C1041" s="2">
        <f ca="1">IFERROR(__xludf.DUMMYFUNCTION("""COMPUTED_VALUE"""),4360)</f>
        <v>4360</v>
      </c>
      <c r="D1041" s="2">
        <f ca="1">IFERROR(__xludf.DUMMYFUNCTION("""COMPUTED_VALUE"""),4210)</f>
        <v>4210</v>
      </c>
      <c r="E1041" s="2">
        <f ca="1">IFERROR(__xludf.DUMMYFUNCTION("""COMPUTED_VALUE"""),4330)</f>
        <v>4330</v>
      </c>
      <c r="F1041" s="2">
        <f ca="1">IFERROR(__xludf.DUMMYFUNCTION("""COMPUTED_VALUE"""),132874000)</f>
        <v>132874000</v>
      </c>
    </row>
    <row r="1042" spans="1:6">
      <c r="A1042" s="5">
        <f ca="1">IFERROR(__xludf.DUMMYFUNCTION("""COMPUTED_VALUE"""),43584.625)</f>
        <v>43584.625</v>
      </c>
      <c r="B1042" s="2">
        <f ca="1">IFERROR(__xludf.DUMMYFUNCTION("""COMPUTED_VALUE"""),4290)</f>
        <v>4290</v>
      </c>
      <c r="C1042" s="2">
        <f ca="1">IFERROR(__xludf.DUMMYFUNCTION("""COMPUTED_VALUE"""),4350)</f>
        <v>4350</v>
      </c>
      <c r="D1042" s="2">
        <f ca="1">IFERROR(__xludf.DUMMYFUNCTION("""COMPUTED_VALUE"""),4280)</f>
        <v>4280</v>
      </c>
      <c r="E1042" s="2">
        <f ca="1">IFERROR(__xludf.DUMMYFUNCTION("""COMPUTED_VALUE"""),4340)</f>
        <v>4340</v>
      </c>
      <c r="F1042" s="2">
        <f ca="1">IFERROR(__xludf.DUMMYFUNCTION("""COMPUTED_VALUE"""),76916700)</f>
        <v>76916700</v>
      </c>
    </row>
    <row r="1043" spans="1:6">
      <c r="A1043" s="5">
        <f ca="1">IFERROR(__xludf.DUMMYFUNCTION("""COMPUTED_VALUE"""),43585.625)</f>
        <v>43585.625</v>
      </c>
      <c r="B1043" s="2">
        <f ca="1">IFERROR(__xludf.DUMMYFUNCTION("""COMPUTED_VALUE"""),4390)</f>
        <v>4390</v>
      </c>
      <c r="C1043" s="2">
        <f ca="1">IFERROR(__xludf.DUMMYFUNCTION("""COMPUTED_VALUE"""),4410)</f>
        <v>4410</v>
      </c>
      <c r="D1043" s="2">
        <f ca="1">IFERROR(__xludf.DUMMYFUNCTION("""COMPUTED_VALUE"""),4340)</f>
        <v>4340</v>
      </c>
      <c r="E1043" s="2">
        <f ca="1">IFERROR(__xludf.DUMMYFUNCTION("""COMPUTED_VALUE"""),4370)</f>
        <v>4370</v>
      </c>
      <c r="F1043" s="2">
        <f ca="1">IFERROR(__xludf.DUMMYFUNCTION("""COMPUTED_VALUE"""),127804000)</f>
        <v>127804000</v>
      </c>
    </row>
    <row r="1044" spans="1:6">
      <c r="A1044" s="5">
        <f ca="1">IFERROR(__xludf.DUMMYFUNCTION("""COMPUTED_VALUE"""),43587.625)</f>
        <v>43587.625</v>
      </c>
      <c r="B1044" s="2">
        <f ca="1">IFERROR(__xludf.DUMMYFUNCTION("""COMPUTED_VALUE"""),4420)</f>
        <v>4420</v>
      </c>
      <c r="C1044" s="2">
        <f ca="1">IFERROR(__xludf.DUMMYFUNCTION("""COMPUTED_VALUE"""),4420)</f>
        <v>4420</v>
      </c>
      <c r="D1044" s="2">
        <f ca="1">IFERROR(__xludf.DUMMYFUNCTION("""COMPUTED_VALUE"""),4340)</f>
        <v>4340</v>
      </c>
      <c r="E1044" s="2">
        <f ca="1">IFERROR(__xludf.DUMMYFUNCTION("""COMPUTED_VALUE"""),4370)</f>
        <v>4370</v>
      </c>
      <c r="F1044" s="2">
        <f ca="1">IFERROR(__xludf.DUMMYFUNCTION("""COMPUTED_VALUE"""),126901700)</f>
        <v>126901700</v>
      </c>
    </row>
    <row r="1045" spans="1:6">
      <c r="A1045" s="5">
        <f ca="1">IFERROR(__xludf.DUMMYFUNCTION("""COMPUTED_VALUE"""),43588.625)</f>
        <v>43588.625</v>
      </c>
      <c r="B1045" s="2">
        <f ca="1">IFERROR(__xludf.DUMMYFUNCTION("""COMPUTED_VALUE"""),4330)</f>
        <v>4330</v>
      </c>
      <c r="C1045" s="2">
        <f ca="1">IFERROR(__xludf.DUMMYFUNCTION("""COMPUTED_VALUE"""),4400)</f>
        <v>4400</v>
      </c>
      <c r="D1045" s="2">
        <f ca="1">IFERROR(__xludf.DUMMYFUNCTION("""COMPUTED_VALUE"""),4310)</f>
        <v>4310</v>
      </c>
      <c r="E1045" s="2">
        <f ca="1">IFERROR(__xludf.DUMMYFUNCTION("""COMPUTED_VALUE"""),4380)</f>
        <v>4380</v>
      </c>
      <c r="F1045" s="2">
        <f ca="1">IFERROR(__xludf.DUMMYFUNCTION("""COMPUTED_VALUE"""),109485100)</f>
        <v>109485100</v>
      </c>
    </row>
    <row r="1046" spans="1:6">
      <c r="A1046" s="5">
        <f ca="1">IFERROR(__xludf.DUMMYFUNCTION("""COMPUTED_VALUE"""),43591.625)</f>
        <v>43591.625</v>
      </c>
      <c r="B1046" s="2">
        <f ca="1">IFERROR(__xludf.DUMMYFUNCTION("""COMPUTED_VALUE"""),4300)</f>
        <v>4300</v>
      </c>
      <c r="C1046" s="2">
        <f ca="1">IFERROR(__xludf.DUMMYFUNCTION("""COMPUTED_VALUE"""),4300)</f>
        <v>4300</v>
      </c>
      <c r="D1046" s="2">
        <f ca="1">IFERROR(__xludf.DUMMYFUNCTION("""COMPUTED_VALUE"""),4190)</f>
        <v>4190</v>
      </c>
      <c r="E1046" s="2">
        <f ca="1">IFERROR(__xludf.DUMMYFUNCTION("""COMPUTED_VALUE"""),4230)</f>
        <v>4230</v>
      </c>
      <c r="F1046" s="2">
        <f ca="1">IFERROR(__xludf.DUMMYFUNCTION("""COMPUTED_VALUE"""),143009800)</f>
        <v>143009800</v>
      </c>
    </row>
    <row r="1047" spans="1:6">
      <c r="A1047" s="5">
        <f ca="1">IFERROR(__xludf.DUMMYFUNCTION("""COMPUTED_VALUE"""),43592.625)</f>
        <v>43592.625</v>
      </c>
      <c r="B1047" s="2">
        <f ca="1">IFERROR(__xludf.DUMMYFUNCTION("""COMPUTED_VALUE"""),4210)</f>
        <v>4210</v>
      </c>
      <c r="C1047" s="2">
        <f ca="1">IFERROR(__xludf.DUMMYFUNCTION("""COMPUTED_VALUE"""),4280)</f>
        <v>4280</v>
      </c>
      <c r="D1047" s="2">
        <f ca="1">IFERROR(__xludf.DUMMYFUNCTION("""COMPUTED_VALUE"""),4210)</f>
        <v>4210</v>
      </c>
      <c r="E1047" s="2">
        <f ca="1">IFERROR(__xludf.DUMMYFUNCTION("""COMPUTED_VALUE"""),4250)</f>
        <v>4250</v>
      </c>
      <c r="F1047" s="2">
        <f ca="1">IFERROR(__xludf.DUMMYFUNCTION("""COMPUTED_VALUE"""),112789100)</f>
        <v>112789100</v>
      </c>
    </row>
    <row r="1048" spans="1:6">
      <c r="A1048" s="5">
        <f ca="1">IFERROR(__xludf.DUMMYFUNCTION("""COMPUTED_VALUE"""),43593.625)</f>
        <v>43593.625</v>
      </c>
      <c r="B1048" s="2">
        <f ca="1">IFERROR(__xludf.DUMMYFUNCTION("""COMPUTED_VALUE"""),4250)</f>
        <v>4250</v>
      </c>
      <c r="C1048" s="2">
        <f ca="1">IFERROR(__xludf.DUMMYFUNCTION("""COMPUTED_VALUE"""),4250)</f>
        <v>4250</v>
      </c>
      <c r="D1048" s="2">
        <f ca="1">IFERROR(__xludf.DUMMYFUNCTION("""COMPUTED_VALUE"""),4180)</f>
        <v>4180</v>
      </c>
      <c r="E1048" s="2">
        <f ca="1">IFERROR(__xludf.DUMMYFUNCTION("""COMPUTED_VALUE"""),4220)</f>
        <v>4220</v>
      </c>
      <c r="F1048" s="2">
        <f ca="1">IFERROR(__xludf.DUMMYFUNCTION("""COMPUTED_VALUE"""),120152500)</f>
        <v>120152500</v>
      </c>
    </row>
    <row r="1049" spans="1:6">
      <c r="A1049" s="5">
        <f ca="1">IFERROR(__xludf.DUMMYFUNCTION("""COMPUTED_VALUE"""),43594.625)</f>
        <v>43594.625</v>
      </c>
      <c r="B1049" s="2">
        <f ca="1">IFERROR(__xludf.DUMMYFUNCTION("""COMPUTED_VALUE"""),4140)</f>
        <v>4140</v>
      </c>
      <c r="C1049" s="2">
        <f ca="1">IFERROR(__xludf.DUMMYFUNCTION("""COMPUTED_VALUE"""),4160)</f>
        <v>4160</v>
      </c>
      <c r="D1049" s="2">
        <f ca="1">IFERROR(__xludf.DUMMYFUNCTION("""COMPUTED_VALUE"""),4120)</f>
        <v>4120</v>
      </c>
      <c r="E1049" s="2">
        <f ca="1">IFERROR(__xludf.DUMMYFUNCTION("""COMPUTED_VALUE"""),4120)</f>
        <v>4120</v>
      </c>
      <c r="F1049" s="2">
        <f ca="1">IFERROR(__xludf.DUMMYFUNCTION("""COMPUTED_VALUE"""),163340000)</f>
        <v>163340000</v>
      </c>
    </row>
    <row r="1050" spans="1:6">
      <c r="A1050" s="5">
        <f ca="1">IFERROR(__xludf.DUMMYFUNCTION("""COMPUTED_VALUE"""),43595.625)</f>
        <v>43595.625</v>
      </c>
      <c r="B1050" s="2">
        <f ca="1">IFERROR(__xludf.DUMMYFUNCTION("""COMPUTED_VALUE"""),4100)</f>
        <v>4100</v>
      </c>
      <c r="C1050" s="2">
        <f ca="1">IFERROR(__xludf.DUMMYFUNCTION("""COMPUTED_VALUE"""),4160)</f>
        <v>4160</v>
      </c>
      <c r="D1050" s="2">
        <f ca="1">IFERROR(__xludf.DUMMYFUNCTION("""COMPUTED_VALUE"""),4090)</f>
        <v>4090</v>
      </c>
      <c r="E1050" s="2">
        <f ca="1">IFERROR(__xludf.DUMMYFUNCTION("""COMPUTED_VALUE"""),4120)</f>
        <v>4120</v>
      </c>
      <c r="F1050" s="2">
        <f ca="1">IFERROR(__xludf.DUMMYFUNCTION("""COMPUTED_VALUE"""),120282900)</f>
        <v>120282900</v>
      </c>
    </row>
    <row r="1051" spans="1:6">
      <c r="A1051" s="5">
        <f ca="1">IFERROR(__xludf.DUMMYFUNCTION("""COMPUTED_VALUE"""),43598.625)</f>
        <v>43598.625</v>
      </c>
      <c r="B1051" s="2">
        <f ca="1">IFERROR(__xludf.DUMMYFUNCTION("""COMPUTED_VALUE"""),4130)</f>
        <v>4130</v>
      </c>
      <c r="C1051" s="2">
        <f ca="1">IFERROR(__xludf.DUMMYFUNCTION("""COMPUTED_VALUE"""),4140)</f>
        <v>4140</v>
      </c>
      <c r="D1051" s="2">
        <f ca="1">IFERROR(__xludf.DUMMYFUNCTION("""COMPUTED_VALUE"""),4100)</f>
        <v>4100</v>
      </c>
      <c r="E1051" s="2">
        <f ca="1">IFERROR(__xludf.DUMMYFUNCTION("""COMPUTED_VALUE"""),4100)</f>
        <v>4100</v>
      </c>
      <c r="F1051" s="2">
        <f ca="1">IFERROR(__xludf.DUMMYFUNCTION("""COMPUTED_VALUE"""),71877200)</f>
        <v>71877200</v>
      </c>
    </row>
    <row r="1052" spans="1:6">
      <c r="A1052" s="5">
        <f ca="1">IFERROR(__xludf.DUMMYFUNCTION("""COMPUTED_VALUE"""),43599.625)</f>
        <v>43599.625</v>
      </c>
      <c r="B1052" s="2">
        <f ca="1">IFERROR(__xludf.DUMMYFUNCTION("""COMPUTED_VALUE"""),4000)</f>
        <v>4000</v>
      </c>
      <c r="C1052" s="2">
        <f ca="1">IFERROR(__xludf.DUMMYFUNCTION("""COMPUTED_VALUE"""),4090)</f>
        <v>4090</v>
      </c>
      <c r="D1052" s="2">
        <f ca="1">IFERROR(__xludf.DUMMYFUNCTION("""COMPUTED_VALUE"""),3970)</f>
        <v>3970</v>
      </c>
      <c r="E1052" s="2">
        <f ca="1">IFERROR(__xludf.DUMMYFUNCTION("""COMPUTED_VALUE"""),4050)</f>
        <v>4050</v>
      </c>
      <c r="F1052" s="2">
        <f ca="1">IFERROR(__xludf.DUMMYFUNCTION("""COMPUTED_VALUE"""),115090400)</f>
        <v>115090400</v>
      </c>
    </row>
    <row r="1053" spans="1:6">
      <c r="A1053" s="5">
        <f ca="1">IFERROR(__xludf.DUMMYFUNCTION("""COMPUTED_VALUE"""),43600.625)</f>
        <v>43600.625</v>
      </c>
      <c r="B1053" s="2">
        <f ca="1">IFERROR(__xludf.DUMMYFUNCTION("""COMPUTED_VALUE"""),4050)</f>
        <v>4050</v>
      </c>
      <c r="C1053" s="2">
        <f ca="1">IFERROR(__xludf.DUMMYFUNCTION("""COMPUTED_VALUE"""),4060)</f>
        <v>4060</v>
      </c>
      <c r="D1053" s="2">
        <f ca="1">IFERROR(__xludf.DUMMYFUNCTION("""COMPUTED_VALUE"""),3890)</f>
        <v>3890</v>
      </c>
      <c r="E1053" s="2">
        <f ca="1">IFERROR(__xludf.DUMMYFUNCTION("""COMPUTED_VALUE"""),3890)</f>
        <v>3890</v>
      </c>
      <c r="F1053" s="2">
        <f ca="1">IFERROR(__xludf.DUMMYFUNCTION("""COMPUTED_VALUE"""),167394600)</f>
        <v>167394600</v>
      </c>
    </row>
    <row r="1054" spans="1:6">
      <c r="A1054" s="5">
        <f ca="1">IFERROR(__xludf.DUMMYFUNCTION("""COMPUTED_VALUE"""),43601.625)</f>
        <v>43601.625</v>
      </c>
      <c r="B1054" s="2">
        <f ca="1">IFERROR(__xludf.DUMMYFUNCTION("""COMPUTED_VALUE"""),3940)</f>
        <v>3940</v>
      </c>
      <c r="C1054" s="2">
        <f ca="1">IFERROR(__xludf.DUMMYFUNCTION("""COMPUTED_VALUE"""),3990)</f>
        <v>3990</v>
      </c>
      <c r="D1054" s="2">
        <f ca="1">IFERROR(__xludf.DUMMYFUNCTION("""COMPUTED_VALUE"""),3820)</f>
        <v>3820</v>
      </c>
      <c r="E1054" s="2">
        <f ca="1">IFERROR(__xludf.DUMMYFUNCTION("""COMPUTED_VALUE"""),3860)</f>
        <v>3860</v>
      </c>
      <c r="F1054" s="2">
        <f ca="1">IFERROR(__xludf.DUMMYFUNCTION("""COMPUTED_VALUE"""),144094800)</f>
        <v>144094800</v>
      </c>
    </row>
    <row r="1055" spans="1:6">
      <c r="A1055" s="5">
        <f ca="1">IFERROR(__xludf.DUMMYFUNCTION("""COMPUTED_VALUE"""),43602.625)</f>
        <v>43602.625</v>
      </c>
      <c r="B1055" s="2">
        <f ca="1">IFERROR(__xludf.DUMMYFUNCTION("""COMPUTED_VALUE"""),3910)</f>
        <v>3910</v>
      </c>
      <c r="C1055" s="2">
        <f ca="1">IFERROR(__xludf.DUMMYFUNCTION("""COMPUTED_VALUE"""),3910)</f>
        <v>3910</v>
      </c>
      <c r="D1055" s="2">
        <f ca="1">IFERROR(__xludf.DUMMYFUNCTION("""COMPUTED_VALUE"""),3770)</f>
        <v>3770</v>
      </c>
      <c r="E1055" s="2">
        <f ca="1">IFERROR(__xludf.DUMMYFUNCTION("""COMPUTED_VALUE"""),3790)</f>
        <v>3790</v>
      </c>
      <c r="F1055" s="2">
        <f ca="1">IFERROR(__xludf.DUMMYFUNCTION("""COMPUTED_VALUE"""),155199000)</f>
        <v>155199000</v>
      </c>
    </row>
    <row r="1056" spans="1:6">
      <c r="A1056" s="5">
        <f ca="1">IFERROR(__xludf.DUMMYFUNCTION("""COMPUTED_VALUE"""),43605.625)</f>
        <v>43605.625</v>
      </c>
      <c r="B1056" s="2">
        <f ca="1">IFERROR(__xludf.DUMMYFUNCTION("""COMPUTED_VALUE"""),3800)</f>
        <v>3800</v>
      </c>
      <c r="C1056" s="2">
        <f ca="1">IFERROR(__xludf.DUMMYFUNCTION("""COMPUTED_VALUE"""),3850)</f>
        <v>3850</v>
      </c>
      <c r="D1056" s="2">
        <f ca="1">IFERROR(__xludf.DUMMYFUNCTION("""COMPUTED_VALUE"""),3660)</f>
        <v>3660</v>
      </c>
      <c r="E1056" s="2">
        <f ca="1">IFERROR(__xludf.DUMMYFUNCTION("""COMPUTED_VALUE"""),3750)</f>
        <v>3750</v>
      </c>
      <c r="F1056" s="2">
        <f ca="1">IFERROR(__xludf.DUMMYFUNCTION("""COMPUTED_VALUE"""),165275800)</f>
        <v>165275800</v>
      </c>
    </row>
    <row r="1057" spans="1:6">
      <c r="A1057" s="5">
        <f ca="1">IFERROR(__xludf.DUMMYFUNCTION("""COMPUTED_VALUE"""),43606.625)</f>
        <v>43606.625</v>
      </c>
      <c r="B1057" s="2">
        <f ca="1">IFERROR(__xludf.DUMMYFUNCTION("""COMPUTED_VALUE"""),3800)</f>
        <v>3800</v>
      </c>
      <c r="C1057" s="2">
        <f ca="1">IFERROR(__xludf.DUMMYFUNCTION("""COMPUTED_VALUE"""),3840)</f>
        <v>3840</v>
      </c>
      <c r="D1057" s="2">
        <f ca="1">IFERROR(__xludf.DUMMYFUNCTION("""COMPUTED_VALUE"""),3710)</f>
        <v>3710</v>
      </c>
      <c r="E1057" s="2">
        <f ca="1">IFERROR(__xludf.DUMMYFUNCTION("""COMPUTED_VALUE"""),3750)</f>
        <v>3750</v>
      </c>
      <c r="F1057" s="2">
        <f ca="1">IFERROR(__xludf.DUMMYFUNCTION("""COMPUTED_VALUE"""),206532500)</f>
        <v>206532500</v>
      </c>
    </row>
    <row r="1058" spans="1:6">
      <c r="A1058" s="5">
        <f ca="1">IFERROR(__xludf.DUMMYFUNCTION("""COMPUTED_VALUE"""),43607.625)</f>
        <v>43607.625</v>
      </c>
      <c r="B1058" s="2">
        <f ca="1">IFERROR(__xludf.DUMMYFUNCTION("""COMPUTED_VALUE"""),3710)</f>
        <v>3710</v>
      </c>
      <c r="C1058" s="2">
        <f ca="1">IFERROR(__xludf.DUMMYFUNCTION("""COMPUTED_VALUE"""),3830)</f>
        <v>3830</v>
      </c>
      <c r="D1058" s="2">
        <f ca="1">IFERROR(__xludf.DUMMYFUNCTION("""COMPUTED_VALUE"""),3710)</f>
        <v>3710</v>
      </c>
      <c r="E1058" s="2">
        <f ca="1">IFERROR(__xludf.DUMMYFUNCTION("""COMPUTED_VALUE"""),3770)</f>
        <v>3770</v>
      </c>
      <c r="F1058" s="2">
        <f ca="1">IFERROR(__xludf.DUMMYFUNCTION("""COMPUTED_VALUE"""),118633800)</f>
        <v>118633800</v>
      </c>
    </row>
    <row r="1059" spans="1:6">
      <c r="A1059" s="5">
        <f ca="1">IFERROR(__xludf.DUMMYFUNCTION("""COMPUTED_VALUE"""),43608.625)</f>
        <v>43608.625</v>
      </c>
      <c r="B1059" s="2">
        <f ca="1">IFERROR(__xludf.DUMMYFUNCTION("""COMPUTED_VALUE"""),3820)</f>
        <v>3820</v>
      </c>
      <c r="C1059" s="2">
        <f ca="1">IFERROR(__xludf.DUMMYFUNCTION("""COMPUTED_VALUE"""),3890)</f>
        <v>3890</v>
      </c>
      <c r="D1059" s="2">
        <f ca="1">IFERROR(__xludf.DUMMYFUNCTION("""COMPUTED_VALUE"""),3800)</f>
        <v>3800</v>
      </c>
      <c r="E1059" s="2">
        <f ca="1">IFERROR(__xludf.DUMMYFUNCTION("""COMPUTED_VALUE"""),3850)</f>
        <v>3850</v>
      </c>
      <c r="F1059" s="2">
        <f ca="1">IFERROR(__xludf.DUMMYFUNCTION("""COMPUTED_VALUE"""),209226900)</f>
        <v>209226900</v>
      </c>
    </row>
    <row r="1060" spans="1:6">
      <c r="A1060" s="5">
        <f ca="1">IFERROR(__xludf.DUMMYFUNCTION("""COMPUTED_VALUE"""),43609.625)</f>
        <v>43609.625</v>
      </c>
      <c r="B1060" s="2">
        <f ca="1">IFERROR(__xludf.DUMMYFUNCTION("""COMPUTED_VALUE"""),3780)</f>
        <v>3780</v>
      </c>
      <c r="C1060" s="2">
        <f ca="1">IFERROR(__xludf.DUMMYFUNCTION("""COMPUTED_VALUE"""),3930)</f>
        <v>3930</v>
      </c>
      <c r="D1060" s="2">
        <f ca="1">IFERROR(__xludf.DUMMYFUNCTION("""COMPUTED_VALUE"""),3770)</f>
        <v>3770</v>
      </c>
      <c r="E1060" s="2">
        <f ca="1">IFERROR(__xludf.DUMMYFUNCTION("""COMPUTED_VALUE"""),3850)</f>
        <v>3850</v>
      </c>
      <c r="F1060" s="2">
        <f ca="1">IFERROR(__xludf.DUMMYFUNCTION("""COMPUTED_VALUE"""),150398400)</f>
        <v>150398400</v>
      </c>
    </row>
    <row r="1061" spans="1:6">
      <c r="A1061" s="5">
        <f ca="1">IFERROR(__xludf.DUMMYFUNCTION("""COMPUTED_VALUE"""),43612.625)</f>
        <v>43612.625</v>
      </c>
      <c r="B1061" s="2">
        <f ca="1">IFERROR(__xludf.DUMMYFUNCTION("""COMPUTED_VALUE"""),3900)</f>
        <v>3900</v>
      </c>
      <c r="C1061" s="2">
        <f ca="1">IFERROR(__xludf.DUMMYFUNCTION("""COMPUTED_VALUE"""),3970)</f>
        <v>3970</v>
      </c>
      <c r="D1061" s="2">
        <f ca="1">IFERROR(__xludf.DUMMYFUNCTION("""COMPUTED_VALUE"""),3860)</f>
        <v>3860</v>
      </c>
      <c r="E1061" s="2">
        <f ca="1">IFERROR(__xludf.DUMMYFUNCTION("""COMPUTED_VALUE"""),3920)</f>
        <v>3920</v>
      </c>
      <c r="F1061" s="2">
        <f ca="1">IFERROR(__xludf.DUMMYFUNCTION("""COMPUTED_VALUE"""),123578400)</f>
        <v>123578400</v>
      </c>
    </row>
    <row r="1062" spans="1:6">
      <c r="A1062" s="5">
        <f ca="1">IFERROR(__xludf.DUMMYFUNCTION("""COMPUTED_VALUE"""),43613.625)</f>
        <v>43613.625</v>
      </c>
      <c r="B1062" s="2">
        <f ca="1">IFERROR(__xludf.DUMMYFUNCTION("""COMPUTED_VALUE"""),3930)</f>
        <v>3930</v>
      </c>
      <c r="C1062" s="2">
        <f ca="1">IFERROR(__xludf.DUMMYFUNCTION("""COMPUTED_VALUE"""),3950)</f>
        <v>3950</v>
      </c>
      <c r="D1062" s="2">
        <f ca="1">IFERROR(__xludf.DUMMYFUNCTION("""COMPUTED_VALUE"""),3810)</f>
        <v>3810</v>
      </c>
      <c r="E1062" s="2">
        <f ca="1">IFERROR(__xludf.DUMMYFUNCTION("""COMPUTED_VALUE"""),3810)</f>
        <v>3810</v>
      </c>
      <c r="F1062" s="2">
        <f ca="1">IFERROR(__xludf.DUMMYFUNCTION("""COMPUTED_VALUE"""),376621800)</f>
        <v>376621800</v>
      </c>
    </row>
    <row r="1063" spans="1:6">
      <c r="A1063" s="5">
        <f ca="1">IFERROR(__xludf.DUMMYFUNCTION("""COMPUTED_VALUE"""),43614.625)</f>
        <v>43614.625</v>
      </c>
      <c r="B1063" s="2">
        <f ca="1">IFERROR(__xludf.DUMMYFUNCTION("""COMPUTED_VALUE"""),3890)</f>
        <v>3890</v>
      </c>
      <c r="C1063" s="2">
        <f ca="1">IFERROR(__xludf.DUMMYFUNCTION("""COMPUTED_VALUE"""),3950)</f>
        <v>3950</v>
      </c>
      <c r="D1063" s="2">
        <f ca="1">IFERROR(__xludf.DUMMYFUNCTION("""COMPUTED_VALUE"""),3860)</f>
        <v>3860</v>
      </c>
      <c r="E1063" s="2">
        <f ca="1">IFERROR(__xludf.DUMMYFUNCTION("""COMPUTED_VALUE"""),3940)</f>
        <v>3940</v>
      </c>
      <c r="F1063" s="2">
        <f ca="1">IFERROR(__xludf.DUMMYFUNCTION("""COMPUTED_VALUE"""),139713200)</f>
        <v>139713200</v>
      </c>
    </row>
    <row r="1064" spans="1:6">
      <c r="A1064" s="5">
        <f ca="1">IFERROR(__xludf.DUMMYFUNCTION("""COMPUTED_VALUE"""),43616.625)</f>
        <v>43616.625</v>
      </c>
      <c r="B1064" s="2">
        <f ca="1">IFERROR(__xludf.DUMMYFUNCTION("""COMPUTED_VALUE"""),3990)</f>
        <v>3990</v>
      </c>
      <c r="C1064" s="2">
        <f ca="1">IFERROR(__xludf.DUMMYFUNCTION("""COMPUTED_VALUE"""),4120)</f>
        <v>4120</v>
      </c>
      <c r="D1064" s="2">
        <f ca="1">IFERROR(__xludf.DUMMYFUNCTION("""COMPUTED_VALUE"""),3980)</f>
        <v>3980</v>
      </c>
      <c r="E1064" s="2">
        <f ca="1">IFERROR(__xludf.DUMMYFUNCTION("""COMPUTED_VALUE"""),4100)</f>
        <v>4100</v>
      </c>
      <c r="F1064" s="2">
        <f ca="1">IFERROR(__xludf.DUMMYFUNCTION("""COMPUTED_VALUE"""),261104200)</f>
        <v>261104200</v>
      </c>
    </row>
    <row r="1065" spans="1:6">
      <c r="A1065" s="5">
        <f ca="1">IFERROR(__xludf.DUMMYFUNCTION("""COMPUTED_VALUE"""),43626.625)</f>
        <v>43626.625</v>
      </c>
      <c r="B1065" s="2">
        <f ca="1">IFERROR(__xludf.DUMMYFUNCTION("""COMPUTED_VALUE"""),4220)</f>
        <v>4220</v>
      </c>
      <c r="C1065" s="2">
        <f ca="1">IFERROR(__xludf.DUMMYFUNCTION("""COMPUTED_VALUE"""),4270)</f>
        <v>4270</v>
      </c>
      <c r="D1065" s="2">
        <f ca="1">IFERROR(__xludf.DUMMYFUNCTION("""COMPUTED_VALUE"""),4200)</f>
        <v>4200</v>
      </c>
      <c r="E1065" s="2">
        <f ca="1">IFERROR(__xludf.DUMMYFUNCTION("""COMPUTED_VALUE"""),4230)</f>
        <v>4230</v>
      </c>
      <c r="F1065" s="2">
        <f ca="1">IFERROR(__xludf.DUMMYFUNCTION("""COMPUTED_VALUE"""),196745300)</f>
        <v>196745300</v>
      </c>
    </row>
    <row r="1066" spans="1:6">
      <c r="A1066" s="5">
        <f ca="1">IFERROR(__xludf.DUMMYFUNCTION("""COMPUTED_VALUE"""),43627.625)</f>
        <v>43627.625</v>
      </c>
      <c r="B1066" s="2">
        <f ca="1">IFERROR(__xludf.DUMMYFUNCTION("""COMPUTED_VALUE"""),4250)</f>
        <v>4250</v>
      </c>
      <c r="C1066" s="2">
        <f ca="1">IFERROR(__xludf.DUMMYFUNCTION("""COMPUTED_VALUE"""),4250)</f>
        <v>4250</v>
      </c>
      <c r="D1066" s="2">
        <f ca="1">IFERROR(__xludf.DUMMYFUNCTION("""COMPUTED_VALUE"""),4150)</f>
        <v>4150</v>
      </c>
      <c r="E1066" s="2">
        <f ca="1">IFERROR(__xludf.DUMMYFUNCTION("""COMPUTED_VALUE"""),4230)</f>
        <v>4230</v>
      </c>
      <c r="F1066" s="2">
        <f ca="1">IFERROR(__xludf.DUMMYFUNCTION("""COMPUTED_VALUE"""),116270900)</f>
        <v>116270900</v>
      </c>
    </row>
    <row r="1067" spans="1:6">
      <c r="A1067" s="5">
        <f ca="1">IFERROR(__xludf.DUMMYFUNCTION("""COMPUTED_VALUE"""),43628.625)</f>
        <v>43628.625</v>
      </c>
      <c r="B1067" s="2">
        <f ca="1">IFERROR(__xludf.DUMMYFUNCTION("""COMPUTED_VALUE"""),4170)</f>
        <v>4170</v>
      </c>
      <c r="C1067" s="2">
        <f ca="1">IFERROR(__xludf.DUMMYFUNCTION("""COMPUTED_VALUE"""),4210)</f>
        <v>4210</v>
      </c>
      <c r="D1067" s="2">
        <f ca="1">IFERROR(__xludf.DUMMYFUNCTION("""COMPUTED_VALUE"""),4170)</f>
        <v>4170</v>
      </c>
      <c r="E1067" s="2">
        <f ca="1">IFERROR(__xludf.DUMMYFUNCTION("""COMPUTED_VALUE"""),4210)</f>
        <v>4210</v>
      </c>
      <c r="F1067" s="2">
        <f ca="1">IFERROR(__xludf.DUMMYFUNCTION("""COMPUTED_VALUE"""),92904100)</f>
        <v>92904100</v>
      </c>
    </row>
    <row r="1068" spans="1:6">
      <c r="A1068" s="5">
        <f ca="1">IFERROR(__xludf.DUMMYFUNCTION("""COMPUTED_VALUE"""),43629.625)</f>
        <v>43629.625</v>
      </c>
      <c r="B1068" s="2">
        <f ca="1">IFERROR(__xludf.DUMMYFUNCTION("""COMPUTED_VALUE"""),4250)</f>
        <v>4250</v>
      </c>
      <c r="C1068" s="2">
        <f ca="1">IFERROR(__xludf.DUMMYFUNCTION("""COMPUTED_VALUE"""),4250)</f>
        <v>4250</v>
      </c>
      <c r="D1068" s="2">
        <f ca="1">IFERROR(__xludf.DUMMYFUNCTION("""COMPUTED_VALUE"""),4180)</f>
        <v>4180</v>
      </c>
      <c r="E1068" s="2">
        <f ca="1">IFERROR(__xludf.DUMMYFUNCTION("""COMPUTED_VALUE"""),4200)</f>
        <v>4200</v>
      </c>
      <c r="F1068" s="2">
        <f ca="1">IFERROR(__xludf.DUMMYFUNCTION("""COMPUTED_VALUE"""),116825700)</f>
        <v>116825700</v>
      </c>
    </row>
    <row r="1069" spans="1:6">
      <c r="A1069" s="5">
        <f ca="1">IFERROR(__xludf.DUMMYFUNCTION("""COMPUTED_VALUE"""),43630.625)</f>
        <v>43630.625</v>
      </c>
      <c r="B1069" s="2">
        <f ca="1">IFERROR(__xludf.DUMMYFUNCTION("""COMPUTED_VALUE"""),4170)</f>
        <v>4170</v>
      </c>
      <c r="C1069" s="2">
        <f ca="1">IFERROR(__xludf.DUMMYFUNCTION("""COMPUTED_VALUE"""),4240)</f>
        <v>4240</v>
      </c>
      <c r="D1069" s="2">
        <f ca="1">IFERROR(__xludf.DUMMYFUNCTION("""COMPUTED_VALUE"""),4170)</f>
        <v>4170</v>
      </c>
      <c r="E1069" s="2">
        <f ca="1">IFERROR(__xludf.DUMMYFUNCTION("""COMPUTED_VALUE"""),4230)</f>
        <v>4230</v>
      </c>
      <c r="F1069" s="2">
        <f ca="1">IFERROR(__xludf.DUMMYFUNCTION("""COMPUTED_VALUE"""),72298800)</f>
        <v>72298800</v>
      </c>
    </row>
    <row r="1070" spans="1:6">
      <c r="A1070" s="5">
        <f ca="1">IFERROR(__xludf.DUMMYFUNCTION("""COMPUTED_VALUE"""),43633.625)</f>
        <v>43633.625</v>
      </c>
      <c r="B1070" s="2">
        <f ca="1">IFERROR(__xludf.DUMMYFUNCTION("""COMPUTED_VALUE"""),4250)</f>
        <v>4250</v>
      </c>
      <c r="C1070" s="2">
        <f ca="1">IFERROR(__xludf.DUMMYFUNCTION("""COMPUTED_VALUE"""),4250)</f>
        <v>4250</v>
      </c>
      <c r="D1070" s="2">
        <f ca="1">IFERROR(__xludf.DUMMYFUNCTION("""COMPUTED_VALUE"""),4200)</f>
        <v>4200</v>
      </c>
      <c r="E1070" s="2">
        <f ca="1">IFERROR(__xludf.DUMMYFUNCTION("""COMPUTED_VALUE"""),4200)</f>
        <v>4200</v>
      </c>
      <c r="F1070" s="2">
        <f ca="1">IFERROR(__xludf.DUMMYFUNCTION("""COMPUTED_VALUE"""),55193600)</f>
        <v>55193600</v>
      </c>
    </row>
    <row r="1071" spans="1:6">
      <c r="A1071" s="5">
        <f ca="1">IFERROR(__xludf.DUMMYFUNCTION("""COMPUTED_VALUE"""),43634.625)</f>
        <v>43634.625</v>
      </c>
      <c r="B1071" s="2">
        <f ca="1">IFERROR(__xludf.DUMMYFUNCTION("""COMPUTED_VALUE"""),4180)</f>
        <v>4180</v>
      </c>
      <c r="C1071" s="2">
        <f ca="1">IFERROR(__xludf.DUMMYFUNCTION("""COMPUTED_VALUE"""),4260)</f>
        <v>4260</v>
      </c>
      <c r="D1071" s="2">
        <f ca="1">IFERROR(__xludf.DUMMYFUNCTION("""COMPUTED_VALUE"""),4180)</f>
        <v>4180</v>
      </c>
      <c r="E1071" s="2">
        <f ca="1">IFERROR(__xludf.DUMMYFUNCTION("""COMPUTED_VALUE"""),4260)</f>
        <v>4260</v>
      </c>
      <c r="F1071" s="2">
        <f ca="1">IFERROR(__xludf.DUMMYFUNCTION("""COMPUTED_VALUE"""),158342200)</f>
        <v>158342200</v>
      </c>
    </row>
    <row r="1072" spans="1:6">
      <c r="A1072" s="5">
        <f ca="1">IFERROR(__xludf.DUMMYFUNCTION("""COMPUTED_VALUE"""),43635.625)</f>
        <v>43635.625</v>
      </c>
      <c r="B1072" s="2">
        <f ca="1">IFERROR(__xludf.DUMMYFUNCTION("""COMPUTED_VALUE"""),4320)</f>
        <v>4320</v>
      </c>
      <c r="C1072" s="2">
        <f ca="1">IFERROR(__xludf.DUMMYFUNCTION("""COMPUTED_VALUE"""),4340)</f>
        <v>4340</v>
      </c>
      <c r="D1072" s="2">
        <f ca="1">IFERROR(__xludf.DUMMYFUNCTION("""COMPUTED_VALUE"""),4280)</f>
        <v>4280</v>
      </c>
      <c r="E1072" s="2">
        <f ca="1">IFERROR(__xludf.DUMMYFUNCTION("""COMPUTED_VALUE"""),4290)</f>
        <v>4290</v>
      </c>
      <c r="F1072" s="2">
        <f ca="1">IFERROR(__xludf.DUMMYFUNCTION("""COMPUTED_VALUE"""),167220600)</f>
        <v>167220600</v>
      </c>
    </row>
    <row r="1073" spans="1:6">
      <c r="A1073" s="5">
        <f ca="1">IFERROR(__xludf.DUMMYFUNCTION("""COMPUTED_VALUE"""),43636.625)</f>
        <v>43636.625</v>
      </c>
      <c r="B1073" s="2">
        <f ca="1">IFERROR(__xludf.DUMMYFUNCTION("""COMPUTED_VALUE"""),4330)</f>
        <v>4330</v>
      </c>
      <c r="C1073" s="2">
        <f ca="1">IFERROR(__xludf.DUMMYFUNCTION("""COMPUTED_VALUE"""),4330)</f>
        <v>4330</v>
      </c>
      <c r="D1073" s="2">
        <f ca="1">IFERROR(__xludf.DUMMYFUNCTION("""COMPUTED_VALUE"""),4280)</f>
        <v>4280</v>
      </c>
      <c r="E1073" s="2">
        <f ca="1">IFERROR(__xludf.DUMMYFUNCTION("""COMPUTED_VALUE"""),4310)</f>
        <v>4310</v>
      </c>
      <c r="F1073" s="2">
        <f ca="1">IFERROR(__xludf.DUMMYFUNCTION("""COMPUTED_VALUE"""),107715700)</f>
        <v>107715700</v>
      </c>
    </row>
    <row r="1074" spans="1:6">
      <c r="A1074" s="5">
        <f ca="1">IFERROR(__xludf.DUMMYFUNCTION("""COMPUTED_VALUE"""),43637.625)</f>
        <v>43637.625</v>
      </c>
      <c r="B1074" s="2">
        <f ca="1">IFERROR(__xludf.DUMMYFUNCTION("""COMPUTED_VALUE"""),4290)</f>
        <v>4290</v>
      </c>
      <c r="C1074" s="2">
        <f ca="1">IFERROR(__xludf.DUMMYFUNCTION("""COMPUTED_VALUE"""),4360)</f>
        <v>4360</v>
      </c>
      <c r="D1074" s="2">
        <f ca="1">IFERROR(__xludf.DUMMYFUNCTION("""COMPUTED_VALUE"""),4260)</f>
        <v>4260</v>
      </c>
      <c r="E1074" s="2">
        <f ca="1">IFERROR(__xludf.DUMMYFUNCTION("""COMPUTED_VALUE"""),4360)</f>
        <v>4360</v>
      </c>
      <c r="F1074" s="2">
        <f ca="1">IFERROR(__xludf.DUMMYFUNCTION("""COMPUTED_VALUE"""),170191100)</f>
        <v>170191100</v>
      </c>
    </row>
    <row r="1075" spans="1:6">
      <c r="A1075" s="5">
        <f ca="1">IFERROR(__xludf.DUMMYFUNCTION("""COMPUTED_VALUE"""),43640.625)</f>
        <v>43640.625</v>
      </c>
      <c r="B1075" s="2">
        <f ca="1">IFERROR(__xludf.DUMMYFUNCTION("""COMPUTED_VALUE"""),4310)</f>
        <v>4310</v>
      </c>
      <c r="C1075" s="2">
        <f ca="1">IFERROR(__xludf.DUMMYFUNCTION("""COMPUTED_VALUE"""),4350)</f>
        <v>4350</v>
      </c>
      <c r="D1075" s="2">
        <f ca="1">IFERROR(__xludf.DUMMYFUNCTION("""COMPUTED_VALUE"""),4290)</f>
        <v>4290</v>
      </c>
      <c r="E1075" s="2">
        <f ca="1">IFERROR(__xludf.DUMMYFUNCTION("""COMPUTED_VALUE"""),4310)</f>
        <v>4310</v>
      </c>
      <c r="F1075" s="2">
        <f ca="1">IFERROR(__xludf.DUMMYFUNCTION("""COMPUTED_VALUE"""),82569600)</f>
        <v>82569600</v>
      </c>
    </row>
    <row r="1076" spans="1:6">
      <c r="A1076" s="5">
        <f ca="1">IFERROR(__xludf.DUMMYFUNCTION("""COMPUTED_VALUE"""),43641.625)</f>
        <v>43641.625</v>
      </c>
      <c r="B1076" s="2">
        <f ca="1">IFERROR(__xludf.DUMMYFUNCTION("""COMPUTED_VALUE"""),4350)</f>
        <v>4350</v>
      </c>
      <c r="C1076" s="2">
        <f ca="1">IFERROR(__xludf.DUMMYFUNCTION("""COMPUTED_VALUE"""),4350)</f>
        <v>4350</v>
      </c>
      <c r="D1076" s="2">
        <f ca="1">IFERROR(__xludf.DUMMYFUNCTION("""COMPUTED_VALUE"""),4290)</f>
        <v>4290</v>
      </c>
      <c r="E1076" s="2">
        <f ca="1">IFERROR(__xludf.DUMMYFUNCTION("""COMPUTED_VALUE"""),4330)</f>
        <v>4330</v>
      </c>
      <c r="F1076" s="2">
        <f ca="1">IFERROR(__xludf.DUMMYFUNCTION("""COMPUTED_VALUE"""),59456000)</f>
        <v>59456000</v>
      </c>
    </row>
    <row r="1077" spans="1:6">
      <c r="A1077" s="5">
        <f ca="1">IFERROR(__xludf.DUMMYFUNCTION("""COMPUTED_VALUE"""),43642.625)</f>
        <v>43642.625</v>
      </c>
      <c r="B1077" s="2">
        <f ca="1">IFERROR(__xludf.DUMMYFUNCTION("""COMPUTED_VALUE"""),4330)</f>
        <v>4330</v>
      </c>
      <c r="C1077" s="2">
        <f ca="1">IFERROR(__xludf.DUMMYFUNCTION("""COMPUTED_VALUE"""),4370)</f>
        <v>4370</v>
      </c>
      <c r="D1077" s="2">
        <f ca="1">IFERROR(__xludf.DUMMYFUNCTION("""COMPUTED_VALUE"""),4320)</f>
        <v>4320</v>
      </c>
      <c r="E1077" s="2">
        <f ca="1">IFERROR(__xludf.DUMMYFUNCTION("""COMPUTED_VALUE"""),4360)</f>
        <v>4360</v>
      </c>
      <c r="F1077" s="2">
        <f ca="1">IFERROR(__xludf.DUMMYFUNCTION("""COMPUTED_VALUE"""),102850200)</f>
        <v>102850200</v>
      </c>
    </row>
    <row r="1078" spans="1:6">
      <c r="A1078" s="5">
        <f ca="1">IFERROR(__xludf.DUMMYFUNCTION("""COMPUTED_VALUE"""),43643.625)</f>
        <v>43643.625</v>
      </c>
      <c r="B1078" s="2">
        <f ca="1">IFERROR(__xludf.DUMMYFUNCTION("""COMPUTED_VALUE"""),4380)</f>
        <v>4380</v>
      </c>
      <c r="C1078" s="2">
        <f ca="1">IFERROR(__xludf.DUMMYFUNCTION("""COMPUTED_VALUE"""),4390)</f>
        <v>4390</v>
      </c>
      <c r="D1078" s="2">
        <f ca="1">IFERROR(__xludf.DUMMYFUNCTION("""COMPUTED_VALUE"""),4350)</f>
        <v>4350</v>
      </c>
      <c r="E1078" s="2">
        <f ca="1">IFERROR(__xludf.DUMMYFUNCTION("""COMPUTED_VALUE"""),4380)</f>
        <v>4380</v>
      </c>
      <c r="F1078" s="2">
        <f ca="1">IFERROR(__xludf.DUMMYFUNCTION("""COMPUTED_VALUE"""),81746600)</f>
        <v>81746600</v>
      </c>
    </row>
    <row r="1079" spans="1:6">
      <c r="A1079" s="5">
        <f ca="1">IFERROR(__xludf.DUMMYFUNCTION("""COMPUTED_VALUE"""),43644.625)</f>
        <v>43644.625</v>
      </c>
      <c r="B1079" s="2">
        <f ca="1">IFERROR(__xludf.DUMMYFUNCTION("""COMPUTED_VALUE"""),4370)</f>
        <v>4370</v>
      </c>
      <c r="C1079" s="2">
        <f ca="1">IFERROR(__xludf.DUMMYFUNCTION("""COMPUTED_VALUE"""),4400)</f>
        <v>4400</v>
      </c>
      <c r="D1079" s="2">
        <f ca="1">IFERROR(__xludf.DUMMYFUNCTION("""COMPUTED_VALUE"""),4350)</f>
        <v>4350</v>
      </c>
      <c r="E1079" s="2">
        <f ca="1">IFERROR(__xludf.DUMMYFUNCTION("""COMPUTED_VALUE"""),4360)</f>
        <v>4360</v>
      </c>
      <c r="F1079" s="2">
        <f ca="1">IFERROR(__xludf.DUMMYFUNCTION("""COMPUTED_VALUE"""),102580700)</f>
        <v>102580700</v>
      </c>
    </row>
    <row r="1080" spans="1:6">
      <c r="A1080" s="5">
        <f ca="1">IFERROR(__xludf.DUMMYFUNCTION("""COMPUTED_VALUE"""),43647.625)</f>
        <v>43647.625</v>
      </c>
      <c r="B1080" s="2">
        <f ca="1">IFERROR(__xludf.DUMMYFUNCTION("""COMPUTED_VALUE"""),4400)</f>
        <v>4400</v>
      </c>
      <c r="C1080" s="2">
        <f ca="1">IFERROR(__xludf.DUMMYFUNCTION("""COMPUTED_VALUE"""),4420)</f>
        <v>4420</v>
      </c>
      <c r="D1080" s="2">
        <f ca="1">IFERROR(__xludf.DUMMYFUNCTION("""COMPUTED_VALUE"""),4380)</f>
        <v>4380</v>
      </c>
      <c r="E1080" s="2">
        <f ca="1">IFERROR(__xludf.DUMMYFUNCTION("""COMPUTED_VALUE"""),4420)</f>
        <v>4420</v>
      </c>
      <c r="F1080" s="2">
        <f ca="1">IFERROR(__xludf.DUMMYFUNCTION("""COMPUTED_VALUE"""),104844900)</f>
        <v>104844900</v>
      </c>
    </row>
    <row r="1081" spans="1:6">
      <c r="A1081" s="5">
        <f ca="1">IFERROR(__xludf.DUMMYFUNCTION("""COMPUTED_VALUE"""),43648.625)</f>
        <v>43648.625</v>
      </c>
      <c r="B1081" s="2">
        <f ca="1">IFERROR(__xludf.DUMMYFUNCTION("""COMPUTED_VALUE"""),4420)</f>
        <v>4420</v>
      </c>
      <c r="C1081" s="2">
        <f ca="1">IFERROR(__xludf.DUMMYFUNCTION("""COMPUTED_VALUE"""),4420)</f>
        <v>4420</v>
      </c>
      <c r="D1081" s="2">
        <f ca="1">IFERROR(__xludf.DUMMYFUNCTION("""COMPUTED_VALUE"""),4360)</f>
        <v>4360</v>
      </c>
      <c r="E1081" s="2">
        <f ca="1">IFERROR(__xludf.DUMMYFUNCTION("""COMPUTED_VALUE"""),4410)</f>
        <v>4410</v>
      </c>
      <c r="F1081" s="2">
        <f ca="1">IFERROR(__xludf.DUMMYFUNCTION("""COMPUTED_VALUE"""),134440200)</f>
        <v>134440200</v>
      </c>
    </row>
    <row r="1082" spans="1:6">
      <c r="A1082" s="5">
        <f ca="1">IFERROR(__xludf.DUMMYFUNCTION("""COMPUTED_VALUE"""),43649.625)</f>
        <v>43649.625</v>
      </c>
      <c r="B1082" s="2">
        <f ca="1">IFERROR(__xludf.DUMMYFUNCTION("""COMPUTED_VALUE"""),4390)</f>
        <v>4390</v>
      </c>
      <c r="C1082" s="2">
        <f ca="1">IFERROR(__xludf.DUMMYFUNCTION("""COMPUTED_VALUE"""),4420)</f>
        <v>4420</v>
      </c>
      <c r="D1082" s="2">
        <f ca="1">IFERROR(__xludf.DUMMYFUNCTION("""COMPUTED_VALUE"""),4360)</f>
        <v>4360</v>
      </c>
      <c r="E1082" s="2">
        <f ca="1">IFERROR(__xludf.DUMMYFUNCTION("""COMPUTED_VALUE"""),4400)</f>
        <v>4400</v>
      </c>
      <c r="F1082" s="2">
        <f ca="1">IFERROR(__xludf.DUMMYFUNCTION("""COMPUTED_VALUE"""),74371900)</f>
        <v>74371900</v>
      </c>
    </row>
    <row r="1083" spans="1:6">
      <c r="A1083" s="5">
        <f ca="1">IFERROR(__xludf.DUMMYFUNCTION("""COMPUTED_VALUE"""),43650.625)</f>
        <v>43650.625</v>
      </c>
      <c r="B1083" s="2">
        <f ca="1">IFERROR(__xludf.DUMMYFUNCTION("""COMPUTED_VALUE"""),4360)</f>
        <v>4360</v>
      </c>
      <c r="C1083" s="2">
        <f ca="1">IFERROR(__xludf.DUMMYFUNCTION("""COMPUTED_VALUE"""),4400)</f>
        <v>4400</v>
      </c>
      <c r="D1083" s="2">
        <f ca="1">IFERROR(__xludf.DUMMYFUNCTION("""COMPUTED_VALUE"""),4360)</f>
        <v>4360</v>
      </c>
      <c r="E1083" s="2">
        <f ca="1">IFERROR(__xludf.DUMMYFUNCTION("""COMPUTED_VALUE"""),4390)</f>
        <v>4390</v>
      </c>
      <c r="F1083" s="2">
        <f ca="1">IFERROR(__xludf.DUMMYFUNCTION("""COMPUTED_VALUE"""),38687900)</f>
        <v>38687900</v>
      </c>
    </row>
    <row r="1084" spans="1:6">
      <c r="A1084" s="5">
        <f ca="1">IFERROR(__xludf.DUMMYFUNCTION("""COMPUTED_VALUE"""),43651.625)</f>
        <v>43651.625</v>
      </c>
      <c r="B1084" s="2">
        <f ca="1">IFERROR(__xludf.DUMMYFUNCTION("""COMPUTED_VALUE"""),4420)</f>
        <v>4420</v>
      </c>
      <c r="C1084" s="2">
        <f ca="1">IFERROR(__xludf.DUMMYFUNCTION("""COMPUTED_VALUE"""),4420)</f>
        <v>4420</v>
      </c>
      <c r="D1084" s="2">
        <f ca="1">IFERROR(__xludf.DUMMYFUNCTION("""COMPUTED_VALUE"""),4380)</f>
        <v>4380</v>
      </c>
      <c r="E1084" s="2">
        <f ca="1">IFERROR(__xludf.DUMMYFUNCTION("""COMPUTED_VALUE"""),4400)</f>
        <v>4400</v>
      </c>
      <c r="F1084" s="2">
        <f ca="1">IFERROR(__xludf.DUMMYFUNCTION("""COMPUTED_VALUE"""),53771200)</f>
        <v>53771200</v>
      </c>
    </row>
    <row r="1085" spans="1:6">
      <c r="A1085" s="5">
        <f ca="1">IFERROR(__xludf.DUMMYFUNCTION("""COMPUTED_VALUE"""),43654.625)</f>
        <v>43654.625</v>
      </c>
      <c r="B1085" s="2">
        <f ca="1">IFERROR(__xludf.DUMMYFUNCTION("""COMPUTED_VALUE"""),4380)</f>
        <v>4380</v>
      </c>
      <c r="C1085" s="2">
        <f ca="1">IFERROR(__xludf.DUMMYFUNCTION("""COMPUTED_VALUE"""),4410)</f>
        <v>4410</v>
      </c>
      <c r="D1085" s="2">
        <f ca="1">IFERROR(__xludf.DUMMYFUNCTION("""COMPUTED_VALUE"""),4370)</f>
        <v>4370</v>
      </c>
      <c r="E1085" s="2">
        <f ca="1">IFERROR(__xludf.DUMMYFUNCTION("""COMPUTED_VALUE"""),4400)</f>
        <v>4400</v>
      </c>
      <c r="F1085" s="2">
        <f ca="1">IFERROR(__xludf.DUMMYFUNCTION("""COMPUTED_VALUE"""),46233200)</f>
        <v>46233200</v>
      </c>
    </row>
    <row r="1086" spans="1:6">
      <c r="A1086" s="5">
        <f ca="1">IFERROR(__xludf.DUMMYFUNCTION("""COMPUTED_VALUE"""),43655.625)</f>
        <v>43655.625</v>
      </c>
      <c r="B1086" s="2">
        <f ca="1">IFERROR(__xludf.DUMMYFUNCTION("""COMPUTED_VALUE"""),4370)</f>
        <v>4370</v>
      </c>
      <c r="C1086" s="2">
        <f ca="1">IFERROR(__xludf.DUMMYFUNCTION("""COMPUTED_VALUE"""),4410)</f>
        <v>4410</v>
      </c>
      <c r="D1086" s="2">
        <f ca="1">IFERROR(__xludf.DUMMYFUNCTION("""COMPUTED_VALUE"""),4370)</f>
        <v>4370</v>
      </c>
      <c r="E1086" s="2">
        <f ca="1">IFERROR(__xludf.DUMMYFUNCTION("""COMPUTED_VALUE"""),4410)</f>
        <v>4410</v>
      </c>
      <c r="F1086" s="2">
        <f ca="1">IFERROR(__xludf.DUMMYFUNCTION("""COMPUTED_VALUE"""),64718300)</f>
        <v>64718300</v>
      </c>
    </row>
    <row r="1087" spans="1:6">
      <c r="A1087" s="5">
        <f ca="1">IFERROR(__xludf.DUMMYFUNCTION("""COMPUTED_VALUE"""),43656.625)</f>
        <v>43656.625</v>
      </c>
      <c r="B1087" s="2">
        <f ca="1">IFERROR(__xludf.DUMMYFUNCTION("""COMPUTED_VALUE"""),4410)</f>
        <v>4410</v>
      </c>
      <c r="C1087" s="2">
        <f ca="1">IFERROR(__xludf.DUMMYFUNCTION("""COMPUTED_VALUE"""),4480)</f>
        <v>4480</v>
      </c>
      <c r="D1087" s="2">
        <f ca="1">IFERROR(__xludf.DUMMYFUNCTION("""COMPUTED_VALUE"""),4400)</f>
        <v>4400</v>
      </c>
      <c r="E1087" s="2">
        <f ca="1">IFERROR(__xludf.DUMMYFUNCTION("""COMPUTED_VALUE"""),4470)</f>
        <v>4470</v>
      </c>
      <c r="F1087" s="2">
        <f ca="1">IFERROR(__xludf.DUMMYFUNCTION("""COMPUTED_VALUE"""),80977700)</f>
        <v>80977700</v>
      </c>
    </row>
    <row r="1088" spans="1:6">
      <c r="A1088" s="5">
        <f ca="1">IFERROR(__xludf.DUMMYFUNCTION("""COMPUTED_VALUE"""),43657.625)</f>
        <v>43657.625</v>
      </c>
      <c r="B1088" s="2">
        <f ca="1">IFERROR(__xludf.DUMMYFUNCTION("""COMPUTED_VALUE"""),4490)</f>
        <v>4490</v>
      </c>
      <c r="C1088" s="2">
        <f ca="1">IFERROR(__xludf.DUMMYFUNCTION("""COMPUTED_VALUE"""),4540)</f>
        <v>4540</v>
      </c>
      <c r="D1088" s="2">
        <f ca="1">IFERROR(__xludf.DUMMYFUNCTION("""COMPUTED_VALUE"""),4480)</f>
        <v>4480</v>
      </c>
      <c r="E1088" s="2">
        <f ca="1">IFERROR(__xludf.DUMMYFUNCTION("""COMPUTED_VALUE"""),4510)</f>
        <v>4510</v>
      </c>
      <c r="F1088" s="2">
        <f ca="1">IFERROR(__xludf.DUMMYFUNCTION("""COMPUTED_VALUE"""),91416500)</f>
        <v>91416500</v>
      </c>
    </row>
    <row r="1089" spans="1:6">
      <c r="A1089" s="5">
        <f ca="1">IFERROR(__xludf.DUMMYFUNCTION("""COMPUTED_VALUE"""),43658.625)</f>
        <v>43658.625</v>
      </c>
      <c r="B1089" s="2">
        <f ca="1">IFERROR(__xludf.DUMMYFUNCTION("""COMPUTED_VALUE"""),4510)</f>
        <v>4510</v>
      </c>
      <c r="C1089" s="2">
        <f ca="1">IFERROR(__xludf.DUMMYFUNCTION("""COMPUTED_VALUE"""),4540)</f>
        <v>4540</v>
      </c>
      <c r="D1089" s="2">
        <f ca="1">IFERROR(__xludf.DUMMYFUNCTION("""COMPUTED_VALUE"""),4490)</f>
        <v>4490</v>
      </c>
      <c r="E1089" s="2">
        <f ca="1">IFERROR(__xludf.DUMMYFUNCTION("""COMPUTED_VALUE"""),4510)</f>
        <v>4510</v>
      </c>
      <c r="F1089" s="2">
        <f ca="1">IFERROR(__xludf.DUMMYFUNCTION("""COMPUTED_VALUE"""),64575400)</f>
        <v>64575400</v>
      </c>
    </row>
    <row r="1090" spans="1:6">
      <c r="A1090" s="5">
        <f ca="1">IFERROR(__xludf.DUMMYFUNCTION("""COMPUTED_VALUE"""),43661.625)</f>
        <v>43661.625</v>
      </c>
      <c r="B1090" s="2">
        <f ca="1">IFERROR(__xludf.DUMMYFUNCTION("""COMPUTED_VALUE"""),4540)</f>
        <v>4540</v>
      </c>
      <c r="C1090" s="2">
        <f ca="1">IFERROR(__xludf.DUMMYFUNCTION("""COMPUTED_VALUE"""),4560)</f>
        <v>4560</v>
      </c>
      <c r="D1090" s="2">
        <f ca="1">IFERROR(__xludf.DUMMYFUNCTION("""COMPUTED_VALUE"""),4520)</f>
        <v>4520</v>
      </c>
      <c r="E1090" s="2">
        <f ca="1">IFERROR(__xludf.DUMMYFUNCTION("""COMPUTED_VALUE"""),4530)</f>
        <v>4530</v>
      </c>
      <c r="F1090" s="2">
        <f ca="1">IFERROR(__xludf.DUMMYFUNCTION("""COMPUTED_VALUE"""),68954800)</f>
        <v>68954800</v>
      </c>
    </row>
    <row r="1091" spans="1:6">
      <c r="A1091" s="5">
        <f ca="1">IFERROR(__xludf.DUMMYFUNCTION("""COMPUTED_VALUE"""),43662.625)</f>
        <v>43662.625</v>
      </c>
      <c r="B1091" s="2">
        <f ca="1">IFERROR(__xludf.DUMMYFUNCTION("""COMPUTED_VALUE"""),4500)</f>
        <v>4500</v>
      </c>
      <c r="C1091" s="2">
        <f ca="1">IFERROR(__xludf.DUMMYFUNCTION("""COMPUTED_VALUE"""),4550)</f>
        <v>4550</v>
      </c>
      <c r="D1091" s="2">
        <f ca="1">IFERROR(__xludf.DUMMYFUNCTION("""COMPUTED_VALUE"""),4500)</f>
        <v>4500</v>
      </c>
      <c r="E1091" s="2">
        <f ca="1">IFERROR(__xludf.DUMMYFUNCTION("""COMPUTED_VALUE"""),4550)</f>
        <v>4550</v>
      </c>
      <c r="F1091" s="2">
        <f ca="1">IFERROR(__xludf.DUMMYFUNCTION("""COMPUTED_VALUE"""),84477400)</f>
        <v>84477400</v>
      </c>
    </row>
    <row r="1092" spans="1:6">
      <c r="A1092" s="5">
        <f ca="1">IFERROR(__xludf.DUMMYFUNCTION("""COMPUTED_VALUE"""),43663.625)</f>
        <v>43663.625</v>
      </c>
      <c r="B1092" s="2">
        <f ca="1">IFERROR(__xludf.DUMMYFUNCTION("""COMPUTED_VALUE"""),4520)</f>
        <v>4520</v>
      </c>
      <c r="C1092" s="2">
        <f ca="1">IFERROR(__xludf.DUMMYFUNCTION("""COMPUTED_VALUE"""),4550)</f>
        <v>4550</v>
      </c>
      <c r="D1092" s="2">
        <f ca="1">IFERROR(__xludf.DUMMYFUNCTION("""COMPUTED_VALUE"""),4500)</f>
        <v>4500</v>
      </c>
      <c r="E1092" s="2">
        <f ca="1">IFERROR(__xludf.DUMMYFUNCTION("""COMPUTED_VALUE"""),4520)</f>
        <v>4520</v>
      </c>
      <c r="F1092" s="2">
        <f ca="1">IFERROR(__xludf.DUMMYFUNCTION("""COMPUTED_VALUE"""),65303400)</f>
        <v>65303400</v>
      </c>
    </row>
    <row r="1093" spans="1:6">
      <c r="A1093" s="5">
        <f ca="1">IFERROR(__xludf.DUMMYFUNCTION("""COMPUTED_VALUE"""),43664.625)</f>
        <v>43664.625</v>
      </c>
      <c r="B1093" s="2">
        <f ca="1">IFERROR(__xludf.DUMMYFUNCTION("""COMPUTED_VALUE"""),4500)</f>
        <v>4500</v>
      </c>
      <c r="C1093" s="2">
        <f ca="1">IFERROR(__xludf.DUMMYFUNCTION("""COMPUTED_VALUE"""),4510)</f>
        <v>4510</v>
      </c>
      <c r="D1093" s="2">
        <f ca="1">IFERROR(__xludf.DUMMYFUNCTION("""COMPUTED_VALUE"""),4440)</f>
        <v>4440</v>
      </c>
      <c r="E1093" s="2">
        <f ca="1">IFERROR(__xludf.DUMMYFUNCTION("""COMPUTED_VALUE"""),4450)</f>
        <v>4450</v>
      </c>
      <c r="F1093" s="2">
        <f ca="1">IFERROR(__xludf.DUMMYFUNCTION("""COMPUTED_VALUE"""),77028200)</f>
        <v>77028200</v>
      </c>
    </row>
    <row r="1094" spans="1:6">
      <c r="A1094" s="5">
        <f ca="1">IFERROR(__xludf.DUMMYFUNCTION("""COMPUTED_VALUE"""),43665.625)</f>
        <v>43665.625</v>
      </c>
      <c r="B1094" s="2">
        <f ca="1">IFERROR(__xludf.DUMMYFUNCTION("""COMPUTED_VALUE"""),4450)</f>
        <v>4450</v>
      </c>
      <c r="C1094" s="2">
        <f ca="1">IFERROR(__xludf.DUMMYFUNCTION("""COMPUTED_VALUE"""),4490)</f>
        <v>4490</v>
      </c>
      <c r="D1094" s="2">
        <f ca="1">IFERROR(__xludf.DUMMYFUNCTION("""COMPUTED_VALUE"""),4440)</f>
        <v>4440</v>
      </c>
      <c r="E1094" s="2">
        <f ca="1">IFERROR(__xludf.DUMMYFUNCTION("""COMPUTED_VALUE"""),4480)</f>
        <v>4480</v>
      </c>
      <c r="F1094" s="2">
        <f ca="1">IFERROR(__xludf.DUMMYFUNCTION("""COMPUTED_VALUE"""),64335100)</f>
        <v>64335100</v>
      </c>
    </row>
    <row r="1095" spans="1:6">
      <c r="A1095" s="5">
        <f ca="1">IFERROR(__xludf.DUMMYFUNCTION("""COMPUTED_VALUE"""),43668.625)</f>
        <v>43668.625</v>
      </c>
      <c r="B1095" s="2">
        <f ca="1">IFERROR(__xludf.DUMMYFUNCTION("""COMPUTED_VALUE"""),4500)</f>
        <v>4500</v>
      </c>
      <c r="C1095" s="2">
        <f ca="1">IFERROR(__xludf.DUMMYFUNCTION("""COMPUTED_VALUE"""),4510)</f>
        <v>4510</v>
      </c>
      <c r="D1095" s="2">
        <f ca="1">IFERROR(__xludf.DUMMYFUNCTION("""COMPUTED_VALUE"""),4460)</f>
        <v>4460</v>
      </c>
      <c r="E1095" s="2">
        <f ca="1">IFERROR(__xludf.DUMMYFUNCTION("""COMPUTED_VALUE"""),4500)</f>
        <v>4500</v>
      </c>
      <c r="F1095" s="2">
        <f ca="1">IFERROR(__xludf.DUMMYFUNCTION("""COMPUTED_VALUE"""),41944400)</f>
        <v>41944400</v>
      </c>
    </row>
    <row r="1096" spans="1:6">
      <c r="A1096" s="5">
        <f ca="1">IFERROR(__xludf.DUMMYFUNCTION("""COMPUTED_VALUE"""),43669.625)</f>
        <v>43669.625</v>
      </c>
      <c r="B1096" s="2">
        <f ca="1">IFERROR(__xludf.DUMMYFUNCTION("""COMPUTED_VALUE"""),4500)</f>
        <v>4500</v>
      </c>
      <c r="C1096" s="2">
        <f ca="1">IFERROR(__xludf.DUMMYFUNCTION("""COMPUTED_VALUE"""),4500)</f>
        <v>4500</v>
      </c>
      <c r="D1096" s="2">
        <f ca="1">IFERROR(__xludf.DUMMYFUNCTION("""COMPUTED_VALUE"""),4470)</f>
        <v>4470</v>
      </c>
      <c r="E1096" s="2">
        <f ca="1">IFERROR(__xludf.DUMMYFUNCTION("""COMPUTED_VALUE"""),4490)</f>
        <v>4490</v>
      </c>
      <c r="F1096" s="2">
        <f ca="1">IFERROR(__xludf.DUMMYFUNCTION("""COMPUTED_VALUE"""),43317300)</f>
        <v>43317300</v>
      </c>
    </row>
    <row r="1097" spans="1:6">
      <c r="A1097" s="5">
        <f ca="1">IFERROR(__xludf.DUMMYFUNCTION("""COMPUTED_VALUE"""),43670.625)</f>
        <v>43670.625</v>
      </c>
      <c r="B1097" s="2">
        <f ca="1">IFERROR(__xludf.DUMMYFUNCTION("""COMPUTED_VALUE"""),4520)</f>
        <v>4520</v>
      </c>
      <c r="C1097" s="2">
        <f ca="1">IFERROR(__xludf.DUMMYFUNCTION("""COMPUTED_VALUE"""),4520)</f>
        <v>4520</v>
      </c>
      <c r="D1097" s="2">
        <f ca="1">IFERROR(__xludf.DUMMYFUNCTION("""COMPUTED_VALUE"""),4440)</f>
        <v>4440</v>
      </c>
      <c r="E1097" s="2">
        <f ca="1">IFERROR(__xludf.DUMMYFUNCTION("""COMPUTED_VALUE"""),4450)</f>
        <v>4450</v>
      </c>
      <c r="F1097" s="2">
        <f ca="1">IFERROR(__xludf.DUMMYFUNCTION("""COMPUTED_VALUE"""),53053100)</f>
        <v>53053100</v>
      </c>
    </row>
    <row r="1098" spans="1:6">
      <c r="A1098" s="5">
        <f ca="1">IFERROR(__xludf.DUMMYFUNCTION("""COMPUTED_VALUE"""),43671.625)</f>
        <v>43671.625</v>
      </c>
      <c r="B1098" s="2">
        <f ca="1">IFERROR(__xludf.DUMMYFUNCTION("""COMPUTED_VALUE"""),4470)</f>
        <v>4470</v>
      </c>
      <c r="C1098" s="2">
        <f ca="1">IFERROR(__xludf.DUMMYFUNCTION("""COMPUTED_VALUE"""),4480)</f>
        <v>4480</v>
      </c>
      <c r="D1098" s="2">
        <f ca="1">IFERROR(__xludf.DUMMYFUNCTION("""COMPUTED_VALUE"""),4450)</f>
        <v>4450</v>
      </c>
      <c r="E1098" s="2">
        <f ca="1">IFERROR(__xludf.DUMMYFUNCTION("""COMPUTED_VALUE"""),4460)</f>
        <v>4460</v>
      </c>
      <c r="F1098" s="2">
        <f ca="1">IFERROR(__xludf.DUMMYFUNCTION("""COMPUTED_VALUE"""),60404000)</f>
        <v>60404000</v>
      </c>
    </row>
    <row r="1099" spans="1:6">
      <c r="A1099" s="5">
        <f ca="1">IFERROR(__xludf.DUMMYFUNCTION("""COMPUTED_VALUE"""),43672.625)</f>
        <v>43672.625</v>
      </c>
      <c r="B1099" s="2">
        <f ca="1">IFERROR(__xludf.DUMMYFUNCTION("""COMPUTED_VALUE"""),4410)</f>
        <v>4410</v>
      </c>
      <c r="C1099" s="2">
        <f ca="1">IFERROR(__xludf.DUMMYFUNCTION("""COMPUTED_VALUE"""),4470)</f>
        <v>4470</v>
      </c>
      <c r="D1099" s="2">
        <f ca="1">IFERROR(__xludf.DUMMYFUNCTION("""COMPUTED_VALUE"""),4400)</f>
        <v>4400</v>
      </c>
      <c r="E1099" s="2">
        <f ca="1">IFERROR(__xludf.DUMMYFUNCTION("""COMPUTED_VALUE"""),4440)</f>
        <v>4440</v>
      </c>
      <c r="F1099" s="2">
        <f ca="1">IFERROR(__xludf.DUMMYFUNCTION("""COMPUTED_VALUE"""),77381500)</f>
        <v>77381500</v>
      </c>
    </row>
    <row r="1100" spans="1:6">
      <c r="A1100" s="5">
        <f ca="1">IFERROR(__xludf.DUMMYFUNCTION("""COMPUTED_VALUE"""),43675.625)</f>
        <v>43675.625</v>
      </c>
      <c r="B1100" s="2">
        <f ca="1">IFERROR(__xludf.DUMMYFUNCTION("""COMPUTED_VALUE"""),4480)</f>
        <v>4480</v>
      </c>
      <c r="C1100" s="2">
        <f ca="1">IFERROR(__xludf.DUMMYFUNCTION("""COMPUTED_VALUE"""),4480)</f>
        <v>4480</v>
      </c>
      <c r="D1100" s="2">
        <f ca="1">IFERROR(__xludf.DUMMYFUNCTION("""COMPUTED_VALUE"""),4440)</f>
        <v>4440</v>
      </c>
      <c r="E1100" s="2">
        <f ca="1">IFERROR(__xludf.DUMMYFUNCTION("""COMPUTED_VALUE"""),4460)</f>
        <v>4460</v>
      </c>
      <c r="F1100" s="2">
        <f ca="1">IFERROR(__xludf.DUMMYFUNCTION("""COMPUTED_VALUE"""),91877000)</f>
        <v>91877000</v>
      </c>
    </row>
    <row r="1101" spans="1:6">
      <c r="A1101" s="5">
        <f ca="1">IFERROR(__xludf.DUMMYFUNCTION("""COMPUTED_VALUE"""),43676.625)</f>
        <v>43676.625</v>
      </c>
      <c r="B1101" s="2">
        <f ca="1">IFERROR(__xludf.DUMMYFUNCTION("""COMPUTED_VALUE"""),4500)</f>
        <v>4500</v>
      </c>
      <c r="C1101" s="2">
        <f ca="1">IFERROR(__xludf.DUMMYFUNCTION("""COMPUTED_VALUE"""),4500)</f>
        <v>4500</v>
      </c>
      <c r="D1101" s="2">
        <f ca="1">IFERROR(__xludf.DUMMYFUNCTION("""COMPUTED_VALUE"""),4460)</f>
        <v>4460</v>
      </c>
      <c r="E1101" s="2">
        <f ca="1">IFERROR(__xludf.DUMMYFUNCTION("""COMPUTED_VALUE"""),4500)</f>
        <v>4500</v>
      </c>
      <c r="F1101" s="2">
        <f ca="1">IFERROR(__xludf.DUMMYFUNCTION("""COMPUTED_VALUE"""),68755800)</f>
        <v>68755800</v>
      </c>
    </row>
    <row r="1102" spans="1:6">
      <c r="A1102" s="5">
        <f ca="1">IFERROR(__xludf.DUMMYFUNCTION("""COMPUTED_VALUE"""),43677.625)</f>
        <v>43677.625</v>
      </c>
      <c r="B1102" s="2">
        <f ca="1">IFERROR(__xludf.DUMMYFUNCTION("""COMPUTED_VALUE"""),4500)</f>
        <v>4500</v>
      </c>
      <c r="C1102" s="2">
        <f ca="1">IFERROR(__xludf.DUMMYFUNCTION("""COMPUTED_VALUE"""),4510)</f>
        <v>4510</v>
      </c>
      <c r="D1102" s="2">
        <f ca="1">IFERROR(__xludf.DUMMYFUNCTION("""COMPUTED_VALUE"""),4450)</f>
        <v>4450</v>
      </c>
      <c r="E1102" s="2">
        <f ca="1">IFERROR(__xludf.DUMMYFUNCTION("""COMPUTED_VALUE"""),4480)</f>
        <v>4480</v>
      </c>
      <c r="F1102" s="2">
        <f ca="1">IFERROR(__xludf.DUMMYFUNCTION("""COMPUTED_VALUE"""),105834600)</f>
        <v>105834600</v>
      </c>
    </row>
    <row r="1103" spans="1:6">
      <c r="A1103" s="5">
        <f ca="1">IFERROR(__xludf.DUMMYFUNCTION("""COMPUTED_VALUE"""),43678.625)</f>
        <v>43678.625</v>
      </c>
      <c r="B1103" s="2">
        <f ca="1">IFERROR(__xludf.DUMMYFUNCTION("""COMPUTED_VALUE"""),4490)</f>
        <v>4490</v>
      </c>
      <c r="C1103" s="2">
        <f ca="1">IFERROR(__xludf.DUMMYFUNCTION("""COMPUTED_VALUE"""),4510)</f>
        <v>4510</v>
      </c>
      <c r="D1103" s="2">
        <f ca="1">IFERROR(__xludf.DUMMYFUNCTION("""COMPUTED_VALUE"""),4410)</f>
        <v>4410</v>
      </c>
      <c r="E1103" s="2">
        <f ca="1">IFERROR(__xludf.DUMMYFUNCTION("""COMPUTED_VALUE"""),4450)</f>
        <v>4450</v>
      </c>
      <c r="F1103" s="2">
        <f ca="1">IFERROR(__xludf.DUMMYFUNCTION("""COMPUTED_VALUE"""),143626600)</f>
        <v>143626600</v>
      </c>
    </row>
    <row r="1104" spans="1:6">
      <c r="A1104" s="5">
        <f ca="1">IFERROR(__xludf.DUMMYFUNCTION("""COMPUTED_VALUE"""),43679.625)</f>
        <v>43679.625</v>
      </c>
      <c r="B1104" s="2">
        <f ca="1">IFERROR(__xludf.DUMMYFUNCTION("""COMPUTED_VALUE"""),4400)</f>
        <v>4400</v>
      </c>
      <c r="C1104" s="2">
        <f ca="1">IFERROR(__xludf.DUMMYFUNCTION("""COMPUTED_VALUE"""),4470)</f>
        <v>4470</v>
      </c>
      <c r="D1104" s="2">
        <f ca="1">IFERROR(__xludf.DUMMYFUNCTION("""COMPUTED_VALUE"""),4390)</f>
        <v>4390</v>
      </c>
      <c r="E1104" s="2">
        <f ca="1">IFERROR(__xludf.DUMMYFUNCTION("""COMPUTED_VALUE"""),4450)</f>
        <v>4450</v>
      </c>
      <c r="F1104" s="2">
        <f ca="1">IFERROR(__xludf.DUMMYFUNCTION("""COMPUTED_VALUE"""),119342500)</f>
        <v>119342500</v>
      </c>
    </row>
    <row r="1105" spans="1:6">
      <c r="A1105" s="5">
        <f ca="1">IFERROR(__xludf.DUMMYFUNCTION("""COMPUTED_VALUE"""),43682.625)</f>
        <v>43682.625</v>
      </c>
      <c r="B1105" s="2">
        <f ca="1">IFERROR(__xludf.DUMMYFUNCTION("""COMPUTED_VALUE"""),4410)</f>
        <v>4410</v>
      </c>
      <c r="C1105" s="2">
        <f ca="1">IFERROR(__xludf.DUMMYFUNCTION("""COMPUTED_VALUE"""),4420)</f>
        <v>4420</v>
      </c>
      <c r="D1105" s="2">
        <f ca="1">IFERROR(__xludf.DUMMYFUNCTION("""COMPUTED_VALUE"""),4270)</f>
        <v>4270</v>
      </c>
      <c r="E1105" s="2">
        <f ca="1">IFERROR(__xludf.DUMMYFUNCTION("""COMPUTED_VALUE"""),4270)</f>
        <v>4270</v>
      </c>
      <c r="F1105" s="2">
        <f ca="1">IFERROR(__xludf.DUMMYFUNCTION("""COMPUTED_VALUE"""),150837200)</f>
        <v>150837200</v>
      </c>
    </row>
    <row r="1106" spans="1:6">
      <c r="A1106" s="5">
        <f ca="1">IFERROR(__xludf.DUMMYFUNCTION("""COMPUTED_VALUE"""),43683.625)</f>
        <v>43683.625</v>
      </c>
      <c r="B1106" s="2">
        <f ca="1">IFERROR(__xludf.DUMMYFUNCTION("""COMPUTED_VALUE"""),4100)</f>
        <v>4100</v>
      </c>
      <c r="C1106" s="2">
        <f ca="1">IFERROR(__xludf.DUMMYFUNCTION("""COMPUTED_VALUE"""),4210)</f>
        <v>4210</v>
      </c>
      <c r="D1106" s="2">
        <f ca="1">IFERROR(__xludf.DUMMYFUNCTION("""COMPUTED_VALUE"""),4020)</f>
        <v>4020</v>
      </c>
      <c r="E1106" s="2">
        <f ca="1">IFERROR(__xludf.DUMMYFUNCTION("""COMPUTED_VALUE"""),4100)</f>
        <v>4100</v>
      </c>
      <c r="F1106" s="2">
        <f ca="1">IFERROR(__xludf.DUMMYFUNCTION("""COMPUTED_VALUE"""),247636800)</f>
        <v>247636800</v>
      </c>
    </row>
    <row r="1107" spans="1:6">
      <c r="A1107" s="5">
        <f ca="1">IFERROR(__xludf.DUMMYFUNCTION("""COMPUTED_VALUE"""),43684.625)</f>
        <v>43684.625</v>
      </c>
      <c r="B1107" s="2">
        <f ca="1">IFERROR(__xludf.DUMMYFUNCTION("""COMPUTED_VALUE"""),4140)</f>
        <v>4140</v>
      </c>
      <c r="C1107" s="2">
        <f ca="1">IFERROR(__xludf.DUMMYFUNCTION("""COMPUTED_VALUE"""),4290)</f>
        <v>4290</v>
      </c>
      <c r="D1107" s="2">
        <f ca="1">IFERROR(__xludf.DUMMYFUNCTION("""COMPUTED_VALUE"""),4140)</f>
        <v>4140</v>
      </c>
      <c r="E1107" s="2">
        <f ca="1">IFERROR(__xludf.DUMMYFUNCTION("""COMPUTED_VALUE"""),4250)</f>
        <v>4250</v>
      </c>
      <c r="F1107" s="2">
        <f ca="1">IFERROR(__xludf.DUMMYFUNCTION("""COMPUTED_VALUE"""),146976400)</f>
        <v>146976400</v>
      </c>
    </row>
    <row r="1108" spans="1:6">
      <c r="A1108" s="5">
        <f ca="1">IFERROR(__xludf.DUMMYFUNCTION("""COMPUTED_VALUE"""),43685.625)</f>
        <v>43685.625</v>
      </c>
      <c r="B1108" s="2">
        <f ca="1">IFERROR(__xludf.DUMMYFUNCTION("""COMPUTED_VALUE"""),4250)</f>
        <v>4250</v>
      </c>
      <c r="C1108" s="2">
        <f ca="1">IFERROR(__xludf.DUMMYFUNCTION("""COMPUTED_VALUE"""),4320)</f>
        <v>4320</v>
      </c>
      <c r="D1108" s="2">
        <f ca="1">IFERROR(__xludf.DUMMYFUNCTION("""COMPUTED_VALUE"""),4250)</f>
        <v>4250</v>
      </c>
      <c r="E1108" s="2">
        <f ca="1">IFERROR(__xludf.DUMMYFUNCTION("""COMPUTED_VALUE"""),4290)</f>
        <v>4290</v>
      </c>
      <c r="F1108" s="2">
        <f ca="1">IFERROR(__xludf.DUMMYFUNCTION("""COMPUTED_VALUE"""),93336500)</f>
        <v>93336500</v>
      </c>
    </row>
    <row r="1109" spans="1:6">
      <c r="A1109" s="5">
        <f ca="1">IFERROR(__xludf.DUMMYFUNCTION("""COMPUTED_VALUE"""),43686.625)</f>
        <v>43686.625</v>
      </c>
      <c r="B1109" s="2">
        <f ca="1">IFERROR(__xludf.DUMMYFUNCTION("""COMPUTED_VALUE"""),4330)</f>
        <v>4330</v>
      </c>
      <c r="C1109" s="2">
        <f ca="1">IFERROR(__xludf.DUMMYFUNCTION("""COMPUTED_VALUE"""),4350)</f>
        <v>4350</v>
      </c>
      <c r="D1109" s="2">
        <f ca="1">IFERROR(__xludf.DUMMYFUNCTION("""COMPUTED_VALUE"""),4300)</f>
        <v>4300</v>
      </c>
      <c r="E1109" s="2">
        <f ca="1">IFERROR(__xludf.DUMMYFUNCTION("""COMPUTED_VALUE"""),4330)</f>
        <v>4330</v>
      </c>
      <c r="F1109" s="2">
        <f ca="1">IFERROR(__xludf.DUMMYFUNCTION("""COMPUTED_VALUE"""),82471300)</f>
        <v>82471300</v>
      </c>
    </row>
    <row r="1110" spans="1:6">
      <c r="A1110" s="5">
        <f ca="1">IFERROR(__xludf.DUMMYFUNCTION("""COMPUTED_VALUE"""),43689.625)</f>
        <v>43689.625</v>
      </c>
      <c r="B1110" s="2">
        <f ca="1">IFERROR(__xludf.DUMMYFUNCTION("""COMPUTED_VALUE"""),4380)</f>
        <v>4380</v>
      </c>
      <c r="C1110" s="2">
        <f ca="1">IFERROR(__xludf.DUMMYFUNCTION("""COMPUTED_VALUE"""),4380)</f>
        <v>4380</v>
      </c>
      <c r="D1110" s="2">
        <f ca="1">IFERROR(__xludf.DUMMYFUNCTION("""COMPUTED_VALUE"""),4290)</f>
        <v>4290</v>
      </c>
      <c r="E1110" s="2">
        <f ca="1">IFERROR(__xludf.DUMMYFUNCTION("""COMPUTED_VALUE"""),4300)</f>
        <v>4300</v>
      </c>
      <c r="F1110" s="2">
        <f ca="1">IFERROR(__xludf.DUMMYFUNCTION("""COMPUTED_VALUE"""),51057200)</f>
        <v>51057200</v>
      </c>
    </row>
    <row r="1111" spans="1:6">
      <c r="A1111" s="5">
        <f ca="1">IFERROR(__xludf.DUMMYFUNCTION("""COMPUTED_VALUE"""),43690.625)</f>
        <v>43690.625</v>
      </c>
      <c r="B1111" s="2">
        <f ca="1">IFERROR(__xludf.DUMMYFUNCTION("""COMPUTED_VALUE"""),4330)</f>
        <v>4330</v>
      </c>
      <c r="C1111" s="2">
        <f ca="1">IFERROR(__xludf.DUMMYFUNCTION("""COMPUTED_VALUE"""),4330)</f>
        <v>4330</v>
      </c>
      <c r="D1111" s="2">
        <f ca="1">IFERROR(__xludf.DUMMYFUNCTION("""COMPUTED_VALUE"""),4250)</f>
        <v>4250</v>
      </c>
      <c r="E1111" s="2">
        <f ca="1">IFERROR(__xludf.DUMMYFUNCTION("""COMPUTED_VALUE"""),4280)</f>
        <v>4280</v>
      </c>
      <c r="F1111" s="2">
        <f ca="1">IFERROR(__xludf.DUMMYFUNCTION("""COMPUTED_VALUE"""),80133600)</f>
        <v>80133600</v>
      </c>
    </row>
    <row r="1112" spans="1:6">
      <c r="A1112" s="5">
        <f ca="1">IFERROR(__xludf.DUMMYFUNCTION("""COMPUTED_VALUE"""),43691.625)</f>
        <v>43691.625</v>
      </c>
      <c r="B1112" s="2">
        <f ca="1">IFERROR(__xludf.DUMMYFUNCTION("""COMPUTED_VALUE"""),4330)</f>
        <v>4330</v>
      </c>
      <c r="C1112" s="2">
        <f ca="1">IFERROR(__xludf.DUMMYFUNCTION("""COMPUTED_VALUE"""),4350)</f>
        <v>4350</v>
      </c>
      <c r="D1112" s="2">
        <f ca="1">IFERROR(__xludf.DUMMYFUNCTION("""COMPUTED_VALUE"""),4310)</f>
        <v>4310</v>
      </c>
      <c r="E1112" s="2">
        <f ca="1">IFERROR(__xludf.DUMMYFUNCTION("""COMPUTED_VALUE"""),4330)</f>
        <v>4330</v>
      </c>
      <c r="F1112" s="2">
        <f ca="1">IFERROR(__xludf.DUMMYFUNCTION("""COMPUTED_VALUE"""),93273200)</f>
        <v>93273200</v>
      </c>
    </row>
    <row r="1113" spans="1:6">
      <c r="A1113" s="5">
        <f ca="1">IFERROR(__xludf.DUMMYFUNCTION("""COMPUTED_VALUE"""),43692.625)</f>
        <v>43692.625</v>
      </c>
      <c r="B1113" s="2">
        <f ca="1">IFERROR(__xludf.DUMMYFUNCTION("""COMPUTED_VALUE"""),4210)</f>
        <v>4210</v>
      </c>
      <c r="C1113" s="2">
        <f ca="1">IFERROR(__xludf.DUMMYFUNCTION("""COMPUTED_VALUE"""),4280)</f>
        <v>4280</v>
      </c>
      <c r="D1113" s="2">
        <f ca="1">IFERROR(__xludf.DUMMYFUNCTION("""COMPUTED_VALUE"""),4180)</f>
        <v>4180</v>
      </c>
      <c r="E1113" s="2">
        <f ca="1">IFERROR(__xludf.DUMMYFUNCTION("""COMPUTED_VALUE"""),4250)</f>
        <v>4250</v>
      </c>
      <c r="F1113" s="2">
        <f ca="1">IFERROR(__xludf.DUMMYFUNCTION("""COMPUTED_VALUE"""),115233200)</f>
        <v>115233200</v>
      </c>
    </row>
    <row r="1114" spans="1:6">
      <c r="A1114" s="5">
        <f ca="1">IFERROR(__xludf.DUMMYFUNCTION("""COMPUTED_VALUE"""),43693.625)</f>
        <v>43693.625</v>
      </c>
      <c r="B1114" s="2">
        <f ca="1">IFERROR(__xludf.DUMMYFUNCTION("""COMPUTED_VALUE"""),4250)</f>
        <v>4250</v>
      </c>
      <c r="C1114" s="2">
        <f ca="1">IFERROR(__xludf.DUMMYFUNCTION("""COMPUTED_VALUE"""),4260)</f>
        <v>4260</v>
      </c>
      <c r="D1114" s="2">
        <f ca="1">IFERROR(__xludf.DUMMYFUNCTION("""COMPUTED_VALUE"""),4200)</f>
        <v>4200</v>
      </c>
      <c r="E1114" s="2">
        <f ca="1">IFERROR(__xludf.DUMMYFUNCTION("""COMPUTED_VALUE"""),4210)</f>
        <v>4210</v>
      </c>
      <c r="F1114" s="2">
        <f ca="1">IFERROR(__xludf.DUMMYFUNCTION("""COMPUTED_VALUE"""),93606900)</f>
        <v>93606900</v>
      </c>
    </row>
    <row r="1115" spans="1:6">
      <c r="A1115" s="5">
        <f ca="1">IFERROR(__xludf.DUMMYFUNCTION("""COMPUTED_VALUE"""),43696.625)</f>
        <v>43696.625</v>
      </c>
      <c r="B1115" s="2">
        <f ca="1">IFERROR(__xludf.DUMMYFUNCTION("""COMPUTED_VALUE"""),4130)</f>
        <v>4130</v>
      </c>
      <c r="C1115" s="2">
        <f ca="1">IFERROR(__xludf.DUMMYFUNCTION("""COMPUTED_VALUE"""),4220)</f>
        <v>4220</v>
      </c>
      <c r="D1115" s="2">
        <f ca="1">IFERROR(__xludf.DUMMYFUNCTION("""COMPUTED_VALUE"""),4130)</f>
        <v>4130</v>
      </c>
      <c r="E1115" s="2">
        <f ca="1">IFERROR(__xludf.DUMMYFUNCTION("""COMPUTED_VALUE"""),4180)</f>
        <v>4180</v>
      </c>
      <c r="F1115" s="2">
        <f ca="1">IFERROR(__xludf.DUMMYFUNCTION("""COMPUTED_VALUE"""),60369000)</f>
        <v>60369000</v>
      </c>
    </row>
    <row r="1116" spans="1:6">
      <c r="A1116" s="5">
        <f ca="1">IFERROR(__xludf.DUMMYFUNCTION("""COMPUTED_VALUE"""),43697.625)</f>
        <v>43697.625</v>
      </c>
      <c r="B1116" s="2">
        <f ca="1">IFERROR(__xludf.DUMMYFUNCTION("""COMPUTED_VALUE"""),4180)</f>
        <v>4180</v>
      </c>
      <c r="C1116" s="2">
        <f ca="1">IFERROR(__xludf.DUMMYFUNCTION("""COMPUTED_VALUE"""),4200)</f>
        <v>4200</v>
      </c>
      <c r="D1116" s="2">
        <f ca="1">IFERROR(__xludf.DUMMYFUNCTION("""COMPUTED_VALUE"""),4090)</f>
        <v>4090</v>
      </c>
      <c r="E1116" s="2">
        <f ca="1">IFERROR(__xludf.DUMMYFUNCTION("""COMPUTED_VALUE"""),4100)</f>
        <v>4100</v>
      </c>
      <c r="F1116" s="2">
        <f ca="1">IFERROR(__xludf.DUMMYFUNCTION("""COMPUTED_VALUE"""),102619200)</f>
        <v>102619200</v>
      </c>
    </row>
    <row r="1117" spans="1:6">
      <c r="A1117" s="5">
        <f ca="1">IFERROR(__xludf.DUMMYFUNCTION("""COMPUTED_VALUE"""),43698.625)</f>
        <v>43698.625</v>
      </c>
      <c r="B1117" s="2">
        <f ca="1">IFERROR(__xludf.DUMMYFUNCTION("""COMPUTED_VALUE"""),4100)</f>
        <v>4100</v>
      </c>
      <c r="C1117" s="2">
        <f ca="1">IFERROR(__xludf.DUMMYFUNCTION("""COMPUTED_VALUE"""),4170)</f>
        <v>4170</v>
      </c>
      <c r="D1117" s="2">
        <f ca="1">IFERROR(__xludf.DUMMYFUNCTION("""COMPUTED_VALUE"""),4040)</f>
        <v>4040</v>
      </c>
      <c r="E1117" s="2">
        <f ca="1">IFERROR(__xludf.DUMMYFUNCTION("""COMPUTED_VALUE"""),4050)</f>
        <v>4050</v>
      </c>
      <c r="F1117" s="2">
        <f ca="1">IFERROR(__xludf.DUMMYFUNCTION("""COMPUTED_VALUE"""),84386400)</f>
        <v>84386400</v>
      </c>
    </row>
    <row r="1118" spans="1:6">
      <c r="A1118" s="5">
        <f ca="1">IFERROR(__xludf.DUMMYFUNCTION("""COMPUTED_VALUE"""),43699.625)</f>
        <v>43699.625</v>
      </c>
      <c r="B1118" s="2">
        <f ca="1">IFERROR(__xludf.DUMMYFUNCTION("""COMPUTED_VALUE"""),4060)</f>
        <v>4060</v>
      </c>
      <c r="C1118" s="2">
        <f ca="1">IFERROR(__xludf.DUMMYFUNCTION("""COMPUTED_VALUE"""),4140)</f>
        <v>4140</v>
      </c>
      <c r="D1118" s="2">
        <f ca="1">IFERROR(__xludf.DUMMYFUNCTION("""COMPUTED_VALUE"""),4000)</f>
        <v>4000</v>
      </c>
      <c r="E1118" s="2">
        <f ca="1">IFERROR(__xludf.DUMMYFUNCTION("""COMPUTED_VALUE"""),4070)</f>
        <v>4070</v>
      </c>
      <c r="F1118" s="2">
        <f ca="1">IFERROR(__xludf.DUMMYFUNCTION("""COMPUTED_VALUE"""),124079400)</f>
        <v>124079400</v>
      </c>
    </row>
    <row r="1119" spans="1:6">
      <c r="A1119" s="5">
        <f ca="1">IFERROR(__xludf.DUMMYFUNCTION("""COMPUTED_VALUE"""),43700.625)</f>
        <v>43700.625</v>
      </c>
      <c r="B1119" s="2">
        <f ca="1">IFERROR(__xludf.DUMMYFUNCTION("""COMPUTED_VALUE"""),4030)</f>
        <v>4030</v>
      </c>
      <c r="C1119" s="2">
        <f ca="1">IFERROR(__xludf.DUMMYFUNCTION("""COMPUTED_VALUE"""),4100)</f>
        <v>4100</v>
      </c>
      <c r="D1119" s="2">
        <f ca="1">IFERROR(__xludf.DUMMYFUNCTION("""COMPUTED_VALUE"""),4020)</f>
        <v>4020</v>
      </c>
      <c r="E1119" s="2">
        <f ca="1">IFERROR(__xludf.DUMMYFUNCTION("""COMPUTED_VALUE"""),4080)</f>
        <v>4080</v>
      </c>
      <c r="F1119" s="2">
        <f ca="1">IFERROR(__xludf.DUMMYFUNCTION("""COMPUTED_VALUE"""),58236900)</f>
        <v>58236900</v>
      </c>
    </row>
    <row r="1120" spans="1:6">
      <c r="A1120" s="5">
        <f ca="1">IFERROR(__xludf.DUMMYFUNCTION("""COMPUTED_VALUE"""),43703.625)</f>
        <v>43703.625</v>
      </c>
      <c r="B1120" s="2">
        <f ca="1">IFERROR(__xludf.DUMMYFUNCTION("""COMPUTED_VALUE"""),4020)</f>
        <v>4020</v>
      </c>
      <c r="C1120" s="2">
        <f ca="1">IFERROR(__xludf.DUMMYFUNCTION("""COMPUTED_VALUE"""),4070)</f>
        <v>4070</v>
      </c>
      <c r="D1120" s="2">
        <f ca="1">IFERROR(__xludf.DUMMYFUNCTION("""COMPUTED_VALUE"""),4000)</f>
        <v>4000</v>
      </c>
      <c r="E1120" s="2">
        <f ca="1">IFERROR(__xludf.DUMMYFUNCTION("""COMPUTED_VALUE"""),4070)</f>
        <v>4070</v>
      </c>
      <c r="F1120" s="2">
        <f ca="1">IFERROR(__xludf.DUMMYFUNCTION("""COMPUTED_VALUE"""),64788000)</f>
        <v>64788000</v>
      </c>
    </row>
    <row r="1121" spans="1:6">
      <c r="A1121" s="5">
        <f ca="1">IFERROR(__xludf.DUMMYFUNCTION("""COMPUTED_VALUE"""),43704.625)</f>
        <v>43704.625</v>
      </c>
      <c r="B1121" s="2">
        <f ca="1">IFERROR(__xludf.DUMMYFUNCTION("""COMPUTED_VALUE"""),4130)</f>
        <v>4130</v>
      </c>
      <c r="C1121" s="2">
        <f ca="1">IFERROR(__xludf.DUMMYFUNCTION("""COMPUTED_VALUE"""),4210)</f>
        <v>4210</v>
      </c>
      <c r="D1121" s="2">
        <f ca="1">IFERROR(__xludf.DUMMYFUNCTION("""COMPUTED_VALUE"""),4080)</f>
        <v>4080</v>
      </c>
      <c r="E1121" s="2">
        <f ca="1">IFERROR(__xludf.DUMMYFUNCTION("""COMPUTED_VALUE"""),4200)</f>
        <v>4200</v>
      </c>
      <c r="F1121" s="2">
        <f ca="1">IFERROR(__xludf.DUMMYFUNCTION("""COMPUTED_VALUE"""),178201800)</f>
        <v>178201800</v>
      </c>
    </row>
    <row r="1122" spans="1:6">
      <c r="A1122" s="5">
        <f ca="1">IFERROR(__xludf.DUMMYFUNCTION("""COMPUTED_VALUE"""),43705.625)</f>
        <v>43705.625</v>
      </c>
      <c r="B1122" s="2">
        <f ca="1">IFERROR(__xludf.DUMMYFUNCTION("""COMPUTED_VALUE"""),4220)</f>
        <v>4220</v>
      </c>
      <c r="C1122" s="2">
        <f ca="1">IFERROR(__xludf.DUMMYFUNCTION("""COMPUTED_VALUE"""),4240)</f>
        <v>4240</v>
      </c>
      <c r="D1122" s="2">
        <f ca="1">IFERROR(__xludf.DUMMYFUNCTION("""COMPUTED_VALUE"""),4190)</f>
        <v>4190</v>
      </c>
      <c r="E1122" s="2">
        <f ca="1">IFERROR(__xludf.DUMMYFUNCTION("""COMPUTED_VALUE"""),4190)</f>
        <v>4190</v>
      </c>
      <c r="F1122" s="2">
        <f ca="1">IFERROR(__xludf.DUMMYFUNCTION("""COMPUTED_VALUE"""),99957200)</f>
        <v>99957200</v>
      </c>
    </row>
    <row r="1123" spans="1:6">
      <c r="A1123" s="5">
        <f ca="1">IFERROR(__xludf.DUMMYFUNCTION("""COMPUTED_VALUE"""),43706.625)</f>
        <v>43706.625</v>
      </c>
      <c r="B1123" s="2">
        <f ca="1">IFERROR(__xludf.DUMMYFUNCTION("""COMPUTED_VALUE"""),4220)</f>
        <v>4220</v>
      </c>
      <c r="C1123" s="2">
        <f ca="1">IFERROR(__xludf.DUMMYFUNCTION("""COMPUTED_VALUE"""),4220)</f>
        <v>4220</v>
      </c>
      <c r="D1123" s="2">
        <f ca="1">IFERROR(__xludf.DUMMYFUNCTION("""COMPUTED_VALUE"""),4160)</f>
        <v>4160</v>
      </c>
      <c r="E1123" s="2">
        <f ca="1">IFERROR(__xludf.DUMMYFUNCTION("""COMPUTED_VALUE"""),4200)</f>
        <v>4200</v>
      </c>
      <c r="F1123" s="2">
        <f ca="1">IFERROR(__xludf.DUMMYFUNCTION("""COMPUTED_VALUE"""),68027100)</f>
        <v>68027100</v>
      </c>
    </row>
    <row r="1124" spans="1:6">
      <c r="A1124" s="5">
        <f ca="1">IFERROR(__xludf.DUMMYFUNCTION("""COMPUTED_VALUE"""),43707.625)</f>
        <v>43707.625</v>
      </c>
      <c r="B1124" s="2">
        <f ca="1">IFERROR(__xludf.DUMMYFUNCTION("""COMPUTED_VALUE"""),4190)</f>
        <v>4190</v>
      </c>
      <c r="C1124" s="2">
        <f ca="1">IFERROR(__xludf.DUMMYFUNCTION("""COMPUTED_VALUE"""),4270)</f>
        <v>4270</v>
      </c>
      <c r="D1124" s="2">
        <f ca="1">IFERROR(__xludf.DUMMYFUNCTION("""COMPUTED_VALUE"""),4120)</f>
        <v>4120</v>
      </c>
      <c r="E1124" s="2">
        <f ca="1">IFERROR(__xludf.DUMMYFUNCTION("""COMPUTED_VALUE"""),4270)</f>
        <v>4270</v>
      </c>
      <c r="F1124" s="2">
        <f ca="1">IFERROR(__xludf.DUMMYFUNCTION("""COMPUTED_VALUE"""),108998100)</f>
        <v>108998100</v>
      </c>
    </row>
    <row r="1125" spans="1:6">
      <c r="A1125" s="5">
        <f ca="1">IFERROR(__xludf.DUMMYFUNCTION("""COMPUTED_VALUE"""),43710.625)</f>
        <v>43710.625</v>
      </c>
      <c r="B1125" s="2">
        <f ca="1">IFERROR(__xludf.DUMMYFUNCTION("""COMPUTED_VALUE"""),4270)</f>
        <v>4270</v>
      </c>
      <c r="C1125" s="2">
        <f ca="1">IFERROR(__xludf.DUMMYFUNCTION("""COMPUTED_VALUE"""),4280)</f>
        <v>4280</v>
      </c>
      <c r="D1125" s="2">
        <f ca="1">IFERROR(__xludf.DUMMYFUNCTION("""COMPUTED_VALUE"""),4210)</f>
        <v>4210</v>
      </c>
      <c r="E1125" s="2">
        <f ca="1">IFERROR(__xludf.DUMMYFUNCTION("""COMPUTED_VALUE"""),4220)</f>
        <v>4220</v>
      </c>
      <c r="F1125" s="2">
        <f ca="1">IFERROR(__xludf.DUMMYFUNCTION("""COMPUTED_VALUE"""),68472900)</f>
        <v>68472900</v>
      </c>
    </row>
    <row r="1126" spans="1:6">
      <c r="A1126" s="5">
        <f ca="1">IFERROR(__xludf.DUMMYFUNCTION("""COMPUTED_VALUE"""),43711.625)</f>
        <v>43711.625</v>
      </c>
      <c r="B1126" s="2">
        <f ca="1">IFERROR(__xludf.DUMMYFUNCTION("""COMPUTED_VALUE"""),4180)</f>
        <v>4180</v>
      </c>
      <c r="C1126" s="2">
        <f ca="1">IFERROR(__xludf.DUMMYFUNCTION("""COMPUTED_VALUE"""),4270)</f>
        <v>4270</v>
      </c>
      <c r="D1126" s="2">
        <f ca="1">IFERROR(__xludf.DUMMYFUNCTION("""COMPUTED_VALUE"""),4130)</f>
        <v>4130</v>
      </c>
      <c r="E1126" s="2">
        <f ca="1">IFERROR(__xludf.DUMMYFUNCTION("""COMPUTED_VALUE"""),4150)</f>
        <v>4150</v>
      </c>
      <c r="F1126" s="2">
        <f ca="1">IFERROR(__xludf.DUMMYFUNCTION("""COMPUTED_VALUE"""),76155900)</f>
        <v>76155900</v>
      </c>
    </row>
    <row r="1127" spans="1:6">
      <c r="A1127" s="5">
        <f ca="1">IFERROR(__xludf.DUMMYFUNCTION("""COMPUTED_VALUE"""),43712.625)</f>
        <v>43712.625</v>
      </c>
      <c r="B1127" s="2">
        <f ca="1">IFERROR(__xludf.DUMMYFUNCTION("""COMPUTED_VALUE"""),4180)</f>
        <v>4180</v>
      </c>
      <c r="C1127" s="2">
        <f ca="1">IFERROR(__xludf.DUMMYFUNCTION("""COMPUTED_VALUE"""),4180)</f>
        <v>4180</v>
      </c>
      <c r="D1127" s="2">
        <f ca="1">IFERROR(__xludf.DUMMYFUNCTION("""COMPUTED_VALUE"""),4100)</f>
        <v>4100</v>
      </c>
      <c r="E1127" s="2">
        <f ca="1">IFERROR(__xludf.DUMMYFUNCTION("""COMPUTED_VALUE"""),4160)</f>
        <v>4160</v>
      </c>
      <c r="F1127" s="2">
        <f ca="1">IFERROR(__xludf.DUMMYFUNCTION("""COMPUTED_VALUE"""),76686000)</f>
        <v>76686000</v>
      </c>
    </row>
    <row r="1128" spans="1:6">
      <c r="A1128" s="5">
        <f ca="1">IFERROR(__xludf.DUMMYFUNCTION("""COMPUTED_VALUE"""),43713.625)</f>
        <v>43713.625</v>
      </c>
      <c r="B1128" s="2">
        <f ca="1">IFERROR(__xludf.DUMMYFUNCTION("""COMPUTED_VALUE"""),4220)</f>
        <v>4220</v>
      </c>
      <c r="C1128" s="2">
        <f ca="1">IFERROR(__xludf.DUMMYFUNCTION("""COMPUTED_VALUE"""),4230)</f>
        <v>4230</v>
      </c>
      <c r="D1128" s="2">
        <f ca="1">IFERROR(__xludf.DUMMYFUNCTION("""COMPUTED_VALUE"""),4180)</f>
        <v>4180</v>
      </c>
      <c r="E1128" s="2">
        <f ca="1">IFERROR(__xludf.DUMMYFUNCTION("""COMPUTED_VALUE"""),4220)</f>
        <v>4220</v>
      </c>
      <c r="F1128" s="2">
        <f ca="1">IFERROR(__xludf.DUMMYFUNCTION("""COMPUTED_VALUE"""),77131600)</f>
        <v>77131600</v>
      </c>
    </row>
    <row r="1129" spans="1:6">
      <c r="A1129" s="5">
        <f ca="1">IFERROR(__xludf.DUMMYFUNCTION("""COMPUTED_VALUE"""),43714.625)</f>
        <v>43714.625</v>
      </c>
      <c r="B1129" s="2">
        <f ca="1">IFERROR(__xludf.DUMMYFUNCTION("""COMPUTED_VALUE"""),4260)</f>
        <v>4260</v>
      </c>
      <c r="C1129" s="2">
        <f ca="1">IFERROR(__xludf.DUMMYFUNCTION("""COMPUTED_VALUE"""),4290)</f>
        <v>4290</v>
      </c>
      <c r="D1129" s="2">
        <f ca="1">IFERROR(__xludf.DUMMYFUNCTION("""COMPUTED_VALUE"""),4250)</f>
        <v>4250</v>
      </c>
      <c r="E1129" s="2">
        <f ca="1">IFERROR(__xludf.DUMMYFUNCTION("""COMPUTED_VALUE"""),4270)</f>
        <v>4270</v>
      </c>
      <c r="F1129" s="2">
        <f ca="1">IFERROR(__xludf.DUMMYFUNCTION("""COMPUTED_VALUE"""),114425200)</f>
        <v>114425200</v>
      </c>
    </row>
    <row r="1130" spans="1:6">
      <c r="A1130" s="5">
        <f ca="1">IFERROR(__xludf.DUMMYFUNCTION("""COMPUTED_VALUE"""),43717.625)</f>
        <v>43717.625</v>
      </c>
      <c r="B1130" s="2">
        <f ca="1">IFERROR(__xludf.DUMMYFUNCTION("""COMPUTED_VALUE"""),4290)</f>
        <v>4290</v>
      </c>
      <c r="C1130" s="2">
        <f ca="1">IFERROR(__xludf.DUMMYFUNCTION("""COMPUTED_VALUE"""),4290)</f>
        <v>4290</v>
      </c>
      <c r="D1130" s="2">
        <f ca="1">IFERROR(__xludf.DUMMYFUNCTION("""COMPUTED_VALUE"""),4170)</f>
        <v>4170</v>
      </c>
      <c r="E1130" s="2">
        <f ca="1">IFERROR(__xludf.DUMMYFUNCTION("""COMPUTED_VALUE"""),4170)</f>
        <v>4170</v>
      </c>
      <c r="F1130" s="2">
        <f ca="1">IFERROR(__xludf.DUMMYFUNCTION("""COMPUTED_VALUE"""),68317900)</f>
        <v>68317900</v>
      </c>
    </row>
    <row r="1131" spans="1:6">
      <c r="A1131" s="5">
        <f ca="1">IFERROR(__xludf.DUMMYFUNCTION("""COMPUTED_VALUE"""),43718.625)</f>
        <v>43718.625</v>
      </c>
      <c r="B1131" s="2">
        <f ca="1">IFERROR(__xludf.DUMMYFUNCTION("""COMPUTED_VALUE"""),4180)</f>
        <v>4180</v>
      </c>
      <c r="C1131" s="2">
        <f ca="1">IFERROR(__xludf.DUMMYFUNCTION("""COMPUTED_VALUE"""),4190)</f>
        <v>4190</v>
      </c>
      <c r="D1131" s="2">
        <f ca="1">IFERROR(__xludf.DUMMYFUNCTION("""COMPUTED_VALUE"""),4150)</f>
        <v>4150</v>
      </c>
      <c r="E1131" s="2">
        <f ca="1">IFERROR(__xludf.DUMMYFUNCTION("""COMPUTED_VALUE"""),4190)</f>
        <v>4190</v>
      </c>
      <c r="F1131" s="2">
        <f ca="1">IFERROR(__xludf.DUMMYFUNCTION("""COMPUTED_VALUE"""),69287000)</f>
        <v>69287000</v>
      </c>
    </row>
    <row r="1132" spans="1:6">
      <c r="A1132" s="5">
        <f ca="1">IFERROR(__xludf.DUMMYFUNCTION("""COMPUTED_VALUE"""),43719.625)</f>
        <v>43719.625</v>
      </c>
      <c r="B1132" s="2">
        <f ca="1">IFERROR(__xludf.DUMMYFUNCTION("""COMPUTED_VALUE"""),4150)</f>
        <v>4150</v>
      </c>
      <c r="C1132" s="2">
        <f ca="1">IFERROR(__xludf.DUMMYFUNCTION("""COMPUTED_VALUE"""),4260)</f>
        <v>4260</v>
      </c>
      <c r="D1132" s="2">
        <f ca="1">IFERROR(__xludf.DUMMYFUNCTION("""COMPUTED_VALUE"""),4150)</f>
        <v>4150</v>
      </c>
      <c r="E1132" s="2">
        <f ca="1">IFERROR(__xludf.DUMMYFUNCTION("""COMPUTED_VALUE"""),4250)</f>
        <v>4250</v>
      </c>
      <c r="F1132" s="2">
        <f ca="1">IFERROR(__xludf.DUMMYFUNCTION("""COMPUTED_VALUE"""),114308200)</f>
        <v>114308200</v>
      </c>
    </row>
    <row r="1133" spans="1:6">
      <c r="A1133" s="5">
        <f ca="1">IFERROR(__xludf.DUMMYFUNCTION("""COMPUTED_VALUE"""),43720.625)</f>
        <v>43720.625</v>
      </c>
      <c r="B1133" s="2">
        <f ca="1">IFERROR(__xludf.DUMMYFUNCTION("""COMPUTED_VALUE"""),4300)</f>
        <v>4300</v>
      </c>
      <c r="C1133" s="2">
        <f ca="1">IFERROR(__xludf.DUMMYFUNCTION("""COMPUTED_VALUE"""),4350)</f>
        <v>4350</v>
      </c>
      <c r="D1133" s="2">
        <f ca="1">IFERROR(__xludf.DUMMYFUNCTION("""COMPUTED_VALUE"""),4270)</f>
        <v>4270</v>
      </c>
      <c r="E1133" s="2">
        <f ca="1">IFERROR(__xludf.DUMMYFUNCTION("""COMPUTED_VALUE"""),4280)</f>
        <v>4280</v>
      </c>
      <c r="F1133" s="2">
        <f ca="1">IFERROR(__xludf.DUMMYFUNCTION("""COMPUTED_VALUE"""),87101400)</f>
        <v>87101400</v>
      </c>
    </row>
    <row r="1134" spans="1:6">
      <c r="A1134" s="5">
        <f ca="1">IFERROR(__xludf.DUMMYFUNCTION("""COMPUTED_VALUE"""),43721.625)</f>
        <v>43721.625</v>
      </c>
      <c r="B1134" s="2">
        <f ca="1">IFERROR(__xludf.DUMMYFUNCTION("""COMPUTED_VALUE"""),4320)</f>
        <v>4320</v>
      </c>
      <c r="C1134" s="2">
        <f ca="1">IFERROR(__xludf.DUMMYFUNCTION("""COMPUTED_VALUE"""),4320)</f>
        <v>4320</v>
      </c>
      <c r="D1134" s="2">
        <f ca="1">IFERROR(__xludf.DUMMYFUNCTION("""COMPUTED_VALUE"""),4280)</f>
        <v>4280</v>
      </c>
      <c r="E1134" s="2">
        <f ca="1">IFERROR(__xludf.DUMMYFUNCTION("""COMPUTED_VALUE"""),4310)</f>
        <v>4310</v>
      </c>
      <c r="F1134" s="2">
        <f ca="1">IFERROR(__xludf.DUMMYFUNCTION("""COMPUTED_VALUE"""),56092800)</f>
        <v>56092800</v>
      </c>
    </row>
    <row r="1135" spans="1:6">
      <c r="A1135" s="5">
        <f ca="1">IFERROR(__xludf.DUMMYFUNCTION("""COMPUTED_VALUE"""),43724.625)</f>
        <v>43724.625</v>
      </c>
      <c r="B1135" s="2">
        <f ca="1">IFERROR(__xludf.DUMMYFUNCTION("""COMPUTED_VALUE"""),4290)</f>
        <v>4290</v>
      </c>
      <c r="C1135" s="2">
        <f ca="1">IFERROR(__xludf.DUMMYFUNCTION("""COMPUTED_VALUE"""),4290)</f>
        <v>4290</v>
      </c>
      <c r="D1135" s="2">
        <f ca="1">IFERROR(__xludf.DUMMYFUNCTION("""COMPUTED_VALUE"""),4100)</f>
        <v>4100</v>
      </c>
      <c r="E1135" s="2">
        <f ca="1">IFERROR(__xludf.DUMMYFUNCTION("""COMPUTED_VALUE"""),4190)</f>
        <v>4190</v>
      </c>
      <c r="F1135" s="2">
        <f ca="1">IFERROR(__xludf.DUMMYFUNCTION("""COMPUTED_VALUE"""),132616600)</f>
        <v>132616600</v>
      </c>
    </row>
    <row r="1136" spans="1:6">
      <c r="A1136" s="5">
        <f ca="1">IFERROR(__xludf.DUMMYFUNCTION("""COMPUTED_VALUE"""),43725.625)</f>
        <v>43725.625</v>
      </c>
      <c r="B1136" s="2">
        <f ca="1">IFERROR(__xludf.DUMMYFUNCTION("""COMPUTED_VALUE"""),4160)</f>
        <v>4160</v>
      </c>
      <c r="C1136" s="2">
        <f ca="1">IFERROR(__xludf.DUMMYFUNCTION("""COMPUTED_VALUE"""),4250)</f>
        <v>4250</v>
      </c>
      <c r="D1136" s="2">
        <f ca="1">IFERROR(__xludf.DUMMYFUNCTION("""COMPUTED_VALUE"""),4130)</f>
        <v>4130</v>
      </c>
      <c r="E1136" s="2">
        <f ca="1">IFERROR(__xludf.DUMMYFUNCTION("""COMPUTED_VALUE"""),4250)</f>
        <v>4250</v>
      </c>
      <c r="F1136" s="2">
        <f ca="1">IFERROR(__xludf.DUMMYFUNCTION("""COMPUTED_VALUE"""),107125600)</f>
        <v>107125600</v>
      </c>
    </row>
    <row r="1137" spans="1:6">
      <c r="A1137" s="5">
        <f ca="1">IFERROR(__xludf.DUMMYFUNCTION("""COMPUTED_VALUE"""),43726.625)</f>
        <v>43726.625</v>
      </c>
      <c r="B1137" s="2">
        <f ca="1">IFERROR(__xludf.DUMMYFUNCTION("""COMPUTED_VALUE"""),4240)</f>
        <v>4240</v>
      </c>
      <c r="C1137" s="2">
        <f ca="1">IFERROR(__xludf.DUMMYFUNCTION("""COMPUTED_VALUE"""),4260)</f>
        <v>4260</v>
      </c>
      <c r="D1137" s="2">
        <f ca="1">IFERROR(__xludf.DUMMYFUNCTION("""COMPUTED_VALUE"""),4210)</f>
        <v>4210</v>
      </c>
      <c r="E1137" s="2">
        <f ca="1">IFERROR(__xludf.DUMMYFUNCTION("""COMPUTED_VALUE"""),4240)</f>
        <v>4240</v>
      </c>
      <c r="F1137" s="2">
        <f ca="1">IFERROR(__xludf.DUMMYFUNCTION("""COMPUTED_VALUE"""),76406800)</f>
        <v>76406800</v>
      </c>
    </row>
    <row r="1138" spans="1:6">
      <c r="A1138" s="5">
        <f ca="1">IFERROR(__xludf.DUMMYFUNCTION("""COMPUTED_VALUE"""),43727.625)</f>
        <v>43727.625</v>
      </c>
      <c r="B1138" s="2">
        <f ca="1">IFERROR(__xludf.DUMMYFUNCTION("""COMPUTED_VALUE"""),4200)</f>
        <v>4200</v>
      </c>
      <c r="C1138" s="2">
        <f ca="1">IFERROR(__xludf.DUMMYFUNCTION("""COMPUTED_VALUE"""),4230)</f>
        <v>4230</v>
      </c>
      <c r="D1138" s="2">
        <f ca="1">IFERROR(__xludf.DUMMYFUNCTION("""COMPUTED_VALUE"""),4200)</f>
        <v>4200</v>
      </c>
      <c r="E1138" s="2">
        <f ca="1">IFERROR(__xludf.DUMMYFUNCTION("""COMPUTED_VALUE"""),4220)</f>
        <v>4220</v>
      </c>
      <c r="F1138" s="2">
        <f ca="1">IFERROR(__xludf.DUMMYFUNCTION("""COMPUTED_VALUE"""),92108100)</f>
        <v>92108100</v>
      </c>
    </row>
    <row r="1139" spans="1:6">
      <c r="A1139" s="5">
        <f ca="1">IFERROR(__xludf.DUMMYFUNCTION("""COMPUTED_VALUE"""),43728.625)</f>
        <v>43728.625</v>
      </c>
      <c r="B1139" s="2">
        <f ca="1">IFERROR(__xludf.DUMMYFUNCTION("""COMPUTED_VALUE"""),4200)</f>
        <v>4200</v>
      </c>
      <c r="C1139" s="2">
        <f ca="1">IFERROR(__xludf.DUMMYFUNCTION("""COMPUTED_VALUE"""),4220)</f>
        <v>4220</v>
      </c>
      <c r="D1139" s="2">
        <f ca="1">IFERROR(__xludf.DUMMYFUNCTION("""COMPUTED_VALUE"""),4130)</f>
        <v>4130</v>
      </c>
      <c r="E1139" s="2">
        <f ca="1">IFERROR(__xludf.DUMMYFUNCTION("""COMPUTED_VALUE"""),4160)</f>
        <v>4160</v>
      </c>
      <c r="F1139" s="2">
        <f ca="1">IFERROR(__xludf.DUMMYFUNCTION("""COMPUTED_VALUE"""),217504200)</f>
        <v>217504200</v>
      </c>
    </row>
    <row r="1140" spans="1:6">
      <c r="A1140" s="5">
        <f ca="1">IFERROR(__xludf.DUMMYFUNCTION("""COMPUTED_VALUE"""),43731.625)</f>
        <v>43731.625</v>
      </c>
      <c r="B1140" s="2">
        <f ca="1">IFERROR(__xludf.DUMMYFUNCTION("""COMPUTED_VALUE"""),4160)</f>
        <v>4160</v>
      </c>
      <c r="C1140" s="2">
        <f ca="1">IFERROR(__xludf.DUMMYFUNCTION("""COMPUTED_VALUE"""),4200)</f>
        <v>4200</v>
      </c>
      <c r="D1140" s="2">
        <f ca="1">IFERROR(__xludf.DUMMYFUNCTION("""COMPUTED_VALUE"""),4160)</f>
        <v>4160</v>
      </c>
      <c r="E1140" s="2">
        <f ca="1">IFERROR(__xludf.DUMMYFUNCTION("""COMPUTED_VALUE"""),4180)</f>
        <v>4180</v>
      </c>
      <c r="F1140" s="2">
        <f ca="1">IFERROR(__xludf.DUMMYFUNCTION("""COMPUTED_VALUE"""),84900300)</f>
        <v>84900300</v>
      </c>
    </row>
    <row r="1141" spans="1:6">
      <c r="A1141" s="5">
        <f ca="1">IFERROR(__xludf.DUMMYFUNCTION("""COMPUTED_VALUE"""),43732.625)</f>
        <v>43732.625</v>
      </c>
      <c r="B1141" s="2">
        <f ca="1">IFERROR(__xludf.DUMMYFUNCTION("""COMPUTED_VALUE"""),4160)</f>
        <v>4160</v>
      </c>
      <c r="C1141" s="2">
        <f ca="1">IFERROR(__xludf.DUMMYFUNCTION("""COMPUTED_VALUE"""),4160)</f>
        <v>4160</v>
      </c>
      <c r="D1141" s="2">
        <f ca="1">IFERROR(__xludf.DUMMYFUNCTION("""COMPUTED_VALUE"""),4110)</f>
        <v>4110</v>
      </c>
      <c r="E1141" s="2">
        <f ca="1">IFERROR(__xludf.DUMMYFUNCTION("""COMPUTED_VALUE"""),4110)</f>
        <v>4110</v>
      </c>
      <c r="F1141" s="2">
        <f ca="1">IFERROR(__xludf.DUMMYFUNCTION("""COMPUTED_VALUE"""),95076200)</f>
        <v>95076200</v>
      </c>
    </row>
    <row r="1142" spans="1:6">
      <c r="A1142" s="5">
        <f ca="1">IFERROR(__xludf.DUMMYFUNCTION("""COMPUTED_VALUE"""),43733.625)</f>
        <v>43733.625</v>
      </c>
      <c r="B1142" s="2">
        <f ca="1">IFERROR(__xludf.DUMMYFUNCTION("""COMPUTED_VALUE"""),4070)</f>
        <v>4070</v>
      </c>
      <c r="C1142" s="2">
        <f ca="1">IFERROR(__xludf.DUMMYFUNCTION("""COMPUTED_VALUE"""),4120)</f>
        <v>4120</v>
      </c>
      <c r="D1142" s="2">
        <f ca="1">IFERROR(__xludf.DUMMYFUNCTION("""COMPUTED_VALUE"""),4020)</f>
        <v>4020</v>
      </c>
      <c r="E1142" s="2">
        <f ca="1">IFERROR(__xludf.DUMMYFUNCTION("""COMPUTED_VALUE"""),4080)</f>
        <v>4080</v>
      </c>
      <c r="F1142" s="2">
        <f ca="1">IFERROR(__xludf.DUMMYFUNCTION("""COMPUTED_VALUE"""),83155300)</f>
        <v>83155300</v>
      </c>
    </row>
    <row r="1143" spans="1:6">
      <c r="A1143" s="5">
        <f ca="1">IFERROR(__xludf.DUMMYFUNCTION("""COMPUTED_VALUE"""),43734.625)</f>
        <v>43734.625</v>
      </c>
      <c r="B1143" s="2">
        <f ca="1">IFERROR(__xludf.DUMMYFUNCTION("""COMPUTED_VALUE"""),4110)</f>
        <v>4110</v>
      </c>
      <c r="C1143" s="2">
        <f ca="1">IFERROR(__xludf.DUMMYFUNCTION("""COMPUTED_VALUE"""),4210)</f>
        <v>4210</v>
      </c>
      <c r="D1143" s="2">
        <f ca="1">IFERROR(__xludf.DUMMYFUNCTION("""COMPUTED_VALUE"""),4100)</f>
        <v>4100</v>
      </c>
      <c r="E1143" s="2">
        <f ca="1">IFERROR(__xludf.DUMMYFUNCTION("""COMPUTED_VALUE"""),4210)</f>
        <v>4210</v>
      </c>
      <c r="F1143" s="2">
        <f ca="1">IFERROR(__xludf.DUMMYFUNCTION("""COMPUTED_VALUE"""),80120800)</f>
        <v>80120800</v>
      </c>
    </row>
    <row r="1144" spans="1:6">
      <c r="A1144" s="5">
        <f ca="1">IFERROR(__xludf.DUMMYFUNCTION("""COMPUTED_VALUE"""),43735.625)</f>
        <v>43735.625</v>
      </c>
      <c r="B1144" s="2">
        <f ca="1">IFERROR(__xludf.DUMMYFUNCTION("""COMPUTED_VALUE"""),4210)</f>
        <v>4210</v>
      </c>
      <c r="C1144" s="2">
        <f ca="1">IFERROR(__xludf.DUMMYFUNCTION("""COMPUTED_VALUE"""),4210)</f>
        <v>4210</v>
      </c>
      <c r="D1144" s="2">
        <f ca="1">IFERROR(__xludf.DUMMYFUNCTION("""COMPUTED_VALUE"""),4160)</f>
        <v>4160</v>
      </c>
      <c r="E1144" s="2">
        <f ca="1">IFERROR(__xludf.DUMMYFUNCTION("""COMPUTED_VALUE"""),4180)</f>
        <v>4180</v>
      </c>
      <c r="F1144" s="2">
        <f ca="1">IFERROR(__xludf.DUMMYFUNCTION("""COMPUTED_VALUE"""),57666400)</f>
        <v>57666400</v>
      </c>
    </row>
    <row r="1145" spans="1:6">
      <c r="A1145" s="5">
        <f ca="1">IFERROR(__xludf.DUMMYFUNCTION("""COMPUTED_VALUE"""),43738.625)</f>
        <v>43738.625</v>
      </c>
      <c r="B1145" s="2">
        <f ca="1">IFERROR(__xludf.DUMMYFUNCTION("""COMPUTED_VALUE"""),4200)</f>
        <v>4200</v>
      </c>
      <c r="C1145" s="2">
        <f ca="1">IFERROR(__xludf.DUMMYFUNCTION("""COMPUTED_VALUE"""),4200)</f>
        <v>4200</v>
      </c>
      <c r="D1145" s="2">
        <f ca="1">IFERROR(__xludf.DUMMYFUNCTION("""COMPUTED_VALUE"""),4110)</f>
        <v>4110</v>
      </c>
      <c r="E1145" s="2">
        <f ca="1">IFERROR(__xludf.DUMMYFUNCTION("""COMPUTED_VALUE"""),4120)</f>
        <v>4120</v>
      </c>
      <c r="F1145" s="2">
        <f ca="1">IFERROR(__xludf.DUMMYFUNCTION("""COMPUTED_VALUE"""),76345500)</f>
        <v>76345500</v>
      </c>
    </row>
    <row r="1146" spans="1:6">
      <c r="A1146" s="5">
        <f ca="1">IFERROR(__xludf.DUMMYFUNCTION("""COMPUTED_VALUE"""),43739.625)</f>
        <v>43739.625</v>
      </c>
      <c r="B1146" s="2">
        <f ca="1">IFERROR(__xludf.DUMMYFUNCTION("""COMPUTED_VALUE"""),4120)</f>
        <v>4120</v>
      </c>
      <c r="C1146" s="2">
        <f ca="1">IFERROR(__xludf.DUMMYFUNCTION("""COMPUTED_VALUE"""),4130)</f>
        <v>4130</v>
      </c>
      <c r="D1146" s="2">
        <f ca="1">IFERROR(__xludf.DUMMYFUNCTION("""COMPUTED_VALUE"""),4070)</f>
        <v>4070</v>
      </c>
      <c r="E1146" s="2">
        <f ca="1">IFERROR(__xludf.DUMMYFUNCTION("""COMPUTED_VALUE"""),4070)</f>
        <v>4070</v>
      </c>
      <c r="F1146" s="2">
        <f ca="1">IFERROR(__xludf.DUMMYFUNCTION("""COMPUTED_VALUE"""),79550900)</f>
        <v>79550900</v>
      </c>
    </row>
    <row r="1147" spans="1:6">
      <c r="A1147" s="5">
        <f ca="1">IFERROR(__xludf.DUMMYFUNCTION("""COMPUTED_VALUE"""),43740.625)</f>
        <v>43740.625</v>
      </c>
      <c r="B1147" s="2">
        <f ca="1">IFERROR(__xludf.DUMMYFUNCTION("""COMPUTED_VALUE"""),4050)</f>
        <v>4050</v>
      </c>
      <c r="C1147" s="2">
        <f ca="1">IFERROR(__xludf.DUMMYFUNCTION("""COMPUTED_VALUE"""),4090)</f>
        <v>4090</v>
      </c>
      <c r="D1147" s="2">
        <f ca="1">IFERROR(__xludf.DUMMYFUNCTION("""COMPUTED_VALUE"""),3920)</f>
        <v>3920</v>
      </c>
      <c r="E1147" s="2">
        <f ca="1">IFERROR(__xludf.DUMMYFUNCTION("""COMPUTED_VALUE"""),3930)</f>
        <v>3930</v>
      </c>
      <c r="F1147" s="2">
        <f ca="1">IFERROR(__xludf.DUMMYFUNCTION("""COMPUTED_VALUE"""),166346200)</f>
        <v>166346200</v>
      </c>
    </row>
    <row r="1148" spans="1:6">
      <c r="A1148" s="5">
        <f ca="1">IFERROR(__xludf.DUMMYFUNCTION("""COMPUTED_VALUE"""),43741.625)</f>
        <v>43741.625</v>
      </c>
      <c r="B1148" s="2">
        <f ca="1">IFERROR(__xludf.DUMMYFUNCTION("""COMPUTED_VALUE"""),3870)</f>
        <v>3870</v>
      </c>
      <c r="C1148" s="2">
        <f ca="1">IFERROR(__xludf.DUMMYFUNCTION("""COMPUTED_VALUE"""),3890)</f>
        <v>3890</v>
      </c>
      <c r="D1148" s="2">
        <f ca="1">IFERROR(__xludf.DUMMYFUNCTION("""COMPUTED_VALUE"""),3810)</f>
        <v>3810</v>
      </c>
      <c r="E1148" s="2">
        <f ca="1">IFERROR(__xludf.DUMMYFUNCTION("""COMPUTED_VALUE"""),3810)</f>
        <v>3810</v>
      </c>
      <c r="F1148" s="2">
        <f ca="1">IFERROR(__xludf.DUMMYFUNCTION("""COMPUTED_VALUE"""),177625500)</f>
        <v>177625500</v>
      </c>
    </row>
    <row r="1149" spans="1:6">
      <c r="A1149" s="5">
        <f ca="1">IFERROR(__xludf.DUMMYFUNCTION("""COMPUTED_VALUE"""),43742.625)</f>
        <v>43742.625</v>
      </c>
      <c r="B1149" s="2">
        <f ca="1">IFERROR(__xludf.DUMMYFUNCTION("""COMPUTED_VALUE"""),3880)</f>
        <v>3880</v>
      </c>
      <c r="C1149" s="2">
        <f ca="1">IFERROR(__xludf.DUMMYFUNCTION("""COMPUTED_VALUE"""),3960)</f>
        <v>3960</v>
      </c>
      <c r="D1149" s="2">
        <f ca="1">IFERROR(__xludf.DUMMYFUNCTION("""COMPUTED_VALUE"""),3860)</f>
        <v>3860</v>
      </c>
      <c r="E1149" s="2">
        <f ca="1">IFERROR(__xludf.DUMMYFUNCTION("""COMPUTED_VALUE"""),3950)</f>
        <v>3950</v>
      </c>
      <c r="F1149" s="2">
        <f ca="1">IFERROR(__xludf.DUMMYFUNCTION("""COMPUTED_VALUE"""),93849800)</f>
        <v>93849800</v>
      </c>
    </row>
    <row r="1150" spans="1:6">
      <c r="A1150" s="5">
        <f ca="1">IFERROR(__xludf.DUMMYFUNCTION("""COMPUTED_VALUE"""),43745.625)</f>
        <v>43745.625</v>
      </c>
      <c r="B1150" s="2">
        <f ca="1">IFERROR(__xludf.DUMMYFUNCTION("""COMPUTED_VALUE"""),3970)</f>
        <v>3970</v>
      </c>
      <c r="C1150" s="2">
        <f ca="1">IFERROR(__xludf.DUMMYFUNCTION("""COMPUTED_VALUE"""),3990)</f>
        <v>3990</v>
      </c>
      <c r="D1150" s="2">
        <f ca="1">IFERROR(__xludf.DUMMYFUNCTION("""COMPUTED_VALUE"""),3860)</f>
        <v>3860</v>
      </c>
      <c r="E1150" s="2">
        <f ca="1">IFERROR(__xludf.DUMMYFUNCTION("""COMPUTED_VALUE"""),3900)</f>
        <v>3900</v>
      </c>
      <c r="F1150" s="2">
        <f ca="1">IFERROR(__xludf.DUMMYFUNCTION("""COMPUTED_VALUE"""),126705700)</f>
        <v>126705700</v>
      </c>
    </row>
    <row r="1151" spans="1:6">
      <c r="A1151" s="5">
        <f ca="1">IFERROR(__xludf.DUMMYFUNCTION("""COMPUTED_VALUE"""),43746.625)</f>
        <v>43746.625</v>
      </c>
      <c r="B1151" s="2">
        <f ca="1">IFERROR(__xludf.DUMMYFUNCTION("""COMPUTED_VALUE"""),3960)</f>
        <v>3960</v>
      </c>
      <c r="C1151" s="2">
        <f ca="1">IFERROR(__xludf.DUMMYFUNCTION("""COMPUTED_VALUE"""),3960)</f>
        <v>3960</v>
      </c>
      <c r="D1151" s="2">
        <f ca="1">IFERROR(__xludf.DUMMYFUNCTION("""COMPUTED_VALUE"""),3890)</f>
        <v>3890</v>
      </c>
      <c r="E1151" s="2">
        <f ca="1">IFERROR(__xludf.DUMMYFUNCTION("""COMPUTED_VALUE"""),3930)</f>
        <v>3930</v>
      </c>
      <c r="F1151" s="2">
        <f ca="1">IFERROR(__xludf.DUMMYFUNCTION("""COMPUTED_VALUE"""),119796000)</f>
        <v>119796000</v>
      </c>
    </row>
    <row r="1152" spans="1:6">
      <c r="A1152" s="5">
        <f ca="1">IFERROR(__xludf.DUMMYFUNCTION("""COMPUTED_VALUE"""),43747.625)</f>
        <v>43747.625</v>
      </c>
      <c r="B1152" s="2">
        <f ca="1">IFERROR(__xludf.DUMMYFUNCTION("""COMPUTED_VALUE"""),3950)</f>
        <v>3950</v>
      </c>
      <c r="C1152" s="2">
        <f ca="1">IFERROR(__xludf.DUMMYFUNCTION("""COMPUTED_VALUE"""),3990)</f>
        <v>3990</v>
      </c>
      <c r="D1152" s="2">
        <f ca="1">IFERROR(__xludf.DUMMYFUNCTION("""COMPUTED_VALUE"""),3920)</f>
        <v>3920</v>
      </c>
      <c r="E1152" s="2">
        <f ca="1">IFERROR(__xludf.DUMMYFUNCTION("""COMPUTED_VALUE"""),3960)</f>
        <v>3960</v>
      </c>
      <c r="F1152" s="2">
        <f ca="1">IFERROR(__xludf.DUMMYFUNCTION("""COMPUTED_VALUE"""),117832100)</f>
        <v>117832100</v>
      </c>
    </row>
    <row r="1153" spans="1:6">
      <c r="A1153" s="5">
        <f ca="1">IFERROR(__xludf.DUMMYFUNCTION("""COMPUTED_VALUE"""),43748.625)</f>
        <v>43748.625</v>
      </c>
      <c r="B1153" s="2">
        <f ca="1">IFERROR(__xludf.DUMMYFUNCTION("""COMPUTED_VALUE"""),3970)</f>
        <v>3970</v>
      </c>
      <c r="C1153" s="2">
        <f ca="1">IFERROR(__xludf.DUMMYFUNCTION("""COMPUTED_VALUE"""),3990)</f>
        <v>3990</v>
      </c>
      <c r="D1153" s="2">
        <f ca="1">IFERROR(__xludf.DUMMYFUNCTION("""COMPUTED_VALUE"""),3880)</f>
        <v>3880</v>
      </c>
      <c r="E1153" s="2">
        <f ca="1">IFERROR(__xludf.DUMMYFUNCTION("""COMPUTED_VALUE"""),3890)</f>
        <v>3890</v>
      </c>
      <c r="F1153" s="2">
        <f ca="1">IFERROR(__xludf.DUMMYFUNCTION("""COMPUTED_VALUE"""),107857100)</f>
        <v>107857100</v>
      </c>
    </row>
    <row r="1154" spans="1:6">
      <c r="A1154" s="5">
        <f ca="1">IFERROR(__xludf.DUMMYFUNCTION("""COMPUTED_VALUE"""),43749.625)</f>
        <v>43749.625</v>
      </c>
      <c r="B1154" s="2">
        <f ca="1">IFERROR(__xludf.DUMMYFUNCTION("""COMPUTED_VALUE"""),3950)</f>
        <v>3950</v>
      </c>
      <c r="C1154" s="2">
        <f ca="1">IFERROR(__xludf.DUMMYFUNCTION("""COMPUTED_VALUE"""),3960)</f>
        <v>3960</v>
      </c>
      <c r="D1154" s="2">
        <f ca="1">IFERROR(__xludf.DUMMYFUNCTION("""COMPUTED_VALUE"""),3910)</f>
        <v>3910</v>
      </c>
      <c r="E1154" s="2">
        <f ca="1">IFERROR(__xludf.DUMMYFUNCTION("""COMPUTED_VALUE"""),3920)</f>
        <v>3920</v>
      </c>
      <c r="F1154" s="2">
        <f ca="1">IFERROR(__xludf.DUMMYFUNCTION("""COMPUTED_VALUE"""),102206600)</f>
        <v>102206600</v>
      </c>
    </row>
    <row r="1155" spans="1:6">
      <c r="A1155" s="5">
        <f ca="1">IFERROR(__xludf.DUMMYFUNCTION("""COMPUTED_VALUE"""),43752.625)</f>
        <v>43752.625</v>
      </c>
      <c r="B1155" s="2">
        <f ca="1">IFERROR(__xludf.DUMMYFUNCTION("""COMPUTED_VALUE"""),3950)</f>
        <v>3950</v>
      </c>
      <c r="C1155" s="2">
        <f ca="1">IFERROR(__xludf.DUMMYFUNCTION("""COMPUTED_VALUE"""),3980)</f>
        <v>3980</v>
      </c>
      <c r="D1155" s="2">
        <f ca="1">IFERROR(__xludf.DUMMYFUNCTION("""COMPUTED_VALUE"""),3910)</f>
        <v>3910</v>
      </c>
      <c r="E1155" s="2">
        <f ca="1">IFERROR(__xludf.DUMMYFUNCTION("""COMPUTED_VALUE"""),3920)</f>
        <v>3920</v>
      </c>
      <c r="F1155" s="2">
        <f ca="1">IFERROR(__xludf.DUMMYFUNCTION("""COMPUTED_VALUE"""),109782800)</f>
        <v>109782800</v>
      </c>
    </row>
    <row r="1156" spans="1:6">
      <c r="A1156" s="5">
        <f ca="1">IFERROR(__xludf.DUMMYFUNCTION("""COMPUTED_VALUE"""),43753.625)</f>
        <v>43753.625</v>
      </c>
      <c r="B1156" s="2">
        <f ca="1">IFERROR(__xludf.DUMMYFUNCTION("""COMPUTED_VALUE"""),3970)</f>
        <v>3970</v>
      </c>
      <c r="C1156" s="2">
        <f ca="1">IFERROR(__xludf.DUMMYFUNCTION("""COMPUTED_VALUE"""),3970)</f>
        <v>3970</v>
      </c>
      <c r="D1156" s="2">
        <f ca="1">IFERROR(__xludf.DUMMYFUNCTION("""COMPUTED_VALUE"""),3890)</f>
        <v>3890</v>
      </c>
      <c r="E1156" s="2">
        <f ca="1">IFERROR(__xludf.DUMMYFUNCTION("""COMPUTED_VALUE"""),3940)</f>
        <v>3940</v>
      </c>
      <c r="F1156" s="2">
        <f ca="1">IFERROR(__xludf.DUMMYFUNCTION("""COMPUTED_VALUE"""),128090900)</f>
        <v>128090900</v>
      </c>
    </row>
    <row r="1157" spans="1:6">
      <c r="A1157" s="5">
        <f ca="1">IFERROR(__xludf.DUMMYFUNCTION("""COMPUTED_VALUE"""),43754.625)</f>
        <v>43754.625</v>
      </c>
      <c r="B1157" s="2">
        <f ca="1">IFERROR(__xludf.DUMMYFUNCTION("""COMPUTED_VALUE"""),3960)</f>
        <v>3960</v>
      </c>
      <c r="C1157" s="2">
        <f ca="1">IFERROR(__xludf.DUMMYFUNCTION("""COMPUTED_VALUE"""),3990)</f>
        <v>3990</v>
      </c>
      <c r="D1157" s="2">
        <f ca="1">IFERROR(__xludf.DUMMYFUNCTION("""COMPUTED_VALUE"""),3940)</f>
        <v>3940</v>
      </c>
      <c r="E1157" s="2">
        <f ca="1">IFERROR(__xludf.DUMMYFUNCTION("""COMPUTED_VALUE"""),3990)</f>
        <v>3990</v>
      </c>
      <c r="F1157" s="2">
        <f ca="1">IFERROR(__xludf.DUMMYFUNCTION("""COMPUTED_VALUE"""),82010000)</f>
        <v>82010000</v>
      </c>
    </row>
    <row r="1158" spans="1:6">
      <c r="A1158" s="5">
        <f ca="1">IFERROR(__xludf.DUMMYFUNCTION("""COMPUTED_VALUE"""),43755.625)</f>
        <v>43755.625</v>
      </c>
      <c r="B1158" s="2">
        <f ca="1">IFERROR(__xludf.DUMMYFUNCTION("""COMPUTED_VALUE"""),4000)</f>
        <v>4000</v>
      </c>
      <c r="C1158" s="2">
        <f ca="1">IFERROR(__xludf.DUMMYFUNCTION("""COMPUTED_VALUE"""),4050)</f>
        <v>4050</v>
      </c>
      <c r="D1158" s="2">
        <f ca="1">IFERROR(__xludf.DUMMYFUNCTION("""COMPUTED_VALUE"""),3990)</f>
        <v>3990</v>
      </c>
      <c r="E1158" s="2">
        <f ca="1">IFERROR(__xludf.DUMMYFUNCTION("""COMPUTED_VALUE"""),4050)</f>
        <v>4050</v>
      </c>
      <c r="F1158" s="2">
        <f ca="1">IFERROR(__xludf.DUMMYFUNCTION("""COMPUTED_VALUE"""),104547000)</f>
        <v>104547000</v>
      </c>
    </row>
    <row r="1159" spans="1:6">
      <c r="A1159" s="5">
        <f ca="1">IFERROR(__xludf.DUMMYFUNCTION("""COMPUTED_VALUE"""),43756.625)</f>
        <v>43756.625</v>
      </c>
      <c r="B1159" s="2">
        <f ca="1">IFERROR(__xludf.DUMMYFUNCTION("""COMPUTED_VALUE"""),4050)</f>
        <v>4050</v>
      </c>
      <c r="C1159" s="2">
        <f ca="1">IFERROR(__xludf.DUMMYFUNCTION("""COMPUTED_VALUE"""),4190)</f>
        <v>4190</v>
      </c>
      <c r="D1159" s="2">
        <f ca="1">IFERROR(__xludf.DUMMYFUNCTION("""COMPUTED_VALUE"""),4050)</f>
        <v>4050</v>
      </c>
      <c r="E1159" s="2">
        <f ca="1">IFERROR(__xludf.DUMMYFUNCTION("""COMPUTED_VALUE"""),4170)</f>
        <v>4170</v>
      </c>
      <c r="F1159" s="2">
        <f ca="1">IFERROR(__xludf.DUMMYFUNCTION("""COMPUTED_VALUE"""),103613400)</f>
        <v>103613400</v>
      </c>
    </row>
    <row r="1160" spans="1:6">
      <c r="A1160" s="5">
        <f ca="1">IFERROR(__xludf.DUMMYFUNCTION("""COMPUTED_VALUE"""),43759.625)</f>
        <v>43759.625</v>
      </c>
      <c r="B1160" s="2">
        <f ca="1">IFERROR(__xludf.DUMMYFUNCTION("""COMPUTED_VALUE"""),4170)</f>
        <v>4170</v>
      </c>
      <c r="C1160" s="2">
        <f ca="1">IFERROR(__xludf.DUMMYFUNCTION("""COMPUTED_VALUE"""),4190)</f>
        <v>4190</v>
      </c>
      <c r="D1160" s="2">
        <f ca="1">IFERROR(__xludf.DUMMYFUNCTION("""COMPUTED_VALUE"""),4110)</f>
        <v>4110</v>
      </c>
      <c r="E1160" s="2">
        <f ca="1">IFERROR(__xludf.DUMMYFUNCTION("""COMPUTED_VALUE"""),4120)</f>
        <v>4120</v>
      </c>
      <c r="F1160" s="2">
        <f ca="1">IFERROR(__xludf.DUMMYFUNCTION("""COMPUTED_VALUE"""),81121300)</f>
        <v>81121300</v>
      </c>
    </row>
    <row r="1161" spans="1:6">
      <c r="A1161" s="5">
        <f ca="1">IFERROR(__xludf.DUMMYFUNCTION("""COMPUTED_VALUE"""),43760.625)</f>
        <v>43760.625</v>
      </c>
      <c r="B1161" s="2">
        <f ca="1">IFERROR(__xludf.DUMMYFUNCTION("""COMPUTED_VALUE"""),4080)</f>
        <v>4080</v>
      </c>
      <c r="C1161" s="2">
        <f ca="1">IFERROR(__xludf.DUMMYFUNCTION("""COMPUTED_VALUE"""),4140)</f>
        <v>4140</v>
      </c>
      <c r="D1161" s="2">
        <f ca="1">IFERROR(__xludf.DUMMYFUNCTION("""COMPUTED_VALUE"""),4070)</f>
        <v>4070</v>
      </c>
      <c r="E1161" s="2">
        <f ca="1">IFERROR(__xludf.DUMMYFUNCTION("""COMPUTED_VALUE"""),4140)</f>
        <v>4140</v>
      </c>
      <c r="F1161" s="2">
        <f ca="1">IFERROR(__xludf.DUMMYFUNCTION("""COMPUTED_VALUE"""),82586400)</f>
        <v>82586400</v>
      </c>
    </row>
    <row r="1162" spans="1:6">
      <c r="A1162" s="5">
        <f ca="1">IFERROR(__xludf.DUMMYFUNCTION("""COMPUTED_VALUE"""),43761.625)</f>
        <v>43761.625</v>
      </c>
      <c r="B1162" s="2">
        <f ca="1">IFERROR(__xludf.DUMMYFUNCTION("""COMPUTED_VALUE"""),4150)</f>
        <v>4150</v>
      </c>
      <c r="C1162" s="2">
        <f ca="1">IFERROR(__xludf.DUMMYFUNCTION("""COMPUTED_VALUE"""),4180)</f>
        <v>4180</v>
      </c>
      <c r="D1162" s="2">
        <f ca="1">IFERROR(__xludf.DUMMYFUNCTION("""COMPUTED_VALUE"""),4080)</f>
        <v>4080</v>
      </c>
      <c r="E1162" s="2">
        <f ca="1">IFERROR(__xludf.DUMMYFUNCTION("""COMPUTED_VALUE"""),4180)</f>
        <v>4180</v>
      </c>
      <c r="F1162" s="2">
        <f ca="1">IFERROR(__xludf.DUMMYFUNCTION("""COMPUTED_VALUE"""),127172900)</f>
        <v>127172900</v>
      </c>
    </row>
    <row r="1163" spans="1:6">
      <c r="A1163" s="5">
        <f ca="1">IFERROR(__xludf.DUMMYFUNCTION("""COMPUTED_VALUE"""),43762.625)</f>
        <v>43762.625</v>
      </c>
      <c r="B1163" s="2">
        <f ca="1">IFERROR(__xludf.DUMMYFUNCTION("""COMPUTED_VALUE"""),4180)</f>
        <v>4180</v>
      </c>
      <c r="C1163" s="2">
        <f ca="1">IFERROR(__xludf.DUMMYFUNCTION("""COMPUTED_VALUE"""),4300)</f>
        <v>4300</v>
      </c>
      <c r="D1163" s="2">
        <f ca="1">IFERROR(__xludf.DUMMYFUNCTION("""COMPUTED_VALUE"""),4180)</f>
        <v>4180</v>
      </c>
      <c r="E1163" s="2">
        <f ca="1">IFERROR(__xludf.DUMMYFUNCTION("""COMPUTED_VALUE"""),4300)</f>
        <v>4300</v>
      </c>
      <c r="F1163" s="2">
        <f ca="1">IFERROR(__xludf.DUMMYFUNCTION("""COMPUTED_VALUE"""),157022200)</f>
        <v>157022200</v>
      </c>
    </row>
    <row r="1164" spans="1:6">
      <c r="A1164" s="5">
        <f ca="1">IFERROR(__xludf.DUMMYFUNCTION("""COMPUTED_VALUE"""),43763.625)</f>
        <v>43763.625</v>
      </c>
      <c r="B1164" s="2">
        <f ca="1">IFERROR(__xludf.DUMMYFUNCTION("""COMPUTED_VALUE"""),4300)</f>
        <v>4300</v>
      </c>
      <c r="C1164" s="2">
        <f ca="1">IFERROR(__xludf.DUMMYFUNCTION("""COMPUTED_VALUE"""),4320)</f>
        <v>4320</v>
      </c>
      <c r="D1164" s="2">
        <f ca="1">IFERROR(__xludf.DUMMYFUNCTION("""COMPUTED_VALUE"""),4220)</f>
        <v>4220</v>
      </c>
      <c r="E1164" s="2">
        <f ca="1">IFERROR(__xludf.DUMMYFUNCTION("""COMPUTED_VALUE"""),4230)</f>
        <v>4230</v>
      </c>
      <c r="F1164" s="2">
        <f ca="1">IFERROR(__xludf.DUMMYFUNCTION("""COMPUTED_VALUE"""),112296600)</f>
        <v>112296600</v>
      </c>
    </row>
    <row r="1165" spans="1:6">
      <c r="A1165" s="5">
        <f ca="1">IFERROR(__xludf.DUMMYFUNCTION("""COMPUTED_VALUE"""),43766.625)</f>
        <v>43766.625</v>
      </c>
      <c r="B1165" s="2">
        <f ca="1">IFERROR(__xludf.DUMMYFUNCTION("""COMPUTED_VALUE"""),4230)</f>
        <v>4230</v>
      </c>
      <c r="C1165" s="2">
        <f ca="1">IFERROR(__xludf.DUMMYFUNCTION("""COMPUTED_VALUE"""),4260)</f>
        <v>4260</v>
      </c>
      <c r="D1165" s="2">
        <f ca="1">IFERROR(__xludf.DUMMYFUNCTION("""COMPUTED_VALUE"""),4220)</f>
        <v>4220</v>
      </c>
      <c r="E1165" s="2">
        <f ca="1">IFERROR(__xludf.DUMMYFUNCTION("""COMPUTED_VALUE"""),4230)</f>
        <v>4230</v>
      </c>
      <c r="F1165" s="2">
        <f ca="1">IFERROR(__xludf.DUMMYFUNCTION("""COMPUTED_VALUE"""),38352600)</f>
        <v>38352600</v>
      </c>
    </row>
    <row r="1166" spans="1:6">
      <c r="A1166" s="5">
        <f ca="1">IFERROR(__xludf.DUMMYFUNCTION("""COMPUTED_VALUE"""),43767.625)</f>
        <v>43767.625</v>
      </c>
      <c r="B1166" s="2">
        <f ca="1">IFERROR(__xludf.DUMMYFUNCTION("""COMPUTED_VALUE"""),4240)</f>
        <v>4240</v>
      </c>
      <c r="C1166" s="2">
        <f ca="1">IFERROR(__xludf.DUMMYFUNCTION("""COMPUTED_VALUE"""),4250)</f>
        <v>4250</v>
      </c>
      <c r="D1166" s="2">
        <f ca="1">IFERROR(__xludf.DUMMYFUNCTION("""COMPUTED_VALUE"""),4180)</f>
        <v>4180</v>
      </c>
      <c r="E1166" s="2">
        <f ca="1">IFERROR(__xludf.DUMMYFUNCTION("""COMPUTED_VALUE"""),4230)</f>
        <v>4230</v>
      </c>
      <c r="F1166" s="2">
        <f ca="1">IFERROR(__xludf.DUMMYFUNCTION("""COMPUTED_VALUE"""),82494100)</f>
        <v>82494100</v>
      </c>
    </row>
    <row r="1167" spans="1:6">
      <c r="A1167" s="5">
        <f ca="1">IFERROR(__xludf.DUMMYFUNCTION("""COMPUTED_VALUE"""),43768.625)</f>
        <v>43768.625</v>
      </c>
      <c r="B1167" s="2">
        <f ca="1">IFERROR(__xludf.DUMMYFUNCTION("""COMPUTED_VALUE"""),4260)</f>
        <v>4260</v>
      </c>
      <c r="C1167" s="2">
        <f ca="1">IFERROR(__xludf.DUMMYFUNCTION("""COMPUTED_VALUE"""),4260)</f>
        <v>4260</v>
      </c>
      <c r="D1167" s="2">
        <f ca="1">IFERROR(__xludf.DUMMYFUNCTION("""COMPUTED_VALUE"""),4190)</f>
        <v>4190</v>
      </c>
      <c r="E1167" s="2">
        <f ca="1">IFERROR(__xludf.DUMMYFUNCTION("""COMPUTED_VALUE"""),4250)</f>
        <v>4250</v>
      </c>
      <c r="F1167" s="2">
        <f ca="1">IFERROR(__xludf.DUMMYFUNCTION("""COMPUTED_VALUE"""),47442000)</f>
        <v>47442000</v>
      </c>
    </row>
    <row r="1168" spans="1:6">
      <c r="A1168" s="5">
        <f ca="1">IFERROR(__xludf.DUMMYFUNCTION("""COMPUTED_VALUE"""),43769.625)</f>
        <v>43769.625</v>
      </c>
      <c r="B1168" s="2">
        <f ca="1">IFERROR(__xludf.DUMMYFUNCTION("""COMPUTED_VALUE"""),4210)</f>
        <v>4210</v>
      </c>
      <c r="C1168" s="2">
        <f ca="1">IFERROR(__xludf.DUMMYFUNCTION("""COMPUTED_VALUE"""),4240)</f>
        <v>4240</v>
      </c>
      <c r="D1168" s="2">
        <f ca="1">IFERROR(__xludf.DUMMYFUNCTION("""COMPUTED_VALUE"""),4160)</f>
        <v>4160</v>
      </c>
      <c r="E1168" s="2">
        <f ca="1">IFERROR(__xludf.DUMMYFUNCTION("""COMPUTED_VALUE"""),4210)</f>
        <v>4210</v>
      </c>
      <c r="F1168" s="2">
        <f ca="1">IFERROR(__xludf.DUMMYFUNCTION("""COMPUTED_VALUE"""),75586200)</f>
        <v>75586200</v>
      </c>
    </row>
    <row r="1169" spans="1:6">
      <c r="A1169" s="5">
        <f ca="1">IFERROR(__xludf.DUMMYFUNCTION("""COMPUTED_VALUE"""),43770.625)</f>
        <v>43770.625</v>
      </c>
      <c r="B1169" s="2">
        <f ca="1">IFERROR(__xludf.DUMMYFUNCTION("""COMPUTED_VALUE"""),4220)</f>
        <v>4220</v>
      </c>
      <c r="C1169" s="2">
        <f ca="1">IFERROR(__xludf.DUMMYFUNCTION("""COMPUTED_VALUE"""),4220)</f>
        <v>4220</v>
      </c>
      <c r="D1169" s="2">
        <f ca="1">IFERROR(__xludf.DUMMYFUNCTION("""COMPUTED_VALUE"""),4150)</f>
        <v>4150</v>
      </c>
      <c r="E1169" s="2">
        <f ca="1">IFERROR(__xludf.DUMMYFUNCTION("""COMPUTED_VALUE"""),4180)</f>
        <v>4180</v>
      </c>
      <c r="F1169" s="2">
        <f ca="1">IFERROR(__xludf.DUMMYFUNCTION("""COMPUTED_VALUE"""),63281400)</f>
        <v>63281400</v>
      </c>
    </row>
    <row r="1170" spans="1:6">
      <c r="A1170" s="5">
        <f ca="1">IFERROR(__xludf.DUMMYFUNCTION("""COMPUTED_VALUE"""),43773.625)</f>
        <v>43773.625</v>
      </c>
      <c r="B1170" s="2">
        <f ca="1">IFERROR(__xludf.DUMMYFUNCTION("""COMPUTED_VALUE"""),4180)</f>
        <v>4180</v>
      </c>
      <c r="C1170" s="2">
        <f ca="1">IFERROR(__xludf.DUMMYFUNCTION("""COMPUTED_VALUE"""),4210)</f>
        <v>4210</v>
      </c>
      <c r="D1170" s="2">
        <f ca="1">IFERROR(__xludf.DUMMYFUNCTION("""COMPUTED_VALUE"""),4150)</f>
        <v>4150</v>
      </c>
      <c r="E1170" s="2">
        <f ca="1">IFERROR(__xludf.DUMMYFUNCTION("""COMPUTED_VALUE"""),4160)</f>
        <v>4160</v>
      </c>
      <c r="F1170" s="2">
        <f ca="1">IFERROR(__xludf.DUMMYFUNCTION("""COMPUTED_VALUE"""),50272200)</f>
        <v>50272200</v>
      </c>
    </row>
    <row r="1171" spans="1:6">
      <c r="A1171" s="5">
        <f ca="1">IFERROR(__xludf.DUMMYFUNCTION("""COMPUTED_VALUE"""),43774.625)</f>
        <v>43774.625</v>
      </c>
      <c r="B1171" s="2">
        <f ca="1">IFERROR(__xludf.DUMMYFUNCTION("""COMPUTED_VALUE"""),4190)</f>
        <v>4190</v>
      </c>
      <c r="C1171" s="2">
        <f ca="1">IFERROR(__xludf.DUMMYFUNCTION("""COMPUTED_VALUE"""),4300)</f>
        <v>4300</v>
      </c>
      <c r="D1171" s="2">
        <f ca="1">IFERROR(__xludf.DUMMYFUNCTION("""COMPUTED_VALUE"""),4170)</f>
        <v>4170</v>
      </c>
      <c r="E1171" s="2">
        <f ca="1">IFERROR(__xludf.DUMMYFUNCTION("""COMPUTED_VALUE"""),4300)</f>
        <v>4300</v>
      </c>
      <c r="F1171" s="2">
        <f ca="1">IFERROR(__xludf.DUMMYFUNCTION("""COMPUTED_VALUE"""),132545000)</f>
        <v>132545000</v>
      </c>
    </row>
    <row r="1172" spans="1:6">
      <c r="A1172" s="5">
        <f ca="1">IFERROR(__xludf.DUMMYFUNCTION("""COMPUTED_VALUE"""),43775.625)</f>
        <v>43775.625</v>
      </c>
      <c r="B1172" s="2">
        <f ca="1">IFERROR(__xludf.DUMMYFUNCTION("""COMPUTED_VALUE"""),4330)</f>
        <v>4330</v>
      </c>
      <c r="C1172" s="2">
        <f ca="1">IFERROR(__xludf.DUMMYFUNCTION("""COMPUTED_VALUE"""),4330)</f>
        <v>4330</v>
      </c>
      <c r="D1172" s="2">
        <f ca="1">IFERROR(__xludf.DUMMYFUNCTION("""COMPUTED_VALUE"""),4160)</f>
        <v>4160</v>
      </c>
      <c r="E1172" s="2">
        <f ca="1">IFERROR(__xludf.DUMMYFUNCTION("""COMPUTED_VALUE"""),4160)</f>
        <v>4160</v>
      </c>
      <c r="F1172" s="2">
        <f ca="1">IFERROR(__xludf.DUMMYFUNCTION("""COMPUTED_VALUE"""),132500400)</f>
        <v>132500400</v>
      </c>
    </row>
    <row r="1173" spans="1:6">
      <c r="A1173" s="5">
        <f ca="1">IFERROR(__xludf.DUMMYFUNCTION("""COMPUTED_VALUE"""),43776.625)</f>
        <v>43776.625</v>
      </c>
      <c r="B1173" s="2">
        <f ca="1">IFERROR(__xludf.DUMMYFUNCTION("""COMPUTED_VALUE"""),4160)</f>
        <v>4160</v>
      </c>
      <c r="C1173" s="2">
        <f ca="1">IFERROR(__xludf.DUMMYFUNCTION("""COMPUTED_VALUE"""),4160)</f>
        <v>4160</v>
      </c>
      <c r="D1173" s="2">
        <f ca="1">IFERROR(__xludf.DUMMYFUNCTION("""COMPUTED_VALUE"""),3960)</f>
        <v>3960</v>
      </c>
      <c r="E1173" s="2">
        <f ca="1">IFERROR(__xludf.DUMMYFUNCTION("""COMPUTED_VALUE"""),4000)</f>
        <v>4000</v>
      </c>
      <c r="F1173" s="2">
        <f ca="1">IFERROR(__xludf.DUMMYFUNCTION("""COMPUTED_VALUE"""),292323600)</f>
        <v>292323600</v>
      </c>
    </row>
    <row r="1174" spans="1:6">
      <c r="A1174" s="5">
        <f ca="1">IFERROR(__xludf.DUMMYFUNCTION("""COMPUTED_VALUE"""),43777.625)</f>
        <v>43777.625</v>
      </c>
      <c r="B1174" s="2">
        <f ca="1">IFERROR(__xludf.DUMMYFUNCTION("""COMPUTED_VALUE"""),4010)</f>
        <v>4010</v>
      </c>
      <c r="C1174" s="2">
        <f ca="1">IFERROR(__xludf.DUMMYFUNCTION("""COMPUTED_VALUE"""),4030)</f>
        <v>4030</v>
      </c>
      <c r="D1174" s="2">
        <f ca="1">IFERROR(__xludf.DUMMYFUNCTION("""COMPUTED_VALUE"""),3980)</f>
        <v>3980</v>
      </c>
      <c r="E1174" s="2">
        <f ca="1">IFERROR(__xludf.DUMMYFUNCTION("""COMPUTED_VALUE"""),3990)</f>
        <v>3990</v>
      </c>
      <c r="F1174" s="2">
        <f ca="1">IFERROR(__xludf.DUMMYFUNCTION("""COMPUTED_VALUE"""),134618100)</f>
        <v>134618100</v>
      </c>
    </row>
    <row r="1175" spans="1:6">
      <c r="A1175" s="5">
        <f ca="1">IFERROR(__xludf.DUMMYFUNCTION("""COMPUTED_VALUE"""),43780.625)</f>
        <v>43780.625</v>
      </c>
      <c r="B1175" s="2">
        <f ca="1">IFERROR(__xludf.DUMMYFUNCTION("""COMPUTED_VALUE"""),3950)</f>
        <v>3950</v>
      </c>
      <c r="C1175" s="2">
        <f ca="1">IFERROR(__xludf.DUMMYFUNCTION("""COMPUTED_VALUE"""),4000)</f>
        <v>4000</v>
      </c>
      <c r="D1175" s="2">
        <f ca="1">IFERROR(__xludf.DUMMYFUNCTION("""COMPUTED_VALUE"""),3950)</f>
        <v>3950</v>
      </c>
      <c r="E1175" s="2">
        <f ca="1">IFERROR(__xludf.DUMMYFUNCTION("""COMPUTED_VALUE"""),4000)</f>
        <v>4000</v>
      </c>
      <c r="F1175" s="2">
        <f ca="1">IFERROR(__xludf.DUMMYFUNCTION("""COMPUTED_VALUE"""),114079500)</f>
        <v>114079500</v>
      </c>
    </row>
    <row r="1176" spans="1:6">
      <c r="A1176" s="5">
        <f ca="1">IFERROR(__xludf.DUMMYFUNCTION("""COMPUTED_VALUE"""),43781.625)</f>
        <v>43781.625</v>
      </c>
      <c r="B1176" s="2">
        <f ca="1">IFERROR(__xludf.DUMMYFUNCTION("""COMPUTED_VALUE"""),4000)</f>
        <v>4000</v>
      </c>
      <c r="C1176" s="2">
        <f ca="1">IFERROR(__xludf.DUMMYFUNCTION("""COMPUTED_VALUE"""),4030)</f>
        <v>4030</v>
      </c>
      <c r="D1176" s="2">
        <f ca="1">IFERROR(__xludf.DUMMYFUNCTION("""COMPUTED_VALUE"""),3980)</f>
        <v>3980</v>
      </c>
      <c r="E1176" s="2">
        <f ca="1">IFERROR(__xludf.DUMMYFUNCTION("""COMPUTED_VALUE"""),4000)</f>
        <v>4000</v>
      </c>
      <c r="F1176" s="2">
        <f ca="1">IFERROR(__xludf.DUMMYFUNCTION("""COMPUTED_VALUE"""),109775100)</f>
        <v>109775100</v>
      </c>
    </row>
    <row r="1177" spans="1:6">
      <c r="A1177" s="5">
        <f ca="1">IFERROR(__xludf.DUMMYFUNCTION("""COMPUTED_VALUE"""),43782.625)</f>
        <v>43782.625</v>
      </c>
      <c r="B1177" s="2">
        <f ca="1">IFERROR(__xludf.DUMMYFUNCTION("""COMPUTED_VALUE"""),4000)</f>
        <v>4000</v>
      </c>
      <c r="C1177" s="2">
        <f ca="1">IFERROR(__xludf.DUMMYFUNCTION("""COMPUTED_VALUE"""),4010)</f>
        <v>4010</v>
      </c>
      <c r="D1177" s="2">
        <f ca="1">IFERROR(__xludf.DUMMYFUNCTION("""COMPUTED_VALUE"""),3920)</f>
        <v>3920</v>
      </c>
      <c r="E1177" s="2">
        <f ca="1">IFERROR(__xludf.DUMMYFUNCTION("""COMPUTED_VALUE"""),3960)</f>
        <v>3960</v>
      </c>
      <c r="F1177" s="2">
        <f ca="1">IFERROR(__xludf.DUMMYFUNCTION("""COMPUTED_VALUE"""),150088500)</f>
        <v>150088500</v>
      </c>
    </row>
    <row r="1178" spans="1:6">
      <c r="A1178" s="5">
        <f ca="1">IFERROR(__xludf.DUMMYFUNCTION("""COMPUTED_VALUE"""),43783.625)</f>
        <v>43783.625</v>
      </c>
      <c r="B1178" s="2">
        <f ca="1">IFERROR(__xludf.DUMMYFUNCTION("""COMPUTED_VALUE"""),3950)</f>
        <v>3950</v>
      </c>
      <c r="C1178" s="2">
        <f ca="1">IFERROR(__xludf.DUMMYFUNCTION("""COMPUTED_VALUE"""),3970)</f>
        <v>3970</v>
      </c>
      <c r="D1178" s="2">
        <f ca="1">IFERROR(__xludf.DUMMYFUNCTION("""COMPUTED_VALUE"""),3900)</f>
        <v>3900</v>
      </c>
      <c r="E1178" s="2">
        <f ca="1">IFERROR(__xludf.DUMMYFUNCTION("""COMPUTED_VALUE"""),3940)</f>
        <v>3940</v>
      </c>
      <c r="F1178" s="2">
        <f ca="1">IFERROR(__xludf.DUMMYFUNCTION("""COMPUTED_VALUE"""),118066000)</f>
        <v>118066000</v>
      </c>
    </row>
    <row r="1179" spans="1:6">
      <c r="A1179" s="5">
        <f ca="1">IFERROR(__xludf.DUMMYFUNCTION("""COMPUTED_VALUE"""),43784.625)</f>
        <v>43784.625</v>
      </c>
      <c r="B1179" s="2">
        <f ca="1">IFERROR(__xludf.DUMMYFUNCTION("""COMPUTED_VALUE"""),4000)</f>
        <v>4000</v>
      </c>
      <c r="C1179" s="2">
        <f ca="1">IFERROR(__xludf.DUMMYFUNCTION("""COMPUTED_VALUE"""),4100)</f>
        <v>4100</v>
      </c>
      <c r="D1179" s="2">
        <f ca="1">IFERROR(__xludf.DUMMYFUNCTION("""COMPUTED_VALUE"""),3960)</f>
        <v>3960</v>
      </c>
      <c r="E1179" s="2">
        <f ca="1">IFERROR(__xludf.DUMMYFUNCTION("""COMPUTED_VALUE"""),4090)</f>
        <v>4090</v>
      </c>
      <c r="F1179" s="2">
        <f ca="1">IFERROR(__xludf.DUMMYFUNCTION("""COMPUTED_VALUE"""),122007300)</f>
        <v>122007300</v>
      </c>
    </row>
    <row r="1180" spans="1:6">
      <c r="A1180" s="5">
        <f ca="1">IFERROR(__xludf.DUMMYFUNCTION("""COMPUTED_VALUE"""),43787.625)</f>
        <v>43787.625</v>
      </c>
      <c r="B1180" s="2">
        <f ca="1">IFERROR(__xludf.DUMMYFUNCTION("""COMPUTED_VALUE"""),4090)</f>
        <v>4090</v>
      </c>
      <c r="C1180" s="2">
        <f ca="1">IFERROR(__xludf.DUMMYFUNCTION("""COMPUTED_VALUE"""),4140)</f>
        <v>4140</v>
      </c>
      <c r="D1180" s="2">
        <f ca="1">IFERROR(__xludf.DUMMYFUNCTION("""COMPUTED_VALUE"""),4050)</f>
        <v>4050</v>
      </c>
      <c r="E1180" s="2">
        <f ca="1">IFERROR(__xludf.DUMMYFUNCTION("""COMPUTED_VALUE"""),4120)</f>
        <v>4120</v>
      </c>
      <c r="F1180" s="2">
        <f ca="1">IFERROR(__xludf.DUMMYFUNCTION("""COMPUTED_VALUE"""),93147500)</f>
        <v>93147500</v>
      </c>
    </row>
    <row r="1181" spans="1:6">
      <c r="A1181" s="5">
        <f ca="1">IFERROR(__xludf.DUMMYFUNCTION("""COMPUTED_VALUE"""),43788.625)</f>
        <v>43788.625</v>
      </c>
      <c r="B1181" s="2">
        <f ca="1">IFERROR(__xludf.DUMMYFUNCTION("""COMPUTED_VALUE"""),4150)</f>
        <v>4150</v>
      </c>
      <c r="C1181" s="2">
        <f ca="1">IFERROR(__xludf.DUMMYFUNCTION("""COMPUTED_VALUE"""),4190)</f>
        <v>4190</v>
      </c>
      <c r="D1181" s="2">
        <f ca="1">IFERROR(__xludf.DUMMYFUNCTION("""COMPUTED_VALUE"""),4080)</f>
        <v>4080</v>
      </c>
      <c r="E1181" s="2">
        <f ca="1">IFERROR(__xludf.DUMMYFUNCTION("""COMPUTED_VALUE"""),4190)</f>
        <v>4190</v>
      </c>
      <c r="F1181" s="2">
        <f ca="1">IFERROR(__xludf.DUMMYFUNCTION("""COMPUTED_VALUE"""),141181200)</f>
        <v>141181200</v>
      </c>
    </row>
    <row r="1182" spans="1:6">
      <c r="A1182" s="5">
        <f ca="1">IFERROR(__xludf.DUMMYFUNCTION("""COMPUTED_VALUE"""),43789.625)</f>
        <v>43789.625</v>
      </c>
      <c r="B1182" s="2">
        <f ca="1">IFERROR(__xludf.DUMMYFUNCTION("""COMPUTED_VALUE"""),4170)</f>
        <v>4170</v>
      </c>
      <c r="C1182" s="2">
        <f ca="1">IFERROR(__xludf.DUMMYFUNCTION("""COMPUTED_VALUE"""),4260)</f>
        <v>4260</v>
      </c>
      <c r="D1182" s="2">
        <f ca="1">IFERROR(__xludf.DUMMYFUNCTION("""COMPUTED_VALUE"""),4150)</f>
        <v>4150</v>
      </c>
      <c r="E1182" s="2">
        <f ca="1">IFERROR(__xludf.DUMMYFUNCTION("""COMPUTED_VALUE"""),4220)</f>
        <v>4220</v>
      </c>
      <c r="F1182" s="2">
        <f ca="1">IFERROR(__xludf.DUMMYFUNCTION("""COMPUTED_VALUE"""),154808400)</f>
        <v>154808400</v>
      </c>
    </row>
    <row r="1183" spans="1:6">
      <c r="A1183" s="5">
        <f ca="1">IFERROR(__xludf.DUMMYFUNCTION("""COMPUTED_VALUE"""),43790.625)</f>
        <v>43790.625</v>
      </c>
      <c r="B1183" s="2">
        <f ca="1">IFERROR(__xludf.DUMMYFUNCTION("""COMPUTED_VALUE"""),4200)</f>
        <v>4200</v>
      </c>
      <c r="C1183" s="2">
        <f ca="1">IFERROR(__xludf.DUMMYFUNCTION("""COMPUTED_VALUE"""),4230)</f>
        <v>4230</v>
      </c>
      <c r="D1183" s="2">
        <f ca="1">IFERROR(__xludf.DUMMYFUNCTION("""COMPUTED_VALUE"""),4140)</f>
        <v>4140</v>
      </c>
      <c r="E1183" s="2">
        <f ca="1">IFERROR(__xludf.DUMMYFUNCTION("""COMPUTED_VALUE"""),4220)</f>
        <v>4220</v>
      </c>
      <c r="F1183" s="2">
        <f ca="1">IFERROR(__xludf.DUMMYFUNCTION("""COMPUTED_VALUE"""),114191700)</f>
        <v>114191700</v>
      </c>
    </row>
    <row r="1184" spans="1:6">
      <c r="A1184" s="5">
        <f ca="1">IFERROR(__xludf.DUMMYFUNCTION("""COMPUTED_VALUE"""),43791.625)</f>
        <v>43791.625</v>
      </c>
      <c r="B1184" s="2">
        <f ca="1">IFERROR(__xludf.DUMMYFUNCTION("""COMPUTED_VALUE"""),4230)</f>
        <v>4230</v>
      </c>
      <c r="C1184" s="2">
        <f ca="1">IFERROR(__xludf.DUMMYFUNCTION("""COMPUTED_VALUE"""),4250)</f>
        <v>4250</v>
      </c>
      <c r="D1184" s="2">
        <f ca="1">IFERROR(__xludf.DUMMYFUNCTION("""COMPUTED_VALUE"""),4160)</f>
        <v>4160</v>
      </c>
      <c r="E1184" s="2">
        <f ca="1">IFERROR(__xludf.DUMMYFUNCTION("""COMPUTED_VALUE"""),4210)</f>
        <v>4210</v>
      </c>
      <c r="F1184" s="2">
        <f ca="1">IFERROR(__xludf.DUMMYFUNCTION("""COMPUTED_VALUE"""),74696400)</f>
        <v>74696400</v>
      </c>
    </row>
    <row r="1185" spans="1:6">
      <c r="A1185" s="5">
        <f ca="1">IFERROR(__xludf.DUMMYFUNCTION("""COMPUTED_VALUE"""),43794.625)</f>
        <v>43794.625</v>
      </c>
      <c r="B1185" s="2">
        <f ca="1">IFERROR(__xludf.DUMMYFUNCTION("""COMPUTED_VALUE"""),4150)</f>
        <v>4150</v>
      </c>
      <c r="C1185" s="2">
        <f ca="1">IFERROR(__xludf.DUMMYFUNCTION("""COMPUTED_VALUE"""),4180)</f>
        <v>4180</v>
      </c>
      <c r="D1185" s="2">
        <f ca="1">IFERROR(__xludf.DUMMYFUNCTION("""COMPUTED_VALUE"""),4120)</f>
        <v>4120</v>
      </c>
      <c r="E1185" s="2">
        <f ca="1">IFERROR(__xludf.DUMMYFUNCTION("""COMPUTED_VALUE"""),4130)</f>
        <v>4130</v>
      </c>
      <c r="F1185" s="2">
        <f ca="1">IFERROR(__xludf.DUMMYFUNCTION("""COMPUTED_VALUE"""),56593800)</f>
        <v>56593800</v>
      </c>
    </row>
    <row r="1186" spans="1:6">
      <c r="A1186" s="5">
        <f ca="1">IFERROR(__xludf.DUMMYFUNCTION("""COMPUTED_VALUE"""),43795.625)</f>
        <v>43795.625</v>
      </c>
      <c r="B1186" s="2">
        <f ca="1">IFERROR(__xludf.DUMMYFUNCTION("""COMPUTED_VALUE"""),4150)</f>
        <v>4150</v>
      </c>
      <c r="C1186" s="2">
        <f ca="1">IFERROR(__xludf.DUMMYFUNCTION("""COMPUTED_VALUE"""),4180)</f>
        <v>4180</v>
      </c>
      <c r="D1186" s="2">
        <f ca="1">IFERROR(__xludf.DUMMYFUNCTION("""COMPUTED_VALUE"""),4100)</f>
        <v>4100</v>
      </c>
      <c r="E1186" s="2">
        <f ca="1">IFERROR(__xludf.DUMMYFUNCTION("""COMPUTED_VALUE"""),4150)</f>
        <v>4150</v>
      </c>
      <c r="F1186" s="2">
        <f ca="1">IFERROR(__xludf.DUMMYFUNCTION("""COMPUTED_VALUE"""),222076900)</f>
        <v>222076900</v>
      </c>
    </row>
    <row r="1187" spans="1:6">
      <c r="A1187" s="5">
        <f ca="1">IFERROR(__xludf.DUMMYFUNCTION("""COMPUTED_VALUE"""),43796.625)</f>
        <v>43796.625</v>
      </c>
      <c r="B1187" s="2">
        <f ca="1">IFERROR(__xludf.DUMMYFUNCTION("""COMPUTED_VALUE"""),4100)</f>
        <v>4100</v>
      </c>
      <c r="C1187" s="2">
        <f ca="1">IFERROR(__xludf.DUMMYFUNCTION("""COMPUTED_VALUE"""),4210)</f>
        <v>4210</v>
      </c>
      <c r="D1187" s="2">
        <f ca="1">IFERROR(__xludf.DUMMYFUNCTION("""COMPUTED_VALUE"""),4100)</f>
        <v>4100</v>
      </c>
      <c r="E1187" s="2">
        <f ca="1">IFERROR(__xludf.DUMMYFUNCTION("""COMPUTED_VALUE"""),4170)</f>
        <v>4170</v>
      </c>
      <c r="F1187" s="2">
        <f ca="1">IFERROR(__xludf.DUMMYFUNCTION("""COMPUTED_VALUE"""),66281400)</f>
        <v>66281400</v>
      </c>
    </row>
    <row r="1188" spans="1:6">
      <c r="A1188" s="5">
        <f ca="1">IFERROR(__xludf.DUMMYFUNCTION("""COMPUTED_VALUE"""),43797.625)</f>
        <v>43797.625</v>
      </c>
      <c r="B1188" s="2">
        <f ca="1">IFERROR(__xludf.DUMMYFUNCTION("""COMPUTED_VALUE"""),4130)</f>
        <v>4130</v>
      </c>
      <c r="C1188" s="2">
        <f ca="1">IFERROR(__xludf.DUMMYFUNCTION("""COMPUTED_VALUE"""),4170)</f>
        <v>4170</v>
      </c>
      <c r="D1188" s="2">
        <f ca="1">IFERROR(__xludf.DUMMYFUNCTION("""COMPUTED_VALUE"""),4050)</f>
        <v>4050</v>
      </c>
      <c r="E1188" s="2">
        <f ca="1">IFERROR(__xludf.DUMMYFUNCTION("""COMPUTED_VALUE"""),4050)</f>
        <v>4050</v>
      </c>
      <c r="F1188" s="2">
        <f ca="1">IFERROR(__xludf.DUMMYFUNCTION("""COMPUTED_VALUE"""),61720000)</f>
        <v>61720000</v>
      </c>
    </row>
    <row r="1189" spans="1:6">
      <c r="A1189" s="5">
        <f ca="1">IFERROR(__xludf.DUMMYFUNCTION("""COMPUTED_VALUE"""),43798.625)</f>
        <v>43798.625</v>
      </c>
      <c r="B1189" s="2">
        <f ca="1">IFERROR(__xludf.DUMMYFUNCTION("""COMPUTED_VALUE"""),4060)</f>
        <v>4060</v>
      </c>
      <c r="C1189" s="2">
        <f ca="1">IFERROR(__xludf.DUMMYFUNCTION("""COMPUTED_VALUE"""),4120)</f>
        <v>4120</v>
      </c>
      <c r="D1189" s="2">
        <f ca="1">IFERROR(__xludf.DUMMYFUNCTION("""COMPUTED_VALUE"""),4010)</f>
        <v>4010</v>
      </c>
      <c r="E1189" s="2">
        <f ca="1">IFERROR(__xludf.DUMMYFUNCTION("""COMPUTED_VALUE"""),4090)</f>
        <v>4090</v>
      </c>
      <c r="F1189" s="2">
        <f ca="1">IFERROR(__xludf.DUMMYFUNCTION("""COMPUTED_VALUE"""),64199200)</f>
        <v>64199200</v>
      </c>
    </row>
    <row r="1190" spans="1:6">
      <c r="A1190" s="5">
        <f ca="1">IFERROR(__xludf.DUMMYFUNCTION("""COMPUTED_VALUE"""),43801.625)</f>
        <v>43801.625</v>
      </c>
      <c r="B1190" s="2">
        <f ca="1">IFERROR(__xludf.DUMMYFUNCTION("""COMPUTED_VALUE"""),4150)</f>
        <v>4150</v>
      </c>
      <c r="C1190" s="2">
        <f ca="1">IFERROR(__xludf.DUMMYFUNCTION("""COMPUTED_VALUE"""),4210)</f>
        <v>4210</v>
      </c>
      <c r="D1190" s="2">
        <f ca="1">IFERROR(__xludf.DUMMYFUNCTION("""COMPUTED_VALUE"""),4120)</f>
        <v>4120</v>
      </c>
      <c r="E1190" s="2">
        <f ca="1">IFERROR(__xludf.DUMMYFUNCTION("""COMPUTED_VALUE"""),4210)</f>
        <v>4210</v>
      </c>
      <c r="F1190" s="2">
        <f ca="1">IFERROR(__xludf.DUMMYFUNCTION("""COMPUTED_VALUE"""),55396900)</f>
        <v>55396900</v>
      </c>
    </row>
    <row r="1191" spans="1:6">
      <c r="A1191" s="5">
        <f ca="1">IFERROR(__xludf.DUMMYFUNCTION("""COMPUTED_VALUE"""),43802.625)</f>
        <v>43802.625</v>
      </c>
      <c r="B1191" s="2">
        <f ca="1">IFERROR(__xludf.DUMMYFUNCTION("""COMPUTED_VALUE"""),4210)</f>
        <v>4210</v>
      </c>
      <c r="C1191" s="2">
        <f ca="1">IFERROR(__xludf.DUMMYFUNCTION("""COMPUTED_VALUE"""),4220)</f>
        <v>4220</v>
      </c>
      <c r="D1191" s="2">
        <f ca="1">IFERROR(__xludf.DUMMYFUNCTION("""COMPUTED_VALUE"""),4160)</f>
        <v>4160</v>
      </c>
      <c r="E1191" s="2">
        <f ca="1">IFERROR(__xludf.DUMMYFUNCTION("""COMPUTED_VALUE"""),4170)</f>
        <v>4170</v>
      </c>
      <c r="F1191" s="2">
        <f ca="1">IFERROR(__xludf.DUMMYFUNCTION("""COMPUTED_VALUE"""),43717700)</f>
        <v>43717700</v>
      </c>
    </row>
    <row r="1192" spans="1:6">
      <c r="A1192" s="5">
        <f ca="1">IFERROR(__xludf.DUMMYFUNCTION("""COMPUTED_VALUE"""),43803.625)</f>
        <v>43803.625</v>
      </c>
      <c r="B1192" s="2">
        <f ca="1">IFERROR(__xludf.DUMMYFUNCTION("""COMPUTED_VALUE"""),4200)</f>
        <v>4200</v>
      </c>
      <c r="C1192" s="2">
        <f ca="1">IFERROR(__xludf.DUMMYFUNCTION("""COMPUTED_VALUE"""),4200)</f>
        <v>4200</v>
      </c>
      <c r="D1192" s="2">
        <f ca="1">IFERROR(__xludf.DUMMYFUNCTION("""COMPUTED_VALUE"""),4120)</f>
        <v>4120</v>
      </c>
      <c r="E1192" s="2">
        <f ca="1">IFERROR(__xludf.DUMMYFUNCTION("""COMPUTED_VALUE"""),4130)</f>
        <v>4130</v>
      </c>
      <c r="F1192" s="2">
        <f ca="1">IFERROR(__xludf.DUMMYFUNCTION("""COMPUTED_VALUE"""),50621200)</f>
        <v>50621200</v>
      </c>
    </row>
    <row r="1193" spans="1:6">
      <c r="A1193" s="5">
        <f ca="1">IFERROR(__xludf.DUMMYFUNCTION("""COMPUTED_VALUE"""),43804.625)</f>
        <v>43804.625</v>
      </c>
      <c r="B1193" s="2">
        <f ca="1">IFERROR(__xludf.DUMMYFUNCTION("""COMPUTED_VALUE"""),4200)</f>
        <v>4200</v>
      </c>
      <c r="C1193" s="2">
        <f ca="1">IFERROR(__xludf.DUMMYFUNCTION("""COMPUTED_VALUE"""),4230)</f>
        <v>4230</v>
      </c>
      <c r="D1193" s="2">
        <f ca="1">IFERROR(__xludf.DUMMYFUNCTION("""COMPUTED_VALUE"""),4170)</f>
        <v>4170</v>
      </c>
      <c r="E1193" s="2">
        <f ca="1">IFERROR(__xludf.DUMMYFUNCTION("""COMPUTED_VALUE"""),4220)</f>
        <v>4220</v>
      </c>
      <c r="F1193" s="2">
        <f ca="1">IFERROR(__xludf.DUMMYFUNCTION("""COMPUTED_VALUE"""),72784100)</f>
        <v>72784100</v>
      </c>
    </row>
    <row r="1194" spans="1:6">
      <c r="A1194" s="5">
        <f ca="1">IFERROR(__xludf.DUMMYFUNCTION("""COMPUTED_VALUE"""),43805.625)</f>
        <v>43805.625</v>
      </c>
      <c r="B1194" s="2">
        <f ca="1">IFERROR(__xludf.DUMMYFUNCTION("""COMPUTED_VALUE"""),4250)</f>
        <v>4250</v>
      </c>
      <c r="C1194" s="2">
        <f ca="1">IFERROR(__xludf.DUMMYFUNCTION("""COMPUTED_VALUE"""),4250)</f>
        <v>4250</v>
      </c>
      <c r="D1194" s="2">
        <f ca="1">IFERROR(__xludf.DUMMYFUNCTION("""COMPUTED_VALUE"""),4170)</f>
        <v>4170</v>
      </c>
      <c r="E1194" s="2">
        <f ca="1">IFERROR(__xludf.DUMMYFUNCTION("""COMPUTED_VALUE"""),4170)</f>
        <v>4170</v>
      </c>
      <c r="F1194" s="2">
        <f ca="1">IFERROR(__xludf.DUMMYFUNCTION("""COMPUTED_VALUE"""),67202600)</f>
        <v>67202600</v>
      </c>
    </row>
    <row r="1195" spans="1:6">
      <c r="A1195" s="5">
        <f ca="1">IFERROR(__xludf.DUMMYFUNCTION("""COMPUTED_VALUE"""),43808.625)</f>
        <v>43808.625</v>
      </c>
      <c r="B1195" s="2">
        <f ca="1">IFERROR(__xludf.DUMMYFUNCTION("""COMPUTED_VALUE"""),4190)</f>
        <v>4190</v>
      </c>
      <c r="C1195" s="2">
        <f ca="1">IFERROR(__xludf.DUMMYFUNCTION("""COMPUTED_VALUE"""),4210)</f>
        <v>4210</v>
      </c>
      <c r="D1195" s="2">
        <f ca="1">IFERROR(__xludf.DUMMYFUNCTION("""COMPUTED_VALUE"""),4150)</f>
        <v>4150</v>
      </c>
      <c r="E1195" s="2">
        <f ca="1">IFERROR(__xludf.DUMMYFUNCTION("""COMPUTED_VALUE"""),4180)</f>
        <v>4180</v>
      </c>
      <c r="F1195" s="2">
        <f ca="1">IFERROR(__xludf.DUMMYFUNCTION("""COMPUTED_VALUE"""),47839000)</f>
        <v>47839000</v>
      </c>
    </row>
    <row r="1196" spans="1:6">
      <c r="A1196" s="5">
        <f ca="1">IFERROR(__xludf.DUMMYFUNCTION("""COMPUTED_VALUE"""),43809.625)</f>
        <v>43809.625</v>
      </c>
      <c r="B1196" s="2">
        <f ca="1">IFERROR(__xludf.DUMMYFUNCTION("""COMPUTED_VALUE"""),4140)</f>
        <v>4140</v>
      </c>
      <c r="C1196" s="2">
        <f ca="1">IFERROR(__xludf.DUMMYFUNCTION("""COMPUTED_VALUE"""),4180)</f>
        <v>4180</v>
      </c>
      <c r="D1196" s="2">
        <f ca="1">IFERROR(__xludf.DUMMYFUNCTION("""COMPUTED_VALUE"""),4130)</f>
        <v>4130</v>
      </c>
      <c r="E1196" s="2">
        <f ca="1">IFERROR(__xludf.DUMMYFUNCTION("""COMPUTED_VALUE"""),4170)</f>
        <v>4170</v>
      </c>
      <c r="F1196" s="2">
        <f ca="1">IFERROR(__xludf.DUMMYFUNCTION("""COMPUTED_VALUE"""),80011300)</f>
        <v>80011300</v>
      </c>
    </row>
    <row r="1197" spans="1:6">
      <c r="A1197" s="5">
        <f ca="1">IFERROR(__xludf.DUMMYFUNCTION("""COMPUTED_VALUE"""),43810.625)</f>
        <v>43810.625</v>
      </c>
      <c r="B1197" s="2">
        <f ca="1">IFERROR(__xludf.DUMMYFUNCTION("""COMPUTED_VALUE"""),4190)</f>
        <v>4190</v>
      </c>
      <c r="C1197" s="2">
        <f ca="1">IFERROR(__xludf.DUMMYFUNCTION("""COMPUTED_VALUE"""),4210)</f>
        <v>4210</v>
      </c>
      <c r="D1197" s="2">
        <f ca="1">IFERROR(__xludf.DUMMYFUNCTION("""COMPUTED_VALUE"""),4160)</f>
        <v>4160</v>
      </c>
      <c r="E1197" s="2">
        <f ca="1">IFERROR(__xludf.DUMMYFUNCTION("""COMPUTED_VALUE"""),4210)</f>
        <v>4210</v>
      </c>
      <c r="F1197" s="2">
        <f ca="1">IFERROR(__xludf.DUMMYFUNCTION("""COMPUTED_VALUE"""),62962600)</f>
        <v>62962600</v>
      </c>
    </row>
    <row r="1198" spans="1:6">
      <c r="A1198" s="5">
        <f ca="1">IFERROR(__xludf.DUMMYFUNCTION("""COMPUTED_VALUE"""),43811.625)</f>
        <v>43811.625</v>
      </c>
      <c r="B1198" s="2">
        <f ca="1">IFERROR(__xludf.DUMMYFUNCTION("""COMPUTED_VALUE"""),4230)</f>
        <v>4230</v>
      </c>
      <c r="C1198" s="2">
        <f ca="1">IFERROR(__xludf.DUMMYFUNCTION("""COMPUTED_VALUE"""),4270)</f>
        <v>4270</v>
      </c>
      <c r="D1198" s="2">
        <f ca="1">IFERROR(__xludf.DUMMYFUNCTION("""COMPUTED_VALUE"""),4210)</f>
        <v>4210</v>
      </c>
      <c r="E1198" s="2">
        <f ca="1">IFERROR(__xludf.DUMMYFUNCTION("""COMPUTED_VALUE"""),4250)</f>
        <v>4250</v>
      </c>
      <c r="F1198" s="2">
        <f ca="1">IFERROR(__xludf.DUMMYFUNCTION("""COMPUTED_VALUE"""),125551000)</f>
        <v>125551000</v>
      </c>
    </row>
    <row r="1199" spans="1:6">
      <c r="A1199" s="5">
        <f ca="1">IFERROR(__xludf.DUMMYFUNCTION("""COMPUTED_VALUE"""),43812.625)</f>
        <v>43812.625</v>
      </c>
      <c r="B1199" s="2">
        <f ca="1">IFERROR(__xludf.DUMMYFUNCTION("""COMPUTED_VALUE"""),4280)</f>
        <v>4280</v>
      </c>
      <c r="C1199" s="2">
        <f ca="1">IFERROR(__xludf.DUMMYFUNCTION("""COMPUTED_VALUE"""),4290)</f>
        <v>4290</v>
      </c>
      <c r="D1199" s="2">
        <f ca="1">IFERROR(__xludf.DUMMYFUNCTION("""COMPUTED_VALUE"""),4240)</f>
        <v>4240</v>
      </c>
      <c r="E1199" s="2">
        <f ca="1">IFERROR(__xludf.DUMMYFUNCTION("""COMPUTED_VALUE"""),4280)</f>
        <v>4280</v>
      </c>
      <c r="F1199" s="2">
        <f ca="1">IFERROR(__xludf.DUMMYFUNCTION("""COMPUTED_VALUE"""),167616600)</f>
        <v>167616600</v>
      </c>
    </row>
    <row r="1200" spans="1:6">
      <c r="A1200" s="5">
        <f ca="1">IFERROR(__xludf.DUMMYFUNCTION("""COMPUTED_VALUE"""),43815.625)</f>
        <v>43815.625</v>
      </c>
      <c r="B1200" s="2">
        <f ca="1">IFERROR(__xludf.DUMMYFUNCTION("""COMPUTED_VALUE"""),4300)</f>
        <v>4300</v>
      </c>
      <c r="C1200" s="2">
        <f ca="1">IFERROR(__xludf.DUMMYFUNCTION("""COMPUTED_VALUE"""),4350)</f>
        <v>4350</v>
      </c>
      <c r="D1200" s="2">
        <f ca="1">IFERROR(__xludf.DUMMYFUNCTION("""COMPUTED_VALUE"""),4290)</f>
        <v>4290</v>
      </c>
      <c r="E1200" s="2">
        <f ca="1">IFERROR(__xludf.DUMMYFUNCTION("""COMPUTED_VALUE"""),4330)</f>
        <v>4330</v>
      </c>
      <c r="F1200" s="2">
        <f ca="1">IFERROR(__xludf.DUMMYFUNCTION("""COMPUTED_VALUE"""),178955500)</f>
        <v>178955500</v>
      </c>
    </row>
    <row r="1201" spans="1:6">
      <c r="A1201" s="5">
        <f ca="1">IFERROR(__xludf.DUMMYFUNCTION("""COMPUTED_VALUE"""),43816.625)</f>
        <v>43816.625</v>
      </c>
      <c r="B1201" s="2">
        <f ca="1">IFERROR(__xludf.DUMMYFUNCTION("""COMPUTED_VALUE"""),4360)</f>
        <v>4360</v>
      </c>
      <c r="C1201" s="2">
        <f ca="1">IFERROR(__xludf.DUMMYFUNCTION("""COMPUTED_VALUE"""),4360)</f>
        <v>4360</v>
      </c>
      <c r="D1201" s="2">
        <f ca="1">IFERROR(__xludf.DUMMYFUNCTION("""COMPUTED_VALUE"""),4300)</f>
        <v>4300</v>
      </c>
      <c r="E1201" s="2">
        <f ca="1">IFERROR(__xludf.DUMMYFUNCTION("""COMPUTED_VALUE"""),4350)</f>
        <v>4350</v>
      </c>
      <c r="F1201" s="2">
        <f ca="1">IFERROR(__xludf.DUMMYFUNCTION("""COMPUTED_VALUE"""),141046900)</f>
        <v>141046900</v>
      </c>
    </row>
    <row r="1202" spans="1:6">
      <c r="A1202" s="5">
        <f ca="1">IFERROR(__xludf.DUMMYFUNCTION("""COMPUTED_VALUE"""),43817.625)</f>
        <v>43817.625</v>
      </c>
      <c r="B1202" s="2">
        <f ca="1">IFERROR(__xludf.DUMMYFUNCTION("""COMPUTED_VALUE"""),4380)</f>
        <v>4380</v>
      </c>
      <c r="C1202" s="2">
        <f ca="1">IFERROR(__xludf.DUMMYFUNCTION("""COMPUTED_VALUE"""),4400)</f>
        <v>4400</v>
      </c>
      <c r="D1202" s="2">
        <f ca="1">IFERROR(__xludf.DUMMYFUNCTION("""COMPUTED_VALUE"""),4350)</f>
        <v>4350</v>
      </c>
      <c r="E1202" s="2">
        <f ca="1">IFERROR(__xludf.DUMMYFUNCTION("""COMPUTED_VALUE"""),4400)</f>
        <v>4400</v>
      </c>
      <c r="F1202" s="2">
        <f ca="1">IFERROR(__xludf.DUMMYFUNCTION("""COMPUTED_VALUE"""),158345700)</f>
        <v>158345700</v>
      </c>
    </row>
    <row r="1203" spans="1:6">
      <c r="A1203" s="5">
        <f ca="1">IFERROR(__xludf.DUMMYFUNCTION("""COMPUTED_VALUE"""),43818.625)</f>
        <v>43818.625</v>
      </c>
      <c r="B1203" s="2">
        <f ca="1">IFERROR(__xludf.DUMMYFUNCTION("""COMPUTED_VALUE"""),4350)</f>
        <v>4350</v>
      </c>
      <c r="C1203" s="2">
        <f ca="1">IFERROR(__xludf.DUMMYFUNCTION("""COMPUTED_VALUE"""),4370)</f>
        <v>4370</v>
      </c>
      <c r="D1203" s="2">
        <f ca="1">IFERROR(__xludf.DUMMYFUNCTION("""COMPUTED_VALUE"""),4320)</f>
        <v>4320</v>
      </c>
      <c r="E1203" s="2">
        <f ca="1">IFERROR(__xludf.DUMMYFUNCTION("""COMPUTED_VALUE"""),4350)</f>
        <v>4350</v>
      </c>
      <c r="F1203" s="2">
        <f ca="1">IFERROR(__xludf.DUMMYFUNCTION("""COMPUTED_VALUE"""),94017600)</f>
        <v>94017600</v>
      </c>
    </row>
    <row r="1204" spans="1:6">
      <c r="A1204" s="5">
        <f ca="1">IFERROR(__xludf.DUMMYFUNCTION("""COMPUTED_VALUE"""),43819.625)</f>
        <v>43819.625</v>
      </c>
      <c r="B1204" s="2">
        <f ca="1">IFERROR(__xludf.DUMMYFUNCTION("""COMPUTED_VALUE"""),4350)</f>
        <v>4350</v>
      </c>
      <c r="C1204" s="2">
        <f ca="1">IFERROR(__xludf.DUMMYFUNCTION("""COMPUTED_VALUE"""),4370)</f>
        <v>4370</v>
      </c>
      <c r="D1204" s="2">
        <f ca="1">IFERROR(__xludf.DUMMYFUNCTION("""COMPUTED_VALUE"""),4320)</f>
        <v>4320</v>
      </c>
      <c r="E1204" s="2">
        <f ca="1">IFERROR(__xludf.DUMMYFUNCTION("""COMPUTED_VALUE"""),4360)</f>
        <v>4360</v>
      </c>
      <c r="F1204" s="2">
        <f ca="1">IFERROR(__xludf.DUMMYFUNCTION("""COMPUTED_VALUE"""),156213900)</f>
        <v>156213900</v>
      </c>
    </row>
    <row r="1205" spans="1:6">
      <c r="A1205" s="5">
        <f ca="1">IFERROR(__xludf.DUMMYFUNCTION("""COMPUTED_VALUE"""),43822.625)</f>
        <v>43822.625</v>
      </c>
      <c r="B1205" s="2">
        <f ca="1">IFERROR(__xludf.DUMMYFUNCTION("""COMPUTED_VALUE"""),4450)</f>
        <v>4450</v>
      </c>
      <c r="C1205" s="2">
        <f ca="1">IFERROR(__xludf.DUMMYFUNCTION("""COMPUTED_VALUE"""),4470)</f>
        <v>4470</v>
      </c>
      <c r="D1205" s="2">
        <f ca="1">IFERROR(__xludf.DUMMYFUNCTION("""COMPUTED_VALUE"""),4360)</f>
        <v>4360</v>
      </c>
      <c r="E1205" s="2">
        <f ca="1">IFERROR(__xludf.DUMMYFUNCTION("""COMPUTED_VALUE"""),4450)</f>
        <v>4450</v>
      </c>
      <c r="F1205" s="2">
        <f ca="1">IFERROR(__xludf.DUMMYFUNCTION("""COMPUTED_VALUE"""),123276700)</f>
        <v>123276700</v>
      </c>
    </row>
    <row r="1206" spans="1:6">
      <c r="A1206" s="5">
        <f ca="1">IFERROR(__xludf.DUMMYFUNCTION("""COMPUTED_VALUE"""),43825.625)</f>
        <v>43825.625</v>
      </c>
      <c r="B1206" s="2">
        <f ca="1">IFERROR(__xludf.DUMMYFUNCTION("""COMPUTED_VALUE"""),4420)</f>
        <v>4420</v>
      </c>
      <c r="C1206" s="2">
        <f ca="1">IFERROR(__xludf.DUMMYFUNCTION("""COMPUTED_VALUE"""),4450)</f>
        <v>4450</v>
      </c>
      <c r="D1206" s="2">
        <f ca="1">IFERROR(__xludf.DUMMYFUNCTION("""COMPUTED_VALUE"""),4400)</f>
        <v>4400</v>
      </c>
      <c r="E1206" s="2">
        <f ca="1">IFERROR(__xludf.DUMMYFUNCTION("""COMPUTED_VALUE"""),4410)</f>
        <v>4410</v>
      </c>
      <c r="F1206" s="2">
        <f ca="1">IFERROR(__xludf.DUMMYFUNCTION("""COMPUTED_VALUE"""),50234000)</f>
        <v>50234000</v>
      </c>
    </row>
    <row r="1207" spans="1:6">
      <c r="A1207" s="5">
        <f ca="1">IFERROR(__xludf.DUMMYFUNCTION("""COMPUTED_VALUE"""),43826.625)</f>
        <v>43826.625</v>
      </c>
      <c r="B1207" s="2">
        <f ca="1">IFERROR(__xludf.DUMMYFUNCTION("""COMPUTED_VALUE"""),4380)</f>
        <v>4380</v>
      </c>
      <c r="C1207" s="2">
        <f ca="1">IFERROR(__xludf.DUMMYFUNCTION("""COMPUTED_VALUE"""),4440)</f>
        <v>4440</v>
      </c>
      <c r="D1207" s="2">
        <f ca="1">IFERROR(__xludf.DUMMYFUNCTION("""COMPUTED_VALUE"""),4380)</f>
        <v>4380</v>
      </c>
      <c r="E1207" s="2">
        <f ca="1">IFERROR(__xludf.DUMMYFUNCTION("""COMPUTED_VALUE"""),4430)</f>
        <v>4430</v>
      </c>
      <c r="F1207" s="2">
        <f ca="1">IFERROR(__xludf.DUMMYFUNCTION("""COMPUTED_VALUE"""),56465900)</f>
        <v>56465900</v>
      </c>
    </row>
    <row r="1208" spans="1:6">
      <c r="A1208" s="5">
        <f ca="1">IFERROR(__xludf.DUMMYFUNCTION("""COMPUTED_VALUE"""),43829.625)</f>
        <v>43829.625</v>
      </c>
      <c r="B1208" s="2">
        <f ca="1">IFERROR(__xludf.DUMMYFUNCTION("""COMPUTED_VALUE"""),4450)</f>
        <v>4450</v>
      </c>
      <c r="C1208" s="2">
        <f ca="1">IFERROR(__xludf.DUMMYFUNCTION("""COMPUTED_VALUE"""),4450)</f>
        <v>4450</v>
      </c>
      <c r="D1208" s="2">
        <f ca="1">IFERROR(__xludf.DUMMYFUNCTION("""COMPUTED_VALUE"""),4360)</f>
        <v>4360</v>
      </c>
      <c r="E1208" s="2">
        <f ca="1">IFERROR(__xludf.DUMMYFUNCTION("""COMPUTED_VALUE"""),4400)</f>
        <v>4400</v>
      </c>
      <c r="F1208" s="2">
        <f ca="1">IFERROR(__xludf.DUMMYFUNCTION("""COMPUTED_VALUE"""),66440200)</f>
        <v>66440200</v>
      </c>
    </row>
    <row r="1209" spans="1:6">
      <c r="A1209" s="5">
        <f ca="1">IFERROR(__xludf.DUMMYFUNCTION("""COMPUTED_VALUE"""),43832.625)</f>
        <v>43832.625</v>
      </c>
      <c r="B1209" s="2">
        <f ca="1">IFERROR(__xludf.DUMMYFUNCTION("""COMPUTED_VALUE"""),4400)</f>
        <v>4400</v>
      </c>
      <c r="C1209" s="2">
        <f ca="1">IFERROR(__xludf.DUMMYFUNCTION("""COMPUTED_VALUE"""),4410)</f>
        <v>4410</v>
      </c>
      <c r="D1209" s="2">
        <f ca="1">IFERROR(__xludf.DUMMYFUNCTION("""COMPUTED_VALUE"""),4360)</f>
        <v>4360</v>
      </c>
      <c r="E1209" s="2">
        <f ca="1">IFERROR(__xludf.DUMMYFUNCTION("""COMPUTED_VALUE"""),4410)</f>
        <v>4410</v>
      </c>
      <c r="F1209" s="2">
        <f ca="1">IFERROR(__xludf.DUMMYFUNCTION("""COMPUTED_VALUE"""),41714100)</f>
        <v>41714100</v>
      </c>
    </row>
    <row r="1210" spans="1:6">
      <c r="A1210" s="5">
        <f ca="1">IFERROR(__xludf.DUMMYFUNCTION("""COMPUTED_VALUE"""),43833.625)</f>
        <v>43833.625</v>
      </c>
      <c r="B1210" s="2">
        <f ca="1">IFERROR(__xludf.DUMMYFUNCTION("""COMPUTED_VALUE"""),4420)</f>
        <v>4420</v>
      </c>
      <c r="C1210" s="2">
        <f ca="1">IFERROR(__xludf.DUMMYFUNCTION("""COMPUTED_VALUE"""),4440)</f>
        <v>4440</v>
      </c>
      <c r="D1210" s="2">
        <f ca="1">IFERROR(__xludf.DUMMYFUNCTION("""COMPUTED_VALUE"""),4390)</f>
        <v>4390</v>
      </c>
      <c r="E1210" s="2">
        <f ca="1">IFERROR(__xludf.DUMMYFUNCTION("""COMPUTED_VALUE"""),4420)</f>
        <v>4420</v>
      </c>
      <c r="F1210" s="2">
        <f ca="1">IFERROR(__xludf.DUMMYFUNCTION("""COMPUTED_VALUE"""),82898300)</f>
        <v>82898300</v>
      </c>
    </row>
    <row r="1211" spans="1:6">
      <c r="A1211" s="5">
        <f ca="1">IFERROR(__xludf.DUMMYFUNCTION("""COMPUTED_VALUE"""),43836.625)</f>
        <v>43836.625</v>
      </c>
      <c r="B1211" s="2">
        <f ca="1">IFERROR(__xludf.DUMMYFUNCTION("""COMPUTED_VALUE"""),4360)</f>
        <v>4360</v>
      </c>
      <c r="C1211" s="2">
        <f ca="1">IFERROR(__xludf.DUMMYFUNCTION("""COMPUTED_VALUE"""),4390)</f>
        <v>4390</v>
      </c>
      <c r="D1211" s="2">
        <f ca="1">IFERROR(__xludf.DUMMYFUNCTION("""COMPUTED_VALUE"""),4320)</f>
        <v>4320</v>
      </c>
      <c r="E1211" s="2">
        <f ca="1">IFERROR(__xludf.DUMMYFUNCTION("""COMPUTED_VALUE"""),4370)</f>
        <v>4370</v>
      </c>
      <c r="F1211" s="2">
        <f ca="1">IFERROR(__xludf.DUMMYFUNCTION("""COMPUTED_VALUE"""),44225100)</f>
        <v>44225100</v>
      </c>
    </row>
    <row r="1212" spans="1:6">
      <c r="A1212" s="5">
        <f ca="1">IFERROR(__xludf.DUMMYFUNCTION("""COMPUTED_VALUE"""),43837.625)</f>
        <v>43837.625</v>
      </c>
      <c r="B1212" s="2">
        <f ca="1">IFERROR(__xludf.DUMMYFUNCTION("""COMPUTED_VALUE"""),4410)</f>
        <v>4410</v>
      </c>
      <c r="C1212" s="2">
        <f ca="1">IFERROR(__xludf.DUMMYFUNCTION("""COMPUTED_VALUE"""),4410)</f>
        <v>4410</v>
      </c>
      <c r="D1212" s="2">
        <f ca="1">IFERROR(__xludf.DUMMYFUNCTION("""COMPUTED_VALUE"""),4380)</f>
        <v>4380</v>
      </c>
      <c r="E1212" s="2">
        <f ca="1">IFERROR(__xludf.DUMMYFUNCTION("""COMPUTED_VALUE"""),4400)</f>
        <v>4400</v>
      </c>
      <c r="F1212" s="2">
        <f ca="1">IFERROR(__xludf.DUMMYFUNCTION("""COMPUTED_VALUE"""),103948100)</f>
        <v>103948100</v>
      </c>
    </row>
    <row r="1213" spans="1:6">
      <c r="A1213" s="5">
        <f ca="1">IFERROR(__xludf.DUMMYFUNCTION("""COMPUTED_VALUE"""),43838.625)</f>
        <v>43838.625</v>
      </c>
      <c r="B1213" s="2">
        <f ca="1">IFERROR(__xludf.DUMMYFUNCTION("""COMPUTED_VALUE"""),4380)</f>
        <v>4380</v>
      </c>
      <c r="C1213" s="2">
        <f ca="1">IFERROR(__xludf.DUMMYFUNCTION("""COMPUTED_VALUE"""),4400)</f>
        <v>4400</v>
      </c>
      <c r="D1213" s="2">
        <f ca="1">IFERROR(__xludf.DUMMYFUNCTION("""COMPUTED_VALUE"""),4340)</f>
        <v>4340</v>
      </c>
      <c r="E1213" s="2">
        <f ca="1">IFERROR(__xludf.DUMMYFUNCTION("""COMPUTED_VALUE"""),4380)</f>
        <v>4380</v>
      </c>
      <c r="F1213" s="2">
        <f ca="1">IFERROR(__xludf.DUMMYFUNCTION("""COMPUTED_VALUE"""),171751200)</f>
        <v>171751200</v>
      </c>
    </row>
    <row r="1214" spans="1:6">
      <c r="A1214" s="5">
        <f ca="1">IFERROR(__xludf.DUMMYFUNCTION("""COMPUTED_VALUE"""),43839.625)</f>
        <v>43839.625</v>
      </c>
      <c r="B1214" s="2">
        <f ca="1">IFERROR(__xludf.DUMMYFUNCTION("""COMPUTED_VALUE"""),4400)</f>
        <v>4400</v>
      </c>
      <c r="C1214" s="2">
        <f ca="1">IFERROR(__xludf.DUMMYFUNCTION("""COMPUTED_VALUE"""),4420)</f>
        <v>4420</v>
      </c>
      <c r="D1214" s="2">
        <f ca="1">IFERROR(__xludf.DUMMYFUNCTION("""COMPUTED_VALUE"""),4370)</f>
        <v>4370</v>
      </c>
      <c r="E1214" s="2">
        <f ca="1">IFERROR(__xludf.DUMMYFUNCTION("""COMPUTED_VALUE"""),4400)</f>
        <v>4400</v>
      </c>
      <c r="F1214" s="2">
        <f ca="1">IFERROR(__xludf.DUMMYFUNCTION("""COMPUTED_VALUE"""),72072000)</f>
        <v>72072000</v>
      </c>
    </row>
    <row r="1215" spans="1:6">
      <c r="A1215" s="5">
        <f ca="1">IFERROR(__xludf.DUMMYFUNCTION("""COMPUTED_VALUE"""),43840.625)</f>
        <v>43840.625</v>
      </c>
      <c r="B1215" s="2">
        <f ca="1">IFERROR(__xludf.DUMMYFUNCTION("""COMPUTED_VALUE"""),4430)</f>
        <v>4430</v>
      </c>
      <c r="C1215" s="2">
        <f ca="1">IFERROR(__xludf.DUMMYFUNCTION("""COMPUTED_VALUE"""),4430)</f>
        <v>4430</v>
      </c>
      <c r="D1215" s="2">
        <f ca="1">IFERROR(__xludf.DUMMYFUNCTION("""COMPUTED_VALUE"""),4390)</f>
        <v>4390</v>
      </c>
      <c r="E1215" s="2">
        <f ca="1">IFERROR(__xludf.DUMMYFUNCTION("""COMPUTED_VALUE"""),4410)</f>
        <v>4410</v>
      </c>
      <c r="F1215" s="2">
        <f ca="1">IFERROR(__xludf.DUMMYFUNCTION("""COMPUTED_VALUE"""),124809200)</f>
        <v>124809200</v>
      </c>
    </row>
    <row r="1216" spans="1:6">
      <c r="A1216" s="5">
        <f ca="1">IFERROR(__xludf.DUMMYFUNCTION("""COMPUTED_VALUE"""),43843.625)</f>
        <v>43843.625</v>
      </c>
      <c r="B1216" s="2">
        <f ca="1">IFERROR(__xludf.DUMMYFUNCTION("""COMPUTED_VALUE"""),4430)</f>
        <v>4430</v>
      </c>
      <c r="C1216" s="2">
        <f ca="1">IFERROR(__xludf.DUMMYFUNCTION("""COMPUTED_VALUE"""),4510)</f>
        <v>4510</v>
      </c>
      <c r="D1216" s="2">
        <f ca="1">IFERROR(__xludf.DUMMYFUNCTION("""COMPUTED_VALUE"""),4420)</f>
        <v>4420</v>
      </c>
      <c r="E1216" s="2">
        <f ca="1">IFERROR(__xludf.DUMMYFUNCTION("""COMPUTED_VALUE"""),4510)</f>
        <v>4510</v>
      </c>
      <c r="F1216" s="2">
        <f ca="1">IFERROR(__xludf.DUMMYFUNCTION("""COMPUTED_VALUE"""),111351400)</f>
        <v>111351400</v>
      </c>
    </row>
    <row r="1217" spans="1:6">
      <c r="A1217" s="5">
        <f ca="1">IFERROR(__xludf.DUMMYFUNCTION("""COMPUTED_VALUE"""),43844.625)</f>
        <v>43844.625</v>
      </c>
      <c r="B1217" s="2">
        <f ca="1">IFERROR(__xludf.DUMMYFUNCTION("""COMPUTED_VALUE"""),4540)</f>
        <v>4540</v>
      </c>
      <c r="C1217" s="2">
        <f ca="1">IFERROR(__xludf.DUMMYFUNCTION("""COMPUTED_VALUE"""),4600)</f>
        <v>4600</v>
      </c>
      <c r="D1217" s="2">
        <f ca="1">IFERROR(__xludf.DUMMYFUNCTION("""COMPUTED_VALUE"""),4520)</f>
        <v>4520</v>
      </c>
      <c r="E1217" s="2">
        <f ca="1">IFERROR(__xludf.DUMMYFUNCTION("""COMPUTED_VALUE"""),4570)</f>
        <v>4570</v>
      </c>
      <c r="F1217" s="2">
        <f ca="1">IFERROR(__xludf.DUMMYFUNCTION("""COMPUTED_VALUE"""),158414200)</f>
        <v>158414200</v>
      </c>
    </row>
    <row r="1218" spans="1:6">
      <c r="A1218" s="5">
        <f ca="1">IFERROR(__xludf.DUMMYFUNCTION("""COMPUTED_VALUE"""),43845.625)</f>
        <v>43845.625</v>
      </c>
      <c r="B1218" s="2">
        <f ca="1">IFERROR(__xludf.DUMMYFUNCTION("""COMPUTED_VALUE"""),4570)</f>
        <v>4570</v>
      </c>
      <c r="C1218" s="2">
        <f ca="1">IFERROR(__xludf.DUMMYFUNCTION("""COMPUTED_VALUE"""),4580)</f>
        <v>4580</v>
      </c>
      <c r="D1218" s="2">
        <f ca="1">IFERROR(__xludf.DUMMYFUNCTION("""COMPUTED_VALUE"""),4530)</f>
        <v>4530</v>
      </c>
      <c r="E1218" s="2">
        <f ca="1">IFERROR(__xludf.DUMMYFUNCTION("""COMPUTED_VALUE"""),4580)</f>
        <v>4580</v>
      </c>
      <c r="F1218" s="2">
        <f ca="1">IFERROR(__xludf.DUMMYFUNCTION("""COMPUTED_VALUE"""),102566700)</f>
        <v>102566700</v>
      </c>
    </row>
    <row r="1219" spans="1:6">
      <c r="A1219" s="5">
        <f ca="1">IFERROR(__xludf.DUMMYFUNCTION("""COMPUTED_VALUE"""),43846.625)</f>
        <v>43846.625</v>
      </c>
      <c r="B1219" s="2">
        <f ca="1">IFERROR(__xludf.DUMMYFUNCTION("""COMPUTED_VALUE"""),4570)</f>
        <v>4570</v>
      </c>
      <c r="C1219" s="2">
        <f ca="1">IFERROR(__xludf.DUMMYFUNCTION("""COMPUTED_VALUE"""),4590)</f>
        <v>4590</v>
      </c>
      <c r="D1219" s="2">
        <f ca="1">IFERROR(__xludf.DUMMYFUNCTION("""COMPUTED_VALUE"""),4510)</f>
        <v>4510</v>
      </c>
      <c r="E1219" s="2">
        <f ca="1">IFERROR(__xludf.DUMMYFUNCTION("""COMPUTED_VALUE"""),4570)</f>
        <v>4570</v>
      </c>
      <c r="F1219" s="2">
        <f ca="1">IFERROR(__xludf.DUMMYFUNCTION("""COMPUTED_VALUE"""),133986100)</f>
        <v>133986100</v>
      </c>
    </row>
    <row r="1220" spans="1:6">
      <c r="A1220" s="5">
        <f ca="1">IFERROR(__xludf.DUMMYFUNCTION("""COMPUTED_VALUE"""),43847.625)</f>
        <v>43847.625</v>
      </c>
      <c r="B1220" s="2">
        <f ca="1">IFERROR(__xludf.DUMMYFUNCTION("""COMPUTED_VALUE"""),4620)</f>
        <v>4620</v>
      </c>
      <c r="C1220" s="2">
        <f ca="1">IFERROR(__xludf.DUMMYFUNCTION("""COMPUTED_VALUE"""),4640)</f>
        <v>4640</v>
      </c>
      <c r="D1220" s="2">
        <f ca="1">IFERROR(__xludf.DUMMYFUNCTION("""COMPUTED_VALUE"""),4600)</f>
        <v>4600</v>
      </c>
      <c r="E1220" s="2">
        <f ca="1">IFERROR(__xludf.DUMMYFUNCTION("""COMPUTED_VALUE"""),4630)</f>
        <v>4630</v>
      </c>
      <c r="F1220" s="2">
        <f ca="1">IFERROR(__xludf.DUMMYFUNCTION("""COMPUTED_VALUE"""),121175500)</f>
        <v>121175500</v>
      </c>
    </row>
    <row r="1221" spans="1:6">
      <c r="A1221" s="5">
        <f ca="1">IFERROR(__xludf.DUMMYFUNCTION("""COMPUTED_VALUE"""),43850.625)</f>
        <v>43850.625</v>
      </c>
      <c r="B1221" s="2">
        <f ca="1">IFERROR(__xludf.DUMMYFUNCTION("""COMPUTED_VALUE"""),4690)</f>
        <v>4690</v>
      </c>
      <c r="C1221" s="2">
        <f ca="1">IFERROR(__xludf.DUMMYFUNCTION("""COMPUTED_VALUE"""),4690)</f>
        <v>4690</v>
      </c>
      <c r="D1221" s="2">
        <f ca="1">IFERROR(__xludf.DUMMYFUNCTION("""COMPUTED_VALUE"""),4630)</f>
        <v>4630</v>
      </c>
      <c r="E1221" s="2">
        <f ca="1">IFERROR(__xludf.DUMMYFUNCTION("""COMPUTED_VALUE"""),4660)</f>
        <v>4660</v>
      </c>
      <c r="F1221" s="2">
        <f ca="1">IFERROR(__xludf.DUMMYFUNCTION("""COMPUTED_VALUE"""),81837500)</f>
        <v>81837500</v>
      </c>
    </row>
    <row r="1222" spans="1:6">
      <c r="A1222" s="5">
        <f ca="1">IFERROR(__xludf.DUMMYFUNCTION("""COMPUTED_VALUE"""),43851.625)</f>
        <v>43851.625</v>
      </c>
      <c r="B1222" s="2">
        <f ca="1">IFERROR(__xludf.DUMMYFUNCTION("""COMPUTED_VALUE"""),4670)</f>
        <v>4670</v>
      </c>
      <c r="C1222" s="2">
        <f ca="1">IFERROR(__xludf.DUMMYFUNCTION("""COMPUTED_VALUE"""),4680)</f>
        <v>4680</v>
      </c>
      <c r="D1222" s="2">
        <f ca="1">IFERROR(__xludf.DUMMYFUNCTION("""COMPUTED_VALUE"""),4640)</f>
        <v>4640</v>
      </c>
      <c r="E1222" s="2">
        <f ca="1">IFERROR(__xludf.DUMMYFUNCTION("""COMPUTED_VALUE"""),4670)</f>
        <v>4670</v>
      </c>
      <c r="F1222" s="2">
        <f ca="1">IFERROR(__xludf.DUMMYFUNCTION("""COMPUTED_VALUE"""),73839600)</f>
        <v>73839600</v>
      </c>
    </row>
    <row r="1223" spans="1:6">
      <c r="A1223" s="5">
        <f ca="1">IFERROR(__xludf.DUMMYFUNCTION("""COMPUTED_VALUE"""),43852.625)</f>
        <v>43852.625</v>
      </c>
      <c r="B1223" s="2">
        <f ca="1">IFERROR(__xludf.DUMMYFUNCTION("""COMPUTED_VALUE"""),4680)</f>
        <v>4680</v>
      </c>
      <c r="C1223" s="2">
        <f ca="1">IFERROR(__xludf.DUMMYFUNCTION("""COMPUTED_VALUE"""),4710)</f>
        <v>4710</v>
      </c>
      <c r="D1223" s="2">
        <f ca="1">IFERROR(__xludf.DUMMYFUNCTION("""COMPUTED_VALUE"""),4670)</f>
        <v>4670</v>
      </c>
      <c r="E1223" s="2">
        <f ca="1">IFERROR(__xludf.DUMMYFUNCTION("""COMPUTED_VALUE"""),4710)</f>
        <v>4710</v>
      </c>
      <c r="F1223" s="2">
        <f ca="1">IFERROR(__xludf.DUMMYFUNCTION("""COMPUTED_VALUE"""),82370500)</f>
        <v>82370500</v>
      </c>
    </row>
    <row r="1224" spans="1:6">
      <c r="A1224" s="5">
        <f ca="1">IFERROR(__xludf.DUMMYFUNCTION("""COMPUTED_VALUE"""),43853.625)</f>
        <v>43853.625</v>
      </c>
      <c r="B1224" s="2">
        <f ca="1">IFERROR(__xludf.DUMMYFUNCTION("""COMPUTED_VALUE"""),4720)</f>
        <v>4720</v>
      </c>
      <c r="C1224" s="2">
        <f ca="1">IFERROR(__xludf.DUMMYFUNCTION("""COMPUTED_VALUE"""),4760)</f>
        <v>4760</v>
      </c>
      <c r="D1224" s="2">
        <f ca="1">IFERROR(__xludf.DUMMYFUNCTION("""COMPUTED_VALUE"""),4690)</f>
        <v>4690</v>
      </c>
      <c r="E1224" s="2">
        <f ca="1">IFERROR(__xludf.DUMMYFUNCTION("""COMPUTED_VALUE"""),4740)</f>
        <v>4740</v>
      </c>
      <c r="F1224" s="2">
        <f ca="1">IFERROR(__xludf.DUMMYFUNCTION("""COMPUTED_VALUE"""),139861200)</f>
        <v>139861200</v>
      </c>
    </row>
    <row r="1225" spans="1:6">
      <c r="A1225" s="5">
        <f ca="1">IFERROR(__xludf.DUMMYFUNCTION("""COMPUTED_VALUE"""),43854.625)</f>
        <v>43854.625</v>
      </c>
      <c r="B1225" s="2">
        <f ca="1">IFERROR(__xludf.DUMMYFUNCTION("""COMPUTED_VALUE"""),4730)</f>
        <v>4730</v>
      </c>
      <c r="C1225" s="2">
        <f ca="1">IFERROR(__xludf.DUMMYFUNCTION("""COMPUTED_VALUE"""),4750)</f>
        <v>4750</v>
      </c>
      <c r="D1225" s="2">
        <f ca="1">IFERROR(__xludf.DUMMYFUNCTION("""COMPUTED_VALUE"""),4680)</f>
        <v>4680</v>
      </c>
      <c r="E1225" s="2">
        <f ca="1">IFERROR(__xludf.DUMMYFUNCTION("""COMPUTED_VALUE"""),4740)</f>
        <v>4740</v>
      </c>
      <c r="F1225" s="2">
        <f ca="1">IFERROR(__xludf.DUMMYFUNCTION("""COMPUTED_VALUE"""),96017400)</f>
        <v>96017400</v>
      </c>
    </row>
    <row r="1226" spans="1:6">
      <c r="A1226" s="5">
        <f ca="1">IFERROR(__xludf.DUMMYFUNCTION("""COMPUTED_VALUE"""),43857.625)</f>
        <v>43857.625</v>
      </c>
      <c r="B1226" s="2">
        <f ca="1">IFERROR(__xludf.DUMMYFUNCTION("""COMPUTED_VALUE"""),4700)</f>
        <v>4700</v>
      </c>
      <c r="C1226" s="2">
        <f ca="1">IFERROR(__xludf.DUMMYFUNCTION("""COMPUTED_VALUE"""),4700)</f>
        <v>4700</v>
      </c>
      <c r="D1226" s="2">
        <f ca="1">IFERROR(__xludf.DUMMYFUNCTION("""COMPUTED_VALUE"""),4640)</f>
        <v>4640</v>
      </c>
      <c r="E1226" s="2">
        <f ca="1">IFERROR(__xludf.DUMMYFUNCTION("""COMPUTED_VALUE"""),4650)</f>
        <v>4650</v>
      </c>
      <c r="F1226" s="2">
        <f ca="1">IFERROR(__xludf.DUMMYFUNCTION("""COMPUTED_VALUE"""),93704600)</f>
        <v>93704600</v>
      </c>
    </row>
    <row r="1227" spans="1:6">
      <c r="A1227" s="5">
        <f ca="1">IFERROR(__xludf.DUMMYFUNCTION("""COMPUTED_VALUE"""),43858.625)</f>
        <v>43858.625</v>
      </c>
      <c r="B1227" s="2">
        <f ca="1">IFERROR(__xludf.DUMMYFUNCTION("""COMPUTED_VALUE"""),4580)</f>
        <v>4580</v>
      </c>
      <c r="C1227" s="2">
        <f ca="1">IFERROR(__xludf.DUMMYFUNCTION("""COMPUTED_VALUE"""),4640)</f>
        <v>4640</v>
      </c>
      <c r="D1227" s="2">
        <f ca="1">IFERROR(__xludf.DUMMYFUNCTION("""COMPUTED_VALUE"""),4570)</f>
        <v>4570</v>
      </c>
      <c r="E1227" s="2">
        <f ca="1">IFERROR(__xludf.DUMMYFUNCTION("""COMPUTED_VALUE"""),4620)</f>
        <v>4620</v>
      </c>
      <c r="F1227" s="2">
        <f ca="1">IFERROR(__xludf.DUMMYFUNCTION("""COMPUTED_VALUE"""),95394600)</f>
        <v>95394600</v>
      </c>
    </row>
    <row r="1228" spans="1:6">
      <c r="A1228" s="5">
        <f ca="1">IFERROR(__xludf.DUMMYFUNCTION("""COMPUTED_VALUE"""),43859.625)</f>
        <v>43859.625</v>
      </c>
      <c r="B1228" s="2">
        <f ca="1">IFERROR(__xludf.DUMMYFUNCTION("""COMPUTED_VALUE"""),4620)</f>
        <v>4620</v>
      </c>
      <c r="C1228" s="2">
        <f ca="1">IFERROR(__xludf.DUMMYFUNCTION("""COMPUTED_VALUE"""),4660)</f>
        <v>4660</v>
      </c>
      <c r="D1228" s="2">
        <f ca="1">IFERROR(__xludf.DUMMYFUNCTION("""COMPUTED_VALUE"""),4600)</f>
        <v>4600</v>
      </c>
      <c r="E1228" s="2">
        <f ca="1">IFERROR(__xludf.DUMMYFUNCTION("""COMPUTED_VALUE"""),4620)</f>
        <v>4620</v>
      </c>
      <c r="F1228" s="2">
        <f ca="1">IFERROR(__xludf.DUMMYFUNCTION("""COMPUTED_VALUE"""),194871800)</f>
        <v>194871800</v>
      </c>
    </row>
    <row r="1229" spans="1:6">
      <c r="A1229" s="5">
        <f ca="1">IFERROR(__xludf.DUMMYFUNCTION("""COMPUTED_VALUE"""),43860.625)</f>
        <v>43860.625</v>
      </c>
      <c r="B1229" s="2">
        <f ca="1">IFERROR(__xludf.DUMMYFUNCTION("""COMPUTED_VALUE"""),4700)</f>
        <v>4700</v>
      </c>
      <c r="C1229" s="2">
        <f ca="1">IFERROR(__xludf.DUMMYFUNCTION("""COMPUTED_VALUE"""),4700)</f>
        <v>4700</v>
      </c>
      <c r="D1229" s="2">
        <f ca="1">IFERROR(__xludf.DUMMYFUNCTION("""COMPUTED_VALUE"""),4580)</f>
        <v>4580</v>
      </c>
      <c r="E1229" s="2">
        <f ca="1">IFERROR(__xludf.DUMMYFUNCTION("""COMPUTED_VALUE"""),4580)</f>
        <v>4580</v>
      </c>
      <c r="F1229" s="2">
        <f ca="1">IFERROR(__xludf.DUMMYFUNCTION("""COMPUTED_VALUE"""),87726300)</f>
        <v>87726300</v>
      </c>
    </row>
    <row r="1230" spans="1:6">
      <c r="A1230" s="5">
        <f ca="1">IFERROR(__xludf.DUMMYFUNCTION("""COMPUTED_VALUE"""),43861.625)</f>
        <v>43861.625</v>
      </c>
      <c r="B1230" s="2">
        <f ca="1">IFERROR(__xludf.DUMMYFUNCTION("""COMPUTED_VALUE"""),4570)</f>
        <v>4570</v>
      </c>
      <c r="C1230" s="2">
        <f ca="1">IFERROR(__xludf.DUMMYFUNCTION("""COMPUTED_VALUE"""),4580)</f>
        <v>4580</v>
      </c>
      <c r="D1230" s="2">
        <f ca="1">IFERROR(__xludf.DUMMYFUNCTION("""COMPUTED_VALUE"""),4460)</f>
        <v>4460</v>
      </c>
      <c r="E1230" s="2">
        <f ca="1">IFERROR(__xludf.DUMMYFUNCTION("""COMPUTED_VALUE"""),4460)</f>
        <v>4460</v>
      </c>
      <c r="F1230" s="2">
        <f ca="1">IFERROR(__xludf.DUMMYFUNCTION("""COMPUTED_VALUE"""),137055500)</f>
        <v>137055500</v>
      </c>
    </row>
    <row r="1231" spans="1:6">
      <c r="A1231" s="5">
        <f ca="1">IFERROR(__xludf.DUMMYFUNCTION("""COMPUTED_VALUE"""),43864.625)</f>
        <v>43864.625</v>
      </c>
      <c r="B1231" s="2">
        <f ca="1">IFERROR(__xludf.DUMMYFUNCTION("""COMPUTED_VALUE"""),4460)</f>
        <v>4460</v>
      </c>
      <c r="C1231" s="2">
        <f ca="1">IFERROR(__xludf.DUMMYFUNCTION("""COMPUTED_VALUE"""),4490)</f>
        <v>4490</v>
      </c>
      <c r="D1231" s="2">
        <f ca="1">IFERROR(__xludf.DUMMYFUNCTION("""COMPUTED_VALUE"""),4450)</f>
        <v>4450</v>
      </c>
      <c r="E1231" s="2">
        <f ca="1">IFERROR(__xludf.DUMMYFUNCTION("""COMPUTED_VALUE"""),4460)</f>
        <v>4460</v>
      </c>
      <c r="F1231" s="2">
        <f ca="1">IFERROR(__xludf.DUMMYFUNCTION("""COMPUTED_VALUE"""),131584600)</f>
        <v>131584600</v>
      </c>
    </row>
    <row r="1232" spans="1:6">
      <c r="A1232" s="5">
        <f ca="1">IFERROR(__xludf.DUMMYFUNCTION("""COMPUTED_VALUE"""),43865.625)</f>
        <v>43865.625</v>
      </c>
      <c r="B1232" s="2">
        <f ca="1">IFERROR(__xludf.DUMMYFUNCTION("""COMPUTED_VALUE"""),4690)</f>
        <v>4690</v>
      </c>
      <c r="C1232" s="2">
        <f ca="1">IFERROR(__xludf.DUMMYFUNCTION("""COMPUTED_VALUE"""),4690)</f>
        <v>4690</v>
      </c>
      <c r="D1232" s="2">
        <f ca="1">IFERROR(__xludf.DUMMYFUNCTION("""COMPUTED_VALUE"""),4520)</f>
        <v>4520</v>
      </c>
      <c r="E1232" s="2">
        <f ca="1">IFERROR(__xludf.DUMMYFUNCTION("""COMPUTED_VALUE"""),4560)</f>
        <v>4560</v>
      </c>
      <c r="F1232" s="2">
        <f ca="1">IFERROR(__xludf.DUMMYFUNCTION("""COMPUTED_VALUE"""),112377400)</f>
        <v>112377400</v>
      </c>
    </row>
    <row r="1233" spans="1:6">
      <c r="A1233" s="5">
        <f ca="1">IFERROR(__xludf.DUMMYFUNCTION("""COMPUTED_VALUE"""),43866.625)</f>
        <v>43866.625</v>
      </c>
      <c r="B1233" s="2">
        <f ca="1">IFERROR(__xludf.DUMMYFUNCTION("""COMPUTED_VALUE"""),4570)</f>
        <v>4570</v>
      </c>
      <c r="C1233" s="2">
        <f ca="1">IFERROR(__xludf.DUMMYFUNCTION("""COMPUTED_VALUE"""),4580)</f>
        <v>4580</v>
      </c>
      <c r="D1233" s="2">
        <f ca="1">IFERROR(__xludf.DUMMYFUNCTION("""COMPUTED_VALUE"""),4510)</f>
        <v>4510</v>
      </c>
      <c r="E1233" s="2">
        <f ca="1">IFERROR(__xludf.DUMMYFUNCTION("""COMPUTED_VALUE"""),4560)</f>
        <v>4560</v>
      </c>
      <c r="F1233" s="2">
        <f ca="1">IFERROR(__xludf.DUMMYFUNCTION("""COMPUTED_VALUE"""),91267300)</f>
        <v>91267300</v>
      </c>
    </row>
    <row r="1234" spans="1:6">
      <c r="A1234" s="5">
        <f ca="1">IFERROR(__xludf.DUMMYFUNCTION("""COMPUTED_VALUE"""),43867.625)</f>
        <v>43867.625</v>
      </c>
      <c r="B1234" s="2">
        <f ca="1">IFERROR(__xludf.DUMMYFUNCTION("""COMPUTED_VALUE"""),4590)</f>
        <v>4590</v>
      </c>
      <c r="C1234" s="2">
        <f ca="1">IFERROR(__xludf.DUMMYFUNCTION("""COMPUTED_VALUE"""),4590)</f>
        <v>4590</v>
      </c>
      <c r="D1234" s="2">
        <f ca="1">IFERROR(__xludf.DUMMYFUNCTION("""COMPUTED_VALUE"""),4530)</f>
        <v>4530</v>
      </c>
      <c r="E1234" s="2">
        <f ca="1">IFERROR(__xludf.DUMMYFUNCTION("""COMPUTED_VALUE"""),4550)</f>
        <v>4550</v>
      </c>
      <c r="F1234" s="2">
        <f ca="1">IFERROR(__xludf.DUMMYFUNCTION("""COMPUTED_VALUE"""),94855500)</f>
        <v>94855500</v>
      </c>
    </row>
    <row r="1235" spans="1:6">
      <c r="A1235" s="5">
        <f ca="1">IFERROR(__xludf.DUMMYFUNCTION("""COMPUTED_VALUE"""),43868.625)</f>
        <v>43868.625</v>
      </c>
      <c r="B1235" s="2">
        <f ca="1">IFERROR(__xludf.DUMMYFUNCTION("""COMPUTED_VALUE"""),4580)</f>
        <v>4580</v>
      </c>
      <c r="C1235" s="2">
        <f ca="1">IFERROR(__xludf.DUMMYFUNCTION("""COMPUTED_VALUE"""),4580)</f>
        <v>4580</v>
      </c>
      <c r="D1235" s="2">
        <f ca="1">IFERROR(__xludf.DUMMYFUNCTION("""COMPUTED_VALUE"""),4540)</f>
        <v>4540</v>
      </c>
      <c r="E1235" s="2">
        <f ca="1">IFERROR(__xludf.DUMMYFUNCTION("""COMPUTED_VALUE"""),4550)</f>
        <v>4550</v>
      </c>
      <c r="F1235" s="2">
        <f ca="1">IFERROR(__xludf.DUMMYFUNCTION("""COMPUTED_VALUE"""),133042500)</f>
        <v>133042500</v>
      </c>
    </row>
    <row r="1236" spans="1:6">
      <c r="A1236" s="5">
        <f ca="1">IFERROR(__xludf.DUMMYFUNCTION("""COMPUTED_VALUE"""),43871.625)</f>
        <v>43871.625</v>
      </c>
      <c r="B1236" s="2">
        <f ca="1">IFERROR(__xludf.DUMMYFUNCTION("""COMPUTED_VALUE"""),4500)</f>
        <v>4500</v>
      </c>
      <c r="C1236" s="2">
        <f ca="1">IFERROR(__xludf.DUMMYFUNCTION("""COMPUTED_VALUE"""),4530)</f>
        <v>4530</v>
      </c>
      <c r="D1236" s="2">
        <f ca="1">IFERROR(__xludf.DUMMYFUNCTION("""COMPUTED_VALUE"""),4400)</f>
        <v>4400</v>
      </c>
      <c r="E1236" s="2">
        <f ca="1">IFERROR(__xludf.DUMMYFUNCTION("""COMPUTED_VALUE"""),4500)</f>
        <v>4500</v>
      </c>
      <c r="F1236" s="2">
        <f ca="1">IFERROR(__xludf.DUMMYFUNCTION("""COMPUTED_VALUE"""),170890600)</f>
        <v>170890600</v>
      </c>
    </row>
    <row r="1237" spans="1:6">
      <c r="A1237" s="5">
        <f ca="1">IFERROR(__xludf.DUMMYFUNCTION("""COMPUTED_VALUE"""),43872.625)</f>
        <v>43872.625</v>
      </c>
      <c r="B1237" s="2">
        <f ca="1">IFERROR(__xludf.DUMMYFUNCTION("""COMPUTED_VALUE"""),4540)</f>
        <v>4540</v>
      </c>
      <c r="C1237" s="2">
        <f ca="1">IFERROR(__xludf.DUMMYFUNCTION("""COMPUTED_VALUE"""),4540)</f>
        <v>4540</v>
      </c>
      <c r="D1237" s="2">
        <f ca="1">IFERROR(__xludf.DUMMYFUNCTION("""COMPUTED_VALUE"""),4480)</f>
        <v>4480</v>
      </c>
      <c r="E1237" s="2">
        <f ca="1">IFERROR(__xludf.DUMMYFUNCTION("""COMPUTED_VALUE"""),4510)</f>
        <v>4510</v>
      </c>
      <c r="F1237" s="2">
        <f ca="1">IFERROR(__xludf.DUMMYFUNCTION("""COMPUTED_VALUE"""),85150100)</f>
        <v>85150100</v>
      </c>
    </row>
    <row r="1238" spans="1:6">
      <c r="A1238" s="5">
        <f ca="1">IFERROR(__xludf.DUMMYFUNCTION("""COMPUTED_VALUE"""),43873.625)</f>
        <v>43873.625</v>
      </c>
      <c r="B1238" s="2">
        <f ca="1">IFERROR(__xludf.DUMMYFUNCTION("""COMPUTED_VALUE"""),4520)</f>
        <v>4520</v>
      </c>
      <c r="C1238" s="2">
        <f ca="1">IFERROR(__xludf.DUMMYFUNCTION("""COMPUTED_VALUE"""),4560)</f>
        <v>4560</v>
      </c>
      <c r="D1238" s="2">
        <f ca="1">IFERROR(__xludf.DUMMYFUNCTION("""COMPUTED_VALUE"""),4520)</f>
        <v>4520</v>
      </c>
      <c r="E1238" s="2">
        <f ca="1">IFERROR(__xludf.DUMMYFUNCTION("""COMPUTED_VALUE"""),4530)</f>
        <v>4530</v>
      </c>
      <c r="F1238" s="2">
        <f ca="1">IFERROR(__xludf.DUMMYFUNCTION("""COMPUTED_VALUE"""),130150400)</f>
        <v>130150400</v>
      </c>
    </row>
    <row r="1239" spans="1:6">
      <c r="A1239" s="5">
        <f ca="1">IFERROR(__xludf.DUMMYFUNCTION("""COMPUTED_VALUE"""),43874.625)</f>
        <v>43874.625</v>
      </c>
      <c r="B1239" s="2">
        <f ca="1">IFERROR(__xludf.DUMMYFUNCTION("""COMPUTED_VALUE"""),4580)</f>
        <v>4580</v>
      </c>
      <c r="C1239" s="2">
        <f ca="1">IFERROR(__xludf.DUMMYFUNCTION("""COMPUTED_VALUE"""),4590)</f>
        <v>4590</v>
      </c>
      <c r="D1239" s="2">
        <f ca="1">IFERROR(__xludf.DUMMYFUNCTION("""COMPUTED_VALUE"""),4540)</f>
        <v>4540</v>
      </c>
      <c r="E1239" s="2">
        <f ca="1">IFERROR(__xludf.DUMMYFUNCTION("""COMPUTED_VALUE"""),4570)</f>
        <v>4570</v>
      </c>
      <c r="F1239" s="2">
        <f ca="1">IFERROR(__xludf.DUMMYFUNCTION("""COMPUTED_VALUE"""),79710700)</f>
        <v>79710700</v>
      </c>
    </row>
    <row r="1240" spans="1:6">
      <c r="A1240" s="5">
        <f ca="1">IFERROR(__xludf.DUMMYFUNCTION("""COMPUTED_VALUE"""),43875.625)</f>
        <v>43875.625</v>
      </c>
      <c r="B1240" s="2">
        <f ca="1">IFERROR(__xludf.DUMMYFUNCTION("""COMPUTED_VALUE"""),4530)</f>
        <v>4530</v>
      </c>
      <c r="C1240" s="2">
        <f ca="1">IFERROR(__xludf.DUMMYFUNCTION("""COMPUTED_VALUE"""),4590)</f>
        <v>4590</v>
      </c>
      <c r="D1240" s="2">
        <f ca="1">IFERROR(__xludf.DUMMYFUNCTION("""COMPUTED_VALUE"""),4530)</f>
        <v>4530</v>
      </c>
      <c r="E1240" s="2">
        <f ca="1">IFERROR(__xludf.DUMMYFUNCTION("""COMPUTED_VALUE"""),4550)</f>
        <v>4550</v>
      </c>
      <c r="F1240" s="2">
        <f ca="1">IFERROR(__xludf.DUMMYFUNCTION("""COMPUTED_VALUE"""),127004900)</f>
        <v>127004900</v>
      </c>
    </row>
    <row r="1241" spans="1:6">
      <c r="A1241" s="5">
        <f ca="1">IFERROR(__xludf.DUMMYFUNCTION("""COMPUTED_VALUE"""),43878.625)</f>
        <v>43878.625</v>
      </c>
      <c r="B1241" s="2">
        <f ca="1">IFERROR(__xludf.DUMMYFUNCTION("""COMPUTED_VALUE"""),4480)</f>
        <v>4480</v>
      </c>
      <c r="C1241" s="2">
        <f ca="1">IFERROR(__xludf.DUMMYFUNCTION("""COMPUTED_VALUE"""),4540)</f>
        <v>4540</v>
      </c>
      <c r="D1241" s="2">
        <f ca="1">IFERROR(__xludf.DUMMYFUNCTION("""COMPUTED_VALUE"""),4470)</f>
        <v>4470</v>
      </c>
      <c r="E1241" s="2">
        <f ca="1">IFERROR(__xludf.DUMMYFUNCTION("""COMPUTED_VALUE"""),4470)</f>
        <v>4470</v>
      </c>
      <c r="F1241" s="2">
        <f ca="1">IFERROR(__xludf.DUMMYFUNCTION("""COMPUTED_VALUE"""),119759900)</f>
        <v>119759900</v>
      </c>
    </row>
    <row r="1242" spans="1:6">
      <c r="A1242" s="5">
        <f ca="1">IFERROR(__xludf.DUMMYFUNCTION("""COMPUTED_VALUE"""),43879.625)</f>
        <v>43879.625</v>
      </c>
      <c r="B1242" s="2">
        <f ca="1">IFERROR(__xludf.DUMMYFUNCTION("""COMPUTED_VALUE"""),4470)</f>
        <v>4470</v>
      </c>
      <c r="C1242" s="2">
        <f ca="1">IFERROR(__xludf.DUMMYFUNCTION("""COMPUTED_VALUE"""),4500)</f>
        <v>4500</v>
      </c>
      <c r="D1242" s="2">
        <f ca="1">IFERROR(__xludf.DUMMYFUNCTION("""COMPUTED_VALUE"""),4400)</f>
        <v>4400</v>
      </c>
      <c r="E1242" s="2">
        <f ca="1">IFERROR(__xludf.DUMMYFUNCTION("""COMPUTED_VALUE"""),4400)</f>
        <v>4400</v>
      </c>
      <c r="F1242" s="2">
        <f ca="1">IFERROR(__xludf.DUMMYFUNCTION("""COMPUTED_VALUE"""),88694500)</f>
        <v>88694500</v>
      </c>
    </row>
    <row r="1243" spans="1:6">
      <c r="A1243" s="5">
        <f ca="1">IFERROR(__xludf.DUMMYFUNCTION("""COMPUTED_VALUE"""),43880.625)</f>
        <v>43880.625</v>
      </c>
      <c r="B1243" s="2">
        <f ca="1">IFERROR(__xludf.DUMMYFUNCTION("""COMPUTED_VALUE"""),4460)</f>
        <v>4460</v>
      </c>
      <c r="C1243" s="2">
        <f ca="1">IFERROR(__xludf.DUMMYFUNCTION("""COMPUTED_VALUE"""),4480)</f>
        <v>4480</v>
      </c>
      <c r="D1243" s="2">
        <f ca="1">IFERROR(__xludf.DUMMYFUNCTION("""COMPUTED_VALUE"""),4450)</f>
        <v>4450</v>
      </c>
      <c r="E1243" s="2">
        <f ca="1">IFERROR(__xludf.DUMMYFUNCTION("""COMPUTED_VALUE"""),4480)</f>
        <v>4480</v>
      </c>
      <c r="F1243" s="2">
        <f ca="1">IFERROR(__xludf.DUMMYFUNCTION("""COMPUTED_VALUE"""),100810700)</f>
        <v>100810700</v>
      </c>
    </row>
    <row r="1244" spans="1:6">
      <c r="A1244" s="5">
        <f ca="1">IFERROR(__xludf.DUMMYFUNCTION("""COMPUTED_VALUE"""),43881.625)</f>
        <v>43881.625</v>
      </c>
      <c r="B1244" s="2">
        <f ca="1">IFERROR(__xludf.DUMMYFUNCTION("""COMPUTED_VALUE"""),4520)</f>
        <v>4520</v>
      </c>
      <c r="C1244" s="2">
        <f ca="1">IFERROR(__xludf.DUMMYFUNCTION("""COMPUTED_VALUE"""),4580)</f>
        <v>4580</v>
      </c>
      <c r="D1244" s="2">
        <f ca="1">IFERROR(__xludf.DUMMYFUNCTION("""COMPUTED_VALUE"""),4510)</f>
        <v>4510</v>
      </c>
      <c r="E1244" s="2">
        <f ca="1">IFERROR(__xludf.DUMMYFUNCTION("""COMPUTED_VALUE"""),4560)</f>
        <v>4560</v>
      </c>
      <c r="F1244" s="2">
        <f ca="1">IFERROR(__xludf.DUMMYFUNCTION("""COMPUTED_VALUE"""),98180400)</f>
        <v>98180400</v>
      </c>
    </row>
    <row r="1245" spans="1:6">
      <c r="A1245" s="5">
        <f ca="1">IFERROR(__xludf.DUMMYFUNCTION("""COMPUTED_VALUE"""),43882.625)</f>
        <v>43882.625</v>
      </c>
      <c r="B1245" s="2">
        <f ca="1">IFERROR(__xludf.DUMMYFUNCTION("""COMPUTED_VALUE"""),4560)</f>
        <v>4560</v>
      </c>
      <c r="C1245" s="2">
        <f ca="1">IFERROR(__xludf.DUMMYFUNCTION("""COMPUTED_VALUE"""),4560)</f>
        <v>4560</v>
      </c>
      <c r="D1245" s="2">
        <f ca="1">IFERROR(__xludf.DUMMYFUNCTION("""COMPUTED_VALUE"""),4510)</f>
        <v>4510</v>
      </c>
      <c r="E1245" s="2">
        <f ca="1">IFERROR(__xludf.DUMMYFUNCTION("""COMPUTED_VALUE"""),4510)</f>
        <v>4510</v>
      </c>
      <c r="F1245" s="2">
        <f ca="1">IFERROR(__xludf.DUMMYFUNCTION("""COMPUTED_VALUE"""),106960700)</f>
        <v>106960700</v>
      </c>
    </row>
    <row r="1246" spans="1:6">
      <c r="A1246" s="5">
        <f ca="1">IFERROR(__xludf.DUMMYFUNCTION("""COMPUTED_VALUE"""),43885.625)</f>
        <v>43885.625</v>
      </c>
      <c r="B1246" s="2">
        <f ca="1">IFERROR(__xludf.DUMMYFUNCTION("""COMPUTED_VALUE"""),4540)</f>
        <v>4540</v>
      </c>
      <c r="C1246" s="2">
        <f ca="1">IFERROR(__xludf.DUMMYFUNCTION("""COMPUTED_VALUE"""),4540)</f>
        <v>4540</v>
      </c>
      <c r="D1246" s="2">
        <f ca="1">IFERROR(__xludf.DUMMYFUNCTION("""COMPUTED_VALUE"""),4470)</f>
        <v>4470</v>
      </c>
      <c r="E1246" s="2">
        <f ca="1">IFERROR(__xludf.DUMMYFUNCTION("""COMPUTED_VALUE"""),4490)</f>
        <v>4490</v>
      </c>
      <c r="F1246" s="2">
        <f ca="1">IFERROR(__xludf.DUMMYFUNCTION("""COMPUTED_VALUE"""),102908000)</f>
        <v>102908000</v>
      </c>
    </row>
    <row r="1247" spans="1:6">
      <c r="A1247" s="5">
        <f ca="1">IFERROR(__xludf.DUMMYFUNCTION("""COMPUTED_VALUE"""),43886.625)</f>
        <v>43886.625</v>
      </c>
      <c r="B1247" s="2">
        <f ca="1">IFERROR(__xludf.DUMMYFUNCTION("""COMPUTED_VALUE"""),4460)</f>
        <v>4460</v>
      </c>
      <c r="C1247" s="2">
        <f ca="1">IFERROR(__xludf.DUMMYFUNCTION("""COMPUTED_VALUE"""),4550)</f>
        <v>4550</v>
      </c>
      <c r="D1247" s="2">
        <f ca="1">IFERROR(__xludf.DUMMYFUNCTION("""COMPUTED_VALUE"""),4460)</f>
        <v>4460</v>
      </c>
      <c r="E1247" s="2">
        <f ca="1">IFERROR(__xludf.DUMMYFUNCTION("""COMPUTED_VALUE"""),4500)</f>
        <v>4500</v>
      </c>
      <c r="F1247" s="2">
        <f ca="1">IFERROR(__xludf.DUMMYFUNCTION("""COMPUTED_VALUE"""),113929600)</f>
        <v>113929600</v>
      </c>
    </row>
    <row r="1248" spans="1:6">
      <c r="A1248" s="5">
        <f ca="1">IFERROR(__xludf.DUMMYFUNCTION("""COMPUTED_VALUE"""),43887.625)</f>
        <v>43887.625</v>
      </c>
      <c r="B1248" s="2">
        <f ca="1">IFERROR(__xludf.DUMMYFUNCTION("""COMPUTED_VALUE"""),4500)</f>
        <v>4500</v>
      </c>
      <c r="C1248" s="2">
        <f ca="1">IFERROR(__xludf.DUMMYFUNCTION("""COMPUTED_VALUE"""),4510)</f>
        <v>4510</v>
      </c>
      <c r="D1248" s="2">
        <f ca="1">IFERROR(__xludf.DUMMYFUNCTION("""COMPUTED_VALUE"""),4470)</f>
        <v>4470</v>
      </c>
      <c r="E1248" s="2">
        <f ca="1">IFERROR(__xludf.DUMMYFUNCTION("""COMPUTED_VALUE"""),4480)</f>
        <v>4480</v>
      </c>
      <c r="F1248" s="2">
        <f ca="1">IFERROR(__xludf.DUMMYFUNCTION("""COMPUTED_VALUE"""),149197600)</f>
        <v>149197600</v>
      </c>
    </row>
    <row r="1249" spans="1:6">
      <c r="A1249" s="5">
        <f ca="1">IFERROR(__xludf.DUMMYFUNCTION("""COMPUTED_VALUE"""),43888.625)</f>
        <v>43888.625</v>
      </c>
      <c r="B1249" s="2">
        <f ca="1">IFERROR(__xludf.DUMMYFUNCTION("""COMPUTED_VALUE"""),4380)</f>
        <v>4380</v>
      </c>
      <c r="C1249" s="2">
        <f ca="1">IFERROR(__xludf.DUMMYFUNCTION("""COMPUTED_VALUE"""),4380)</f>
        <v>4380</v>
      </c>
      <c r="D1249" s="2">
        <f ca="1">IFERROR(__xludf.DUMMYFUNCTION("""COMPUTED_VALUE"""),4120)</f>
        <v>4120</v>
      </c>
      <c r="E1249" s="2">
        <f ca="1">IFERROR(__xludf.DUMMYFUNCTION("""COMPUTED_VALUE"""),4130)</f>
        <v>4130</v>
      </c>
      <c r="F1249" s="2">
        <f ca="1">IFERROR(__xludf.DUMMYFUNCTION("""COMPUTED_VALUE"""),207157400)</f>
        <v>207157400</v>
      </c>
    </row>
    <row r="1250" spans="1:6">
      <c r="A1250" s="5">
        <f ca="1">IFERROR(__xludf.DUMMYFUNCTION("""COMPUTED_VALUE"""),43889.625)</f>
        <v>43889.625</v>
      </c>
      <c r="B1250" s="2">
        <f ca="1">IFERROR(__xludf.DUMMYFUNCTION("""COMPUTED_VALUE"""),3990)</f>
        <v>3990</v>
      </c>
      <c r="C1250" s="2">
        <f ca="1">IFERROR(__xludf.DUMMYFUNCTION("""COMPUTED_VALUE"""),4190)</f>
        <v>4190</v>
      </c>
      <c r="D1250" s="2">
        <f ca="1">IFERROR(__xludf.DUMMYFUNCTION("""COMPUTED_VALUE"""),3910)</f>
        <v>3910</v>
      </c>
      <c r="E1250" s="2">
        <f ca="1">IFERROR(__xludf.DUMMYFUNCTION("""COMPUTED_VALUE"""),4190)</f>
        <v>4190</v>
      </c>
      <c r="F1250" s="2">
        <f ca="1">IFERROR(__xludf.DUMMYFUNCTION("""COMPUTED_VALUE"""),191962700)</f>
        <v>191962700</v>
      </c>
    </row>
    <row r="1251" spans="1:6">
      <c r="A1251" s="5">
        <f ca="1">IFERROR(__xludf.DUMMYFUNCTION("""COMPUTED_VALUE"""),43892.625)</f>
        <v>43892.625</v>
      </c>
      <c r="B1251" s="2">
        <f ca="1">IFERROR(__xludf.DUMMYFUNCTION("""COMPUTED_VALUE"""),4190)</f>
        <v>4190</v>
      </c>
      <c r="C1251" s="2">
        <f ca="1">IFERROR(__xludf.DUMMYFUNCTION("""COMPUTED_VALUE"""),4200)</f>
        <v>4200</v>
      </c>
      <c r="D1251" s="2">
        <f ca="1">IFERROR(__xludf.DUMMYFUNCTION("""COMPUTED_VALUE"""),3980)</f>
        <v>3980</v>
      </c>
      <c r="E1251" s="2">
        <f ca="1">IFERROR(__xludf.DUMMYFUNCTION("""COMPUTED_VALUE"""),3980)</f>
        <v>3980</v>
      </c>
      <c r="F1251" s="2">
        <f ca="1">IFERROR(__xludf.DUMMYFUNCTION("""COMPUTED_VALUE"""),187659200)</f>
        <v>187659200</v>
      </c>
    </row>
    <row r="1252" spans="1:6">
      <c r="A1252" s="5">
        <f ca="1">IFERROR(__xludf.DUMMYFUNCTION("""COMPUTED_VALUE"""),43893.625)</f>
        <v>43893.625</v>
      </c>
      <c r="B1252" s="2">
        <f ca="1">IFERROR(__xludf.DUMMYFUNCTION("""COMPUTED_VALUE"""),4050)</f>
        <v>4050</v>
      </c>
      <c r="C1252" s="2">
        <f ca="1">IFERROR(__xludf.DUMMYFUNCTION("""COMPUTED_VALUE"""),4180)</f>
        <v>4180</v>
      </c>
      <c r="D1252" s="2">
        <f ca="1">IFERROR(__xludf.DUMMYFUNCTION("""COMPUTED_VALUE"""),4000)</f>
        <v>4000</v>
      </c>
      <c r="E1252" s="2">
        <f ca="1">IFERROR(__xludf.DUMMYFUNCTION("""COMPUTED_VALUE"""),4100)</f>
        <v>4100</v>
      </c>
      <c r="F1252" s="2">
        <f ca="1">IFERROR(__xludf.DUMMYFUNCTION("""COMPUTED_VALUE"""),198413400)</f>
        <v>198413400</v>
      </c>
    </row>
    <row r="1253" spans="1:6">
      <c r="A1253" s="5">
        <f ca="1">IFERROR(__xludf.DUMMYFUNCTION("""COMPUTED_VALUE"""),43894.625)</f>
        <v>43894.625</v>
      </c>
      <c r="B1253" s="2">
        <f ca="1">IFERROR(__xludf.DUMMYFUNCTION("""COMPUTED_VALUE"""),4140)</f>
        <v>4140</v>
      </c>
      <c r="C1253" s="2">
        <f ca="1">IFERROR(__xludf.DUMMYFUNCTION("""COMPUTED_VALUE"""),4240)</f>
        <v>4240</v>
      </c>
      <c r="D1253" s="2">
        <f ca="1">IFERROR(__xludf.DUMMYFUNCTION("""COMPUTED_VALUE"""),4130)</f>
        <v>4130</v>
      </c>
      <c r="E1253" s="2">
        <f ca="1">IFERROR(__xludf.DUMMYFUNCTION("""COMPUTED_VALUE"""),4220)</f>
        <v>4220</v>
      </c>
      <c r="F1253" s="2">
        <f ca="1">IFERROR(__xludf.DUMMYFUNCTION("""COMPUTED_VALUE"""),116305200)</f>
        <v>116305200</v>
      </c>
    </row>
    <row r="1254" spans="1:6">
      <c r="A1254" s="5">
        <f ca="1">IFERROR(__xludf.DUMMYFUNCTION("""COMPUTED_VALUE"""),43895.625)</f>
        <v>43895.625</v>
      </c>
      <c r="B1254" s="2">
        <f ca="1">IFERROR(__xludf.DUMMYFUNCTION("""COMPUTED_VALUE"""),4290)</f>
        <v>4290</v>
      </c>
      <c r="C1254" s="2">
        <f ca="1">IFERROR(__xludf.DUMMYFUNCTION("""COMPUTED_VALUE"""),4300)</f>
        <v>4300</v>
      </c>
      <c r="D1254" s="2">
        <f ca="1">IFERROR(__xludf.DUMMYFUNCTION("""COMPUTED_VALUE"""),4130)</f>
        <v>4130</v>
      </c>
      <c r="E1254" s="2">
        <f ca="1">IFERROR(__xludf.DUMMYFUNCTION("""COMPUTED_VALUE"""),4150)</f>
        <v>4150</v>
      </c>
      <c r="F1254" s="2">
        <f ca="1">IFERROR(__xludf.DUMMYFUNCTION("""COMPUTED_VALUE"""),133588200)</f>
        <v>133588200</v>
      </c>
    </row>
    <row r="1255" spans="1:6">
      <c r="A1255" s="5">
        <f ca="1">IFERROR(__xludf.DUMMYFUNCTION("""COMPUTED_VALUE"""),43896.625)</f>
        <v>43896.625</v>
      </c>
      <c r="B1255" s="2">
        <f ca="1">IFERROR(__xludf.DUMMYFUNCTION("""COMPUTED_VALUE"""),4040)</f>
        <v>4040</v>
      </c>
      <c r="C1255" s="2">
        <f ca="1">IFERROR(__xludf.DUMMYFUNCTION("""COMPUTED_VALUE"""),4050)</f>
        <v>4050</v>
      </c>
      <c r="D1255" s="2">
        <f ca="1">IFERROR(__xludf.DUMMYFUNCTION("""COMPUTED_VALUE"""),4000)</f>
        <v>4000</v>
      </c>
      <c r="E1255" s="2">
        <f ca="1">IFERROR(__xludf.DUMMYFUNCTION("""COMPUTED_VALUE"""),4010)</f>
        <v>4010</v>
      </c>
      <c r="F1255" s="2">
        <f ca="1">IFERROR(__xludf.DUMMYFUNCTION("""COMPUTED_VALUE"""),159391900)</f>
        <v>159391900</v>
      </c>
    </row>
    <row r="1256" spans="1:6">
      <c r="A1256" s="5">
        <f ca="1">IFERROR(__xludf.DUMMYFUNCTION("""COMPUTED_VALUE"""),43899.625)</f>
        <v>43899.625</v>
      </c>
      <c r="B1256" s="2">
        <f ca="1">IFERROR(__xludf.DUMMYFUNCTION("""COMPUTED_VALUE"""),3900)</f>
        <v>3900</v>
      </c>
      <c r="C1256" s="2">
        <f ca="1">IFERROR(__xludf.DUMMYFUNCTION("""COMPUTED_VALUE"""),3950)</f>
        <v>3950</v>
      </c>
      <c r="D1256" s="2">
        <f ca="1">IFERROR(__xludf.DUMMYFUNCTION("""COMPUTED_VALUE"""),3750)</f>
        <v>3750</v>
      </c>
      <c r="E1256" s="2">
        <f ca="1">IFERROR(__xludf.DUMMYFUNCTION("""COMPUTED_VALUE"""),3750)</f>
        <v>3750</v>
      </c>
      <c r="F1256" s="2">
        <f ca="1">IFERROR(__xludf.DUMMYFUNCTION("""COMPUTED_VALUE"""),149028700)</f>
        <v>149028700</v>
      </c>
    </row>
    <row r="1257" spans="1:6">
      <c r="A1257" s="5">
        <f ca="1">IFERROR(__xludf.DUMMYFUNCTION("""COMPUTED_VALUE"""),43900.625)</f>
        <v>43900.625</v>
      </c>
      <c r="B1257" s="2">
        <f ca="1">IFERROR(__xludf.DUMMYFUNCTION("""COMPUTED_VALUE"""),3780)</f>
        <v>3780</v>
      </c>
      <c r="C1257" s="2">
        <f ca="1">IFERROR(__xludf.DUMMYFUNCTION("""COMPUTED_VALUE"""),4030)</f>
        <v>4030</v>
      </c>
      <c r="D1257" s="2">
        <f ca="1">IFERROR(__xludf.DUMMYFUNCTION("""COMPUTED_VALUE"""),3780)</f>
        <v>3780</v>
      </c>
      <c r="E1257" s="2">
        <f ca="1">IFERROR(__xludf.DUMMYFUNCTION("""COMPUTED_VALUE"""),3910)</f>
        <v>3910</v>
      </c>
      <c r="F1257" s="2">
        <f ca="1">IFERROR(__xludf.DUMMYFUNCTION("""COMPUTED_VALUE"""),165975500)</f>
        <v>165975500</v>
      </c>
    </row>
    <row r="1258" spans="1:6">
      <c r="A1258" s="5">
        <f ca="1">IFERROR(__xludf.DUMMYFUNCTION("""COMPUTED_VALUE"""),43901.625)</f>
        <v>43901.625</v>
      </c>
      <c r="B1258" s="2">
        <f ca="1">IFERROR(__xludf.DUMMYFUNCTION("""COMPUTED_VALUE"""),3950)</f>
        <v>3950</v>
      </c>
      <c r="C1258" s="2">
        <f ca="1">IFERROR(__xludf.DUMMYFUNCTION("""COMPUTED_VALUE"""),4030)</f>
        <v>4030</v>
      </c>
      <c r="D1258" s="2">
        <f ca="1">IFERROR(__xludf.DUMMYFUNCTION("""COMPUTED_VALUE"""),3880)</f>
        <v>3880</v>
      </c>
      <c r="E1258" s="2">
        <f ca="1">IFERROR(__xludf.DUMMYFUNCTION("""COMPUTED_VALUE"""),3910)</f>
        <v>3910</v>
      </c>
      <c r="F1258" s="2">
        <f ca="1">IFERROR(__xludf.DUMMYFUNCTION("""COMPUTED_VALUE"""),177519900)</f>
        <v>177519900</v>
      </c>
    </row>
    <row r="1259" spans="1:6">
      <c r="A1259" s="5">
        <f ca="1">IFERROR(__xludf.DUMMYFUNCTION("""COMPUTED_VALUE"""),43902.625)</f>
        <v>43902.625</v>
      </c>
      <c r="B1259" s="2">
        <f ca="1">IFERROR(__xludf.DUMMYFUNCTION("""COMPUTED_VALUE"""),3820)</f>
        <v>3820</v>
      </c>
      <c r="C1259" s="2">
        <f ca="1">IFERROR(__xludf.DUMMYFUNCTION("""COMPUTED_VALUE"""),3840)</f>
        <v>3840</v>
      </c>
      <c r="D1259" s="2">
        <f ca="1">IFERROR(__xludf.DUMMYFUNCTION("""COMPUTED_VALUE"""),3600)</f>
        <v>3600</v>
      </c>
      <c r="E1259" s="2">
        <f ca="1">IFERROR(__xludf.DUMMYFUNCTION("""COMPUTED_VALUE"""),3610)</f>
        <v>3610</v>
      </c>
      <c r="F1259" s="2">
        <f ca="1">IFERROR(__xludf.DUMMYFUNCTION("""COMPUTED_VALUE"""),151940600)</f>
        <v>151940600</v>
      </c>
    </row>
    <row r="1260" spans="1:6">
      <c r="A1260" s="5">
        <f ca="1">IFERROR(__xludf.DUMMYFUNCTION("""COMPUTED_VALUE"""),43903.625)</f>
        <v>43903.625</v>
      </c>
      <c r="B1260" s="2">
        <f ca="1">IFERROR(__xludf.DUMMYFUNCTION("""COMPUTED_VALUE"""),3610)</f>
        <v>3610</v>
      </c>
      <c r="C1260" s="2">
        <f ca="1">IFERROR(__xludf.DUMMYFUNCTION("""COMPUTED_VALUE"""),3770)</f>
        <v>3770</v>
      </c>
      <c r="D1260" s="2">
        <f ca="1">IFERROR(__xludf.DUMMYFUNCTION("""COMPUTED_VALUE"""),3360)</f>
        <v>3360</v>
      </c>
      <c r="E1260" s="2">
        <f ca="1">IFERROR(__xludf.DUMMYFUNCTION("""COMPUTED_VALUE"""),3720)</f>
        <v>3720</v>
      </c>
      <c r="F1260" s="2">
        <f ca="1">IFERROR(__xludf.DUMMYFUNCTION("""COMPUTED_VALUE"""),268837000)</f>
        <v>268837000</v>
      </c>
    </row>
    <row r="1261" spans="1:6">
      <c r="A1261" s="5">
        <f ca="1">IFERROR(__xludf.DUMMYFUNCTION("""COMPUTED_VALUE"""),43906.625)</f>
        <v>43906.625</v>
      </c>
      <c r="B1261" s="2">
        <f ca="1">IFERROR(__xludf.DUMMYFUNCTION("""COMPUTED_VALUE"""),3750)</f>
        <v>3750</v>
      </c>
      <c r="C1261" s="2">
        <f ca="1">IFERROR(__xludf.DUMMYFUNCTION("""COMPUTED_VALUE"""),3750)</f>
        <v>3750</v>
      </c>
      <c r="D1261" s="2">
        <f ca="1">IFERROR(__xludf.DUMMYFUNCTION("""COMPUTED_VALUE"""),3460)</f>
        <v>3460</v>
      </c>
      <c r="E1261" s="2">
        <f ca="1">IFERROR(__xludf.DUMMYFUNCTION("""COMPUTED_VALUE"""),3500)</f>
        <v>3500</v>
      </c>
      <c r="F1261" s="2">
        <f ca="1">IFERROR(__xludf.DUMMYFUNCTION("""COMPUTED_VALUE"""),178420500)</f>
        <v>178420500</v>
      </c>
    </row>
    <row r="1262" spans="1:6">
      <c r="A1262" s="5">
        <f ca="1">IFERROR(__xludf.DUMMYFUNCTION("""COMPUTED_VALUE"""),43907.625)</f>
        <v>43907.625</v>
      </c>
      <c r="B1262" s="2">
        <f ca="1">IFERROR(__xludf.DUMMYFUNCTION("""COMPUTED_VALUE"""),3500)</f>
        <v>3500</v>
      </c>
      <c r="C1262" s="2">
        <f ca="1">IFERROR(__xludf.DUMMYFUNCTION("""COMPUTED_VALUE"""),3570)</f>
        <v>3570</v>
      </c>
      <c r="D1262" s="2">
        <f ca="1">IFERROR(__xludf.DUMMYFUNCTION("""COMPUTED_VALUE"""),3260)</f>
        <v>3260</v>
      </c>
      <c r="E1262" s="2">
        <f ca="1">IFERROR(__xludf.DUMMYFUNCTION("""COMPUTED_VALUE"""),3260)</f>
        <v>3260</v>
      </c>
      <c r="F1262" s="2">
        <f ca="1">IFERROR(__xludf.DUMMYFUNCTION("""COMPUTED_VALUE"""),208568600)</f>
        <v>208568600</v>
      </c>
    </row>
    <row r="1263" spans="1:6">
      <c r="A1263" s="5">
        <f ca="1">IFERROR(__xludf.DUMMYFUNCTION("""COMPUTED_VALUE"""),43908.625)</f>
        <v>43908.625</v>
      </c>
      <c r="B1263" s="2">
        <f ca="1">IFERROR(__xludf.DUMMYFUNCTION("""COMPUTED_VALUE"""),3270)</f>
        <v>3270</v>
      </c>
      <c r="C1263" s="2">
        <f ca="1">IFERROR(__xludf.DUMMYFUNCTION("""COMPUTED_VALUE"""),3440)</f>
        <v>3440</v>
      </c>
      <c r="D1263" s="2">
        <f ca="1">IFERROR(__xludf.DUMMYFUNCTION("""COMPUTED_VALUE"""),3090)</f>
        <v>3090</v>
      </c>
      <c r="E1263" s="2">
        <f ca="1">IFERROR(__xludf.DUMMYFUNCTION("""COMPUTED_VALUE"""),3140)</f>
        <v>3140</v>
      </c>
      <c r="F1263" s="2">
        <f ca="1">IFERROR(__xludf.DUMMYFUNCTION("""COMPUTED_VALUE"""),248104200)</f>
        <v>248104200</v>
      </c>
    </row>
    <row r="1264" spans="1:6">
      <c r="A1264" s="5">
        <f ca="1">IFERROR(__xludf.DUMMYFUNCTION("""COMPUTED_VALUE"""),43909.625)</f>
        <v>43909.625</v>
      </c>
      <c r="B1264" s="2">
        <f ca="1">IFERROR(__xludf.DUMMYFUNCTION("""COMPUTED_VALUE"""),3130)</f>
        <v>3130</v>
      </c>
      <c r="C1264" s="2">
        <f ca="1">IFERROR(__xludf.DUMMYFUNCTION("""COMPUTED_VALUE"""),3140)</f>
        <v>3140</v>
      </c>
      <c r="D1264" s="2">
        <f ca="1">IFERROR(__xludf.DUMMYFUNCTION("""COMPUTED_VALUE"""),2930)</f>
        <v>2930</v>
      </c>
      <c r="E1264" s="2">
        <f ca="1">IFERROR(__xludf.DUMMYFUNCTION("""COMPUTED_VALUE"""),2930)</f>
        <v>2930</v>
      </c>
      <c r="F1264" s="2">
        <f ca="1">IFERROR(__xludf.DUMMYFUNCTION("""COMPUTED_VALUE"""),137946900)</f>
        <v>137946900</v>
      </c>
    </row>
    <row r="1265" spans="1:6">
      <c r="A1265" s="5">
        <f ca="1">IFERROR(__xludf.DUMMYFUNCTION("""COMPUTED_VALUE"""),43910.625)</f>
        <v>43910.625</v>
      </c>
      <c r="B1265" s="2">
        <f ca="1">IFERROR(__xludf.DUMMYFUNCTION("""COMPUTED_VALUE"""),2930)</f>
        <v>2930</v>
      </c>
      <c r="C1265" s="2">
        <f ca="1">IFERROR(__xludf.DUMMYFUNCTION("""COMPUTED_VALUE"""),2970)</f>
        <v>2970</v>
      </c>
      <c r="D1265" s="2">
        <f ca="1">IFERROR(__xludf.DUMMYFUNCTION("""COMPUTED_VALUE"""),2730)</f>
        <v>2730</v>
      </c>
      <c r="E1265" s="2">
        <f ca="1">IFERROR(__xludf.DUMMYFUNCTION("""COMPUTED_VALUE"""),2810)</f>
        <v>2810</v>
      </c>
      <c r="F1265" s="2">
        <f ca="1">IFERROR(__xludf.DUMMYFUNCTION("""COMPUTED_VALUE"""),598363000)</f>
        <v>598363000</v>
      </c>
    </row>
    <row r="1266" spans="1:6">
      <c r="A1266" s="5">
        <f ca="1">IFERROR(__xludf.DUMMYFUNCTION("""COMPUTED_VALUE"""),43913.625)</f>
        <v>43913.625</v>
      </c>
      <c r="B1266" s="2">
        <f ca="1">IFERROR(__xludf.DUMMYFUNCTION("""COMPUTED_VALUE"""),2650)</f>
        <v>2650</v>
      </c>
      <c r="C1266" s="2">
        <f ca="1">IFERROR(__xludf.DUMMYFUNCTION("""COMPUTED_VALUE"""),2700)</f>
        <v>2700</v>
      </c>
      <c r="D1266" s="2">
        <f ca="1">IFERROR(__xludf.DUMMYFUNCTION("""COMPUTED_VALUE"""),2620)</f>
        <v>2620</v>
      </c>
      <c r="E1266" s="2">
        <f ca="1">IFERROR(__xludf.DUMMYFUNCTION("""COMPUTED_VALUE"""),2620)</f>
        <v>2620</v>
      </c>
      <c r="F1266" s="2">
        <f ca="1">IFERROR(__xludf.DUMMYFUNCTION("""COMPUTED_VALUE"""),164404600)</f>
        <v>164404600</v>
      </c>
    </row>
    <row r="1267" spans="1:6">
      <c r="A1267" s="5">
        <f ca="1">IFERROR(__xludf.DUMMYFUNCTION("""COMPUTED_VALUE"""),43914.625)</f>
        <v>43914.625</v>
      </c>
      <c r="B1267" s="2">
        <f ca="1">IFERROR(__xludf.DUMMYFUNCTION("""COMPUTED_VALUE"""),2580)</f>
        <v>2580</v>
      </c>
      <c r="C1267" s="2">
        <f ca="1">IFERROR(__xludf.DUMMYFUNCTION("""COMPUTED_VALUE"""),2750)</f>
        <v>2750</v>
      </c>
      <c r="D1267" s="2">
        <f ca="1">IFERROR(__xludf.DUMMYFUNCTION("""COMPUTED_VALUE"""),2440)</f>
        <v>2440</v>
      </c>
      <c r="E1267" s="2">
        <f ca="1">IFERROR(__xludf.DUMMYFUNCTION("""COMPUTED_VALUE"""),2440)</f>
        <v>2440</v>
      </c>
      <c r="F1267" s="2">
        <f ca="1">IFERROR(__xludf.DUMMYFUNCTION("""COMPUTED_VALUE"""),495129300)</f>
        <v>495129300</v>
      </c>
    </row>
    <row r="1268" spans="1:6">
      <c r="A1268" s="5">
        <f ca="1">IFERROR(__xludf.DUMMYFUNCTION("""COMPUTED_VALUE"""),43916.625)</f>
        <v>43916.625</v>
      </c>
      <c r="B1268" s="2">
        <f ca="1">IFERROR(__xludf.DUMMYFUNCTION("""COMPUTED_VALUE"""),2500)</f>
        <v>2500</v>
      </c>
      <c r="C1268" s="2">
        <f ca="1">IFERROR(__xludf.DUMMYFUNCTION("""COMPUTED_VALUE"""),3000)</f>
        <v>3000</v>
      </c>
      <c r="D1268" s="2">
        <f ca="1">IFERROR(__xludf.DUMMYFUNCTION("""COMPUTED_VALUE"""),2500)</f>
        <v>2500</v>
      </c>
      <c r="E1268" s="2">
        <f ca="1">IFERROR(__xludf.DUMMYFUNCTION("""COMPUTED_VALUE"""),2940)</f>
        <v>2940</v>
      </c>
      <c r="F1268" s="2">
        <f ca="1">IFERROR(__xludf.DUMMYFUNCTION("""COMPUTED_VALUE"""),634588200)</f>
        <v>634588200</v>
      </c>
    </row>
    <row r="1269" spans="1:6">
      <c r="A1269" s="5">
        <f ca="1">IFERROR(__xludf.DUMMYFUNCTION("""COMPUTED_VALUE"""),43917.625)</f>
        <v>43917.625</v>
      </c>
      <c r="B1269" s="2">
        <f ca="1">IFERROR(__xludf.DUMMYFUNCTION("""COMPUTED_VALUE"""),3000)</f>
        <v>3000</v>
      </c>
      <c r="C1269" s="2">
        <f ca="1">IFERROR(__xludf.DUMMYFUNCTION("""COMPUTED_VALUE"""),3670)</f>
        <v>3670</v>
      </c>
      <c r="D1269" s="2">
        <f ca="1">IFERROR(__xludf.DUMMYFUNCTION("""COMPUTED_VALUE"""),3000)</f>
        <v>3000</v>
      </c>
      <c r="E1269" s="2">
        <f ca="1">IFERROR(__xludf.DUMMYFUNCTION("""COMPUTED_VALUE"""),3230)</f>
        <v>3230</v>
      </c>
      <c r="F1269" s="2">
        <f ca="1">IFERROR(__xludf.DUMMYFUNCTION("""COMPUTED_VALUE"""),480930500)</f>
        <v>480930500</v>
      </c>
    </row>
    <row r="1270" spans="1:6">
      <c r="A1270" s="5">
        <f ca="1">IFERROR(__xludf.DUMMYFUNCTION("""COMPUTED_VALUE"""),43920.625)</f>
        <v>43920.625</v>
      </c>
      <c r="B1270" s="2">
        <f ca="1">IFERROR(__xludf.DUMMYFUNCTION("""COMPUTED_VALUE"""),3150)</f>
        <v>3150</v>
      </c>
      <c r="C1270" s="2">
        <f ca="1">IFERROR(__xludf.DUMMYFUNCTION("""COMPUTED_VALUE"""),3150)</f>
        <v>3150</v>
      </c>
      <c r="D1270" s="2">
        <f ca="1">IFERROR(__xludf.DUMMYFUNCTION("""COMPUTED_VALUE"""),3010)</f>
        <v>3010</v>
      </c>
      <c r="E1270" s="2">
        <f ca="1">IFERROR(__xludf.DUMMYFUNCTION("""COMPUTED_VALUE"""),3010)</f>
        <v>3010</v>
      </c>
      <c r="F1270" s="2">
        <f ca="1">IFERROR(__xludf.DUMMYFUNCTION("""COMPUTED_VALUE"""),217509200)</f>
        <v>217509200</v>
      </c>
    </row>
    <row r="1271" spans="1:6">
      <c r="A1271" s="5">
        <f ca="1">IFERROR(__xludf.DUMMYFUNCTION("""COMPUTED_VALUE"""),43921.625)</f>
        <v>43921.625</v>
      </c>
      <c r="B1271" s="2">
        <f ca="1">IFERROR(__xludf.DUMMYFUNCTION("""COMPUTED_VALUE"""),3100)</f>
        <v>3100</v>
      </c>
      <c r="C1271" s="2">
        <f ca="1">IFERROR(__xludf.DUMMYFUNCTION("""COMPUTED_VALUE"""),3200)</f>
        <v>3200</v>
      </c>
      <c r="D1271" s="2">
        <f ca="1">IFERROR(__xludf.DUMMYFUNCTION("""COMPUTED_VALUE"""),2970)</f>
        <v>2970</v>
      </c>
      <c r="E1271" s="2">
        <f ca="1">IFERROR(__xludf.DUMMYFUNCTION("""COMPUTED_VALUE"""),3020)</f>
        <v>3020</v>
      </c>
      <c r="F1271" s="2">
        <f ca="1">IFERROR(__xludf.DUMMYFUNCTION("""COMPUTED_VALUE"""),314996600)</f>
        <v>314996600</v>
      </c>
    </row>
    <row r="1272" spans="1:6">
      <c r="A1272" s="5">
        <f ca="1">IFERROR(__xludf.DUMMYFUNCTION("""COMPUTED_VALUE"""),43922.625)</f>
        <v>43922.625</v>
      </c>
      <c r="B1272" s="2">
        <f ca="1">IFERROR(__xludf.DUMMYFUNCTION("""COMPUTED_VALUE"""),3010)</f>
        <v>3010</v>
      </c>
      <c r="C1272" s="2">
        <f ca="1">IFERROR(__xludf.DUMMYFUNCTION("""COMPUTED_VALUE"""),3080)</f>
        <v>3080</v>
      </c>
      <c r="D1272" s="2">
        <f ca="1">IFERROR(__xludf.DUMMYFUNCTION("""COMPUTED_VALUE"""),2900)</f>
        <v>2900</v>
      </c>
      <c r="E1272" s="2">
        <f ca="1">IFERROR(__xludf.DUMMYFUNCTION("""COMPUTED_VALUE"""),2930)</f>
        <v>2930</v>
      </c>
      <c r="F1272" s="2">
        <f ca="1">IFERROR(__xludf.DUMMYFUNCTION("""COMPUTED_VALUE"""),271743600)</f>
        <v>271743600</v>
      </c>
    </row>
    <row r="1273" spans="1:6">
      <c r="A1273" s="5">
        <f ca="1">IFERROR(__xludf.DUMMYFUNCTION("""COMPUTED_VALUE"""),43923.625)</f>
        <v>43923.625</v>
      </c>
      <c r="B1273" s="2">
        <f ca="1">IFERROR(__xludf.DUMMYFUNCTION("""COMPUTED_VALUE"""),2850)</f>
        <v>2850</v>
      </c>
      <c r="C1273" s="2">
        <f ca="1">IFERROR(__xludf.DUMMYFUNCTION("""COMPUTED_VALUE"""),2900)</f>
        <v>2900</v>
      </c>
      <c r="D1273" s="2">
        <f ca="1">IFERROR(__xludf.DUMMYFUNCTION("""COMPUTED_VALUE"""),2800)</f>
        <v>2800</v>
      </c>
      <c r="E1273" s="2">
        <f ca="1">IFERROR(__xludf.DUMMYFUNCTION("""COMPUTED_VALUE"""),2870)</f>
        <v>2870</v>
      </c>
      <c r="F1273" s="2">
        <f ca="1">IFERROR(__xludf.DUMMYFUNCTION("""COMPUTED_VALUE"""),299882400)</f>
        <v>299882400</v>
      </c>
    </row>
    <row r="1274" spans="1:6">
      <c r="A1274" s="5">
        <f ca="1">IFERROR(__xludf.DUMMYFUNCTION("""COMPUTED_VALUE"""),43924.625)</f>
        <v>43924.625</v>
      </c>
      <c r="B1274" s="2">
        <f ca="1">IFERROR(__xludf.DUMMYFUNCTION("""COMPUTED_VALUE"""),2930)</f>
        <v>2930</v>
      </c>
      <c r="C1274" s="2">
        <f ca="1">IFERROR(__xludf.DUMMYFUNCTION("""COMPUTED_VALUE"""),2950)</f>
        <v>2950</v>
      </c>
      <c r="D1274" s="2">
        <f ca="1">IFERROR(__xludf.DUMMYFUNCTION("""COMPUTED_VALUE"""),2830)</f>
        <v>2830</v>
      </c>
      <c r="E1274" s="2">
        <f ca="1">IFERROR(__xludf.DUMMYFUNCTION("""COMPUTED_VALUE"""),2890)</f>
        <v>2890</v>
      </c>
      <c r="F1274" s="2">
        <f ca="1">IFERROR(__xludf.DUMMYFUNCTION("""COMPUTED_VALUE"""),293146900)</f>
        <v>293146900</v>
      </c>
    </row>
    <row r="1275" spans="1:6">
      <c r="A1275" s="5">
        <f ca="1">IFERROR(__xludf.DUMMYFUNCTION("""COMPUTED_VALUE"""),43927.625)</f>
        <v>43927.625</v>
      </c>
      <c r="B1275" s="2">
        <f ca="1">IFERROR(__xludf.DUMMYFUNCTION("""COMPUTED_VALUE"""),2950)</f>
        <v>2950</v>
      </c>
      <c r="C1275" s="2">
        <f ca="1">IFERROR(__xludf.DUMMYFUNCTION("""COMPUTED_VALUE"""),3030)</f>
        <v>3030</v>
      </c>
      <c r="D1275" s="2">
        <f ca="1">IFERROR(__xludf.DUMMYFUNCTION("""COMPUTED_VALUE"""),2910)</f>
        <v>2910</v>
      </c>
      <c r="E1275" s="2">
        <f ca="1">IFERROR(__xludf.DUMMYFUNCTION("""COMPUTED_VALUE"""),3020)</f>
        <v>3020</v>
      </c>
      <c r="F1275" s="2">
        <f ca="1">IFERROR(__xludf.DUMMYFUNCTION("""COMPUTED_VALUE"""),285099900)</f>
        <v>285099900</v>
      </c>
    </row>
    <row r="1276" spans="1:6">
      <c r="A1276" s="5">
        <f ca="1">IFERROR(__xludf.DUMMYFUNCTION("""COMPUTED_VALUE"""),43928.625)</f>
        <v>43928.625</v>
      </c>
      <c r="B1276" s="2">
        <f ca="1">IFERROR(__xludf.DUMMYFUNCTION("""COMPUTED_VALUE"""),3100)</f>
        <v>3100</v>
      </c>
      <c r="C1276" s="2">
        <f ca="1">IFERROR(__xludf.DUMMYFUNCTION("""COMPUTED_VALUE"""),3240)</f>
        <v>3240</v>
      </c>
      <c r="D1276" s="2">
        <f ca="1">IFERROR(__xludf.DUMMYFUNCTION("""COMPUTED_VALUE"""),2950)</f>
        <v>2950</v>
      </c>
      <c r="E1276" s="2">
        <f ca="1">IFERROR(__xludf.DUMMYFUNCTION("""COMPUTED_VALUE"""),3030)</f>
        <v>3030</v>
      </c>
      <c r="F1276" s="2">
        <f ca="1">IFERROR(__xludf.DUMMYFUNCTION("""COMPUTED_VALUE"""),405389200)</f>
        <v>405389200</v>
      </c>
    </row>
    <row r="1277" spans="1:6">
      <c r="A1277" s="5">
        <f ca="1">IFERROR(__xludf.DUMMYFUNCTION("""COMPUTED_VALUE"""),43929.625)</f>
        <v>43929.625</v>
      </c>
      <c r="B1277" s="2">
        <f ca="1">IFERROR(__xludf.DUMMYFUNCTION("""COMPUTED_VALUE"""),3000)</f>
        <v>3000</v>
      </c>
      <c r="C1277" s="2">
        <f ca="1">IFERROR(__xludf.DUMMYFUNCTION("""COMPUTED_VALUE"""),3040)</f>
        <v>3040</v>
      </c>
      <c r="D1277" s="2">
        <f ca="1">IFERROR(__xludf.DUMMYFUNCTION("""COMPUTED_VALUE"""),2820)</f>
        <v>2820</v>
      </c>
      <c r="E1277" s="2">
        <f ca="1">IFERROR(__xludf.DUMMYFUNCTION("""COMPUTED_VALUE"""),2820)</f>
        <v>2820</v>
      </c>
      <c r="F1277" s="2">
        <f ca="1">IFERROR(__xludf.DUMMYFUNCTION("""COMPUTED_VALUE"""),292946600)</f>
        <v>292946600</v>
      </c>
    </row>
    <row r="1278" spans="1:6">
      <c r="A1278" s="5">
        <f ca="1">IFERROR(__xludf.DUMMYFUNCTION("""COMPUTED_VALUE"""),43930.625)</f>
        <v>43930.625</v>
      </c>
      <c r="B1278" s="2">
        <f ca="1">IFERROR(__xludf.DUMMYFUNCTION("""COMPUTED_VALUE"""),2860)</f>
        <v>2860</v>
      </c>
      <c r="C1278" s="2">
        <f ca="1">IFERROR(__xludf.DUMMYFUNCTION("""COMPUTED_VALUE"""),2910)</f>
        <v>2910</v>
      </c>
      <c r="D1278" s="2">
        <f ca="1">IFERROR(__xludf.DUMMYFUNCTION("""COMPUTED_VALUE"""),2750)</f>
        <v>2750</v>
      </c>
      <c r="E1278" s="2">
        <f ca="1">IFERROR(__xludf.DUMMYFUNCTION("""COMPUTED_VALUE"""),2790)</f>
        <v>2790</v>
      </c>
      <c r="F1278" s="2">
        <f ca="1">IFERROR(__xludf.DUMMYFUNCTION("""COMPUTED_VALUE"""),265787000)</f>
        <v>265787000</v>
      </c>
    </row>
    <row r="1279" spans="1:6">
      <c r="A1279" s="5">
        <f ca="1">IFERROR(__xludf.DUMMYFUNCTION("""COMPUTED_VALUE"""),43934.625)</f>
        <v>43934.625</v>
      </c>
      <c r="B1279" s="2">
        <f ca="1">IFERROR(__xludf.DUMMYFUNCTION("""COMPUTED_VALUE"""),2790)</f>
        <v>2790</v>
      </c>
      <c r="C1279" s="2">
        <f ca="1">IFERROR(__xludf.DUMMYFUNCTION("""COMPUTED_VALUE"""),2840)</f>
        <v>2840</v>
      </c>
      <c r="D1279" s="2">
        <f ca="1">IFERROR(__xludf.DUMMYFUNCTION("""COMPUTED_VALUE"""),2700)</f>
        <v>2700</v>
      </c>
      <c r="E1279" s="2">
        <f ca="1">IFERROR(__xludf.DUMMYFUNCTION("""COMPUTED_VALUE"""),2770)</f>
        <v>2770</v>
      </c>
      <c r="F1279" s="2">
        <f ca="1">IFERROR(__xludf.DUMMYFUNCTION("""COMPUTED_VALUE"""),123731400)</f>
        <v>123731400</v>
      </c>
    </row>
    <row r="1280" spans="1:6">
      <c r="A1280" s="5">
        <f ca="1">IFERROR(__xludf.DUMMYFUNCTION("""COMPUTED_VALUE"""),43935.625)</f>
        <v>43935.625</v>
      </c>
      <c r="B1280" s="2">
        <f ca="1">IFERROR(__xludf.DUMMYFUNCTION("""COMPUTED_VALUE"""),2790)</f>
        <v>2790</v>
      </c>
      <c r="C1280" s="2">
        <f ca="1">IFERROR(__xludf.DUMMYFUNCTION("""COMPUTED_VALUE"""),2900)</f>
        <v>2900</v>
      </c>
      <c r="D1280" s="2">
        <f ca="1">IFERROR(__xludf.DUMMYFUNCTION("""COMPUTED_VALUE"""),2770)</f>
        <v>2770</v>
      </c>
      <c r="E1280" s="2">
        <f ca="1">IFERROR(__xludf.DUMMYFUNCTION("""COMPUTED_VALUE"""),2900)</f>
        <v>2900</v>
      </c>
      <c r="F1280" s="2">
        <f ca="1">IFERROR(__xludf.DUMMYFUNCTION("""COMPUTED_VALUE"""),219734000)</f>
        <v>219734000</v>
      </c>
    </row>
    <row r="1281" spans="1:6">
      <c r="A1281" s="5">
        <f ca="1">IFERROR(__xludf.DUMMYFUNCTION("""COMPUTED_VALUE"""),43936.625)</f>
        <v>43936.625</v>
      </c>
      <c r="B1281" s="2">
        <f ca="1">IFERROR(__xludf.DUMMYFUNCTION("""COMPUTED_VALUE"""),2900)</f>
        <v>2900</v>
      </c>
      <c r="C1281" s="2">
        <f ca="1">IFERROR(__xludf.DUMMYFUNCTION("""COMPUTED_VALUE"""),2990)</f>
        <v>2990</v>
      </c>
      <c r="D1281" s="2">
        <f ca="1">IFERROR(__xludf.DUMMYFUNCTION("""COMPUTED_VALUE"""),2730)</f>
        <v>2730</v>
      </c>
      <c r="E1281" s="2">
        <f ca="1">IFERROR(__xludf.DUMMYFUNCTION("""COMPUTED_VALUE"""),2760)</f>
        <v>2760</v>
      </c>
      <c r="F1281" s="2">
        <f ca="1">IFERROR(__xludf.DUMMYFUNCTION("""COMPUTED_VALUE"""),319095100)</f>
        <v>319095100</v>
      </c>
    </row>
    <row r="1282" spans="1:6">
      <c r="A1282" s="5">
        <f ca="1">IFERROR(__xludf.DUMMYFUNCTION("""COMPUTED_VALUE"""),43937.625)</f>
        <v>43937.625</v>
      </c>
      <c r="B1282" s="2">
        <f ca="1">IFERROR(__xludf.DUMMYFUNCTION("""COMPUTED_VALUE"""),2770)</f>
        <v>2770</v>
      </c>
      <c r="C1282" s="2">
        <f ca="1">IFERROR(__xludf.DUMMYFUNCTION("""COMPUTED_VALUE"""),2770)</f>
        <v>2770</v>
      </c>
      <c r="D1282" s="2">
        <f ca="1">IFERROR(__xludf.DUMMYFUNCTION("""COMPUTED_VALUE"""),2580)</f>
        <v>2580</v>
      </c>
      <c r="E1282" s="2">
        <f ca="1">IFERROR(__xludf.DUMMYFUNCTION("""COMPUTED_VALUE"""),2610)</f>
        <v>2610</v>
      </c>
      <c r="F1282" s="2">
        <f ca="1">IFERROR(__xludf.DUMMYFUNCTION("""COMPUTED_VALUE"""),367748800)</f>
        <v>367748800</v>
      </c>
    </row>
    <row r="1283" spans="1:6">
      <c r="A1283" s="5">
        <f ca="1">IFERROR(__xludf.DUMMYFUNCTION("""COMPUTED_VALUE"""),43938.625)</f>
        <v>43938.625</v>
      </c>
      <c r="B1283" s="2">
        <f ca="1">IFERROR(__xludf.DUMMYFUNCTION("""COMPUTED_VALUE"""),2670)</f>
        <v>2670</v>
      </c>
      <c r="C1283" s="2">
        <f ca="1">IFERROR(__xludf.DUMMYFUNCTION("""COMPUTED_VALUE"""),2840)</f>
        <v>2840</v>
      </c>
      <c r="D1283" s="2">
        <f ca="1">IFERROR(__xludf.DUMMYFUNCTION("""COMPUTED_VALUE"""),2660)</f>
        <v>2660</v>
      </c>
      <c r="E1283" s="2">
        <f ca="1">IFERROR(__xludf.DUMMYFUNCTION("""COMPUTED_VALUE"""),2830)</f>
        <v>2830</v>
      </c>
      <c r="F1283" s="2">
        <f ca="1">IFERROR(__xludf.DUMMYFUNCTION("""COMPUTED_VALUE"""),402325500)</f>
        <v>402325500</v>
      </c>
    </row>
    <row r="1284" spans="1:6">
      <c r="A1284" s="5">
        <f ca="1">IFERROR(__xludf.DUMMYFUNCTION("""COMPUTED_VALUE"""),43941.625)</f>
        <v>43941.625</v>
      </c>
      <c r="B1284" s="2">
        <f ca="1">IFERROR(__xludf.DUMMYFUNCTION("""COMPUTED_VALUE"""),2880)</f>
        <v>2880</v>
      </c>
      <c r="C1284" s="2">
        <f ca="1">IFERROR(__xludf.DUMMYFUNCTION("""COMPUTED_VALUE"""),2900)</f>
        <v>2900</v>
      </c>
      <c r="D1284" s="2">
        <f ca="1">IFERROR(__xludf.DUMMYFUNCTION("""COMPUTED_VALUE"""),2760)</f>
        <v>2760</v>
      </c>
      <c r="E1284" s="2">
        <f ca="1">IFERROR(__xludf.DUMMYFUNCTION("""COMPUTED_VALUE"""),2780)</f>
        <v>2780</v>
      </c>
      <c r="F1284" s="2">
        <f ca="1">IFERROR(__xludf.DUMMYFUNCTION("""COMPUTED_VALUE"""),222008500)</f>
        <v>222008500</v>
      </c>
    </row>
    <row r="1285" spans="1:6">
      <c r="A1285" s="5">
        <f ca="1">IFERROR(__xludf.DUMMYFUNCTION("""COMPUTED_VALUE"""),43942.625)</f>
        <v>43942.625</v>
      </c>
      <c r="B1285" s="2">
        <f ca="1">IFERROR(__xludf.DUMMYFUNCTION("""COMPUTED_VALUE"""),2750)</f>
        <v>2750</v>
      </c>
      <c r="C1285" s="2">
        <f ca="1">IFERROR(__xludf.DUMMYFUNCTION("""COMPUTED_VALUE"""),2790)</f>
        <v>2790</v>
      </c>
      <c r="D1285" s="2">
        <f ca="1">IFERROR(__xludf.DUMMYFUNCTION("""COMPUTED_VALUE"""),2690)</f>
        <v>2690</v>
      </c>
      <c r="E1285" s="2">
        <f ca="1">IFERROR(__xludf.DUMMYFUNCTION("""COMPUTED_VALUE"""),2720)</f>
        <v>2720</v>
      </c>
      <c r="F1285" s="2">
        <f ca="1">IFERROR(__xludf.DUMMYFUNCTION("""COMPUTED_VALUE"""),132873300)</f>
        <v>132873300</v>
      </c>
    </row>
    <row r="1286" spans="1:6">
      <c r="A1286" s="5">
        <f ca="1">IFERROR(__xludf.DUMMYFUNCTION("""COMPUTED_VALUE"""),43943.625)</f>
        <v>43943.625</v>
      </c>
      <c r="B1286" s="2">
        <f ca="1">IFERROR(__xludf.DUMMYFUNCTION("""COMPUTED_VALUE"""),2700)</f>
        <v>2700</v>
      </c>
      <c r="C1286" s="2">
        <f ca="1">IFERROR(__xludf.DUMMYFUNCTION("""COMPUTED_VALUE"""),2830)</f>
        <v>2830</v>
      </c>
      <c r="D1286" s="2">
        <f ca="1">IFERROR(__xludf.DUMMYFUNCTION("""COMPUTED_VALUE"""),2650)</f>
        <v>2650</v>
      </c>
      <c r="E1286" s="2">
        <f ca="1">IFERROR(__xludf.DUMMYFUNCTION("""COMPUTED_VALUE"""),2790)</f>
        <v>2790</v>
      </c>
      <c r="F1286" s="2">
        <f ca="1">IFERROR(__xludf.DUMMYFUNCTION("""COMPUTED_VALUE"""),179543300)</f>
        <v>179543300</v>
      </c>
    </row>
    <row r="1287" spans="1:6">
      <c r="A1287" s="5">
        <f ca="1">IFERROR(__xludf.DUMMYFUNCTION("""COMPUTED_VALUE"""),43944.625)</f>
        <v>43944.625</v>
      </c>
      <c r="B1287" s="2">
        <f ca="1">IFERROR(__xludf.DUMMYFUNCTION("""COMPUTED_VALUE"""),2830)</f>
        <v>2830</v>
      </c>
      <c r="C1287" s="2">
        <f ca="1">IFERROR(__xludf.DUMMYFUNCTION("""COMPUTED_VALUE"""),2880)</f>
        <v>2880</v>
      </c>
      <c r="D1287" s="2">
        <f ca="1">IFERROR(__xludf.DUMMYFUNCTION("""COMPUTED_VALUE"""),2790)</f>
        <v>2790</v>
      </c>
      <c r="E1287" s="2">
        <f ca="1">IFERROR(__xludf.DUMMYFUNCTION("""COMPUTED_VALUE"""),2800)</f>
        <v>2800</v>
      </c>
      <c r="F1287" s="2">
        <f ca="1">IFERROR(__xludf.DUMMYFUNCTION("""COMPUTED_VALUE"""),216170700)</f>
        <v>216170700</v>
      </c>
    </row>
    <row r="1288" spans="1:6">
      <c r="A1288" s="5">
        <f ca="1">IFERROR(__xludf.DUMMYFUNCTION("""COMPUTED_VALUE"""),43945.625)</f>
        <v>43945.625</v>
      </c>
      <c r="B1288" s="2">
        <f ca="1">IFERROR(__xludf.DUMMYFUNCTION("""COMPUTED_VALUE"""),2800)</f>
        <v>2800</v>
      </c>
      <c r="C1288" s="2">
        <f ca="1">IFERROR(__xludf.DUMMYFUNCTION("""COMPUTED_VALUE"""),2800)</f>
        <v>2800</v>
      </c>
      <c r="D1288" s="2">
        <f ca="1">IFERROR(__xludf.DUMMYFUNCTION("""COMPUTED_VALUE"""),2630)</f>
        <v>2630</v>
      </c>
      <c r="E1288" s="2">
        <f ca="1">IFERROR(__xludf.DUMMYFUNCTION("""COMPUTED_VALUE"""),2630)</f>
        <v>2630</v>
      </c>
      <c r="F1288" s="2">
        <f ca="1">IFERROR(__xludf.DUMMYFUNCTION("""COMPUTED_VALUE"""),293711300)</f>
        <v>293711300</v>
      </c>
    </row>
    <row r="1289" spans="1:6">
      <c r="A1289" s="5">
        <f ca="1">IFERROR(__xludf.DUMMYFUNCTION("""COMPUTED_VALUE"""),43948.625)</f>
        <v>43948.625</v>
      </c>
      <c r="B1289" s="2">
        <f ca="1">IFERROR(__xludf.DUMMYFUNCTION("""COMPUTED_VALUE"""),2680)</f>
        <v>2680</v>
      </c>
      <c r="C1289" s="2">
        <f ca="1">IFERROR(__xludf.DUMMYFUNCTION("""COMPUTED_VALUE"""),2700)</f>
        <v>2700</v>
      </c>
      <c r="D1289" s="2">
        <f ca="1">IFERROR(__xludf.DUMMYFUNCTION("""COMPUTED_VALUE"""),2610)</f>
        <v>2610</v>
      </c>
      <c r="E1289" s="2">
        <f ca="1">IFERROR(__xludf.DUMMYFUNCTION("""COMPUTED_VALUE"""),2660)</f>
        <v>2660</v>
      </c>
      <c r="F1289" s="2">
        <f ca="1">IFERROR(__xludf.DUMMYFUNCTION("""COMPUTED_VALUE"""),182608400)</f>
        <v>182608400</v>
      </c>
    </row>
    <row r="1290" spans="1:6">
      <c r="A1290" s="5">
        <f ca="1">IFERROR(__xludf.DUMMYFUNCTION("""COMPUTED_VALUE"""),43949.625)</f>
        <v>43949.625</v>
      </c>
      <c r="B1290" s="2">
        <f ca="1">IFERROR(__xludf.DUMMYFUNCTION("""COMPUTED_VALUE"""),2680)</f>
        <v>2680</v>
      </c>
      <c r="C1290" s="2">
        <f ca="1">IFERROR(__xludf.DUMMYFUNCTION("""COMPUTED_VALUE"""),2690)</f>
        <v>2690</v>
      </c>
      <c r="D1290" s="2">
        <f ca="1">IFERROR(__xludf.DUMMYFUNCTION("""COMPUTED_VALUE"""),2570)</f>
        <v>2570</v>
      </c>
      <c r="E1290" s="2">
        <f ca="1">IFERROR(__xludf.DUMMYFUNCTION("""COMPUTED_VALUE"""),2590)</f>
        <v>2590</v>
      </c>
      <c r="F1290" s="2">
        <f ca="1">IFERROR(__xludf.DUMMYFUNCTION("""COMPUTED_VALUE"""),268296100)</f>
        <v>268296100</v>
      </c>
    </row>
    <row r="1291" spans="1:6">
      <c r="A1291" s="5">
        <f ca="1">IFERROR(__xludf.DUMMYFUNCTION("""COMPUTED_VALUE"""),43950.625)</f>
        <v>43950.625</v>
      </c>
      <c r="B1291" s="2">
        <f ca="1">IFERROR(__xludf.DUMMYFUNCTION("""COMPUTED_VALUE"""),2600)</f>
        <v>2600</v>
      </c>
      <c r="C1291" s="2">
        <f ca="1">IFERROR(__xludf.DUMMYFUNCTION("""COMPUTED_VALUE"""),2620)</f>
        <v>2620</v>
      </c>
      <c r="D1291" s="2">
        <f ca="1">IFERROR(__xludf.DUMMYFUNCTION("""COMPUTED_VALUE"""),2560)</f>
        <v>2560</v>
      </c>
      <c r="E1291" s="2">
        <f ca="1">IFERROR(__xludf.DUMMYFUNCTION("""COMPUTED_VALUE"""),2580)</f>
        <v>2580</v>
      </c>
      <c r="F1291" s="2">
        <f ca="1">IFERROR(__xludf.DUMMYFUNCTION("""COMPUTED_VALUE"""),209136400)</f>
        <v>209136400</v>
      </c>
    </row>
    <row r="1292" spans="1:6">
      <c r="A1292" s="5">
        <f ca="1">IFERROR(__xludf.DUMMYFUNCTION("""COMPUTED_VALUE"""),43951.625)</f>
        <v>43951.625</v>
      </c>
      <c r="B1292" s="2">
        <f ca="1">IFERROR(__xludf.DUMMYFUNCTION("""COMPUTED_VALUE"""),2620)</f>
        <v>2620</v>
      </c>
      <c r="C1292" s="2">
        <f ca="1">IFERROR(__xludf.DUMMYFUNCTION("""COMPUTED_VALUE"""),2740)</f>
        <v>2740</v>
      </c>
      <c r="D1292" s="2">
        <f ca="1">IFERROR(__xludf.DUMMYFUNCTION("""COMPUTED_VALUE"""),2610)</f>
        <v>2610</v>
      </c>
      <c r="E1292" s="2">
        <f ca="1">IFERROR(__xludf.DUMMYFUNCTION("""COMPUTED_VALUE"""),2730)</f>
        <v>2730</v>
      </c>
      <c r="F1292" s="2">
        <f ca="1">IFERROR(__xludf.DUMMYFUNCTION("""COMPUTED_VALUE"""),432073900)</f>
        <v>432073900</v>
      </c>
    </row>
    <row r="1293" spans="1:6">
      <c r="A1293" s="5">
        <f ca="1">IFERROR(__xludf.DUMMYFUNCTION("""COMPUTED_VALUE"""),43955.625)</f>
        <v>43955.625</v>
      </c>
      <c r="B1293" s="2">
        <f ca="1">IFERROR(__xludf.DUMMYFUNCTION("""COMPUTED_VALUE"""),2670)</f>
        <v>2670</v>
      </c>
      <c r="C1293" s="2">
        <f ca="1">IFERROR(__xludf.DUMMYFUNCTION("""COMPUTED_VALUE"""),2680)</f>
        <v>2680</v>
      </c>
      <c r="D1293" s="2">
        <f ca="1">IFERROR(__xludf.DUMMYFUNCTION("""COMPUTED_VALUE"""),2600)</f>
        <v>2600</v>
      </c>
      <c r="E1293" s="2">
        <f ca="1">IFERROR(__xludf.DUMMYFUNCTION("""COMPUTED_VALUE"""),2630)</f>
        <v>2630</v>
      </c>
      <c r="F1293" s="2">
        <f ca="1">IFERROR(__xludf.DUMMYFUNCTION("""COMPUTED_VALUE"""),200608900)</f>
        <v>200608900</v>
      </c>
    </row>
    <row r="1294" spans="1:6">
      <c r="A1294" s="5">
        <f ca="1">IFERROR(__xludf.DUMMYFUNCTION("""COMPUTED_VALUE"""),43956.625)</f>
        <v>43956.625</v>
      </c>
      <c r="B1294" s="2">
        <f ca="1">IFERROR(__xludf.DUMMYFUNCTION("""COMPUTED_VALUE"""),2630)</f>
        <v>2630</v>
      </c>
      <c r="C1294" s="2">
        <f ca="1">IFERROR(__xludf.DUMMYFUNCTION("""COMPUTED_VALUE"""),2680)</f>
        <v>2680</v>
      </c>
      <c r="D1294" s="2">
        <f ca="1">IFERROR(__xludf.DUMMYFUNCTION("""COMPUTED_VALUE"""),2610)</f>
        <v>2610</v>
      </c>
      <c r="E1294" s="2">
        <f ca="1">IFERROR(__xludf.DUMMYFUNCTION("""COMPUTED_VALUE"""),2630)</f>
        <v>2630</v>
      </c>
      <c r="F1294" s="2">
        <f ca="1">IFERROR(__xludf.DUMMYFUNCTION("""COMPUTED_VALUE"""),184761500)</f>
        <v>184761500</v>
      </c>
    </row>
    <row r="1295" spans="1:6">
      <c r="A1295" s="5">
        <f ca="1">IFERROR(__xludf.DUMMYFUNCTION("""COMPUTED_VALUE"""),43957.625)</f>
        <v>43957.625</v>
      </c>
      <c r="B1295" s="2">
        <f ca="1">IFERROR(__xludf.DUMMYFUNCTION("""COMPUTED_VALUE"""),2630)</f>
        <v>2630</v>
      </c>
      <c r="C1295" s="2">
        <f ca="1">IFERROR(__xludf.DUMMYFUNCTION("""COMPUTED_VALUE"""),2650)</f>
        <v>2650</v>
      </c>
      <c r="D1295" s="2">
        <f ca="1">IFERROR(__xludf.DUMMYFUNCTION("""COMPUTED_VALUE"""),2600)</f>
        <v>2600</v>
      </c>
      <c r="E1295" s="2">
        <f ca="1">IFERROR(__xludf.DUMMYFUNCTION("""COMPUTED_VALUE"""),2620)</f>
        <v>2620</v>
      </c>
      <c r="F1295" s="2">
        <f ca="1">IFERROR(__xludf.DUMMYFUNCTION("""COMPUTED_VALUE"""),173052900)</f>
        <v>173052900</v>
      </c>
    </row>
    <row r="1296" spans="1:6">
      <c r="A1296" s="5">
        <f ca="1">IFERROR(__xludf.DUMMYFUNCTION("""COMPUTED_VALUE"""),43959.625)</f>
        <v>43959.625</v>
      </c>
      <c r="B1296" s="2">
        <f ca="1">IFERROR(__xludf.DUMMYFUNCTION("""COMPUTED_VALUE"""),2640)</f>
        <v>2640</v>
      </c>
      <c r="C1296" s="2">
        <f ca="1">IFERROR(__xludf.DUMMYFUNCTION("""COMPUTED_VALUE"""),2660)</f>
        <v>2660</v>
      </c>
      <c r="D1296" s="2">
        <f ca="1">IFERROR(__xludf.DUMMYFUNCTION("""COMPUTED_VALUE"""),2580)</f>
        <v>2580</v>
      </c>
      <c r="E1296" s="2">
        <f ca="1">IFERROR(__xludf.DUMMYFUNCTION("""COMPUTED_VALUE"""),2590)</f>
        <v>2590</v>
      </c>
      <c r="F1296" s="2">
        <f ca="1">IFERROR(__xludf.DUMMYFUNCTION("""COMPUTED_VALUE"""),205764900)</f>
        <v>205764900</v>
      </c>
    </row>
    <row r="1297" spans="1:6">
      <c r="A1297" s="5">
        <f ca="1">IFERROR(__xludf.DUMMYFUNCTION("""COMPUTED_VALUE"""),43962.625)</f>
        <v>43962.625</v>
      </c>
      <c r="B1297" s="2">
        <f ca="1">IFERROR(__xludf.DUMMYFUNCTION("""COMPUTED_VALUE"""),2630)</f>
        <v>2630</v>
      </c>
      <c r="C1297" s="2">
        <f ca="1">IFERROR(__xludf.DUMMYFUNCTION("""COMPUTED_VALUE"""),2640)</f>
        <v>2640</v>
      </c>
      <c r="D1297" s="2">
        <f ca="1">IFERROR(__xludf.DUMMYFUNCTION("""COMPUTED_VALUE"""),2600)</f>
        <v>2600</v>
      </c>
      <c r="E1297" s="2">
        <f ca="1">IFERROR(__xludf.DUMMYFUNCTION("""COMPUTED_VALUE"""),2620)</f>
        <v>2620</v>
      </c>
      <c r="F1297" s="2">
        <f ca="1">IFERROR(__xludf.DUMMYFUNCTION("""COMPUTED_VALUE"""),154599200)</f>
        <v>154599200</v>
      </c>
    </row>
    <row r="1298" spans="1:6">
      <c r="A1298" s="5">
        <f ca="1">IFERROR(__xludf.DUMMYFUNCTION("""COMPUTED_VALUE"""),43963.625)</f>
        <v>43963.625</v>
      </c>
      <c r="B1298" s="2">
        <f ca="1">IFERROR(__xludf.DUMMYFUNCTION("""COMPUTED_VALUE"""),2620)</f>
        <v>2620</v>
      </c>
      <c r="C1298" s="2">
        <f ca="1">IFERROR(__xludf.DUMMYFUNCTION("""COMPUTED_VALUE"""),2630)</f>
        <v>2630</v>
      </c>
      <c r="D1298" s="2">
        <f ca="1">IFERROR(__xludf.DUMMYFUNCTION("""COMPUTED_VALUE"""),2470)</f>
        <v>2470</v>
      </c>
      <c r="E1298" s="2">
        <f ca="1">IFERROR(__xludf.DUMMYFUNCTION("""COMPUTED_VALUE"""),2490)</f>
        <v>2490</v>
      </c>
      <c r="F1298" s="2">
        <f ca="1">IFERROR(__xludf.DUMMYFUNCTION("""COMPUTED_VALUE"""),368672700)</f>
        <v>368672700</v>
      </c>
    </row>
    <row r="1299" spans="1:6">
      <c r="A1299" s="5">
        <f ca="1">IFERROR(__xludf.DUMMYFUNCTION("""COMPUTED_VALUE"""),43964.625)</f>
        <v>43964.625</v>
      </c>
      <c r="B1299" s="2">
        <f ca="1">IFERROR(__xludf.DUMMYFUNCTION("""COMPUTED_VALUE"""),2460)</f>
        <v>2460</v>
      </c>
      <c r="C1299" s="2">
        <f ca="1">IFERROR(__xludf.DUMMYFUNCTION("""COMPUTED_VALUE"""),2520)</f>
        <v>2520</v>
      </c>
      <c r="D1299" s="2">
        <f ca="1">IFERROR(__xludf.DUMMYFUNCTION("""COMPUTED_VALUE"""),2440)</f>
        <v>2440</v>
      </c>
      <c r="E1299" s="2">
        <f ca="1">IFERROR(__xludf.DUMMYFUNCTION("""COMPUTED_VALUE"""),2470)</f>
        <v>2470</v>
      </c>
      <c r="F1299" s="2">
        <f ca="1">IFERROR(__xludf.DUMMYFUNCTION("""COMPUTED_VALUE"""),338592200)</f>
        <v>338592200</v>
      </c>
    </row>
    <row r="1300" spans="1:6">
      <c r="A1300" s="5">
        <f ca="1">IFERROR(__xludf.DUMMYFUNCTION("""COMPUTED_VALUE"""),43965.625)</f>
        <v>43965.625</v>
      </c>
      <c r="B1300" s="2">
        <f ca="1">IFERROR(__xludf.DUMMYFUNCTION("""COMPUTED_VALUE"""),2440)</f>
        <v>2440</v>
      </c>
      <c r="C1300" s="2">
        <f ca="1">IFERROR(__xludf.DUMMYFUNCTION("""COMPUTED_VALUE"""),2480)</f>
        <v>2480</v>
      </c>
      <c r="D1300" s="2">
        <f ca="1">IFERROR(__xludf.DUMMYFUNCTION("""COMPUTED_VALUE"""),2330)</f>
        <v>2330</v>
      </c>
      <c r="E1300" s="2">
        <f ca="1">IFERROR(__xludf.DUMMYFUNCTION("""COMPUTED_VALUE"""),2350)</f>
        <v>2350</v>
      </c>
      <c r="F1300" s="2">
        <f ca="1">IFERROR(__xludf.DUMMYFUNCTION("""COMPUTED_VALUE"""),470265100)</f>
        <v>470265100</v>
      </c>
    </row>
    <row r="1301" spans="1:6">
      <c r="A1301" s="5">
        <f ca="1">IFERROR(__xludf.DUMMYFUNCTION("""COMPUTED_VALUE"""),43966.625)</f>
        <v>43966.625</v>
      </c>
      <c r="B1301" s="2">
        <f ca="1">IFERROR(__xludf.DUMMYFUNCTION("""COMPUTED_VALUE"""),2380)</f>
        <v>2380</v>
      </c>
      <c r="C1301" s="2">
        <f ca="1">IFERROR(__xludf.DUMMYFUNCTION("""COMPUTED_VALUE"""),2400)</f>
        <v>2400</v>
      </c>
      <c r="D1301" s="2">
        <f ca="1">IFERROR(__xludf.DUMMYFUNCTION("""COMPUTED_VALUE"""),2210)</f>
        <v>2210</v>
      </c>
      <c r="E1301" s="2">
        <f ca="1">IFERROR(__xludf.DUMMYFUNCTION("""COMPUTED_VALUE"""),2240)</f>
        <v>2240</v>
      </c>
      <c r="F1301" s="2">
        <f ca="1">IFERROR(__xludf.DUMMYFUNCTION("""COMPUTED_VALUE"""),594658300)</f>
        <v>594658300</v>
      </c>
    </row>
    <row r="1302" spans="1:6">
      <c r="A1302" s="5">
        <f ca="1">IFERROR(__xludf.DUMMYFUNCTION("""COMPUTED_VALUE"""),43969.625)</f>
        <v>43969.625</v>
      </c>
      <c r="B1302" s="2">
        <f ca="1">IFERROR(__xludf.DUMMYFUNCTION("""COMPUTED_VALUE"""),2250)</f>
        <v>2250</v>
      </c>
      <c r="C1302" s="2">
        <f ca="1">IFERROR(__xludf.DUMMYFUNCTION("""COMPUTED_VALUE"""),2270)</f>
        <v>2270</v>
      </c>
      <c r="D1302" s="2">
        <f ca="1">IFERROR(__xludf.DUMMYFUNCTION("""COMPUTED_VALUE"""),2160)</f>
        <v>2160</v>
      </c>
      <c r="E1302" s="2">
        <f ca="1">IFERROR(__xludf.DUMMYFUNCTION("""COMPUTED_VALUE"""),2170)</f>
        <v>2170</v>
      </c>
      <c r="F1302" s="2">
        <f ca="1">IFERROR(__xludf.DUMMYFUNCTION("""COMPUTED_VALUE"""),455462600)</f>
        <v>455462600</v>
      </c>
    </row>
    <row r="1303" spans="1:6">
      <c r="A1303" s="5">
        <f ca="1">IFERROR(__xludf.DUMMYFUNCTION("""COMPUTED_VALUE"""),43970.625)</f>
        <v>43970.625</v>
      </c>
      <c r="B1303" s="2">
        <f ca="1">IFERROR(__xludf.DUMMYFUNCTION("""COMPUTED_VALUE"""),2250)</f>
        <v>2250</v>
      </c>
      <c r="C1303" s="2">
        <f ca="1">IFERROR(__xludf.DUMMYFUNCTION("""COMPUTED_VALUE"""),2420)</f>
        <v>2420</v>
      </c>
      <c r="D1303" s="2">
        <f ca="1">IFERROR(__xludf.DUMMYFUNCTION("""COMPUTED_VALUE"""),2250)</f>
        <v>2250</v>
      </c>
      <c r="E1303" s="2">
        <f ca="1">IFERROR(__xludf.DUMMYFUNCTION("""COMPUTED_VALUE"""),2370)</f>
        <v>2370</v>
      </c>
      <c r="F1303" s="2">
        <f ca="1">IFERROR(__xludf.DUMMYFUNCTION("""COMPUTED_VALUE"""),531310100)</f>
        <v>531310100</v>
      </c>
    </row>
    <row r="1304" spans="1:6">
      <c r="A1304" s="5">
        <f ca="1">IFERROR(__xludf.DUMMYFUNCTION("""COMPUTED_VALUE"""),43971.625)</f>
        <v>43971.625</v>
      </c>
      <c r="B1304" s="2">
        <f ca="1">IFERROR(__xludf.DUMMYFUNCTION("""COMPUTED_VALUE"""),2360)</f>
        <v>2360</v>
      </c>
      <c r="C1304" s="2">
        <f ca="1">IFERROR(__xludf.DUMMYFUNCTION("""COMPUTED_VALUE"""),2500)</f>
        <v>2500</v>
      </c>
      <c r="D1304" s="2">
        <f ca="1">IFERROR(__xludf.DUMMYFUNCTION("""COMPUTED_VALUE"""),2320)</f>
        <v>2320</v>
      </c>
      <c r="E1304" s="2">
        <f ca="1">IFERROR(__xludf.DUMMYFUNCTION("""COMPUTED_VALUE"""),2480)</f>
        <v>2480</v>
      </c>
      <c r="F1304" s="2">
        <f ca="1">IFERROR(__xludf.DUMMYFUNCTION("""COMPUTED_VALUE"""),394395900)</f>
        <v>394395900</v>
      </c>
    </row>
    <row r="1305" spans="1:6">
      <c r="A1305" s="5">
        <f ca="1">IFERROR(__xludf.DUMMYFUNCTION("""COMPUTED_VALUE"""),43977.625)</f>
        <v>43977.625</v>
      </c>
      <c r="B1305" s="2">
        <f ca="1">IFERROR(__xludf.DUMMYFUNCTION("""COMPUTED_VALUE"""),2550)</f>
        <v>2550</v>
      </c>
      <c r="C1305" s="2">
        <f ca="1">IFERROR(__xludf.DUMMYFUNCTION("""COMPUTED_VALUE"""),2550)</f>
        <v>2550</v>
      </c>
      <c r="D1305" s="2">
        <f ca="1">IFERROR(__xludf.DUMMYFUNCTION("""COMPUTED_VALUE"""),2470)</f>
        <v>2470</v>
      </c>
      <c r="E1305" s="2">
        <f ca="1">IFERROR(__xludf.DUMMYFUNCTION("""COMPUTED_VALUE"""),2520)</f>
        <v>2520</v>
      </c>
      <c r="F1305" s="2">
        <f ca="1">IFERROR(__xludf.DUMMYFUNCTION("""COMPUTED_VALUE"""),404097300)</f>
        <v>404097300</v>
      </c>
    </row>
    <row r="1306" spans="1:6">
      <c r="A1306" s="5">
        <f ca="1">IFERROR(__xludf.DUMMYFUNCTION("""COMPUTED_VALUE"""),43978.625)</f>
        <v>43978.625</v>
      </c>
      <c r="B1306" s="2">
        <f ca="1">IFERROR(__xludf.DUMMYFUNCTION("""COMPUTED_VALUE"""),2540)</f>
        <v>2540</v>
      </c>
      <c r="C1306" s="2">
        <f ca="1">IFERROR(__xludf.DUMMYFUNCTION("""COMPUTED_VALUE"""),2630)</f>
        <v>2630</v>
      </c>
      <c r="D1306" s="2">
        <f ca="1">IFERROR(__xludf.DUMMYFUNCTION("""COMPUTED_VALUE"""),2520)</f>
        <v>2520</v>
      </c>
      <c r="E1306" s="2">
        <f ca="1">IFERROR(__xludf.DUMMYFUNCTION("""COMPUTED_VALUE"""),2630)</f>
        <v>2630</v>
      </c>
      <c r="F1306" s="2">
        <f ca="1">IFERROR(__xludf.DUMMYFUNCTION("""COMPUTED_VALUE"""),432813000)</f>
        <v>432813000</v>
      </c>
    </row>
    <row r="1307" spans="1:6">
      <c r="A1307" s="5">
        <f ca="1">IFERROR(__xludf.DUMMYFUNCTION("""COMPUTED_VALUE"""),43979.625)</f>
        <v>43979.625</v>
      </c>
      <c r="B1307" s="2">
        <f ca="1">IFERROR(__xludf.DUMMYFUNCTION("""COMPUTED_VALUE"""),2640)</f>
        <v>2640</v>
      </c>
      <c r="C1307" s="2">
        <f ca="1">IFERROR(__xludf.DUMMYFUNCTION("""COMPUTED_VALUE"""),2780)</f>
        <v>2780</v>
      </c>
      <c r="D1307" s="2">
        <f ca="1">IFERROR(__xludf.DUMMYFUNCTION("""COMPUTED_VALUE"""),2640)</f>
        <v>2640</v>
      </c>
      <c r="E1307" s="2">
        <f ca="1">IFERROR(__xludf.DUMMYFUNCTION("""COMPUTED_VALUE"""),2730)</f>
        <v>2730</v>
      </c>
      <c r="F1307" s="2">
        <f ca="1">IFERROR(__xludf.DUMMYFUNCTION("""COMPUTED_VALUE"""),453391300)</f>
        <v>453391300</v>
      </c>
    </row>
    <row r="1308" spans="1:6">
      <c r="A1308" s="5">
        <f ca="1">IFERROR(__xludf.DUMMYFUNCTION("""COMPUTED_VALUE"""),43980.625)</f>
        <v>43980.625</v>
      </c>
      <c r="B1308" s="2">
        <f ca="1">IFERROR(__xludf.DUMMYFUNCTION("""COMPUTED_VALUE"""),2700)</f>
        <v>2700</v>
      </c>
      <c r="C1308" s="2">
        <f ca="1">IFERROR(__xludf.DUMMYFUNCTION("""COMPUTED_VALUE"""),2950)</f>
        <v>2950</v>
      </c>
      <c r="D1308" s="2">
        <f ca="1">IFERROR(__xludf.DUMMYFUNCTION("""COMPUTED_VALUE"""),2700)</f>
        <v>2700</v>
      </c>
      <c r="E1308" s="2">
        <f ca="1">IFERROR(__xludf.DUMMYFUNCTION("""COMPUTED_VALUE"""),2950)</f>
        <v>2950</v>
      </c>
      <c r="F1308" s="2">
        <f ca="1">IFERROR(__xludf.DUMMYFUNCTION("""COMPUTED_VALUE"""),872607300)</f>
        <v>872607300</v>
      </c>
    </row>
    <row r="1309" spans="1:6">
      <c r="A1309" s="5">
        <f ca="1">IFERROR(__xludf.DUMMYFUNCTION("""COMPUTED_VALUE"""),43984.625)</f>
        <v>43984.625</v>
      </c>
      <c r="B1309" s="2">
        <f ca="1">IFERROR(__xludf.DUMMYFUNCTION("""COMPUTED_VALUE"""),2950)</f>
        <v>2950</v>
      </c>
      <c r="C1309" s="2">
        <f ca="1">IFERROR(__xludf.DUMMYFUNCTION("""COMPUTED_VALUE"""),3290)</f>
        <v>3290</v>
      </c>
      <c r="D1309" s="2">
        <f ca="1">IFERROR(__xludf.DUMMYFUNCTION("""COMPUTED_VALUE"""),2950)</f>
        <v>2950</v>
      </c>
      <c r="E1309" s="2">
        <f ca="1">IFERROR(__xludf.DUMMYFUNCTION("""COMPUTED_VALUE"""),3180)</f>
        <v>3180</v>
      </c>
      <c r="F1309" s="2">
        <f ca="1">IFERROR(__xludf.DUMMYFUNCTION("""COMPUTED_VALUE"""),467460800)</f>
        <v>467460800</v>
      </c>
    </row>
    <row r="1310" spans="1:6">
      <c r="A1310" s="5">
        <f ca="1">IFERROR(__xludf.DUMMYFUNCTION("""COMPUTED_VALUE"""),43985.625)</f>
        <v>43985.625</v>
      </c>
      <c r="B1310" s="2">
        <f ca="1">IFERROR(__xludf.DUMMYFUNCTION("""COMPUTED_VALUE"""),3200)</f>
        <v>3200</v>
      </c>
      <c r="C1310" s="2">
        <f ca="1">IFERROR(__xludf.DUMMYFUNCTION("""COMPUTED_VALUE"""),3280)</f>
        <v>3280</v>
      </c>
      <c r="D1310" s="2">
        <f ca="1">IFERROR(__xludf.DUMMYFUNCTION("""COMPUTED_VALUE"""),3010)</f>
        <v>3010</v>
      </c>
      <c r="E1310" s="2">
        <f ca="1">IFERROR(__xludf.DUMMYFUNCTION("""COMPUTED_VALUE"""),3100)</f>
        <v>3100</v>
      </c>
      <c r="F1310" s="2">
        <f ca="1">IFERROR(__xludf.DUMMYFUNCTION("""COMPUTED_VALUE"""),438099000)</f>
        <v>438099000</v>
      </c>
    </row>
    <row r="1311" spans="1:6">
      <c r="A1311" s="5">
        <f ca="1">IFERROR(__xludf.DUMMYFUNCTION("""COMPUTED_VALUE"""),43986.625)</f>
        <v>43986.625</v>
      </c>
      <c r="B1311" s="2">
        <f ca="1">IFERROR(__xludf.DUMMYFUNCTION("""COMPUTED_VALUE"""),3120)</f>
        <v>3120</v>
      </c>
      <c r="C1311" s="2">
        <f ca="1">IFERROR(__xludf.DUMMYFUNCTION("""COMPUTED_VALUE"""),3200)</f>
        <v>3200</v>
      </c>
      <c r="D1311" s="2">
        <f ca="1">IFERROR(__xludf.DUMMYFUNCTION("""COMPUTED_VALUE"""),3030)</f>
        <v>3030</v>
      </c>
      <c r="E1311" s="2">
        <f ca="1">IFERROR(__xludf.DUMMYFUNCTION("""COMPUTED_VALUE"""),3060)</f>
        <v>3060</v>
      </c>
      <c r="F1311" s="2">
        <f ca="1">IFERROR(__xludf.DUMMYFUNCTION("""COMPUTED_VALUE"""),250143200)</f>
        <v>250143200</v>
      </c>
    </row>
    <row r="1312" spans="1:6">
      <c r="A1312" s="5">
        <f ca="1">IFERROR(__xludf.DUMMYFUNCTION("""COMPUTED_VALUE"""),43987.625)</f>
        <v>43987.625</v>
      </c>
      <c r="B1312" s="2">
        <f ca="1">IFERROR(__xludf.DUMMYFUNCTION("""COMPUTED_VALUE"""),3070)</f>
        <v>3070</v>
      </c>
      <c r="C1312" s="2">
        <f ca="1">IFERROR(__xludf.DUMMYFUNCTION("""COMPUTED_VALUE"""),3130)</f>
        <v>3130</v>
      </c>
      <c r="D1312" s="2">
        <f ca="1">IFERROR(__xludf.DUMMYFUNCTION("""COMPUTED_VALUE"""),2960)</f>
        <v>2960</v>
      </c>
      <c r="E1312" s="2">
        <f ca="1">IFERROR(__xludf.DUMMYFUNCTION("""COMPUTED_VALUE"""),3110)</f>
        <v>3110</v>
      </c>
      <c r="F1312" s="2">
        <f ca="1">IFERROR(__xludf.DUMMYFUNCTION("""COMPUTED_VALUE"""),267393400)</f>
        <v>267393400</v>
      </c>
    </row>
    <row r="1313" spans="1:6">
      <c r="A1313" s="5">
        <f ca="1">IFERROR(__xludf.DUMMYFUNCTION("""COMPUTED_VALUE"""),43990.625)</f>
        <v>43990.625</v>
      </c>
      <c r="B1313" s="2">
        <f ca="1">IFERROR(__xludf.DUMMYFUNCTION("""COMPUTED_VALUE"""),3180)</f>
        <v>3180</v>
      </c>
      <c r="C1313" s="2">
        <f ca="1">IFERROR(__xludf.DUMMYFUNCTION("""COMPUTED_VALUE"""),3370)</f>
        <v>3370</v>
      </c>
      <c r="D1313" s="2">
        <f ca="1">IFERROR(__xludf.DUMMYFUNCTION("""COMPUTED_VALUE"""),3170)</f>
        <v>3170</v>
      </c>
      <c r="E1313" s="2">
        <f ca="1">IFERROR(__xludf.DUMMYFUNCTION("""COMPUTED_VALUE"""),3300)</f>
        <v>3300</v>
      </c>
      <c r="F1313" s="2">
        <f ca="1">IFERROR(__xludf.DUMMYFUNCTION("""COMPUTED_VALUE"""),384332100)</f>
        <v>384332100</v>
      </c>
    </row>
    <row r="1314" spans="1:6">
      <c r="A1314" s="5">
        <f ca="1">IFERROR(__xludf.DUMMYFUNCTION("""COMPUTED_VALUE"""),43991.625)</f>
        <v>43991.625</v>
      </c>
      <c r="B1314" s="2">
        <f ca="1">IFERROR(__xludf.DUMMYFUNCTION("""COMPUTED_VALUE"""),3350)</f>
        <v>3350</v>
      </c>
      <c r="C1314" s="2">
        <f ca="1">IFERROR(__xludf.DUMMYFUNCTION("""COMPUTED_VALUE"""),3360)</f>
        <v>3360</v>
      </c>
      <c r="D1314" s="2">
        <f ca="1">IFERROR(__xludf.DUMMYFUNCTION("""COMPUTED_VALUE"""),3210)</f>
        <v>3210</v>
      </c>
      <c r="E1314" s="2">
        <f ca="1">IFERROR(__xludf.DUMMYFUNCTION("""COMPUTED_VALUE"""),3210)</f>
        <v>3210</v>
      </c>
      <c r="F1314" s="2">
        <f ca="1">IFERROR(__xludf.DUMMYFUNCTION("""COMPUTED_VALUE"""),254497400)</f>
        <v>254497400</v>
      </c>
    </row>
    <row r="1315" spans="1:6">
      <c r="A1315" s="5">
        <f ca="1">IFERROR(__xludf.DUMMYFUNCTION("""COMPUTED_VALUE"""),43992.625)</f>
        <v>43992.625</v>
      </c>
      <c r="B1315" s="2">
        <f ca="1">IFERROR(__xludf.DUMMYFUNCTION("""COMPUTED_VALUE"""),3180)</f>
        <v>3180</v>
      </c>
      <c r="C1315" s="2">
        <f ca="1">IFERROR(__xludf.DUMMYFUNCTION("""COMPUTED_VALUE"""),3180)</f>
        <v>3180</v>
      </c>
      <c r="D1315" s="2">
        <f ca="1">IFERROR(__xludf.DUMMYFUNCTION("""COMPUTED_VALUE"""),3000)</f>
        <v>3000</v>
      </c>
      <c r="E1315" s="2">
        <f ca="1">IFERROR(__xludf.DUMMYFUNCTION("""COMPUTED_VALUE"""),3030)</f>
        <v>3030</v>
      </c>
      <c r="F1315" s="2">
        <f ca="1">IFERROR(__xludf.DUMMYFUNCTION("""COMPUTED_VALUE"""),443231300)</f>
        <v>443231300</v>
      </c>
    </row>
    <row r="1316" spans="1:6">
      <c r="A1316" s="5">
        <f ca="1">IFERROR(__xludf.DUMMYFUNCTION("""COMPUTED_VALUE"""),43993.625)</f>
        <v>43993.625</v>
      </c>
      <c r="B1316" s="2">
        <f ca="1">IFERROR(__xludf.DUMMYFUNCTION("""COMPUTED_VALUE"""),3130)</f>
        <v>3130</v>
      </c>
      <c r="C1316" s="2">
        <f ca="1">IFERROR(__xludf.DUMMYFUNCTION("""COMPUTED_VALUE"""),3130)</f>
        <v>3130</v>
      </c>
      <c r="D1316" s="2">
        <f ca="1">IFERROR(__xludf.DUMMYFUNCTION("""COMPUTED_VALUE"""),2900)</f>
        <v>2900</v>
      </c>
      <c r="E1316" s="2">
        <f ca="1">IFERROR(__xludf.DUMMYFUNCTION("""COMPUTED_VALUE"""),2970)</f>
        <v>2970</v>
      </c>
      <c r="F1316" s="2">
        <f ca="1">IFERROR(__xludf.DUMMYFUNCTION("""COMPUTED_VALUE"""),372347500)</f>
        <v>372347500</v>
      </c>
    </row>
    <row r="1317" spans="1:6">
      <c r="A1317" s="5">
        <f ca="1">IFERROR(__xludf.DUMMYFUNCTION("""COMPUTED_VALUE"""),43994.625)</f>
        <v>43994.625</v>
      </c>
      <c r="B1317" s="2">
        <f ca="1">IFERROR(__xludf.DUMMYFUNCTION("""COMPUTED_VALUE"""),2900)</f>
        <v>2900</v>
      </c>
      <c r="C1317" s="2">
        <f ca="1">IFERROR(__xludf.DUMMYFUNCTION("""COMPUTED_VALUE"""),3040)</f>
        <v>3040</v>
      </c>
      <c r="D1317" s="2">
        <f ca="1">IFERROR(__xludf.DUMMYFUNCTION("""COMPUTED_VALUE"""),2800)</f>
        <v>2800</v>
      </c>
      <c r="E1317" s="2">
        <f ca="1">IFERROR(__xludf.DUMMYFUNCTION("""COMPUTED_VALUE"""),3030)</f>
        <v>3030</v>
      </c>
      <c r="F1317" s="2">
        <f ca="1">IFERROR(__xludf.DUMMYFUNCTION("""COMPUTED_VALUE"""),472128400)</f>
        <v>472128400</v>
      </c>
    </row>
    <row r="1318" spans="1:6">
      <c r="A1318" s="5">
        <f ca="1">IFERROR(__xludf.DUMMYFUNCTION("""COMPUTED_VALUE"""),43997.625)</f>
        <v>43997.625</v>
      </c>
      <c r="B1318" s="2">
        <f ca="1">IFERROR(__xludf.DUMMYFUNCTION("""COMPUTED_VALUE"""),3040)</f>
        <v>3040</v>
      </c>
      <c r="C1318" s="2">
        <f ca="1">IFERROR(__xludf.DUMMYFUNCTION("""COMPUTED_VALUE"""),3050)</f>
        <v>3050</v>
      </c>
      <c r="D1318" s="2">
        <f ca="1">IFERROR(__xludf.DUMMYFUNCTION("""COMPUTED_VALUE"""),2890)</f>
        <v>2890</v>
      </c>
      <c r="E1318" s="2">
        <f ca="1">IFERROR(__xludf.DUMMYFUNCTION("""COMPUTED_VALUE"""),2900)</f>
        <v>2900</v>
      </c>
      <c r="F1318" s="2">
        <f ca="1">IFERROR(__xludf.DUMMYFUNCTION("""COMPUTED_VALUE"""),230766700)</f>
        <v>230766700</v>
      </c>
    </row>
    <row r="1319" spans="1:6">
      <c r="A1319" s="5">
        <f ca="1">IFERROR(__xludf.DUMMYFUNCTION("""COMPUTED_VALUE"""),43998.625)</f>
        <v>43998.625</v>
      </c>
      <c r="B1319" s="2">
        <f ca="1">IFERROR(__xludf.DUMMYFUNCTION("""COMPUTED_VALUE"""),2970)</f>
        <v>2970</v>
      </c>
      <c r="C1319" s="2">
        <f ca="1">IFERROR(__xludf.DUMMYFUNCTION("""COMPUTED_VALUE"""),3150)</f>
        <v>3150</v>
      </c>
      <c r="D1319" s="2">
        <f ca="1">IFERROR(__xludf.DUMMYFUNCTION("""COMPUTED_VALUE"""),2960)</f>
        <v>2960</v>
      </c>
      <c r="E1319" s="2">
        <f ca="1">IFERROR(__xludf.DUMMYFUNCTION("""COMPUTED_VALUE"""),3130)</f>
        <v>3130</v>
      </c>
      <c r="F1319" s="2">
        <f ca="1">IFERROR(__xludf.DUMMYFUNCTION("""COMPUTED_VALUE"""),338682000)</f>
        <v>338682000</v>
      </c>
    </row>
    <row r="1320" spans="1:6">
      <c r="A1320" s="5">
        <f ca="1">IFERROR(__xludf.DUMMYFUNCTION("""COMPUTED_VALUE"""),43999.625)</f>
        <v>43999.625</v>
      </c>
      <c r="B1320" s="2">
        <f ca="1">IFERROR(__xludf.DUMMYFUNCTION("""COMPUTED_VALUE"""),3200)</f>
        <v>3200</v>
      </c>
      <c r="C1320" s="2">
        <f ca="1">IFERROR(__xludf.DUMMYFUNCTION("""COMPUTED_VALUE"""),3200)</f>
        <v>3200</v>
      </c>
      <c r="D1320" s="2">
        <f ca="1">IFERROR(__xludf.DUMMYFUNCTION("""COMPUTED_VALUE"""),3080)</f>
        <v>3080</v>
      </c>
      <c r="E1320" s="2">
        <f ca="1">IFERROR(__xludf.DUMMYFUNCTION("""COMPUTED_VALUE"""),3100)</f>
        <v>3100</v>
      </c>
      <c r="F1320" s="2">
        <f ca="1">IFERROR(__xludf.DUMMYFUNCTION("""COMPUTED_VALUE"""),218180800)</f>
        <v>218180800</v>
      </c>
    </row>
    <row r="1321" spans="1:6">
      <c r="A1321" s="5">
        <f ca="1">IFERROR(__xludf.DUMMYFUNCTION("""COMPUTED_VALUE"""),44000.625)</f>
        <v>44000.625</v>
      </c>
      <c r="B1321" s="2">
        <f ca="1">IFERROR(__xludf.DUMMYFUNCTION("""COMPUTED_VALUE"""),3050)</f>
        <v>3050</v>
      </c>
      <c r="C1321" s="2">
        <f ca="1">IFERROR(__xludf.DUMMYFUNCTION("""COMPUTED_VALUE"""),3120)</f>
        <v>3120</v>
      </c>
      <c r="D1321" s="2">
        <f ca="1">IFERROR(__xludf.DUMMYFUNCTION("""COMPUTED_VALUE"""),3040)</f>
        <v>3040</v>
      </c>
      <c r="E1321" s="2">
        <f ca="1">IFERROR(__xludf.DUMMYFUNCTION("""COMPUTED_VALUE"""),3050)</f>
        <v>3050</v>
      </c>
      <c r="F1321" s="2">
        <f ca="1">IFERROR(__xludf.DUMMYFUNCTION("""COMPUTED_VALUE"""),130942600)</f>
        <v>130942600</v>
      </c>
    </row>
    <row r="1322" spans="1:6">
      <c r="A1322" s="5">
        <f ca="1">IFERROR(__xludf.DUMMYFUNCTION("""COMPUTED_VALUE"""),44001.625)</f>
        <v>44001.625</v>
      </c>
      <c r="B1322" s="2">
        <f ca="1">IFERROR(__xludf.DUMMYFUNCTION("""COMPUTED_VALUE"""),3080)</f>
        <v>3080</v>
      </c>
      <c r="C1322" s="2">
        <f ca="1">IFERROR(__xludf.DUMMYFUNCTION("""COMPUTED_VALUE"""),3110)</f>
        <v>3110</v>
      </c>
      <c r="D1322" s="2">
        <f ca="1">IFERROR(__xludf.DUMMYFUNCTION("""COMPUTED_VALUE"""),3060)</f>
        <v>3060</v>
      </c>
      <c r="E1322" s="2">
        <f ca="1">IFERROR(__xludf.DUMMYFUNCTION("""COMPUTED_VALUE"""),3100)</f>
        <v>3100</v>
      </c>
      <c r="F1322" s="2">
        <f ca="1">IFERROR(__xludf.DUMMYFUNCTION("""COMPUTED_VALUE"""),166969600)</f>
        <v>166969600</v>
      </c>
    </row>
    <row r="1323" spans="1:6">
      <c r="A1323" s="5">
        <f ca="1">IFERROR(__xludf.DUMMYFUNCTION("""COMPUTED_VALUE"""),44004.625)</f>
        <v>44004.625</v>
      </c>
      <c r="B1323" s="2">
        <f ca="1">IFERROR(__xludf.DUMMYFUNCTION("""COMPUTED_VALUE"""),3100)</f>
        <v>3100</v>
      </c>
      <c r="C1323" s="2">
        <f ca="1">IFERROR(__xludf.DUMMYFUNCTION("""COMPUTED_VALUE"""),3110)</f>
        <v>3110</v>
      </c>
      <c r="D1323" s="2">
        <f ca="1">IFERROR(__xludf.DUMMYFUNCTION("""COMPUTED_VALUE"""),3030)</f>
        <v>3030</v>
      </c>
      <c r="E1323" s="2">
        <f ca="1">IFERROR(__xludf.DUMMYFUNCTION("""COMPUTED_VALUE"""),3060)</f>
        <v>3060</v>
      </c>
      <c r="F1323" s="2">
        <f ca="1">IFERROR(__xludf.DUMMYFUNCTION("""COMPUTED_VALUE"""),95377000)</f>
        <v>95377000</v>
      </c>
    </row>
    <row r="1324" spans="1:6">
      <c r="A1324" s="5">
        <f ca="1">IFERROR(__xludf.DUMMYFUNCTION("""COMPUTED_VALUE"""),44005.625)</f>
        <v>44005.625</v>
      </c>
      <c r="B1324" s="2">
        <f ca="1">IFERROR(__xludf.DUMMYFUNCTION("""COMPUTED_VALUE"""),3020)</f>
        <v>3020</v>
      </c>
      <c r="C1324" s="2">
        <f ca="1">IFERROR(__xludf.DUMMYFUNCTION("""COMPUTED_VALUE"""),3060)</f>
        <v>3060</v>
      </c>
      <c r="D1324" s="2">
        <f ca="1">IFERROR(__xludf.DUMMYFUNCTION("""COMPUTED_VALUE"""),2980)</f>
        <v>2980</v>
      </c>
      <c r="E1324" s="2">
        <f ca="1">IFERROR(__xludf.DUMMYFUNCTION("""COMPUTED_VALUE"""),3010)</f>
        <v>3010</v>
      </c>
      <c r="F1324" s="2">
        <f ca="1">IFERROR(__xludf.DUMMYFUNCTION("""COMPUTED_VALUE"""),171421500)</f>
        <v>171421500</v>
      </c>
    </row>
    <row r="1325" spans="1:6">
      <c r="A1325" s="5">
        <f ca="1">IFERROR(__xludf.DUMMYFUNCTION("""COMPUTED_VALUE"""),44006.625)</f>
        <v>44006.625</v>
      </c>
      <c r="B1325" s="2">
        <f ca="1">IFERROR(__xludf.DUMMYFUNCTION("""COMPUTED_VALUE"""),3050)</f>
        <v>3050</v>
      </c>
      <c r="C1325" s="2">
        <f ca="1">IFERROR(__xludf.DUMMYFUNCTION("""COMPUTED_VALUE"""),3140)</f>
        <v>3140</v>
      </c>
      <c r="D1325" s="2">
        <f ca="1">IFERROR(__xludf.DUMMYFUNCTION("""COMPUTED_VALUE"""),3010)</f>
        <v>3010</v>
      </c>
      <c r="E1325" s="2">
        <f ca="1">IFERROR(__xludf.DUMMYFUNCTION("""COMPUTED_VALUE"""),3120)</f>
        <v>3120</v>
      </c>
      <c r="F1325" s="2">
        <f ca="1">IFERROR(__xludf.DUMMYFUNCTION("""COMPUTED_VALUE"""),308484300)</f>
        <v>308484300</v>
      </c>
    </row>
    <row r="1326" spans="1:6">
      <c r="A1326" s="5">
        <f ca="1">IFERROR(__xludf.DUMMYFUNCTION("""COMPUTED_VALUE"""),44007.625)</f>
        <v>44007.625</v>
      </c>
      <c r="B1326" s="2">
        <f ca="1">IFERROR(__xludf.DUMMYFUNCTION("""COMPUTED_VALUE"""),3100)</f>
        <v>3100</v>
      </c>
      <c r="C1326" s="2">
        <f ca="1">IFERROR(__xludf.DUMMYFUNCTION("""COMPUTED_VALUE"""),3110)</f>
        <v>3110</v>
      </c>
      <c r="D1326" s="2">
        <f ca="1">IFERROR(__xludf.DUMMYFUNCTION("""COMPUTED_VALUE"""),3040)</f>
        <v>3040</v>
      </c>
      <c r="E1326" s="2">
        <f ca="1">IFERROR(__xludf.DUMMYFUNCTION("""COMPUTED_VALUE"""),3060)</f>
        <v>3060</v>
      </c>
      <c r="F1326" s="2">
        <f ca="1">IFERROR(__xludf.DUMMYFUNCTION("""COMPUTED_VALUE"""),158209300)</f>
        <v>158209300</v>
      </c>
    </row>
    <row r="1327" spans="1:6">
      <c r="A1327" s="5">
        <f ca="1">IFERROR(__xludf.DUMMYFUNCTION("""COMPUTED_VALUE"""),44008.625)</f>
        <v>44008.625</v>
      </c>
      <c r="B1327" s="2">
        <f ca="1">IFERROR(__xludf.DUMMYFUNCTION("""COMPUTED_VALUE"""),3100)</f>
        <v>3100</v>
      </c>
      <c r="C1327" s="2">
        <f ca="1">IFERROR(__xludf.DUMMYFUNCTION("""COMPUTED_VALUE"""),3120)</f>
        <v>3120</v>
      </c>
      <c r="D1327" s="2">
        <f ca="1">IFERROR(__xludf.DUMMYFUNCTION("""COMPUTED_VALUE"""),3020)</f>
        <v>3020</v>
      </c>
      <c r="E1327" s="2">
        <f ca="1">IFERROR(__xludf.DUMMYFUNCTION("""COMPUTED_VALUE"""),3030)</f>
        <v>3030</v>
      </c>
      <c r="F1327" s="2">
        <f ca="1">IFERROR(__xludf.DUMMYFUNCTION("""COMPUTED_VALUE"""),147306200)</f>
        <v>147306200</v>
      </c>
    </row>
    <row r="1328" spans="1:6">
      <c r="A1328" s="5">
        <f ca="1">IFERROR(__xludf.DUMMYFUNCTION("""COMPUTED_VALUE"""),44011.625)</f>
        <v>44011.625</v>
      </c>
      <c r="B1328" s="2">
        <f ca="1">IFERROR(__xludf.DUMMYFUNCTION("""COMPUTED_VALUE"""),3040)</f>
        <v>3040</v>
      </c>
      <c r="C1328" s="2">
        <f ca="1">IFERROR(__xludf.DUMMYFUNCTION("""COMPUTED_VALUE"""),3060)</f>
        <v>3060</v>
      </c>
      <c r="D1328" s="2">
        <f ca="1">IFERROR(__xludf.DUMMYFUNCTION("""COMPUTED_VALUE"""),2980)</f>
        <v>2980</v>
      </c>
      <c r="E1328" s="2">
        <f ca="1">IFERROR(__xludf.DUMMYFUNCTION("""COMPUTED_VALUE"""),3040)</f>
        <v>3040</v>
      </c>
      <c r="F1328" s="2">
        <f ca="1">IFERROR(__xludf.DUMMYFUNCTION("""COMPUTED_VALUE"""),118809900)</f>
        <v>118809900</v>
      </c>
    </row>
    <row r="1329" spans="1:6">
      <c r="A1329" s="5">
        <f ca="1">IFERROR(__xludf.DUMMYFUNCTION("""COMPUTED_VALUE"""),44012.625)</f>
        <v>44012.625</v>
      </c>
      <c r="B1329" s="2">
        <f ca="1">IFERROR(__xludf.DUMMYFUNCTION("""COMPUTED_VALUE"""),3070)</f>
        <v>3070</v>
      </c>
      <c r="C1329" s="2">
        <f ca="1">IFERROR(__xludf.DUMMYFUNCTION("""COMPUTED_VALUE"""),3110)</f>
        <v>3110</v>
      </c>
      <c r="D1329" s="2">
        <f ca="1">IFERROR(__xludf.DUMMYFUNCTION("""COMPUTED_VALUE"""),3030)</f>
        <v>3030</v>
      </c>
      <c r="E1329" s="2">
        <f ca="1">IFERROR(__xludf.DUMMYFUNCTION("""COMPUTED_VALUE"""),3030)</f>
        <v>3030</v>
      </c>
      <c r="F1329" s="2">
        <f ca="1">IFERROR(__xludf.DUMMYFUNCTION("""COMPUTED_VALUE"""),134014700)</f>
        <v>134014700</v>
      </c>
    </row>
    <row r="1330" spans="1:6">
      <c r="A1330" s="5">
        <f ca="1">IFERROR(__xludf.DUMMYFUNCTION("""COMPUTED_VALUE"""),44013.625)</f>
        <v>44013.625</v>
      </c>
      <c r="B1330" s="2">
        <f ca="1">IFERROR(__xludf.DUMMYFUNCTION("""COMPUTED_VALUE"""),3040)</f>
        <v>3040</v>
      </c>
      <c r="C1330" s="2">
        <f ca="1">IFERROR(__xludf.DUMMYFUNCTION("""COMPUTED_VALUE"""),3070)</f>
        <v>3070</v>
      </c>
      <c r="D1330" s="2">
        <f ca="1">IFERROR(__xludf.DUMMYFUNCTION("""COMPUTED_VALUE"""),3030)</f>
        <v>3030</v>
      </c>
      <c r="E1330" s="2">
        <f ca="1">IFERROR(__xludf.DUMMYFUNCTION("""COMPUTED_VALUE"""),3060)</f>
        <v>3060</v>
      </c>
      <c r="F1330" s="2">
        <f ca="1">IFERROR(__xludf.DUMMYFUNCTION("""COMPUTED_VALUE"""),101290700)</f>
        <v>101290700</v>
      </c>
    </row>
    <row r="1331" spans="1:6">
      <c r="A1331" s="5">
        <f ca="1">IFERROR(__xludf.DUMMYFUNCTION("""COMPUTED_VALUE"""),44014.625)</f>
        <v>44014.625</v>
      </c>
      <c r="B1331" s="2">
        <f ca="1">IFERROR(__xludf.DUMMYFUNCTION("""COMPUTED_VALUE"""),3090)</f>
        <v>3090</v>
      </c>
      <c r="C1331" s="2">
        <f ca="1">IFERROR(__xludf.DUMMYFUNCTION("""COMPUTED_VALUE"""),3090)</f>
        <v>3090</v>
      </c>
      <c r="D1331" s="2">
        <f ca="1">IFERROR(__xludf.DUMMYFUNCTION("""COMPUTED_VALUE"""),3040)</f>
        <v>3040</v>
      </c>
      <c r="E1331" s="2">
        <f ca="1">IFERROR(__xludf.DUMMYFUNCTION("""COMPUTED_VALUE"""),3060)</f>
        <v>3060</v>
      </c>
      <c r="F1331" s="2">
        <f ca="1">IFERROR(__xludf.DUMMYFUNCTION("""COMPUTED_VALUE"""),169484600)</f>
        <v>169484600</v>
      </c>
    </row>
    <row r="1332" spans="1:6">
      <c r="A1332" s="5">
        <f ca="1">IFERROR(__xludf.DUMMYFUNCTION("""COMPUTED_VALUE"""),44015.625)</f>
        <v>44015.625</v>
      </c>
      <c r="B1332" s="2">
        <f ca="1">IFERROR(__xludf.DUMMYFUNCTION("""COMPUTED_VALUE"""),3060)</f>
        <v>3060</v>
      </c>
      <c r="C1332" s="2">
        <f ca="1">IFERROR(__xludf.DUMMYFUNCTION("""COMPUTED_VALUE"""),3090)</f>
        <v>3090</v>
      </c>
      <c r="D1332" s="2">
        <f ca="1">IFERROR(__xludf.DUMMYFUNCTION("""COMPUTED_VALUE"""),3040)</f>
        <v>3040</v>
      </c>
      <c r="E1332" s="2">
        <f ca="1">IFERROR(__xludf.DUMMYFUNCTION("""COMPUTED_VALUE"""),3050)</f>
        <v>3050</v>
      </c>
      <c r="F1332" s="2">
        <f ca="1">IFERROR(__xludf.DUMMYFUNCTION("""COMPUTED_VALUE"""),49472800)</f>
        <v>49472800</v>
      </c>
    </row>
    <row r="1333" spans="1:6">
      <c r="A1333" s="5">
        <f ca="1">IFERROR(__xludf.DUMMYFUNCTION("""COMPUTED_VALUE"""),44018.625)</f>
        <v>44018.625</v>
      </c>
      <c r="B1333" s="2">
        <f ca="1">IFERROR(__xludf.DUMMYFUNCTION("""COMPUTED_VALUE"""),3070)</f>
        <v>3070</v>
      </c>
      <c r="C1333" s="2">
        <f ca="1">IFERROR(__xludf.DUMMYFUNCTION("""COMPUTED_VALUE"""),3100)</f>
        <v>3100</v>
      </c>
      <c r="D1333" s="2">
        <f ca="1">IFERROR(__xludf.DUMMYFUNCTION("""COMPUTED_VALUE"""),3030)</f>
        <v>3030</v>
      </c>
      <c r="E1333" s="2">
        <f ca="1">IFERROR(__xludf.DUMMYFUNCTION("""COMPUTED_VALUE"""),3040)</f>
        <v>3040</v>
      </c>
      <c r="F1333" s="2">
        <f ca="1">IFERROR(__xludf.DUMMYFUNCTION("""COMPUTED_VALUE"""),134677700)</f>
        <v>134677700</v>
      </c>
    </row>
    <row r="1334" spans="1:6">
      <c r="A1334" s="5">
        <f ca="1">IFERROR(__xludf.DUMMYFUNCTION("""COMPUTED_VALUE"""),44019.625)</f>
        <v>44019.625</v>
      </c>
      <c r="B1334" s="2">
        <f ca="1">IFERROR(__xludf.DUMMYFUNCTION("""COMPUTED_VALUE"""),3070)</f>
        <v>3070</v>
      </c>
      <c r="C1334" s="2">
        <f ca="1">IFERROR(__xludf.DUMMYFUNCTION("""COMPUTED_VALUE"""),3080)</f>
        <v>3080</v>
      </c>
      <c r="D1334" s="2">
        <f ca="1">IFERROR(__xludf.DUMMYFUNCTION("""COMPUTED_VALUE"""),3030)</f>
        <v>3030</v>
      </c>
      <c r="E1334" s="2">
        <f ca="1">IFERROR(__xludf.DUMMYFUNCTION("""COMPUTED_VALUE"""),3030)</f>
        <v>3030</v>
      </c>
      <c r="F1334" s="2">
        <f ca="1">IFERROR(__xludf.DUMMYFUNCTION("""COMPUTED_VALUE"""),207371700)</f>
        <v>207371700</v>
      </c>
    </row>
    <row r="1335" spans="1:6">
      <c r="A1335" s="5">
        <f ca="1">IFERROR(__xludf.DUMMYFUNCTION("""COMPUTED_VALUE"""),44020.625)</f>
        <v>44020.625</v>
      </c>
      <c r="B1335" s="2">
        <f ca="1">IFERROR(__xludf.DUMMYFUNCTION("""COMPUTED_VALUE"""),3040)</f>
        <v>3040</v>
      </c>
      <c r="C1335" s="2">
        <f ca="1">IFERROR(__xludf.DUMMYFUNCTION("""COMPUTED_VALUE"""),3200)</f>
        <v>3200</v>
      </c>
      <c r="D1335" s="2">
        <f ca="1">IFERROR(__xludf.DUMMYFUNCTION("""COMPUTED_VALUE"""),3030)</f>
        <v>3030</v>
      </c>
      <c r="E1335" s="2">
        <f ca="1">IFERROR(__xludf.DUMMYFUNCTION("""COMPUTED_VALUE"""),3190)</f>
        <v>3190</v>
      </c>
      <c r="F1335" s="2">
        <f ca="1">IFERROR(__xludf.DUMMYFUNCTION("""COMPUTED_VALUE"""),339667600)</f>
        <v>339667600</v>
      </c>
    </row>
    <row r="1336" spans="1:6">
      <c r="A1336" s="5">
        <f ca="1">IFERROR(__xludf.DUMMYFUNCTION("""COMPUTED_VALUE"""),44021.625)</f>
        <v>44021.625</v>
      </c>
      <c r="B1336" s="2">
        <f ca="1">IFERROR(__xludf.DUMMYFUNCTION("""COMPUTED_VALUE"""),3190)</f>
        <v>3190</v>
      </c>
      <c r="C1336" s="2">
        <f ca="1">IFERROR(__xludf.DUMMYFUNCTION("""COMPUTED_VALUE"""),3230)</f>
        <v>3230</v>
      </c>
      <c r="D1336" s="2">
        <f ca="1">IFERROR(__xludf.DUMMYFUNCTION("""COMPUTED_VALUE"""),3140)</f>
        <v>3140</v>
      </c>
      <c r="E1336" s="2">
        <f ca="1">IFERROR(__xludf.DUMMYFUNCTION("""COMPUTED_VALUE"""),3140)</f>
        <v>3140</v>
      </c>
      <c r="F1336" s="2">
        <f ca="1">IFERROR(__xludf.DUMMYFUNCTION("""COMPUTED_VALUE"""),192182300)</f>
        <v>192182300</v>
      </c>
    </row>
    <row r="1337" spans="1:6">
      <c r="A1337" s="5">
        <f ca="1">IFERROR(__xludf.DUMMYFUNCTION("""COMPUTED_VALUE"""),44022.625)</f>
        <v>44022.625</v>
      </c>
      <c r="B1337" s="2">
        <f ca="1">IFERROR(__xludf.DUMMYFUNCTION("""COMPUTED_VALUE"""),3130)</f>
        <v>3130</v>
      </c>
      <c r="C1337" s="2">
        <f ca="1">IFERROR(__xludf.DUMMYFUNCTION("""COMPUTED_VALUE"""),3150)</f>
        <v>3150</v>
      </c>
      <c r="D1337" s="2">
        <f ca="1">IFERROR(__xludf.DUMMYFUNCTION("""COMPUTED_VALUE"""),3100)</f>
        <v>3100</v>
      </c>
      <c r="E1337" s="2">
        <f ca="1">IFERROR(__xludf.DUMMYFUNCTION("""COMPUTED_VALUE"""),3110)</f>
        <v>3110</v>
      </c>
      <c r="F1337" s="2">
        <f ca="1">IFERROR(__xludf.DUMMYFUNCTION("""COMPUTED_VALUE"""),107116200)</f>
        <v>107116200</v>
      </c>
    </row>
    <row r="1338" spans="1:6">
      <c r="A1338" s="5">
        <f ca="1">IFERROR(__xludf.DUMMYFUNCTION("""COMPUTED_VALUE"""),44025.625)</f>
        <v>44025.625</v>
      </c>
      <c r="B1338" s="2">
        <f ca="1">IFERROR(__xludf.DUMMYFUNCTION("""COMPUTED_VALUE"""),3130)</f>
        <v>3130</v>
      </c>
      <c r="C1338" s="2">
        <f ca="1">IFERROR(__xludf.DUMMYFUNCTION("""COMPUTED_VALUE"""),3180)</f>
        <v>3180</v>
      </c>
      <c r="D1338" s="2">
        <f ca="1">IFERROR(__xludf.DUMMYFUNCTION("""COMPUTED_VALUE"""),3050)</f>
        <v>3050</v>
      </c>
      <c r="E1338" s="2">
        <f ca="1">IFERROR(__xludf.DUMMYFUNCTION("""COMPUTED_VALUE"""),3160)</f>
        <v>3160</v>
      </c>
      <c r="F1338" s="2">
        <f ca="1">IFERROR(__xludf.DUMMYFUNCTION("""COMPUTED_VALUE"""),95863700)</f>
        <v>95863700</v>
      </c>
    </row>
    <row r="1339" spans="1:6">
      <c r="A1339" s="5">
        <f ca="1">IFERROR(__xludf.DUMMYFUNCTION("""COMPUTED_VALUE"""),44026.625)</f>
        <v>44026.625</v>
      </c>
      <c r="B1339" s="2">
        <f ca="1">IFERROR(__xludf.DUMMYFUNCTION("""COMPUTED_VALUE"""),3160)</f>
        <v>3160</v>
      </c>
      <c r="C1339" s="2">
        <f ca="1">IFERROR(__xludf.DUMMYFUNCTION("""COMPUTED_VALUE"""),3250)</f>
        <v>3250</v>
      </c>
      <c r="D1339" s="2">
        <f ca="1">IFERROR(__xludf.DUMMYFUNCTION("""COMPUTED_VALUE"""),3130)</f>
        <v>3130</v>
      </c>
      <c r="E1339" s="2">
        <f ca="1">IFERROR(__xludf.DUMMYFUNCTION("""COMPUTED_VALUE"""),3170)</f>
        <v>3170</v>
      </c>
      <c r="F1339" s="2">
        <f ca="1">IFERROR(__xludf.DUMMYFUNCTION("""COMPUTED_VALUE"""),211237700)</f>
        <v>211237700</v>
      </c>
    </row>
    <row r="1340" spans="1:6">
      <c r="A1340" s="5">
        <f ca="1">IFERROR(__xludf.DUMMYFUNCTION("""COMPUTED_VALUE"""),44027.625)</f>
        <v>44027.625</v>
      </c>
      <c r="B1340" s="2">
        <f ca="1">IFERROR(__xludf.DUMMYFUNCTION("""COMPUTED_VALUE"""),3200)</f>
        <v>3200</v>
      </c>
      <c r="C1340" s="2">
        <f ca="1">IFERROR(__xludf.DUMMYFUNCTION("""COMPUTED_VALUE"""),3240)</f>
        <v>3240</v>
      </c>
      <c r="D1340" s="2">
        <f ca="1">IFERROR(__xludf.DUMMYFUNCTION("""COMPUTED_VALUE"""),3130)</f>
        <v>3130</v>
      </c>
      <c r="E1340" s="2">
        <f ca="1">IFERROR(__xludf.DUMMYFUNCTION("""COMPUTED_VALUE"""),3130)</f>
        <v>3130</v>
      </c>
      <c r="F1340" s="2">
        <f ca="1">IFERROR(__xludf.DUMMYFUNCTION("""COMPUTED_VALUE"""),165721200)</f>
        <v>165721200</v>
      </c>
    </row>
    <row r="1341" spans="1:6">
      <c r="A1341" s="5">
        <f ca="1">IFERROR(__xludf.DUMMYFUNCTION("""COMPUTED_VALUE"""),44028.625)</f>
        <v>44028.625</v>
      </c>
      <c r="B1341" s="2">
        <f ca="1">IFERROR(__xludf.DUMMYFUNCTION("""COMPUTED_VALUE"""),3130)</f>
        <v>3130</v>
      </c>
      <c r="C1341" s="2">
        <f ca="1">IFERROR(__xludf.DUMMYFUNCTION("""COMPUTED_VALUE"""),3160)</f>
        <v>3160</v>
      </c>
      <c r="D1341" s="2">
        <f ca="1">IFERROR(__xludf.DUMMYFUNCTION("""COMPUTED_VALUE"""),3130)</f>
        <v>3130</v>
      </c>
      <c r="E1341" s="2">
        <f ca="1">IFERROR(__xludf.DUMMYFUNCTION("""COMPUTED_VALUE"""),3140)</f>
        <v>3140</v>
      </c>
      <c r="F1341" s="2">
        <f ca="1">IFERROR(__xludf.DUMMYFUNCTION("""COMPUTED_VALUE"""),117097200)</f>
        <v>117097200</v>
      </c>
    </row>
    <row r="1342" spans="1:6">
      <c r="A1342" s="5">
        <f ca="1">IFERROR(__xludf.DUMMYFUNCTION("""COMPUTED_VALUE"""),44029.625)</f>
        <v>44029.625</v>
      </c>
      <c r="B1342" s="2">
        <f ca="1">IFERROR(__xludf.DUMMYFUNCTION("""COMPUTED_VALUE"""),3140)</f>
        <v>3140</v>
      </c>
      <c r="C1342" s="2">
        <f ca="1">IFERROR(__xludf.DUMMYFUNCTION("""COMPUTED_VALUE"""),3150)</f>
        <v>3150</v>
      </c>
      <c r="D1342" s="2">
        <f ca="1">IFERROR(__xludf.DUMMYFUNCTION("""COMPUTED_VALUE"""),3100)</f>
        <v>3100</v>
      </c>
      <c r="E1342" s="2">
        <f ca="1">IFERROR(__xludf.DUMMYFUNCTION("""COMPUTED_VALUE"""),3100)</f>
        <v>3100</v>
      </c>
      <c r="F1342" s="2">
        <f ca="1">IFERROR(__xludf.DUMMYFUNCTION("""COMPUTED_VALUE"""),119587700)</f>
        <v>119587700</v>
      </c>
    </row>
    <row r="1343" spans="1:6">
      <c r="A1343" s="5">
        <f ca="1">IFERROR(__xludf.DUMMYFUNCTION("""COMPUTED_VALUE"""),44032.625)</f>
        <v>44032.625</v>
      </c>
      <c r="B1343" s="2">
        <f ca="1">IFERROR(__xludf.DUMMYFUNCTION("""COMPUTED_VALUE"""),3100)</f>
        <v>3100</v>
      </c>
      <c r="C1343" s="2">
        <f ca="1">IFERROR(__xludf.DUMMYFUNCTION("""COMPUTED_VALUE"""),3130)</f>
        <v>3130</v>
      </c>
      <c r="D1343" s="2">
        <f ca="1">IFERROR(__xludf.DUMMYFUNCTION("""COMPUTED_VALUE"""),3030)</f>
        <v>3030</v>
      </c>
      <c r="E1343" s="2">
        <f ca="1">IFERROR(__xludf.DUMMYFUNCTION("""COMPUTED_VALUE"""),3050)</f>
        <v>3050</v>
      </c>
      <c r="F1343" s="2">
        <f ca="1">IFERROR(__xludf.DUMMYFUNCTION("""COMPUTED_VALUE"""),136548700)</f>
        <v>136548700</v>
      </c>
    </row>
    <row r="1344" spans="1:6">
      <c r="A1344" s="5">
        <f ca="1">IFERROR(__xludf.DUMMYFUNCTION("""COMPUTED_VALUE"""),44033.625)</f>
        <v>44033.625</v>
      </c>
      <c r="B1344" s="2">
        <f ca="1">IFERROR(__xludf.DUMMYFUNCTION("""COMPUTED_VALUE"""),3050)</f>
        <v>3050</v>
      </c>
      <c r="C1344" s="2">
        <f ca="1">IFERROR(__xludf.DUMMYFUNCTION("""COMPUTED_VALUE"""),3180)</f>
        <v>3180</v>
      </c>
      <c r="D1344" s="2">
        <f ca="1">IFERROR(__xludf.DUMMYFUNCTION("""COMPUTED_VALUE"""),3050)</f>
        <v>3050</v>
      </c>
      <c r="E1344" s="2">
        <f ca="1">IFERROR(__xludf.DUMMYFUNCTION("""COMPUTED_VALUE"""),3150)</f>
        <v>3150</v>
      </c>
      <c r="F1344" s="2">
        <f ca="1">IFERROR(__xludf.DUMMYFUNCTION("""COMPUTED_VALUE"""),204157000)</f>
        <v>204157000</v>
      </c>
    </row>
    <row r="1345" spans="1:6">
      <c r="A1345" s="5">
        <f ca="1">IFERROR(__xludf.DUMMYFUNCTION("""COMPUTED_VALUE"""),44034.625)</f>
        <v>44034.625</v>
      </c>
      <c r="B1345" s="2">
        <f ca="1">IFERROR(__xludf.DUMMYFUNCTION("""COMPUTED_VALUE"""),3160)</f>
        <v>3160</v>
      </c>
      <c r="C1345" s="2">
        <f ca="1">IFERROR(__xludf.DUMMYFUNCTION("""COMPUTED_VALUE"""),3170)</f>
        <v>3170</v>
      </c>
      <c r="D1345" s="2">
        <f ca="1">IFERROR(__xludf.DUMMYFUNCTION("""COMPUTED_VALUE"""),3090)</f>
        <v>3090</v>
      </c>
      <c r="E1345" s="2">
        <f ca="1">IFERROR(__xludf.DUMMYFUNCTION("""COMPUTED_VALUE"""),3100)</f>
        <v>3100</v>
      </c>
      <c r="F1345" s="2">
        <f ca="1">IFERROR(__xludf.DUMMYFUNCTION("""COMPUTED_VALUE"""),173557500)</f>
        <v>173557500</v>
      </c>
    </row>
    <row r="1346" spans="1:6">
      <c r="A1346" s="5">
        <f ca="1">IFERROR(__xludf.DUMMYFUNCTION("""COMPUTED_VALUE"""),44035.625)</f>
        <v>44035.625</v>
      </c>
      <c r="B1346" s="2">
        <f ca="1">IFERROR(__xludf.DUMMYFUNCTION("""COMPUTED_VALUE"""),3120)</f>
        <v>3120</v>
      </c>
      <c r="C1346" s="2">
        <f ca="1">IFERROR(__xludf.DUMMYFUNCTION("""COMPUTED_VALUE"""),3160)</f>
        <v>3160</v>
      </c>
      <c r="D1346" s="2">
        <f ca="1">IFERROR(__xludf.DUMMYFUNCTION("""COMPUTED_VALUE"""),3100)</f>
        <v>3100</v>
      </c>
      <c r="E1346" s="2">
        <f ca="1">IFERROR(__xludf.DUMMYFUNCTION("""COMPUTED_VALUE"""),3140)</f>
        <v>3140</v>
      </c>
      <c r="F1346" s="2">
        <f ca="1">IFERROR(__xludf.DUMMYFUNCTION("""COMPUTED_VALUE"""),147857700)</f>
        <v>147857700</v>
      </c>
    </row>
    <row r="1347" spans="1:6">
      <c r="A1347" s="5">
        <f ca="1">IFERROR(__xludf.DUMMYFUNCTION("""COMPUTED_VALUE"""),44036.625)</f>
        <v>44036.625</v>
      </c>
      <c r="B1347" s="2">
        <f ca="1">IFERROR(__xludf.DUMMYFUNCTION("""COMPUTED_VALUE"""),3130)</f>
        <v>3130</v>
      </c>
      <c r="C1347" s="2">
        <f ca="1">IFERROR(__xludf.DUMMYFUNCTION("""COMPUTED_VALUE"""),3140)</f>
        <v>3140</v>
      </c>
      <c r="D1347" s="2">
        <f ca="1">IFERROR(__xludf.DUMMYFUNCTION("""COMPUTED_VALUE"""),3090)</f>
        <v>3090</v>
      </c>
      <c r="E1347" s="2">
        <f ca="1">IFERROR(__xludf.DUMMYFUNCTION("""COMPUTED_VALUE"""),3090)</f>
        <v>3090</v>
      </c>
      <c r="F1347" s="2">
        <f ca="1">IFERROR(__xludf.DUMMYFUNCTION("""COMPUTED_VALUE"""),94805600)</f>
        <v>94805600</v>
      </c>
    </row>
    <row r="1348" spans="1:6">
      <c r="A1348" s="5">
        <f ca="1">IFERROR(__xludf.DUMMYFUNCTION("""COMPUTED_VALUE"""),44039.625)</f>
        <v>44039.625</v>
      </c>
      <c r="B1348" s="2">
        <f ca="1">IFERROR(__xludf.DUMMYFUNCTION("""COMPUTED_VALUE"""),3090)</f>
        <v>3090</v>
      </c>
      <c r="C1348" s="2">
        <f ca="1">IFERROR(__xludf.DUMMYFUNCTION("""COMPUTED_VALUE"""),3150)</f>
        <v>3150</v>
      </c>
      <c r="D1348" s="2">
        <f ca="1">IFERROR(__xludf.DUMMYFUNCTION("""COMPUTED_VALUE"""),3090)</f>
        <v>3090</v>
      </c>
      <c r="E1348" s="2">
        <f ca="1">IFERROR(__xludf.DUMMYFUNCTION("""COMPUTED_VALUE"""),3150)</f>
        <v>3150</v>
      </c>
      <c r="F1348" s="2">
        <f ca="1">IFERROR(__xludf.DUMMYFUNCTION("""COMPUTED_VALUE"""),94516900)</f>
        <v>94516900</v>
      </c>
    </row>
    <row r="1349" spans="1:6">
      <c r="A1349" s="5">
        <f ca="1">IFERROR(__xludf.DUMMYFUNCTION("""COMPUTED_VALUE"""),44040.625)</f>
        <v>44040.625</v>
      </c>
      <c r="B1349" s="2">
        <f ca="1">IFERROR(__xludf.DUMMYFUNCTION("""COMPUTED_VALUE"""),3160)</f>
        <v>3160</v>
      </c>
      <c r="C1349" s="2">
        <f ca="1">IFERROR(__xludf.DUMMYFUNCTION("""COMPUTED_VALUE"""),3170)</f>
        <v>3170</v>
      </c>
      <c r="D1349" s="2">
        <f ca="1">IFERROR(__xludf.DUMMYFUNCTION("""COMPUTED_VALUE"""),3100)</f>
        <v>3100</v>
      </c>
      <c r="E1349" s="2">
        <f ca="1">IFERROR(__xludf.DUMMYFUNCTION("""COMPUTED_VALUE"""),3140)</f>
        <v>3140</v>
      </c>
      <c r="F1349" s="2">
        <f ca="1">IFERROR(__xludf.DUMMYFUNCTION("""COMPUTED_VALUE"""),103419800)</f>
        <v>103419800</v>
      </c>
    </row>
    <row r="1350" spans="1:6">
      <c r="A1350" s="5">
        <f ca="1">IFERROR(__xludf.DUMMYFUNCTION("""COMPUTED_VALUE"""),44041.625)</f>
        <v>44041.625</v>
      </c>
      <c r="B1350" s="2">
        <f ca="1">IFERROR(__xludf.DUMMYFUNCTION("""COMPUTED_VALUE"""),3140)</f>
        <v>3140</v>
      </c>
      <c r="C1350" s="2">
        <f ca="1">IFERROR(__xludf.DUMMYFUNCTION("""COMPUTED_VALUE"""),3150)</f>
        <v>3150</v>
      </c>
      <c r="D1350" s="2">
        <f ca="1">IFERROR(__xludf.DUMMYFUNCTION("""COMPUTED_VALUE"""),3100)</f>
        <v>3100</v>
      </c>
      <c r="E1350" s="2">
        <f ca="1">IFERROR(__xludf.DUMMYFUNCTION("""COMPUTED_VALUE"""),3120)</f>
        <v>3120</v>
      </c>
      <c r="F1350" s="2">
        <f ca="1">IFERROR(__xludf.DUMMYFUNCTION("""COMPUTED_VALUE"""),67176700)</f>
        <v>67176700</v>
      </c>
    </row>
    <row r="1351" spans="1:6">
      <c r="A1351" s="5">
        <f ca="1">IFERROR(__xludf.DUMMYFUNCTION("""COMPUTED_VALUE"""),44042.625)</f>
        <v>44042.625</v>
      </c>
      <c r="B1351" s="2">
        <f ca="1">IFERROR(__xludf.DUMMYFUNCTION("""COMPUTED_VALUE"""),3130)</f>
        <v>3130</v>
      </c>
      <c r="C1351" s="2">
        <f ca="1">IFERROR(__xludf.DUMMYFUNCTION("""COMPUTED_VALUE"""),3170)</f>
        <v>3170</v>
      </c>
      <c r="D1351" s="2">
        <f ca="1">IFERROR(__xludf.DUMMYFUNCTION("""COMPUTED_VALUE"""),3110)</f>
        <v>3110</v>
      </c>
      <c r="E1351" s="2">
        <f ca="1">IFERROR(__xludf.DUMMYFUNCTION("""COMPUTED_VALUE"""),3160)</f>
        <v>3160</v>
      </c>
      <c r="F1351" s="2">
        <f ca="1">IFERROR(__xludf.DUMMYFUNCTION("""COMPUTED_VALUE"""),78478700)</f>
        <v>78478700</v>
      </c>
    </row>
    <row r="1352" spans="1:6">
      <c r="A1352" s="5">
        <f ca="1">IFERROR(__xludf.DUMMYFUNCTION("""COMPUTED_VALUE"""),44046.625)</f>
        <v>44046.625</v>
      </c>
      <c r="B1352" s="2">
        <f ca="1">IFERROR(__xludf.DUMMYFUNCTION("""COMPUTED_VALUE"""),3170)</f>
        <v>3170</v>
      </c>
      <c r="C1352" s="2">
        <f ca="1">IFERROR(__xludf.DUMMYFUNCTION("""COMPUTED_VALUE"""),3180)</f>
        <v>3180</v>
      </c>
      <c r="D1352" s="2">
        <f ca="1">IFERROR(__xludf.DUMMYFUNCTION("""COMPUTED_VALUE"""),2970)</f>
        <v>2970</v>
      </c>
      <c r="E1352" s="2">
        <f ca="1">IFERROR(__xludf.DUMMYFUNCTION("""COMPUTED_VALUE"""),2990)</f>
        <v>2990</v>
      </c>
      <c r="F1352" s="2">
        <f ca="1">IFERROR(__xludf.DUMMYFUNCTION("""COMPUTED_VALUE"""),339279900)</f>
        <v>339279900</v>
      </c>
    </row>
    <row r="1353" spans="1:6">
      <c r="A1353" s="5">
        <f ca="1">IFERROR(__xludf.DUMMYFUNCTION("""COMPUTED_VALUE"""),44047.625)</f>
        <v>44047.625</v>
      </c>
      <c r="B1353" s="2">
        <f ca="1">IFERROR(__xludf.DUMMYFUNCTION("""COMPUTED_VALUE"""),3000)</f>
        <v>3000</v>
      </c>
      <c r="C1353" s="2">
        <f ca="1">IFERROR(__xludf.DUMMYFUNCTION("""COMPUTED_VALUE"""),3080)</f>
        <v>3080</v>
      </c>
      <c r="D1353" s="2">
        <f ca="1">IFERROR(__xludf.DUMMYFUNCTION("""COMPUTED_VALUE"""),3000)</f>
        <v>3000</v>
      </c>
      <c r="E1353" s="2">
        <f ca="1">IFERROR(__xludf.DUMMYFUNCTION("""COMPUTED_VALUE"""),3080)</f>
        <v>3080</v>
      </c>
      <c r="F1353" s="2">
        <f ca="1">IFERROR(__xludf.DUMMYFUNCTION("""COMPUTED_VALUE"""),156288000)</f>
        <v>156288000</v>
      </c>
    </row>
    <row r="1354" spans="1:6">
      <c r="A1354" s="5">
        <f ca="1">IFERROR(__xludf.DUMMYFUNCTION("""COMPUTED_VALUE"""),44048.625)</f>
        <v>44048.625</v>
      </c>
      <c r="B1354" s="2">
        <f ca="1">IFERROR(__xludf.DUMMYFUNCTION("""COMPUTED_VALUE"""),3100)</f>
        <v>3100</v>
      </c>
      <c r="C1354" s="2">
        <f ca="1">IFERROR(__xludf.DUMMYFUNCTION("""COMPUTED_VALUE"""),3110)</f>
        <v>3110</v>
      </c>
      <c r="D1354" s="2">
        <f ca="1">IFERROR(__xludf.DUMMYFUNCTION("""COMPUTED_VALUE"""),3040)</f>
        <v>3040</v>
      </c>
      <c r="E1354" s="2">
        <f ca="1">IFERROR(__xludf.DUMMYFUNCTION("""COMPUTED_VALUE"""),3080)</f>
        <v>3080</v>
      </c>
      <c r="F1354" s="2">
        <f ca="1">IFERROR(__xludf.DUMMYFUNCTION("""COMPUTED_VALUE"""),161496000)</f>
        <v>161496000</v>
      </c>
    </row>
    <row r="1355" spans="1:6">
      <c r="A1355" s="5">
        <f ca="1">IFERROR(__xludf.DUMMYFUNCTION("""COMPUTED_VALUE"""),44049.625)</f>
        <v>44049.625</v>
      </c>
      <c r="B1355" s="2">
        <f ca="1">IFERROR(__xludf.DUMMYFUNCTION("""COMPUTED_VALUE"""),3100)</f>
        <v>3100</v>
      </c>
      <c r="C1355" s="2">
        <f ca="1">IFERROR(__xludf.DUMMYFUNCTION("""COMPUTED_VALUE"""),3130)</f>
        <v>3130</v>
      </c>
      <c r="D1355" s="2">
        <f ca="1">IFERROR(__xludf.DUMMYFUNCTION("""COMPUTED_VALUE"""),3090)</f>
        <v>3090</v>
      </c>
      <c r="E1355" s="2">
        <f ca="1">IFERROR(__xludf.DUMMYFUNCTION("""COMPUTED_VALUE"""),3110)</f>
        <v>3110</v>
      </c>
      <c r="F1355" s="2">
        <f ca="1">IFERROR(__xludf.DUMMYFUNCTION("""COMPUTED_VALUE"""),114602400)</f>
        <v>114602400</v>
      </c>
    </row>
    <row r="1356" spans="1:6">
      <c r="A1356" s="5">
        <f ca="1">IFERROR(__xludf.DUMMYFUNCTION("""COMPUTED_VALUE"""),44050.625)</f>
        <v>44050.625</v>
      </c>
      <c r="B1356" s="2">
        <f ca="1">IFERROR(__xludf.DUMMYFUNCTION("""COMPUTED_VALUE"""),3110)</f>
        <v>3110</v>
      </c>
      <c r="C1356" s="2">
        <f ca="1">IFERROR(__xludf.DUMMYFUNCTION("""COMPUTED_VALUE"""),3130)</f>
        <v>3130</v>
      </c>
      <c r="D1356" s="2">
        <f ca="1">IFERROR(__xludf.DUMMYFUNCTION("""COMPUTED_VALUE"""),3060)</f>
        <v>3060</v>
      </c>
      <c r="E1356" s="2">
        <f ca="1">IFERROR(__xludf.DUMMYFUNCTION("""COMPUTED_VALUE"""),3110)</f>
        <v>3110</v>
      </c>
      <c r="F1356" s="2">
        <f ca="1">IFERROR(__xludf.DUMMYFUNCTION("""COMPUTED_VALUE"""),89917300)</f>
        <v>89917300</v>
      </c>
    </row>
    <row r="1357" spans="1:6">
      <c r="A1357" s="5">
        <f ca="1">IFERROR(__xludf.DUMMYFUNCTION("""COMPUTED_VALUE"""),44053.625)</f>
        <v>44053.625</v>
      </c>
      <c r="B1357" s="2">
        <f ca="1">IFERROR(__xludf.DUMMYFUNCTION("""COMPUTED_VALUE"""),3110)</f>
        <v>3110</v>
      </c>
      <c r="C1357" s="2">
        <f ca="1">IFERROR(__xludf.DUMMYFUNCTION("""COMPUTED_VALUE"""),3150)</f>
        <v>3150</v>
      </c>
      <c r="D1357" s="2">
        <f ca="1">IFERROR(__xludf.DUMMYFUNCTION("""COMPUTED_VALUE"""),3100)</f>
        <v>3100</v>
      </c>
      <c r="E1357" s="2">
        <f ca="1">IFERROR(__xludf.DUMMYFUNCTION("""COMPUTED_VALUE"""),3130)</f>
        <v>3130</v>
      </c>
      <c r="F1357" s="2">
        <f ca="1">IFERROR(__xludf.DUMMYFUNCTION("""COMPUTED_VALUE"""),91465200)</f>
        <v>91465200</v>
      </c>
    </row>
    <row r="1358" spans="1:6">
      <c r="A1358" s="5">
        <f ca="1">IFERROR(__xludf.DUMMYFUNCTION("""COMPUTED_VALUE"""),44054.625)</f>
        <v>44054.625</v>
      </c>
      <c r="B1358" s="2">
        <f ca="1">IFERROR(__xludf.DUMMYFUNCTION("""COMPUTED_VALUE"""),3130)</f>
        <v>3130</v>
      </c>
      <c r="C1358" s="2">
        <f ca="1">IFERROR(__xludf.DUMMYFUNCTION("""COMPUTED_VALUE"""),3220)</f>
        <v>3220</v>
      </c>
      <c r="D1358" s="2">
        <f ca="1">IFERROR(__xludf.DUMMYFUNCTION("""COMPUTED_VALUE"""),3130)</f>
        <v>3130</v>
      </c>
      <c r="E1358" s="2">
        <f ca="1">IFERROR(__xludf.DUMMYFUNCTION("""COMPUTED_VALUE"""),3190)</f>
        <v>3190</v>
      </c>
      <c r="F1358" s="2">
        <f ca="1">IFERROR(__xludf.DUMMYFUNCTION("""COMPUTED_VALUE"""),172459100)</f>
        <v>172459100</v>
      </c>
    </row>
    <row r="1359" spans="1:6">
      <c r="A1359" s="5">
        <f ca="1">IFERROR(__xludf.DUMMYFUNCTION("""COMPUTED_VALUE"""),44055.625)</f>
        <v>44055.625</v>
      </c>
      <c r="B1359" s="2">
        <f ca="1">IFERROR(__xludf.DUMMYFUNCTION("""COMPUTED_VALUE"""),3190)</f>
        <v>3190</v>
      </c>
      <c r="C1359" s="2">
        <f ca="1">IFERROR(__xludf.DUMMYFUNCTION("""COMPUTED_VALUE"""),3370)</f>
        <v>3370</v>
      </c>
      <c r="D1359" s="2">
        <f ca="1">IFERROR(__xludf.DUMMYFUNCTION("""COMPUTED_VALUE"""),3190)</f>
        <v>3190</v>
      </c>
      <c r="E1359" s="2">
        <f ca="1">IFERROR(__xludf.DUMMYFUNCTION("""COMPUTED_VALUE"""),3350)</f>
        <v>3350</v>
      </c>
      <c r="F1359" s="2">
        <f ca="1">IFERROR(__xludf.DUMMYFUNCTION("""COMPUTED_VALUE"""),459419200)</f>
        <v>459419200</v>
      </c>
    </row>
    <row r="1360" spans="1:6">
      <c r="A1360" s="5">
        <f ca="1">IFERROR(__xludf.DUMMYFUNCTION("""COMPUTED_VALUE"""),44056.625)</f>
        <v>44056.625</v>
      </c>
      <c r="B1360" s="2">
        <f ca="1">IFERROR(__xludf.DUMMYFUNCTION("""COMPUTED_VALUE"""),3350)</f>
        <v>3350</v>
      </c>
      <c r="C1360" s="2">
        <f ca="1">IFERROR(__xludf.DUMMYFUNCTION("""COMPUTED_VALUE"""),3450)</f>
        <v>3450</v>
      </c>
      <c r="D1360" s="2">
        <f ca="1">IFERROR(__xludf.DUMMYFUNCTION("""COMPUTED_VALUE"""),3300)</f>
        <v>3300</v>
      </c>
      <c r="E1360" s="2">
        <f ca="1">IFERROR(__xludf.DUMMYFUNCTION("""COMPUTED_VALUE"""),3330)</f>
        <v>3330</v>
      </c>
      <c r="F1360" s="2">
        <f ca="1">IFERROR(__xludf.DUMMYFUNCTION("""COMPUTED_VALUE"""),214222600)</f>
        <v>214222600</v>
      </c>
    </row>
    <row r="1361" spans="1:6">
      <c r="A1361" s="5">
        <f ca="1">IFERROR(__xludf.DUMMYFUNCTION("""COMPUTED_VALUE"""),44057.625)</f>
        <v>44057.625</v>
      </c>
      <c r="B1361" s="2">
        <f ca="1">IFERROR(__xludf.DUMMYFUNCTION("""COMPUTED_VALUE"""),3330)</f>
        <v>3330</v>
      </c>
      <c r="C1361" s="2">
        <f ca="1">IFERROR(__xludf.DUMMYFUNCTION("""COMPUTED_VALUE"""),3350)</f>
        <v>3350</v>
      </c>
      <c r="D1361" s="2">
        <f ca="1">IFERROR(__xludf.DUMMYFUNCTION("""COMPUTED_VALUE"""),3280)</f>
        <v>3280</v>
      </c>
      <c r="E1361" s="2">
        <f ca="1">IFERROR(__xludf.DUMMYFUNCTION("""COMPUTED_VALUE"""),3340)</f>
        <v>3340</v>
      </c>
      <c r="F1361" s="2">
        <f ca="1">IFERROR(__xludf.DUMMYFUNCTION("""COMPUTED_VALUE"""),99152200)</f>
        <v>99152200</v>
      </c>
    </row>
    <row r="1362" spans="1:6">
      <c r="A1362" s="5">
        <f ca="1">IFERROR(__xludf.DUMMYFUNCTION("""COMPUTED_VALUE"""),44061.625)</f>
        <v>44061.625</v>
      </c>
      <c r="B1362" s="2">
        <f ca="1">IFERROR(__xludf.DUMMYFUNCTION("""COMPUTED_VALUE"""),3340)</f>
        <v>3340</v>
      </c>
      <c r="C1362" s="2">
        <f ca="1">IFERROR(__xludf.DUMMYFUNCTION("""COMPUTED_VALUE"""),3530)</f>
        <v>3530</v>
      </c>
      <c r="D1362" s="2">
        <f ca="1">IFERROR(__xludf.DUMMYFUNCTION("""COMPUTED_VALUE"""),3340)</f>
        <v>3340</v>
      </c>
      <c r="E1362" s="2">
        <f ca="1">IFERROR(__xludf.DUMMYFUNCTION("""COMPUTED_VALUE"""),3520)</f>
        <v>3520</v>
      </c>
      <c r="F1362" s="2">
        <f ca="1">IFERROR(__xludf.DUMMYFUNCTION("""COMPUTED_VALUE"""),262001000)</f>
        <v>262001000</v>
      </c>
    </row>
    <row r="1363" spans="1:6">
      <c r="A1363" s="5">
        <f ca="1">IFERROR(__xludf.DUMMYFUNCTION("""COMPUTED_VALUE"""),44062.625)</f>
        <v>44062.625</v>
      </c>
      <c r="B1363" s="2">
        <f ca="1">IFERROR(__xludf.DUMMYFUNCTION("""COMPUTED_VALUE"""),3520)</f>
        <v>3520</v>
      </c>
      <c r="C1363" s="2">
        <f ca="1">IFERROR(__xludf.DUMMYFUNCTION("""COMPUTED_VALUE"""),3640)</f>
        <v>3640</v>
      </c>
      <c r="D1363" s="2">
        <f ca="1">IFERROR(__xludf.DUMMYFUNCTION("""COMPUTED_VALUE"""),3520)</f>
        <v>3520</v>
      </c>
      <c r="E1363" s="2">
        <f ca="1">IFERROR(__xludf.DUMMYFUNCTION("""COMPUTED_VALUE"""),3560)</f>
        <v>3560</v>
      </c>
      <c r="F1363" s="2">
        <f ca="1">IFERROR(__xludf.DUMMYFUNCTION("""COMPUTED_VALUE"""),217533000)</f>
        <v>217533000</v>
      </c>
    </row>
    <row r="1364" spans="1:6">
      <c r="A1364" s="5">
        <f ca="1">IFERROR(__xludf.DUMMYFUNCTION("""COMPUTED_VALUE"""),44067.625)</f>
        <v>44067.625</v>
      </c>
      <c r="B1364" s="2">
        <f ca="1">IFERROR(__xludf.DUMMYFUNCTION("""COMPUTED_VALUE"""),3530)</f>
        <v>3530</v>
      </c>
      <c r="C1364" s="2">
        <f ca="1">IFERROR(__xludf.DUMMYFUNCTION("""COMPUTED_VALUE"""),3650)</f>
        <v>3650</v>
      </c>
      <c r="D1364" s="2">
        <f ca="1">IFERROR(__xludf.DUMMYFUNCTION("""COMPUTED_VALUE"""),3520)</f>
        <v>3520</v>
      </c>
      <c r="E1364" s="2">
        <f ca="1">IFERROR(__xludf.DUMMYFUNCTION("""COMPUTED_VALUE"""),3640)</f>
        <v>3640</v>
      </c>
      <c r="F1364" s="2">
        <f ca="1">IFERROR(__xludf.DUMMYFUNCTION("""COMPUTED_VALUE"""),194972300)</f>
        <v>194972300</v>
      </c>
    </row>
    <row r="1365" spans="1:6">
      <c r="A1365" s="5">
        <f ca="1">IFERROR(__xludf.DUMMYFUNCTION("""COMPUTED_VALUE"""),44068.625)</f>
        <v>44068.625</v>
      </c>
      <c r="B1365" s="2">
        <f ca="1">IFERROR(__xludf.DUMMYFUNCTION("""COMPUTED_VALUE"""),3670)</f>
        <v>3670</v>
      </c>
      <c r="C1365" s="2">
        <f ca="1">IFERROR(__xludf.DUMMYFUNCTION("""COMPUTED_VALUE"""),3800)</f>
        <v>3800</v>
      </c>
      <c r="D1365" s="2">
        <f ca="1">IFERROR(__xludf.DUMMYFUNCTION("""COMPUTED_VALUE"""),3640)</f>
        <v>3640</v>
      </c>
      <c r="E1365" s="2">
        <f ca="1">IFERROR(__xludf.DUMMYFUNCTION("""COMPUTED_VALUE"""),3800)</f>
        <v>3800</v>
      </c>
      <c r="F1365" s="2">
        <f ca="1">IFERROR(__xludf.DUMMYFUNCTION("""COMPUTED_VALUE"""),179300000)</f>
        <v>179300000</v>
      </c>
    </row>
    <row r="1366" spans="1:6">
      <c r="A1366" s="5">
        <f ca="1">IFERROR(__xludf.DUMMYFUNCTION("""COMPUTED_VALUE"""),44069.625)</f>
        <v>44069.625</v>
      </c>
      <c r="B1366" s="2">
        <f ca="1">IFERROR(__xludf.DUMMYFUNCTION("""COMPUTED_VALUE"""),3800)</f>
        <v>3800</v>
      </c>
      <c r="C1366" s="2">
        <f ca="1">IFERROR(__xludf.DUMMYFUNCTION("""COMPUTED_VALUE"""),3820)</f>
        <v>3820</v>
      </c>
      <c r="D1366" s="2">
        <f ca="1">IFERROR(__xludf.DUMMYFUNCTION("""COMPUTED_VALUE"""),3700)</f>
        <v>3700</v>
      </c>
      <c r="E1366" s="2">
        <f ca="1">IFERROR(__xludf.DUMMYFUNCTION("""COMPUTED_VALUE"""),3740)</f>
        <v>3740</v>
      </c>
      <c r="F1366" s="2">
        <f ca="1">IFERROR(__xludf.DUMMYFUNCTION("""COMPUTED_VALUE"""),161962800)</f>
        <v>161962800</v>
      </c>
    </row>
    <row r="1367" spans="1:6">
      <c r="A1367" s="5">
        <f ca="1">IFERROR(__xludf.DUMMYFUNCTION("""COMPUTED_VALUE"""),44070.625)</f>
        <v>44070.625</v>
      </c>
      <c r="B1367" s="2">
        <f ca="1">IFERROR(__xludf.DUMMYFUNCTION("""COMPUTED_VALUE"""),3740)</f>
        <v>3740</v>
      </c>
      <c r="C1367" s="2">
        <f ca="1">IFERROR(__xludf.DUMMYFUNCTION("""COMPUTED_VALUE"""),3780)</f>
        <v>3780</v>
      </c>
      <c r="D1367" s="2">
        <f ca="1">IFERROR(__xludf.DUMMYFUNCTION("""COMPUTED_VALUE"""),3660)</f>
        <v>3660</v>
      </c>
      <c r="E1367" s="2">
        <f ca="1">IFERROR(__xludf.DUMMYFUNCTION("""COMPUTED_VALUE"""),3700)</f>
        <v>3700</v>
      </c>
      <c r="F1367" s="2">
        <f ca="1">IFERROR(__xludf.DUMMYFUNCTION("""COMPUTED_VALUE"""),187984900)</f>
        <v>187984900</v>
      </c>
    </row>
    <row r="1368" spans="1:6">
      <c r="A1368" s="5">
        <f ca="1">IFERROR(__xludf.DUMMYFUNCTION("""COMPUTED_VALUE"""),44071.625)</f>
        <v>44071.625</v>
      </c>
      <c r="B1368" s="2">
        <f ca="1">IFERROR(__xludf.DUMMYFUNCTION("""COMPUTED_VALUE"""),3710)</f>
        <v>3710</v>
      </c>
      <c r="C1368" s="2">
        <f ca="1">IFERROR(__xludf.DUMMYFUNCTION("""COMPUTED_VALUE"""),3740)</f>
        <v>3740</v>
      </c>
      <c r="D1368" s="2">
        <f ca="1">IFERROR(__xludf.DUMMYFUNCTION("""COMPUTED_VALUE"""),3650)</f>
        <v>3650</v>
      </c>
      <c r="E1368" s="2">
        <f ca="1">IFERROR(__xludf.DUMMYFUNCTION("""COMPUTED_VALUE"""),3690)</f>
        <v>3690</v>
      </c>
      <c r="F1368" s="2">
        <f ca="1">IFERROR(__xludf.DUMMYFUNCTION("""COMPUTED_VALUE"""),77888200)</f>
        <v>77888200</v>
      </c>
    </row>
    <row r="1369" spans="1:6">
      <c r="A1369" s="5">
        <f ca="1">IFERROR(__xludf.DUMMYFUNCTION("""COMPUTED_VALUE"""),44074.625)</f>
        <v>44074.625</v>
      </c>
      <c r="B1369" s="2">
        <f ca="1">IFERROR(__xludf.DUMMYFUNCTION("""COMPUTED_VALUE"""),3700)</f>
        <v>3700</v>
      </c>
      <c r="C1369" s="2">
        <f ca="1">IFERROR(__xludf.DUMMYFUNCTION("""COMPUTED_VALUE"""),3740)</f>
        <v>3740</v>
      </c>
      <c r="D1369" s="2">
        <f ca="1">IFERROR(__xludf.DUMMYFUNCTION("""COMPUTED_VALUE"""),3500)</f>
        <v>3500</v>
      </c>
      <c r="E1369" s="2">
        <f ca="1">IFERROR(__xludf.DUMMYFUNCTION("""COMPUTED_VALUE"""),3510)</f>
        <v>3510</v>
      </c>
      <c r="F1369" s="2">
        <f ca="1">IFERROR(__xludf.DUMMYFUNCTION("""COMPUTED_VALUE"""),266042400)</f>
        <v>266042400</v>
      </c>
    </row>
    <row r="1370" spans="1:6">
      <c r="A1370" s="5">
        <f ca="1">IFERROR(__xludf.DUMMYFUNCTION("""COMPUTED_VALUE"""),44075.625)</f>
        <v>44075.625</v>
      </c>
      <c r="B1370" s="2">
        <f ca="1">IFERROR(__xludf.DUMMYFUNCTION("""COMPUTED_VALUE"""),3550)</f>
        <v>3550</v>
      </c>
      <c r="C1370" s="2">
        <f ca="1">IFERROR(__xludf.DUMMYFUNCTION("""COMPUTED_VALUE"""),3630)</f>
        <v>3630</v>
      </c>
      <c r="D1370" s="2">
        <f ca="1">IFERROR(__xludf.DUMMYFUNCTION("""COMPUTED_VALUE"""),3480)</f>
        <v>3480</v>
      </c>
      <c r="E1370" s="2">
        <f ca="1">IFERROR(__xludf.DUMMYFUNCTION("""COMPUTED_VALUE"""),3610)</f>
        <v>3610</v>
      </c>
      <c r="F1370" s="2">
        <f ca="1">IFERROR(__xludf.DUMMYFUNCTION("""COMPUTED_VALUE"""),196959300)</f>
        <v>196959300</v>
      </c>
    </row>
    <row r="1371" spans="1:6">
      <c r="A1371" s="5">
        <f ca="1">IFERROR(__xludf.DUMMYFUNCTION("""COMPUTED_VALUE"""),44076.625)</f>
        <v>44076.625</v>
      </c>
      <c r="B1371" s="2">
        <f ca="1">IFERROR(__xludf.DUMMYFUNCTION("""COMPUTED_VALUE"""),3620)</f>
        <v>3620</v>
      </c>
      <c r="C1371" s="2">
        <f ca="1">IFERROR(__xludf.DUMMYFUNCTION("""COMPUTED_VALUE"""),3660)</f>
        <v>3660</v>
      </c>
      <c r="D1371" s="2">
        <f ca="1">IFERROR(__xludf.DUMMYFUNCTION("""COMPUTED_VALUE"""),3590)</f>
        <v>3590</v>
      </c>
      <c r="E1371" s="2">
        <f ca="1">IFERROR(__xludf.DUMMYFUNCTION("""COMPUTED_VALUE"""),3660)</f>
        <v>3660</v>
      </c>
      <c r="F1371" s="2">
        <f ca="1">IFERROR(__xludf.DUMMYFUNCTION("""COMPUTED_VALUE"""),106924600)</f>
        <v>106924600</v>
      </c>
    </row>
    <row r="1372" spans="1:6">
      <c r="A1372" s="5">
        <f ca="1">IFERROR(__xludf.DUMMYFUNCTION("""COMPUTED_VALUE"""),44077.625)</f>
        <v>44077.625</v>
      </c>
      <c r="B1372" s="2">
        <f ca="1">IFERROR(__xludf.DUMMYFUNCTION("""COMPUTED_VALUE"""),3660)</f>
        <v>3660</v>
      </c>
      <c r="C1372" s="2">
        <f ca="1">IFERROR(__xludf.DUMMYFUNCTION("""COMPUTED_VALUE"""),3690)</f>
        <v>3690</v>
      </c>
      <c r="D1372" s="2">
        <f ca="1">IFERROR(__xludf.DUMMYFUNCTION("""COMPUTED_VALUE"""),3550)</f>
        <v>3550</v>
      </c>
      <c r="E1372" s="2">
        <f ca="1">IFERROR(__xludf.DUMMYFUNCTION("""COMPUTED_VALUE"""),3580)</f>
        <v>3580</v>
      </c>
      <c r="F1372" s="2">
        <f ca="1">IFERROR(__xludf.DUMMYFUNCTION("""COMPUTED_VALUE"""),179612400)</f>
        <v>179612400</v>
      </c>
    </row>
    <row r="1373" spans="1:6">
      <c r="A1373" s="5">
        <f ca="1">IFERROR(__xludf.DUMMYFUNCTION("""COMPUTED_VALUE"""),44078.625)</f>
        <v>44078.625</v>
      </c>
      <c r="B1373" s="2">
        <f ca="1">IFERROR(__xludf.DUMMYFUNCTION("""COMPUTED_VALUE"""),3610)</f>
        <v>3610</v>
      </c>
      <c r="C1373" s="2">
        <f ca="1">IFERROR(__xludf.DUMMYFUNCTION("""COMPUTED_VALUE"""),3610)</f>
        <v>3610</v>
      </c>
      <c r="D1373" s="2">
        <f ca="1">IFERROR(__xludf.DUMMYFUNCTION("""COMPUTED_VALUE"""),3480)</f>
        <v>3480</v>
      </c>
      <c r="E1373" s="2">
        <f ca="1">IFERROR(__xludf.DUMMYFUNCTION("""COMPUTED_VALUE"""),3550)</f>
        <v>3550</v>
      </c>
      <c r="F1373" s="2">
        <f ca="1">IFERROR(__xludf.DUMMYFUNCTION("""COMPUTED_VALUE"""),134555700)</f>
        <v>134555700</v>
      </c>
    </row>
    <row r="1374" spans="1:6">
      <c r="A1374" s="5">
        <f ca="1">IFERROR(__xludf.DUMMYFUNCTION("""COMPUTED_VALUE"""),44081.625)</f>
        <v>44081.625</v>
      </c>
      <c r="B1374" s="2">
        <f ca="1">IFERROR(__xludf.DUMMYFUNCTION("""COMPUTED_VALUE"""),3550)</f>
        <v>3550</v>
      </c>
      <c r="C1374" s="2">
        <f ca="1">IFERROR(__xludf.DUMMYFUNCTION("""COMPUTED_VALUE"""),3570)</f>
        <v>3570</v>
      </c>
      <c r="D1374" s="2">
        <f ca="1">IFERROR(__xludf.DUMMYFUNCTION("""COMPUTED_VALUE"""),3500)</f>
        <v>3500</v>
      </c>
      <c r="E1374" s="2">
        <f ca="1">IFERROR(__xludf.DUMMYFUNCTION("""COMPUTED_VALUE"""),3510)</f>
        <v>3510</v>
      </c>
      <c r="F1374" s="2">
        <f ca="1">IFERROR(__xludf.DUMMYFUNCTION("""COMPUTED_VALUE"""),94814200)</f>
        <v>94814200</v>
      </c>
    </row>
    <row r="1375" spans="1:6">
      <c r="A1375" s="5">
        <f ca="1">IFERROR(__xludf.DUMMYFUNCTION("""COMPUTED_VALUE"""),44082.625)</f>
        <v>44082.625</v>
      </c>
      <c r="B1375" s="2">
        <f ca="1">IFERROR(__xludf.DUMMYFUNCTION("""COMPUTED_VALUE"""),3510)</f>
        <v>3510</v>
      </c>
      <c r="C1375" s="2">
        <f ca="1">IFERROR(__xludf.DUMMYFUNCTION("""COMPUTED_VALUE"""),3570)</f>
        <v>3570</v>
      </c>
      <c r="D1375" s="2">
        <f ca="1">IFERROR(__xludf.DUMMYFUNCTION("""COMPUTED_VALUE"""),3510)</f>
        <v>3510</v>
      </c>
      <c r="E1375" s="2">
        <f ca="1">IFERROR(__xludf.DUMMYFUNCTION("""COMPUTED_VALUE"""),3520)</f>
        <v>3520</v>
      </c>
      <c r="F1375" s="2">
        <f ca="1">IFERROR(__xludf.DUMMYFUNCTION("""COMPUTED_VALUE"""),81381900)</f>
        <v>81381900</v>
      </c>
    </row>
    <row r="1376" spans="1:6">
      <c r="A1376" s="5">
        <f ca="1">IFERROR(__xludf.DUMMYFUNCTION("""COMPUTED_VALUE"""),44083.625)</f>
        <v>44083.625</v>
      </c>
      <c r="B1376" s="2">
        <f ca="1">IFERROR(__xludf.DUMMYFUNCTION("""COMPUTED_VALUE"""),3480)</f>
        <v>3480</v>
      </c>
      <c r="C1376" s="2">
        <f ca="1">IFERROR(__xludf.DUMMYFUNCTION("""COMPUTED_VALUE"""),3490)</f>
        <v>3490</v>
      </c>
      <c r="D1376" s="2">
        <f ca="1">IFERROR(__xludf.DUMMYFUNCTION("""COMPUTED_VALUE"""),3380)</f>
        <v>3380</v>
      </c>
      <c r="E1376" s="2">
        <f ca="1">IFERROR(__xludf.DUMMYFUNCTION("""COMPUTED_VALUE"""),3410)</f>
        <v>3410</v>
      </c>
      <c r="F1376" s="2">
        <f ca="1">IFERROR(__xludf.DUMMYFUNCTION("""COMPUTED_VALUE"""),178435500)</f>
        <v>178435500</v>
      </c>
    </row>
    <row r="1377" spans="1:6">
      <c r="A1377" s="5">
        <f ca="1">IFERROR(__xludf.DUMMYFUNCTION("""COMPUTED_VALUE"""),44084.625)</f>
        <v>44084.625</v>
      </c>
      <c r="B1377" s="2">
        <f ca="1">IFERROR(__xludf.DUMMYFUNCTION("""COMPUTED_VALUE"""),3300)</f>
        <v>3300</v>
      </c>
      <c r="C1377" s="2">
        <f ca="1">IFERROR(__xludf.DUMMYFUNCTION("""COMPUTED_VALUE"""),3300)</f>
        <v>3300</v>
      </c>
      <c r="D1377" s="2">
        <f ca="1">IFERROR(__xludf.DUMMYFUNCTION("""COMPUTED_VALUE"""),3180)</f>
        <v>3180</v>
      </c>
      <c r="E1377" s="2">
        <f ca="1">IFERROR(__xludf.DUMMYFUNCTION("""COMPUTED_VALUE"""),3180)</f>
        <v>3180</v>
      </c>
      <c r="F1377" s="2">
        <f ca="1">IFERROR(__xludf.DUMMYFUNCTION("""COMPUTED_VALUE"""),277847900)</f>
        <v>277847900</v>
      </c>
    </row>
    <row r="1378" spans="1:6">
      <c r="A1378" s="5">
        <f ca="1">IFERROR(__xludf.DUMMYFUNCTION("""COMPUTED_VALUE"""),44085.625)</f>
        <v>44085.625</v>
      </c>
      <c r="B1378" s="2">
        <f ca="1">IFERROR(__xludf.DUMMYFUNCTION("""COMPUTED_VALUE"""),3020)</f>
        <v>3020</v>
      </c>
      <c r="C1378" s="2">
        <f ca="1">IFERROR(__xludf.DUMMYFUNCTION("""COMPUTED_VALUE"""),3310)</f>
        <v>3310</v>
      </c>
      <c r="D1378" s="2">
        <f ca="1">IFERROR(__xludf.DUMMYFUNCTION("""COMPUTED_VALUE"""),3010)</f>
        <v>3010</v>
      </c>
      <c r="E1378" s="2">
        <f ca="1">IFERROR(__xludf.DUMMYFUNCTION("""COMPUTED_VALUE"""),3250)</f>
        <v>3250</v>
      </c>
      <c r="F1378" s="2">
        <f ca="1">IFERROR(__xludf.DUMMYFUNCTION("""COMPUTED_VALUE"""),583497600)</f>
        <v>583497600</v>
      </c>
    </row>
    <row r="1379" spans="1:6">
      <c r="A1379" s="5">
        <f ca="1">IFERROR(__xludf.DUMMYFUNCTION("""COMPUTED_VALUE"""),44088.625)</f>
        <v>44088.625</v>
      </c>
      <c r="B1379" s="2">
        <f ca="1">IFERROR(__xludf.DUMMYFUNCTION("""COMPUTED_VALUE"""),3300)</f>
        <v>3300</v>
      </c>
      <c r="C1379" s="2">
        <f ca="1">IFERROR(__xludf.DUMMYFUNCTION("""COMPUTED_VALUE"""),3450)</f>
        <v>3450</v>
      </c>
      <c r="D1379" s="2">
        <f ca="1">IFERROR(__xludf.DUMMYFUNCTION("""COMPUTED_VALUE"""),3300)</f>
        <v>3300</v>
      </c>
      <c r="E1379" s="2">
        <f ca="1">IFERROR(__xludf.DUMMYFUNCTION("""COMPUTED_VALUE"""),3440)</f>
        <v>3440</v>
      </c>
      <c r="F1379" s="2">
        <f ca="1">IFERROR(__xludf.DUMMYFUNCTION("""COMPUTED_VALUE"""),275888700)</f>
        <v>275888700</v>
      </c>
    </row>
    <row r="1380" spans="1:6">
      <c r="A1380" s="5">
        <f ca="1">IFERROR(__xludf.DUMMYFUNCTION("""COMPUTED_VALUE"""),44089.625)</f>
        <v>44089.625</v>
      </c>
      <c r="B1380" s="2">
        <f ca="1">IFERROR(__xludf.DUMMYFUNCTION("""COMPUTED_VALUE"""),3440)</f>
        <v>3440</v>
      </c>
      <c r="C1380" s="2">
        <f ca="1">IFERROR(__xludf.DUMMYFUNCTION("""COMPUTED_VALUE"""),3460)</f>
        <v>3460</v>
      </c>
      <c r="D1380" s="2">
        <f ca="1">IFERROR(__xludf.DUMMYFUNCTION("""COMPUTED_VALUE"""),3310)</f>
        <v>3310</v>
      </c>
      <c r="E1380" s="2">
        <f ca="1">IFERROR(__xludf.DUMMYFUNCTION("""COMPUTED_VALUE"""),3330)</f>
        <v>3330</v>
      </c>
      <c r="F1380" s="2">
        <f ca="1">IFERROR(__xludf.DUMMYFUNCTION("""COMPUTED_VALUE"""),195531100)</f>
        <v>195531100</v>
      </c>
    </row>
    <row r="1381" spans="1:6">
      <c r="A1381" s="5">
        <f ca="1">IFERROR(__xludf.DUMMYFUNCTION("""COMPUTED_VALUE"""),44090.625)</f>
        <v>44090.625</v>
      </c>
      <c r="B1381" s="2">
        <f ca="1">IFERROR(__xludf.DUMMYFUNCTION("""COMPUTED_VALUE"""),3370)</f>
        <v>3370</v>
      </c>
      <c r="C1381" s="2">
        <f ca="1">IFERROR(__xludf.DUMMYFUNCTION("""COMPUTED_VALUE"""),3390)</f>
        <v>3390</v>
      </c>
      <c r="D1381" s="2">
        <f ca="1">IFERROR(__xludf.DUMMYFUNCTION("""COMPUTED_VALUE"""),3240)</f>
        <v>3240</v>
      </c>
      <c r="E1381" s="2">
        <f ca="1">IFERROR(__xludf.DUMMYFUNCTION("""COMPUTED_VALUE"""),3260)</f>
        <v>3260</v>
      </c>
      <c r="F1381" s="2">
        <f ca="1">IFERROR(__xludf.DUMMYFUNCTION("""COMPUTED_VALUE"""),138529300)</f>
        <v>138529300</v>
      </c>
    </row>
    <row r="1382" spans="1:6">
      <c r="A1382" s="5">
        <f ca="1">IFERROR(__xludf.DUMMYFUNCTION("""COMPUTED_VALUE"""),44091.625)</f>
        <v>44091.625</v>
      </c>
      <c r="B1382" s="2">
        <f ca="1">IFERROR(__xludf.DUMMYFUNCTION("""COMPUTED_VALUE"""),3270)</f>
        <v>3270</v>
      </c>
      <c r="C1382" s="2">
        <f ca="1">IFERROR(__xludf.DUMMYFUNCTION("""COMPUTED_VALUE"""),3310)</f>
        <v>3310</v>
      </c>
      <c r="D1382" s="2">
        <f ca="1">IFERROR(__xludf.DUMMYFUNCTION("""COMPUTED_VALUE"""),3170)</f>
        <v>3170</v>
      </c>
      <c r="E1382" s="2">
        <f ca="1">IFERROR(__xludf.DUMMYFUNCTION("""COMPUTED_VALUE"""),3200)</f>
        <v>3200</v>
      </c>
      <c r="F1382" s="2">
        <f ca="1">IFERROR(__xludf.DUMMYFUNCTION("""COMPUTED_VALUE"""),167611400)</f>
        <v>167611400</v>
      </c>
    </row>
    <row r="1383" spans="1:6">
      <c r="A1383" s="5">
        <f ca="1">IFERROR(__xludf.DUMMYFUNCTION("""COMPUTED_VALUE"""),44092.625)</f>
        <v>44092.625</v>
      </c>
      <c r="B1383" s="2">
        <f ca="1">IFERROR(__xludf.DUMMYFUNCTION("""COMPUTED_VALUE"""),3200)</f>
        <v>3200</v>
      </c>
      <c r="C1383" s="2">
        <f ca="1">IFERROR(__xludf.DUMMYFUNCTION("""COMPUTED_VALUE"""),3270)</f>
        <v>3270</v>
      </c>
      <c r="D1383" s="2">
        <f ca="1">IFERROR(__xludf.DUMMYFUNCTION("""COMPUTED_VALUE"""),3190)</f>
        <v>3190</v>
      </c>
      <c r="E1383" s="2">
        <f ca="1">IFERROR(__xludf.DUMMYFUNCTION("""COMPUTED_VALUE"""),3220)</f>
        <v>3220</v>
      </c>
      <c r="F1383" s="2">
        <f ca="1">IFERROR(__xludf.DUMMYFUNCTION("""COMPUTED_VALUE"""),202880500)</f>
        <v>202880500</v>
      </c>
    </row>
    <row r="1384" spans="1:6">
      <c r="A1384" s="5">
        <f ca="1">IFERROR(__xludf.DUMMYFUNCTION("""COMPUTED_VALUE"""),44095.625)</f>
        <v>44095.625</v>
      </c>
      <c r="B1384" s="2">
        <f ca="1">IFERROR(__xludf.DUMMYFUNCTION("""COMPUTED_VALUE"""),3200)</f>
        <v>3200</v>
      </c>
      <c r="C1384" s="2">
        <f ca="1">IFERROR(__xludf.DUMMYFUNCTION("""COMPUTED_VALUE"""),3250)</f>
        <v>3250</v>
      </c>
      <c r="D1384" s="2">
        <f ca="1">IFERROR(__xludf.DUMMYFUNCTION("""COMPUTED_VALUE"""),3150)</f>
        <v>3150</v>
      </c>
      <c r="E1384" s="2">
        <f ca="1">IFERROR(__xludf.DUMMYFUNCTION("""COMPUTED_VALUE"""),3190)</f>
        <v>3190</v>
      </c>
      <c r="F1384" s="2">
        <f ca="1">IFERROR(__xludf.DUMMYFUNCTION("""COMPUTED_VALUE"""),114168800)</f>
        <v>114168800</v>
      </c>
    </row>
    <row r="1385" spans="1:6">
      <c r="A1385" s="5">
        <f ca="1">IFERROR(__xludf.DUMMYFUNCTION("""COMPUTED_VALUE"""),44096.625)</f>
        <v>44096.625</v>
      </c>
      <c r="B1385" s="2">
        <f ca="1">IFERROR(__xludf.DUMMYFUNCTION("""COMPUTED_VALUE"""),3110)</f>
        <v>3110</v>
      </c>
      <c r="C1385" s="2">
        <f ca="1">IFERROR(__xludf.DUMMYFUNCTION("""COMPUTED_VALUE"""),3190)</f>
        <v>3190</v>
      </c>
      <c r="D1385" s="2">
        <f ca="1">IFERROR(__xludf.DUMMYFUNCTION("""COMPUTED_VALUE"""),3100)</f>
        <v>3100</v>
      </c>
      <c r="E1385" s="2">
        <f ca="1">IFERROR(__xludf.DUMMYFUNCTION("""COMPUTED_VALUE"""),3130)</f>
        <v>3130</v>
      </c>
      <c r="F1385" s="2">
        <f ca="1">IFERROR(__xludf.DUMMYFUNCTION("""COMPUTED_VALUE"""),134585500)</f>
        <v>134585500</v>
      </c>
    </row>
    <row r="1386" spans="1:6">
      <c r="A1386" s="5">
        <f ca="1">IFERROR(__xludf.DUMMYFUNCTION("""COMPUTED_VALUE"""),44097.625)</f>
        <v>44097.625</v>
      </c>
      <c r="B1386" s="2">
        <f ca="1">IFERROR(__xludf.DUMMYFUNCTION("""COMPUTED_VALUE"""),3170)</f>
        <v>3170</v>
      </c>
      <c r="C1386" s="2">
        <f ca="1">IFERROR(__xludf.DUMMYFUNCTION("""COMPUTED_VALUE"""),3180)</f>
        <v>3180</v>
      </c>
      <c r="D1386" s="2">
        <f ca="1">IFERROR(__xludf.DUMMYFUNCTION("""COMPUTED_VALUE"""),3050)</f>
        <v>3050</v>
      </c>
      <c r="E1386" s="2">
        <f ca="1">IFERROR(__xludf.DUMMYFUNCTION("""COMPUTED_VALUE"""),3080)</f>
        <v>3080</v>
      </c>
      <c r="F1386" s="2">
        <f ca="1">IFERROR(__xludf.DUMMYFUNCTION("""COMPUTED_VALUE"""),120607900)</f>
        <v>120607900</v>
      </c>
    </row>
    <row r="1387" spans="1:6">
      <c r="A1387" s="5">
        <f ca="1">IFERROR(__xludf.DUMMYFUNCTION("""COMPUTED_VALUE"""),44098.625)</f>
        <v>44098.625</v>
      </c>
      <c r="B1387" s="2">
        <f ca="1">IFERROR(__xludf.DUMMYFUNCTION("""COMPUTED_VALUE"""),3030)</f>
        <v>3030</v>
      </c>
      <c r="C1387" s="2">
        <f ca="1">IFERROR(__xludf.DUMMYFUNCTION("""COMPUTED_VALUE"""),3080)</f>
        <v>3080</v>
      </c>
      <c r="D1387" s="2">
        <f ca="1">IFERROR(__xludf.DUMMYFUNCTION("""COMPUTED_VALUE"""),3010)</f>
        <v>3010</v>
      </c>
      <c r="E1387" s="2">
        <f ca="1">IFERROR(__xludf.DUMMYFUNCTION("""COMPUTED_VALUE"""),3030)</f>
        <v>3030</v>
      </c>
      <c r="F1387" s="2">
        <f ca="1">IFERROR(__xludf.DUMMYFUNCTION("""COMPUTED_VALUE"""),164151300)</f>
        <v>164151300</v>
      </c>
    </row>
    <row r="1388" spans="1:6">
      <c r="A1388" s="5">
        <f ca="1">IFERROR(__xludf.DUMMYFUNCTION("""COMPUTED_VALUE"""),44099.625)</f>
        <v>44099.625</v>
      </c>
      <c r="B1388" s="2">
        <f ca="1">IFERROR(__xludf.DUMMYFUNCTION("""COMPUTED_VALUE"""),3060)</f>
        <v>3060</v>
      </c>
      <c r="C1388" s="2">
        <f ca="1">IFERROR(__xludf.DUMMYFUNCTION("""COMPUTED_VALUE"""),3180)</f>
        <v>3180</v>
      </c>
      <c r="D1388" s="2">
        <f ca="1">IFERROR(__xludf.DUMMYFUNCTION("""COMPUTED_VALUE"""),3040)</f>
        <v>3040</v>
      </c>
      <c r="E1388" s="2">
        <f ca="1">IFERROR(__xludf.DUMMYFUNCTION("""COMPUTED_VALUE"""),3160)</f>
        <v>3160</v>
      </c>
      <c r="F1388" s="2">
        <f ca="1">IFERROR(__xludf.DUMMYFUNCTION("""COMPUTED_VALUE"""),169418100)</f>
        <v>169418100</v>
      </c>
    </row>
    <row r="1389" spans="1:6">
      <c r="A1389" s="5">
        <f ca="1">IFERROR(__xludf.DUMMYFUNCTION("""COMPUTED_VALUE"""),44102.625)</f>
        <v>44102.625</v>
      </c>
      <c r="B1389" s="2">
        <f ca="1">IFERROR(__xludf.DUMMYFUNCTION("""COMPUTED_VALUE"""),3180)</f>
        <v>3180</v>
      </c>
      <c r="C1389" s="2">
        <f ca="1">IFERROR(__xludf.DUMMYFUNCTION("""COMPUTED_VALUE"""),3230)</f>
        <v>3230</v>
      </c>
      <c r="D1389" s="2">
        <f ca="1">IFERROR(__xludf.DUMMYFUNCTION("""COMPUTED_VALUE"""),3080)</f>
        <v>3080</v>
      </c>
      <c r="E1389" s="2">
        <f ca="1">IFERROR(__xludf.DUMMYFUNCTION("""COMPUTED_VALUE"""),3090)</f>
        <v>3090</v>
      </c>
      <c r="F1389" s="2">
        <f ca="1">IFERROR(__xludf.DUMMYFUNCTION("""COMPUTED_VALUE"""),135465800)</f>
        <v>135465800</v>
      </c>
    </row>
    <row r="1390" spans="1:6">
      <c r="A1390" s="5">
        <f ca="1">IFERROR(__xludf.DUMMYFUNCTION("""COMPUTED_VALUE"""),44103.625)</f>
        <v>44103.625</v>
      </c>
      <c r="B1390" s="2">
        <f ca="1">IFERROR(__xludf.DUMMYFUNCTION("""COMPUTED_VALUE"""),3120)</f>
        <v>3120</v>
      </c>
      <c r="C1390" s="2">
        <f ca="1">IFERROR(__xludf.DUMMYFUNCTION("""COMPUTED_VALUE"""),3160)</f>
        <v>3160</v>
      </c>
      <c r="D1390" s="2">
        <f ca="1">IFERROR(__xludf.DUMMYFUNCTION("""COMPUTED_VALUE"""),3020)</f>
        <v>3020</v>
      </c>
      <c r="E1390" s="2">
        <f ca="1">IFERROR(__xludf.DUMMYFUNCTION("""COMPUTED_VALUE"""),3040)</f>
        <v>3040</v>
      </c>
      <c r="F1390" s="2">
        <f ca="1">IFERROR(__xludf.DUMMYFUNCTION("""COMPUTED_VALUE"""),182697100)</f>
        <v>182697100</v>
      </c>
    </row>
    <row r="1391" spans="1:6">
      <c r="A1391" s="5">
        <f ca="1">IFERROR(__xludf.DUMMYFUNCTION("""COMPUTED_VALUE"""),44104.625)</f>
        <v>44104.625</v>
      </c>
      <c r="B1391" s="2">
        <f ca="1">IFERROR(__xludf.DUMMYFUNCTION("""COMPUTED_VALUE"""),3060)</f>
        <v>3060</v>
      </c>
      <c r="C1391" s="2">
        <f ca="1">IFERROR(__xludf.DUMMYFUNCTION("""COMPUTED_VALUE"""),3080)</f>
        <v>3080</v>
      </c>
      <c r="D1391" s="2">
        <f ca="1">IFERROR(__xludf.DUMMYFUNCTION("""COMPUTED_VALUE"""),3000)</f>
        <v>3000</v>
      </c>
      <c r="E1391" s="2">
        <f ca="1">IFERROR(__xludf.DUMMYFUNCTION("""COMPUTED_VALUE"""),3040)</f>
        <v>3040</v>
      </c>
      <c r="F1391" s="2">
        <f ca="1">IFERROR(__xludf.DUMMYFUNCTION("""COMPUTED_VALUE"""),167835700)</f>
        <v>167835700</v>
      </c>
    </row>
    <row r="1392" spans="1:6">
      <c r="A1392" s="5">
        <f ca="1">IFERROR(__xludf.DUMMYFUNCTION("""COMPUTED_VALUE"""),44105.625)</f>
        <v>44105.625</v>
      </c>
      <c r="B1392" s="2">
        <f ca="1">IFERROR(__xludf.DUMMYFUNCTION("""COMPUTED_VALUE"""),3090)</f>
        <v>3090</v>
      </c>
      <c r="C1392" s="2">
        <f ca="1">IFERROR(__xludf.DUMMYFUNCTION("""COMPUTED_VALUE"""),3170)</f>
        <v>3170</v>
      </c>
      <c r="D1392" s="2">
        <f ca="1">IFERROR(__xludf.DUMMYFUNCTION("""COMPUTED_VALUE"""),3060)</f>
        <v>3060</v>
      </c>
      <c r="E1392" s="2">
        <f ca="1">IFERROR(__xludf.DUMMYFUNCTION("""COMPUTED_VALUE"""),3160)</f>
        <v>3160</v>
      </c>
      <c r="F1392" s="2">
        <f ca="1">IFERROR(__xludf.DUMMYFUNCTION("""COMPUTED_VALUE"""),130031000)</f>
        <v>130031000</v>
      </c>
    </row>
    <row r="1393" spans="1:6">
      <c r="A1393" s="5">
        <f ca="1">IFERROR(__xludf.DUMMYFUNCTION("""COMPUTED_VALUE"""),44106.625)</f>
        <v>44106.625</v>
      </c>
      <c r="B1393" s="2">
        <f ca="1">IFERROR(__xludf.DUMMYFUNCTION("""COMPUTED_VALUE"""),3180)</f>
        <v>3180</v>
      </c>
      <c r="C1393" s="2">
        <f ca="1">IFERROR(__xludf.DUMMYFUNCTION("""COMPUTED_VALUE"""),3210)</f>
        <v>3210</v>
      </c>
      <c r="D1393" s="2">
        <f ca="1">IFERROR(__xludf.DUMMYFUNCTION("""COMPUTED_VALUE"""),3060)</f>
        <v>3060</v>
      </c>
      <c r="E1393" s="2">
        <f ca="1">IFERROR(__xludf.DUMMYFUNCTION("""COMPUTED_VALUE"""),3100)</f>
        <v>3100</v>
      </c>
      <c r="F1393" s="2">
        <f ca="1">IFERROR(__xludf.DUMMYFUNCTION("""COMPUTED_VALUE"""),157063600)</f>
        <v>157063600</v>
      </c>
    </row>
    <row r="1394" spans="1:6">
      <c r="A1394" s="5">
        <f ca="1">IFERROR(__xludf.DUMMYFUNCTION("""COMPUTED_VALUE"""),44109.625)</f>
        <v>44109.625</v>
      </c>
      <c r="B1394" s="2">
        <f ca="1">IFERROR(__xludf.DUMMYFUNCTION("""COMPUTED_VALUE"""),3160)</f>
        <v>3160</v>
      </c>
      <c r="C1394" s="2">
        <f ca="1">IFERROR(__xludf.DUMMYFUNCTION("""COMPUTED_VALUE"""),3170)</f>
        <v>3170</v>
      </c>
      <c r="D1394" s="2">
        <f ca="1">IFERROR(__xludf.DUMMYFUNCTION("""COMPUTED_VALUE"""),3110)</f>
        <v>3110</v>
      </c>
      <c r="E1394" s="2">
        <f ca="1">IFERROR(__xludf.DUMMYFUNCTION("""COMPUTED_VALUE"""),3160)</f>
        <v>3160</v>
      </c>
      <c r="F1394" s="2">
        <f ca="1">IFERROR(__xludf.DUMMYFUNCTION("""COMPUTED_VALUE"""),92722900)</f>
        <v>92722900</v>
      </c>
    </row>
    <row r="1395" spans="1:6">
      <c r="A1395" s="5">
        <f ca="1">IFERROR(__xludf.DUMMYFUNCTION("""COMPUTED_VALUE"""),44110.625)</f>
        <v>44110.625</v>
      </c>
      <c r="B1395" s="2">
        <f ca="1">IFERROR(__xludf.DUMMYFUNCTION("""COMPUTED_VALUE"""),3220)</f>
        <v>3220</v>
      </c>
      <c r="C1395" s="2">
        <f ca="1">IFERROR(__xludf.DUMMYFUNCTION("""COMPUTED_VALUE"""),3240)</f>
        <v>3240</v>
      </c>
      <c r="D1395" s="2">
        <f ca="1">IFERROR(__xludf.DUMMYFUNCTION("""COMPUTED_VALUE"""),3180)</f>
        <v>3180</v>
      </c>
      <c r="E1395" s="2">
        <f ca="1">IFERROR(__xludf.DUMMYFUNCTION("""COMPUTED_VALUE"""),3190)</f>
        <v>3190</v>
      </c>
      <c r="F1395" s="2">
        <f ca="1">IFERROR(__xludf.DUMMYFUNCTION("""COMPUTED_VALUE"""),120816800)</f>
        <v>120816800</v>
      </c>
    </row>
    <row r="1396" spans="1:6">
      <c r="A1396" s="5">
        <f ca="1">IFERROR(__xludf.DUMMYFUNCTION("""COMPUTED_VALUE"""),44111.625)</f>
        <v>44111.625</v>
      </c>
      <c r="B1396" s="2">
        <f ca="1">IFERROR(__xludf.DUMMYFUNCTION("""COMPUTED_VALUE"""),3160)</f>
        <v>3160</v>
      </c>
      <c r="C1396" s="2">
        <f ca="1">IFERROR(__xludf.DUMMYFUNCTION("""COMPUTED_VALUE"""),3170)</f>
        <v>3170</v>
      </c>
      <c r="D1396" s="2">
        <f ca="1">IFERROR(__xludf.DUMMYFUNCTION("""COMPUTED_VALUE"""),3080)</f>
        <v>3080</v>
      </c>
      <c r="E1396" s="2">
        <f ca="1">IFERROR(__xludf.DUMMYFUNCTION("""COMPUTED_VALUE"""),3120)</f>
        <v>3120</v>
      </c>
      <c r="F1396" s="2">
        <f ca="1">IFERROR(__xludf.DUMMYFUNCTION("""COMPUTED_VALUE"""),288740100)</f>
        <v>288740100</v>
      </c>
    </row>
    <row r="1397" spans="1:6">
      <c r="A1397" s="5">
        <f ca="1">IFERROR(__xludf.DUMMYFUNCTION("""COMPUTED_VALUE"""),44112.625)</f>
        <v>44112.625</v>
      </c>
      <c r="B1397" s="2">
        <f ca="1">IFERROR(__xludf.DUMMYFUNCTION("""COMPUTED_VALUE"""),3150)</f>
        <v>3150</v>
      </c>
      <c r="C1397" s="2">
        <f ca="1">IFERROR(__xludf.DUMMYFUNCTION("""COMPUTED_VALUE"""),3170)</f>
        <v>3170</v>
      </c>
      <c r="D1397" s="2">
        <f ca="1">IFERROR(__xludf.DUMMYFUNCTION("""COMPUTED_VALUE"""),3110)</f>
        <v>3110</v>
      </c>
      <c r="E1397" s="2">
        <f ca="1">IFERROR(__xludf.DUMMYFUNCTION("""COMPUTED_VALUE"""),3150)</f>
        <v>3150</v>
      </c>
      <c r="F1397" s="2">
        <f ca="1">IFERROR(__xludf.DUMMYFUNCTION("""COMPUTED_VALUE"""),123924000)</f>
        <v>123924000</v>
      </c>
    </row>
    <row r="1398" spans="1:6">
      <c r="A1398" s="5">
        <f ca="1">IFERROR(__xludf.DUMMYFUNCTION("""COMPUTED_VALUE"""),44113.625)</f>
        <v>44113.625</v>
      </c>
      <c r="B1398" s="2">
        <f ca="1">IFERROR(__xludf.DUMMYFUNCTION("""COMPUTED_VALUE"""),3150)</f>
        <v>3150</v>
      </c>
      <c r="C1398" s="2">
        <f ca="1">IFERROR(__xludf.DUMMYFUNCTION("""COMPUTED_VALUE"""),3170)</f>
        <v>3170</v>
      </c>
      <c r="D1398" s="2">
        <f ca="1">IFERROR(__xludf.DUMMYFUNCTION("""COMPUTED_VALUE"""),3120)</f>
        <v>3120</v>
      </c>
      <c r="E1398" s="2">
        <f ca="1">IFERROR(__xludf.DUMMYFUNCTION("""COMPUTED_VALUE"""),3150)</f>
        <v>3150</v>
      </c>
      <c r="F1398" s="2">
        <f ca="1">IFERROR(__xludf.DUMMYFUNCTION("""COMPUTED_VALUE"""),81127400)</f>
        <v>81127400</v>
      </c>
    </row>
    <row r="1399" spans="1:6">
      <c r="A1399" s="5">
        <f ca="1">IFERROR(__xludf.DUMMYFUNCTION("""COMPUTED_VALUE"""),44116.625)</f>
        <v>44116.625</v>
      </c>
      <c r="B1399" s="2">
        <f ca="1">IFERROR(__xludf.DUMMYFUNCTION("""COMPUTED_VALUE"""),3160)</f>
        <v>3160</v>
      </c>
      <c r="C1399" s="2">
        <f ca="1">IFERROR(__xludf.DUMMYFUNCTION("""COMPUTED_VALUE"""),3210)</f>
        <v>3210</v>
      </c>
      <c r="D1399" s="2">
        <f ca="1">IFERROR(__xludf.DUMMYFUNCTION("""COMPUTED_VALUE"""),3150)</f>
        <v>3150</v>
      </c>
      <c r="E1399" s="2">
        <f ca="1">IFERROR(__xludf.DUMMYFUNCTION("""COMPUTED_VALUE"""),3190)</f>
        <v>3190</v>
      </c>
      <c r="F1399" s="2">
        <f ca="1">IFERROR(__xludf.DUMMYFUNCTION("""COMPUTED_VALUE"""),156519700)</f>
        <v>156519700</v>
      </c>
    </row>
    <row r="1400" spans="1:6">
      <c r="A1400" s="5">
        <f ca="1">IFERROR(__xludf.DUMMYFUNCTION("""COMPUTED_VALUE"""),44117.625)</f>
        <v>44117.625</v>
      </c>
      <c r="B1400" s="2">
        <f ca="1">IFERROR(__xludf.DUMMYFUNCTION("""COMPUTED_VALUE"""),3190)</f>
        <v>3190</v>
      </c>
      <c r="C1400" s="2">
        <f ca="1">IFERROR(__xludf.DUMMYFUNCTION("""COMPUTED_VALUE"""),3300)</f>
        <v>3300</v>
      </c>
      <c r="D1400" s="2">
        <f ca="1">IFERROR(__xludf.DUMMYFUNCTION("""COMPUTED_VALUE"""),3150)</f>
        <v>3150</v>
      </c>
      <c r="E1400" s="2">
        <f ca="1">IFERROR(__xludf.DUMMYFUNCTION("""COMPUTED_VALUE"""),3280)</f>
        <v>3280</v>
      </c>
      <c r="F1400" s="2">
        <f ca="1">IFERROR(__xludf.DUMMYFUNCTION("""COMPUTED_VALUE"""),204438200)</f>
        <v>204438200</v>
      </c>
    </row>
    <row r="1401" spans="1:6">
      <c r="A1401" s="5">
        <f ca="1">IFERROR(__xludf.DUMMYFUNCTION("""COMPUTED_VALUE"""),44118.625)</f>
        <v>44118.625</v>
      </c>
      <c r="B1401" s="2">
        <f ca="1">IFERROR(__xludf.DUMMYFUNCTION("""COMPUTED_VALUE"""),3300)</f>
        <v>3300</v>
      </c>
      <c r="C1401" s="2">
        <f ca="1">IFERROR(__xludf.DUMMYFUNCTION("""COMPUTED_VALUE"""),3380)</f>
        <v>3380</v>
      </c>
      <c r="D1401" s="2">
        <f ca="1">IFERROR(__xludf.DUMMYFUNCTION("""COMPUTED_VALUE"""),3290)</f>
        <v>3290</v>
      </c>
      <c r="E1401" s="2">
        <f ca="1">IFERROR(__xludf.DUMMYFUNCTION("""COMPUTED_VALUE"""),3360)</f>
        <v>3360</v>
      </c>
      <c r="F1401" s="2">
        <f ca="1">IFERROR(__xludf.DUMMYFUNCTION("""COMPUTED_VALUE"""),193879700)</f>
        <v>193879700</v>
      </c>
    </row>
    <row r="1402" spans="1:6">
      <c r="A1402" s="5">
        <f ca="1">IFERROR(__xludf.DUMMYFUNCTION("""COMPUTED_VALUE"""),44119.625)</f>
        <v>44119.625</v>
      </c>
      <c r="B1402" s="2">
        <f ca="1">IFERROR(__xludf.DUMMYFUNCTION("""COMPUTED_VALUE"""),3360)</f>
        <v>3360</v>
      </c>
      <c r="C1402" s="2">
        <f ca="1">IFERROR(__xludf.DUMMYFUNCTION("""COMPUTED_VALUE"""),3380)</f>
        <v>3380</v>
      </c>
      <c r="D1402" s="2">
        <f ca="1">IFERROR(__xludf.DUMMYFUNCTION("""COMPUTED_VALUE"""),3310)</f>
        <v>3310</v>
      </c>
      <c r="E1402" s="2">
        <f ca="1">IFERROR(__xludf.DUMMYFUNCTION("""COMPUTED_VALUE"""),3310)</f>
        <v>3310</v>
      </c>
      <c r="F1402" s="2">
        <f ca="1">IFERROR(__xludf.DUMMYFUNCTION("""COMPUTED_VALUE"""),183294800)</f>
        <v>183294800</v>
      </c>
    </row>
    <row r="1403" spans="1:6">
      <c r="A1403" s="5">
        <f ca="1">IFERROR(__xludf.DUMMYFUNCTION("""COMPUTED_VALUE"""),44120.625)</f>
        <v>44120.625</v>
      </c>
      <c r="B1403" s="2">
        <f ca="1">IFERROR(__xludf.DUMMYFUNCTION("""COMPUTED_VALUE"""),3340)</f>
        <v>3340</v>
      </c>
      <c r="C1403" s="2">
        <f ca="1">IFERROR(__xludf.DUMMYFUNCTION("""COMPUTED_VALUE"""),3360)</f>
        <v>3360</v>
      </c>
      <c r="D1403" s="2">
        <f ca="1">IFERROR(__xludf.DUMMYFUNCTION("""COMPUTED_VALUE"""),3210)</f>
        <v>3210</v>
      </c>
      <c r="E1403" s="2">
        <f ca="1">IFERROR(__xludf.DUMMYFUNCTION("""COMPUTED_VALUE"""),3250)</f>
        <v>3250</v>
      </c>
      <c r="F1403" s="2">
        <f ca="1">IFERROR(__xludf.DUMMYFUNCTION("""COMPUTED_VALUE"""),140443600)</f>
        <v>140443600</v>
      </c>
    </row>
    <row r="1404" spans="1:6">
      <c r="A1404" s="5">
        <f ca="1">IFERROR(__xludf.DUMMYFUNCTION("""COMPUTED_VALUE"""),44123.625)</f>
        <v>44123.625</v>
      </c>
      <c r="B1404" s="2">
        <f ca="1">IFERROR(__xludf.DUMMYFUNCTION("""COMPUTED_VALUE"""),3260)</f>
        <v>3260</v>
      </c>
      <c r="C1404" s="2">
        <f ca="1">IFERROR(__xludf.DUMMYFUNCTION("""COMPUTED_VALUE"""),3290)</f>
        <v>3290</v>
      </c>
      <c r="D1404" s="2">
        <f ca="1">IFERROR(__xludf.DUMMYFUNCTION("""COMPUTED_VALUE"""),3230)</f>
        <v>3230</v>
      </c>
      <c r="E1404" s="2">
        <f ca="1">IFERROR(__xludf.DUMMYFUNCTION("""COMPUTED_VALUE"""),3280)</f>
        <v>3280</v>
      </c>
      <c r="F1404" s="2">
        <f ca="1">IFERROR(__xludf.DUMMYFUNCTION("""COMPUTED_VALUE"""),96199300)</f>
        <v>96199300</v>
      </c>
    </row>
    <row r="1405" spans="1:6">
      <c r="A1405" s="5">
        <f ca="1">IFERROR(__xludf.DUMMYFUNCTION("""COMPUTED_VALUE"""),44124.625)</f>
        <v>44124.625</v>
      </c>
      <c r="B1405" s="2">
        <f ca="1">IFERROR(__xludf.DUMMYFUNCTION("""COMPUTED_VALUE"""),3280)</f>
        <v>3280</v>
      </c>
      <c r="C1405" s="2">
        <f ca="1">IFERROR(__xludf.DUMMYFUNCTION("""COMPUTED_VALUE"""),3290)</f>
        <v>3290</v>
      </c>
      <c r="D1405" s="2">
        <f ca="1">IFERROR(__xludf.DUMMYFUNCTION("""COMPUTED_VALUE"""),3210)</f>
        <v>3210</v>
      </c>
      <c r="E1405" s="2">
        <f ca="1">IFERROR(__xludf.DUMMYFUNCTION("""COMPUTED_VALUE"""),3250)</f>
        <v>3250</v>
      </c>
      <c r="F1405" s="2">
        <f ca="1">IFERROR(__xludf.DUMMYFUNCTION("""COMPUTED_VALUE"""),134038300)</f>
        <v>134038300</v>
      </c>
    </row>
    <row r="1406" spans="1:6">
      <c r="A1406" s="5">
        <f ca="1">IFERROR(__xludf.DUMMYFUNCTION("""COMPUTED_VALUE"""),44125.625)</f>
        <v>44125.625</v>
      </c>
      <c r="B1406" s="2">
        <f ca="1">IFERROR(__xludf.DUMMYFUNCTION("""COMPUTED_VALUE"""),3280)</f>
        <v>3280</v>
      </c>
      <c r="C1406" s="2">
        <f ca="1">IFERROR(__xludf.DUMMYFUNCTION("""COMPUTED_VALUE"""),3310)</f>
        <v>3310</v>
      </c>
      <c r="D1406" s="2">
        <f ca="1">IFERROR(__xludf.DUMMYFUNCTION("""COMPUTED_VALUE"""),3230)</f>
        <v>3230</v>
      </c>
      <c r="E1406" s="2">
        <f ca="1">IFERROR(__xludf.DUMMYFUNCTION("""COMPUTED_VALUE"""),3240)</f>
        <v>3240</v>
      </c>
      <c r="F1406" s="2">
        <f ca="1">IFERROR(__xludf.DUMMYFUNCTION("""COMPUTED_VALUE"""),116981800)</f>
        <v>116981800</v>
      </c>
    </row>
    <row r="1407" spans="1:6">
      <c r="A1407" s="5">
        <f ca="1">IFERROR(__xludf.DUMMYFUNCTION("""COMPUTED_VALUE"""),44126.625)</f>
        <v>44126.625</v>
      </c>
      <c r="B1407" s="2">
        <f ca="1">IFERROR(__xludf.DUMMYFUNCTION("""COMPUTED_VALUE"""),3220)</f>
        <v>3220</v>
      </c>
      <c r="C1407" s="2">
        <f ca="1">IFERROR(__xludf.DUMMYFUNCTION("""COMPUTED_VALUE"""),3300)</f>
        <v>3300</v>
      </c>
      <c r="D1407" s="2">
        <f ca="1">IFERROR(__xludf.DUMMYFUNCTION("""COMPUTED_VALUE"""),3200)</f>
        <v>3200</v>
      </c>
      <c r="E1407" s="2">
        <f ca="1">IFERROR(__xludf.DUMMYFUNCTION("""COMPUTED_VALUE"""),3300)</f>
        <v>3300</v>
      </c>
      <c r="F1407" s="2">
        <f ca="1">IFERROR(__xludf.DUMMYFUNCTION("""COMPUTED_VALUE"""),160136600)</f>
        <v>160136600</v>
      </c>
    </row>
    <row r="1408" spans="1:6">
      <c r="A1408" s="5">
        <f ca="1">IFERROR(__xludf.DUMMYFUNCTION("""COMPUTED_VALUE"""),44127.625)</f>
        <v>44127.625</v>
      </c>
      <c r="B1408" s="2">
        <f ca="1">IFERROR(__xludf.DUMMYFUNCTION("""COMPUTED_VALUE"""),3350)</f>
        <v>3350</v>
      </c>
      <c r="C1408" s="2">
        <f ca="1">IFERROR(__xludf.DUMMYFUNCTION("""COMPUTED_VALUE"""),3350)</f>
        <v>3350</v>
      </c>
      <c r="D1408" s="2">
        <f ca="1">IFERROR(__xludf.DUMMYFUNCTION("""COMPUTED_VALUE"""),3270)</f>
        <v>3270</v>
      </c>
      <c r="E1408" s="2">
        <f ca="1">IFERROR(__xludf.DUMMYFUNCTION("""COMPUTED_VALUE"""),3290)</f>
        <v>3290</v>
      </c>
      <c r="F1408" s="2">
        <f ca="1">IFERROR(__xludf.DUMMYFUNCTION("""COMPUTED_VALUE"""),117246500)</f>
        <v>117246500</v>
      </c>
    </row>
    <row r="1409" spans="1:6">
      <c r="A1409" s="5">
        <f ca="1">IFERROR(__xludf.DUMMYFUNCTION("""COMPUTED_VALUE"""),44130.625)</f>
        <v>44130.625</v>
      </c>
      <c r="B1409" s="2">
        <f ca="1">IFERROR(__xludf.DUMMYFUNCTION("""COMPUTED_VALUE"""),3300)</f>
        <v>3300</v>
      </c>
      <c r="C1409" s="2">
        <f ca="1">IFERROR(__xludf.DUMMYFUNCTION("""COMPUTED_VALUE"""),3360)</f>
        <v>3360</v>
      </c>
      <c r="D1409" s="2">
        <f ca="1">IFERROR(__xludf.DUMMYFUNCTION("""COMPUTED_VALUE"""),3290)</f>
        <v>3290</v>
      </c>
      <c r="E1409" s="2">
        <f ca="1">IFERROR(__xludf.DUMMYFUNCTION("""COMPUTED_VALUE"""),3340)</f>
        <v>3340</v>
      </c>
      <c r="F1409" s="2">
        <f ca="1">IFERROR(__xludf.DUMMYFUNCTION("""COMPUTED_VALUE"""),101222500)</f>
        <v>101222500</v>
      </c>
    </row>
    <row r="1410" spans="1:6">
      <c r="A1410" s="5">
        <f ca="1">IFERROR(__xludf.DUMMYFUNCTION("""COMPUTED_VALUE"""),44131.625)</f>
        <v>44131.625</v>
      </c>
      <c r="B1410" s="2">
        <f ca="1">IFERROR(__xludf.DUMMYFUNCTION("""COMPUTED_VALUE"""),3340)</f>
        <v>3340</v>
      </c>
      <c r="C1410" s="2">
        <f ca="1">IFERROR(__xludf.DUMMYFUNCTION("""COMPUTED_VALUE"""),3400)</f>
        <v>3400</v>
      </c>
      <c r="D1410" s="2">
        <f ca="1">IFERROR(__xludf.DUMMYFUNCTION("""COMPUTED_VALUE"""),3330)</f>
        <v>3330</v>
      </c>
      <c r="E1410" s="2">
        <f ca="1">IFERROR(__xludf.DUMMYFUNCTION("""COMPUTED_VALUE"""),3360)</f>
        <v>3360</v>
      </c>
      <c r="F1410" s="2">
        <f ca="1">IFERROR(__xludf.DUMMYFUNCTION("""COMPUTED_VALUE"""),183306100)</f>
        <v>183306100</v>
      </c>
    </row>
    <row r="1411" spans="1:6">
      <c r="A1411" s="5">
        <f ca="1">IFERROR(__xludf.DUMMYFUNCTION("""COMPUTED_VALUE"""),44137.625)</f>
        <v>44137.625</v>
      </c>
      <c r="B1411" s="2">
        <f ca="1">IFERROR(__xludf.DUMMYFUNCTION("""COMPUTED_VALUE"""),3360)</f>
        <v>3360</v>
      </c>
      <c r="C1411" s="2">
        <f ca="1">IFERROR(__xludf.DUMMYFUNCTION("""COMPUTED_VALUE"""),3390)</f>
        <v>3390</v>
      </c>
      <c r="D1411" s="2">
        <f ca="1">IFERROR(__xludf.DUMMYFUNCTION("""COMPUTED_VALUE"""),3300)</f>
        <v>3300</v>
      </c>
      <c r="E1411" s="2">
        <f ca="1">IFERROR(__xludf.DUMMYFUNCTION("""COMPUTED_VALUE"""),3380)</f>
        <v>3380</v>
      </c>
      <c r="F1411" s="2">
        <f ca="1">IFERROR(__xludf.DUMMYFUNCTION("""COMPUTED_VALUE"""),156784000)</f>
        <v>156784000</v>
      </c>
    </row>
    <row r="1412" spans="1:6">
      <c r="A1412" s="5">
        <f ca="1">IFERROR(__xludf.DUMMYFUNCTION("""COMPUTED_VALUE"""),44138.625)</f>
        <v>44138.625</v>
      </c>
      <c r="B1412" s="2">
        <f ca="1">IFERROR(__xludf.DUMMYFUNCTION("""COMPUTED_VALUE"""),3390)</f>
        <v>3390</v>
      </c>
      <c r="C1412" s="2">
        <f ca="1">IFERROR(__xludf.DUMMYFUNCTION("""COMPUTED_VALUE"""),3400)</f>
        <v>3400</v>
      </c>
      <c r="D1412" s="2">
        <f ca="1">IFERROR(__xludf.DUMMYFUNCTION("""COMPUTED_VALUE"""),3360)</f>
        <v>3360</v>
      </c>
      <c r="E1412" s="2">
        <f ca="1">IFERROR(__xludf.DUMMYFUNCTION("""COMPUTED_VALUE"""),3380)</f>
        <v>3380</v>
      </c>
      <c r="F1412" s="2">
        <f ca="1">IFERROR(__xludf.DUMMYFUNCTION("""COMPUTED_VALUE"""),121456100)</f>
        <v>121456100</v>
      </c>
    </row>
    <row r="1413" spans="1:6">
      <c r="A1413" s="5">
        <f ca="1">IFERROR(__xludf.DUMMYFUNCTION("""COMPUTED_VALUE"""),44139.625)</f>
        <v>44139.625</v>
      </c>
      <c r="B1413" s="2">
        <f ca="1">IFERROR(__xludf.DUMMYFUNCTION("""COMPUTED_VALUE"""),3420)</f>
        <v>3420</v>
      </c>
      <c r="C1413" s="2">
        <f ca="1">IFERROR(__xludf.DUMMYFUNCTION("""COMPUTED_VALUE"""),3420)</f>
        <v>3420</v>
      </c>
      <c r="D1413" s="2">
        <f ca="1">IFERROR(__xludf.DUMMYFUNCTION("""COMPUTED_VALUE"""),3290)</f>
        <v>3290</v>
      </c>
      <c r="E1413" s="2">
        <f ca="1">IFERROR(__xludf.DUMMYFUNCTION("""COMPUTED_VALUE"""),3290)</f>
        <v>3290</v>
      </c>
      <c r="F1413" s="2">
        <f ca="1">IFERROR(__xludf.DUMMYFUNCTION("""COMPUTED_VALUE"""),138230100)</f>
        <v>138230100</v>
      </c>
    </row>
    <row r="1414" spans="1:6">
      <c r="A1414" s="5">
        <f ca="1">IFERROR(__xludf.DUMMYFUNCTION("""COMPUTED_VALUE"""),44140.625)</f>
        <v>44140.625</v>
      </c>
      <c r="B1414" s="2">
        <f ca="1">IFERROR(__xludf.DUMMYFUNCTION("""COMPUTED_VALUE"""),3370)</f>
        <v>3370</v>
      </c>
      <c r="C1414" s="2">
        <f ca="1">IFERROR(__xludf.DUMMYFUNCTION("""COMPUTED_VALUE"""),3490)</f>
        <v>3490</v>
      </c>
      <c r="D1414" s="2">
        <f ca="1">IFERROR(__xludf.DUMMYFUNCTION("""COMPUTED_VALUE"""),3360)</f>
        <v>3360</v>
      </c>
      <c r="E1414" s="2">
        <f ca="1">IFERROR(__xludf.DUMMYFUNCTION("""COMPUTED_VALUE"""),3490)</f>
        <v>3490</v>
      </c>
      <c r="F1414" s="2">
        <f ca="1">IFERROR(__xludf.DUMMYFUNCTION("""COMPUTED_VALUE"""),234792600)</f>
        <v>234792600</v>
      </c>
    </row>
    <row r="1415" spans="1:6">
      <c r="A1415" s="5">
        <f ca="1">IFERROR(__xludf.DUMMYFUNCTION("""COMPUTED_VALUE"""),44141.625)</f>
        <v>44141.625</v>
      </c>
      <c r="B1415" s="2">
        <f ca="1">IFERROR(__xludf.DUMMYFUNCTION("""COMPUTED_VALUE"""),3510)</f>
        <v>3510</v>
      </c>
      <c r="C1415" s="2">
        <f ca="1">IFERROR(__xludf.DUMMYFUNCTION("""COMPUTED_VALUE"""),3600)</f>
        <v>3600</v>
      </c>
      <c r="D1415" s="2">
        <f ca="1">IFERROR(__xludf.DUMMYFUNCTION("""COMPUTED_VALUE"""),3470)</f>
        <v>3470</v>
      </c>
      <c r="E1415" s="2">
        <f ca="1">IFERROR(__xludf.DUMMYFUNCTION("""COMPUTED_VALUE"""),3560)</f>
        <v>3560</v>
      </c>
      <c r="F1415" s="2">
        <f ca="1">IFERROR(__xludf.DUMMYFUNCTION("""COMPUTED_VALUE"""),268767800)</f>
        <v>268767800</v>
      </c>
    </row>
    <row r="1416" spans="1:6">
      <c r="A1416" s="5">
        <f ca="1">IFERROR(__xludf.DUMMYFUNCTION("""COMPUTED_VALUE"""),44144.625)</f>
        <v>44144.625</v>
      </c>
      <c r="B1416" s="2">
        <f ca="1">IFERROR(__xludf.DUMMYFUNCTION("""COMPUTED_VALUE"""),3680)</f>
        <v>3680</v>
      </c>
      <c r="C1416" s="2">
        <f ca="1">IFERROR(__xludf.DUMMYFUNCTION("""COMPUTED_VALUE"""),3690)</f>
        <v>3690</v>
      </c>
      <c r="D1416" s="2">
        <f ca="1">IFERROR(__xludf.DUMMYFUNCTION("""COMPUTED_VALUE"""),3580)</f>
        <v>3580</v>
      </c>
      <c r="E1416" s="2">
        <f ca="1">IFERROR(__xludf.DUMMYFUNCTION("""COMPUTED_VALUE"""),3690)</f>
        <v>3690</v>
      </c>
      <c r="F1416" s="2">
        <f ca="1">IFERROR(__xludf.DUMMYFUNCTION("""COMPUTED_VALUE"""),257455400)</f>
        <v>257455400</v>
      </c>
    </row>
    <row r="1417" spans="1:6">
      <c r="A1417" s="5">
        <f ca="1">IFERROR(__xludf.DUMMYFUNCTION("""COMPUTED_VALUE"""),44145.625)</f>
        <v>44145.625</v>
      </c>
      <c r="B1417" s="2">
        <f ca="1">IFERROR(__xludf.DUMMYFUNCTION("""COMPUTED_VALUE"""),3800)</f>
        <v>3800</v>
      </c>
      <c r="C1417" s="2">
        <f ca="1">IFERROR(__xludf.DUMMYFUNCTION("""COMPUTED_VALUE"""),4010)</f>
        <v>4010</v>
      </c>
      <c r="D1417" s="2">
        <f ca="1">IFERROR(__xludf.DUMMYFUNCTION("""COMPUTED_VALUE"""),3770)</f>
        <v>3770</v>
      </c>
      <c r="E1417" s="2">
        <f ca="1">IFERROR(__xludf.DUMMYFUNCTION("""COMPUTED_VALUE"""),4000)</f>
        <v>4000</v>
      </c>
      <c r="F1417" s="2">
        <f ca="1">IFERROR(__xludf.DUMMYFUNCTION("""COMPUTED_VALUE"""),565562100)</f>
        <v>565562100</v>
      </c>
    </row>
    <row r="1418" spans="1:6">
      <c r="A1418" s="5">
        <f ca="1">IFERROR(__xludf.DUMMYFUNCTION("""COMPUTED_VALUE"""),44146.625)</f>
        <v>44146.625</v>
      </c>
      <c r="B1418" s="2">
        <f ca="1">IFERROR(__xludf.DUMMYFUNCTION("""COMPUTED_VALUE"""),3970)</f>
        <v>3970</v>
      </c>
      <c r="C1418" s="2">
        <f ca="1">IFERROR(__xludf.DUMMYFUNCTION("""COMPUTED_VALUE"""),4190)</f>
        <v>4190</v>
      </c>
      <c r="D1418" s="2">
        <f ca="1">IFERROR(__xludf.DUMMYFUNCTION("""COMPUTED_VALUE"""),3950)</f>
        <v>3950</v>
      </c>
      <c r="E1418" s="2">
        <f ca="1">IFERROR(__xludf.DUMMYFUNCTION("""COMPUTED_VALUE"""),4120)</f>
        <v>4120</v>
      </c>
      <c r="F1418" s="2">
        <f ca="1">IFERROR(__xludf.DUMMYFUNCTION("""COMPUTED_VALUE"""),357098000)</f>
        <v>357098000</v>
      </c>
    </row>
    <row r="1419" spans="1:6">
      <c r="A1419" s="5">
        <f ca="1">IFERROR(__xludf.DUMMYFUNCTION("""COMPUTED_VALUE"""),44147.625)</f>
        <v>44147.625</v>
      </c>
      <c r="B1419" s="2">
        <f ca="1">IFERROR(__xludf.DUMMYFUNCTION("""COMPUTED_VALUE"""),4100)</f>
        <v>4100</v>
      </c>
      <c r="C1419" s="2">
        <f ca="1">IFERROR(__xludf.DUMMYFUNCTION("""COMPUTED_VALUE"""),4100)</f>
        <v>4100</v>
      </c>
      <c r="D1419" s="2">
        <f ca="1">IFERROR(__xludf.DUMMYFUNCTION("""COMPUTED_VALUE"""),3920)</f>
        <v>3920</v>
      </c>
      <c r="E1419" s="2">
        <f ca="1">IFERROR(__xludf.DUMMYFUNCTION("""COMPUTED_VALUE"""),3950)</f>
        <v>3950</v>
      </c>
      <c r="F1419" s="2">
        <f ca="1">IFERROR(__xludf.DUMMYFUNCTION("""COMPUTED_VALUE"""),333297500)</f>
        <v>333297500</v>
      </c>
    </row>
    <row r="1420" spans="1:6">
      <c r="A1420" s="5">
        <f ca="1">IFERROR(__xludf.DUMMYFUNCTION("""COMPUTED_VALUE"""),44148.625)</f>
        <v>44148.625</v>
      </c>
      <c r="B1420" s="2">
        <f ca="1">IFERROR(__xludf.DUMMYFUNCTION("""COMPUTED_VALUE"""),3970)</f>
        <v>3970</v>
      </c>
      <c r="C1420" s="2">
        <f ca="1">IFERROR(__xludf.DUMMYFUNCTION("""COMPUTED_VALUE"""),4080)</f>
        <v>4080</v>
      </c>
      <c r="D1420" s="2">
        <f ca="1">IFERROR(__xludf.DUMMYFUNCTION("""COMPUTED_VALUE"""),3960)</f>
        <v>3960</v>
      </c>
      <c r="E1420" s="2">
        <f ca="1">IFERROR(__xludf.DUMMYFUNCTION("""COMPUTED_VALUE"""),4000)</f>
        <v>4000</v>
      </c>
      <c r="F1420" s="2">
        <f ca="1">IFERROR(__xludf.DUMMYFUNCTION("""COMPUTED_VALUE"""),237374000)</f>
        <v>237374000</v>
      </c>
    </row>
    <row r="1421" spans="1:6">
      <c r="A1421" s="5">
        <f ca="1">IFERROR(__xludf.DUMMYFUNCTION("""COMPUTED_VALUE"""),44151.625)</f>
        <v>44151.625</v>
      </c>
      <c r="B1421" s="2">
        <f ca="1">IFERROR(__xludf.DUMMYFUNCTION("""COMPUTED_VALUE"""),4050)</f>
        <v>4050</v>
      </c>
      <c r="C1421" s="2">
        <f ca="1">IFERROR(__xludf.DUMMYFUNCTION("""COMPUTED_VALUE"""),4070)</f>
        <v>4070</v>
      </c>
      <c r="D1421" s="2">
        <f ca="1">IFERROR(__xludf.DUMMYFUNCTION("""COMPUTED_VALUE"""),3930)</f>
        <v>3930</v>
      </c>
      <c r="E1421" s="2">
        <f ca="1">IFERROR(__xludf.DUMMYFUNCTION("""COMPUTED_VALUE"""),3960)</f>
        <v>3960</v>
      </c>
      <c r="F1421" s="2">
        <f ca="1">IFERROR(__xludf.DUMMYFUNCTION("""COMPUTED_VALUE"""),193022100)</f>
        <v>193022100</v>
      </c>
    </row>
    <row r="1422" spans="1:6">
      <c r="A1422" s="5">
        <f ca="1">IFERROR(__xludf.DUMMYFUNCTION("""COMPUTED_VALUE"""),44152.625)</f>
        <v>44152.625</v>
      </c>
      <c r="B1422" s="2">
        <f ca="1">IFERROR(__xludf.DUMMYFUNCTION("""COMPUTED_VALUE"""),4000)</f>
        <v>4000</v>
      </c>
      <c r="C1422" s="2">
        <f ca="1">IFERROR(__xludf.DUMMYFUNCTION("""COMPUTED_VALUE"""),4020)</f>
        <v>4020</v>
      </c>
      <c r="D1422" s="2">
        <f ca="1">IFERROR(__xludf.DUMMYFUNCTION("""COMPUTED_VALUE"""),3930)</f>
        <v>3930</v>
      </c>
      <c r="E1422" s="2">
        <f ca="1">IFERROR(__xludf.DUMMYFUNCTION("""COMPUTED_VALUE"""),3960)</f>
        <v>3960</v>
      </c>
      <c r="F1422" s="2">
        <f ca="1">IFERROR(__xludf.DUMMYFUNCTION("""COMPUTED_VALUE"""),180851100)</f>
        <v>180851100</v>
      </c>
    </row>
    <row r="1423" spans="1:6">
      <c r="A1423" s="5">
        <f ca="1">IFERROR(__xludf.DUMMYFUNCTION("""COMPUTED_VALUE"""),44153.625)</f>
        <v>44153.625</v>
      </c>
      <c r="B1423" s="2">
        <f ca="1">IFERROR(__xludf.DUMMYFUNCTION("""COMPUTED_VALUE"""),3980)</f>
        <v>3980</v>
      </c>
      <c r="C1423" s="2">
        <f ca="1">IFERROR(__xludf.DUMMYFUNCTION("""COMPUTED_VALUE"""),4050)</f>
        <v>4050</v>
      </c>
      <c r="D1423" s="2">
        <f ca="1">IFERROR(__xludf.DUMMYFUNCTION("""COMPUTED_VALUE"""),3970)</f>
        <v>3970</v>
      </c>
      <c r="E1423" s="2">
        <f ca="1">IFERROR(__xludf.DUMMYFUNCTION("""COMPUTED_VALUE"""),4040)</f>
        <v>4040</v>
      </c>
      <c r="F1423" s="2">
        <f ca="1">IFERROR(__xludf.DUMMYFUNCTION("""COMPUTED_VALUE"""),182657300)</f>
        <v>182657300</v>
      </c>
    </row>
    <row r="1424" spans="1:6">
      <c r="A1424" s="5">
        <f ca="1">IFERROR(__xludf.DUMMYFUNCTION("""COMPUTED_VALUE"""),44154.625)</f>
        <v>44154.625</v>
      </c>
      <c r="B1424" s="2">
        <f ca="1">IFERROR(__xludf.DUMMYFUNCTION("""COMPUTED_VALUE"""),4010)</f>
        <v>4010</v>
      </c>
      <c r="C1424" s="2">
        <f ca="1">IFERROR(__xludf.DUMMYFUNCTION("""COMPUTED_VALUE"""),4130)</f>
        <v>4130</v>
      </c>
      <c r="D1424" s="2">
        <f ca="1">IFERROR(__xludf.DUMMYFUNCTION("""COMPUTED_VALUE"""),3980)</f>
        <v>3980</v>
      </c>
      <c r="E1424" s="2">
        <f ca="1">IFERROR(__xludf.DUMMYFUNCTION("""COMPUTED_VALUE"""),4040)</f>
        <v>4040</v>
      </c>
      <c r="F1424" s="2">
        <f ca="1">IFERROR(__xludf.DUMMYFUNCTION("""COMPUTED_VALUE"""),199700800)</f>
        <v>199700800</v>
      </c>
    </row>
    <row r="1425" spans="1:6">
      <c r="A1425" s="5">
        <f ca="1">IFERROR(__xludf.DUMMYFUNCTION("""COMPUTED_VALUE"""),44155.625)</f>
        <v>44155.625</v>
      </c>
      <c r="B1425" s="2">
        <f ca="1">IFERROR(__xludf.DUMMYFUNCTION("""COMPUTED_VALUE"""),4040)</f>
        <v>4040</v>
      </c>
      <c r="C1425" s="2">
        <f ca="1">IFERROR(__xludf.DUMMYFUNCTION("""COMPUTED_VALUE"""),4080)</f>
        <v>4080</v>
      </c>
      <c r="D1425" s="2">
        <f ca="1">IFERROR(__xludf.DUMMYFUNCTION("""COMPUTED_VALUE"""),3990)</f>
        <v>3990</v>
      </c>
      <c r="E1425" s="2">
        <f ca="1">IFERROR(__xludf.DUMMYFUNCTION("""COMPUTED_VALUE"""),4020)</f>
        <v>4020</v>
      </c>
      <c r="F1425" s="2">
        <f ca="1">IFERROR(__xludf.DUMMYFUNCTION("""COMPUTED_VALUE"""),124785400)</f>
        <v>124785400</v>
      </c>
    </row>
    <row r="1426" spans="1:6">
      <c r="A1426" s="5">
        <f ca="1">IFERROR(__xludf.DUMMYFUNCTION("""COMPUTED_VALUE"""),44158.625)</f>
        <v>44158.625</v>
      </c>
      <c r="B1426" s="2">
        <f ca="1">IFERROR(__xludf.DUMMYFUNCTION("""COMPUTED_VALUE"""),4010)</f>
        <v>4010</v>
      </c>
      <c r="C1426" s="2">
        <f ca="1">IFERROR(__xludf.DUMMYFUNCTION("""COMPUTED_VALUE"""),4100)</f>
        <v>4100</v>
      </c>
      <c r="D1426" s="2">
        <f ca="1">IFERROR(__xludf.DUMMYFUNCTION("""COMPUTED_VALUE"""),4010)</f>
        <v>4010</v>
      </c>
      <c r="E1426" s="2">
        <f ca="1">IFERROR(__xludf.DUMMYFUNCTION("""COMPUTED_VALUE"""),4080)</f>
        <v>4080</v>
      </c>
      <c r="F1426" s="2">
        <f ca="1">IFERROR(__xludf.DUMMYFUNCTION("""COMPUTED_VALUE"""),123510900)</f>
        <v>123510900</v>
      </c>
    </row>
    <row r="1427" spans="1:6">
      <c r="A1427" s="5">
        <f ca="1">IFERROR(__xludf.DUMMYFUNCTION("""COMPUTED_VALUE"""),44159.625)</f>
        <v>44159.625</v>
      </c>
      <c r="B1427" s="2">
        <f ca="1">IFERROR(__xludf.DUMMYFUNCTION("""COMPUTED_VALUE"""),4120)</f>
        <v>4120</v>
      </c>
      <c r="C1427" s="2">
        <f ca="1">IFERROR(__xludf.DUMMYFUNCTION("""COMPUTED_VALUE"""),4230)</f>
        <v>4230</v>
      </c>
      <c r="D1427" s="2">
        <f ca="1">IFERROR(__xludf.DUMMYFUNCTION("""COMPUTED_VALUE"""),4080)</f>
        <v>4080</v>
      </c>
      <c r="E1427" s="2">
        <f ca="1">IFERROR(__xludf.DUMMYFUNCTION("""COMPUTED_VALUE"""),4200)</f>
        <v>4200</v>
      </c>
      <c r="F1427" s="2">
        <f ca="1">IFERROR(__xludf.DUMMYFUNCTION("""COMPUTED_VALUE"""),206164400)</f>
        <v>206164400</v>
      </c>
    </row>
    <row r="1428" spans="1:6">
      <c r="A1428" s="5">
        <f ca="1">IFERROR(__xludf.DUMMYFUNCTION("""COMPUTED_VALUE"""),44160.625)</f>
        <v>44160.625</v>
      </c>
      <c r="B1428" s="2">
        <f ca="1">IFERROR(__xludf.DUMMYFUNCTION("""COMPUTED_VALUE"""),4320)</f>
        <v>4320</v>
      </c>
      <c r="C1428" s="2">
        <f ca="1">IFERROR(__xludf.DUMMYFUNCTION("""COMPUTED_VALUE"""),4390)</f>
        <v>4390</v>
      </c>
      <c r="D1428" s="2">
        <f ca="1">IFERROR(__xludf.DUMMYFUNCTION("""COMPUTED_VALUE"""),4250)</f>
        <v>4250</v>
      </c>
      <c r="E1428" s="2">
        <f ca="1">IFERROR(__xludf.DUMMYFUNCTION("""COMPUTED_VALUE"""),4320)</f>
        <v>4320</v>
      </c>
      <c r="F1428" s="2">
        <f ca="1">IFERROR(__xludf.DUMMYFUNCTION("""COMPUTED_VALUE"""),283337800)</f>
        <v>283337800</v>
      </c>
    </row>
    <row r="1429" spans="1:6">
      <c r="A1429" s="5">
        <f ca="1">IFERROR(__xludf.DUMMYFUNCTION("""COMPUTED_VALUE"""),44161.625)</f>
        <v>44161.625</v>
      </c>
      <c r="B1429" s="2">
        <f ca="1">IFERROR(__xludf.DUMMYFUNCTION("""COMPUTED_VALUE"""),4220)</f>
        <v>4220</v>
      </c>
      <c r="C1429" s="2">
        <f ca="1">IFERROR(__xludf.DUMMYFUNCTION("""COMPUTED_VALUE"""),4320)</f>
        <v>4320</v>
      </c>
      <c r="D1429" s="2">
        <f ca="1">IFERROR(__xludf.DUMMYFUNCTION("""COMPUTED_VALUE"""),4220)</f>
        <v>4220</v>
      </c>
      <c r="E1429" s="2">
        <f ca="1">IFERROR(__xludf.DUMMYFUNCTION("""COMPUTED_VALUE"""),4290)</f>
        <v>4290</v>
      </c>
      <c r="F1429" s="2">
        <f ca="1">IFERROR(__xludf.DUMMYFUNCTION("""COMPUTED_VALUE"""),136526100)</f>
        <v>136526100</v>
      </c>
    </row>
    <row r="1430" spans="1:6">
      <c r="A1430" s="5">
        <f ca="1">IFERROR(__xludf.DUMMYFUNCTION("""COMPUTED_VALUE"""),44162.625)</f>
        <v>44162.625</v>
      </c>
      <c r="B1430" s="2">
        <f ca="1">IFERROR(__xludf.DUMMYFUNCTION("""COMPUTED_VALUE"""),4330)</f>
        <v>4330</v>
      </c>
      <c r="C1430" s="2">
        <f ca="1">IFERROR(__xludf.DUMMYFUNCTION("""COMPUTED_VALUE"""),4370)</f>
        <v>4370</v>
      </c>
      <c r="D1430" s="2">
        <f ca="1">IFERROR(__xludf.DUMMYFUNCTION("""COMPUTED_VALUE"""),4270)</f>
        <v>4270</v>
      </c>
      <c r="E1430" s="2">
        <f ca="1">IFERROR(__xludf.DUMMYFUNCTION("""COMPUTED_VALUE"""),4270)</f>
        <v>4270</v>
      </c>
      <c r="F1430" s="2">
        <f ca="1">IFERROR(__xludf.DUMMYFUNCTION("""COMPUTED_VALUE"""),114940800)</f>
        <v>114940800</v>
      </c>
    </row>
    <row r="1431" spans="1:6">
      <c r="A1431" s="5">
        <f ca="1">IFERROR(__xludf.DUMMYFUNCTION("""COMPUTED_VALUE"""),44165.625)</f>
        <v>44165.625</v>
      </c>
      <c r="B1431" s="2">
        <f ca="1">IFERROR(__xludf.DUMMYFUNCTION("""COMPUTED_VALUE"""),4250)</f>
        <v>4250</v>
      </c>
      <c r="C1431" s="2">
        <f ca="1">IFERROR(__xludf.DUMMYFUNCTION("""COMPUTED_VALUE"""),4280)</f>
        <v>4280</v>
      </c>
      <c r="D1431" s="2">
        <f ca="1">IFERROR(__xludf.DUMMYFUNCTION("""COMPUTED_VALUE"""),3990)</f>
        <v>3990</v>
      </c>
      <c r="E1431" s="2">
        <f ca="1">IFERROR(__xludf.DUMMYFUNCTION("""COMPUTED_VALUE"""),4090)</f>
        <v>4090</v>
      </c>
      <c r="F1431" s="2">
        <f ca="1">IFERROR(__xludf.DUMMYFUNCTION("""COMPUTED_VALUE"""),448799300)</f>
        <v>448799300</v>
      </c>
    </row>
    <row r="1432" spans="1:6">
      <c r="A1432" s="5">
        <f ca="1">IFERROR(__xludf.DUMMYFUNCTION("""COMPUTED_VALUE"""),44166.625)</f>
        <v>44166.625</v>
      </c>
      <c r="B1432" s="2">
        <f ca="1">IFERROR(__xludf.DUMMYFUNCTION("""COMPUTED_VALUE"""),4130)</f>
        <v>4130</v>
      </c>
      <c r="C1432" s="2">
        <f ca="1">IFERROR(__xludf.DUMMYFUNCTION("""COMPUTED_VALUE"""),4260)</f>
        <v>4260</v>
      </c>
      <c r="D1432" s="2">
        <f ca="1">IFERROR(__xludf.DUMMYFUNCTION("""COMPUTED_VALUE"""),4070)</f>
        <v>4070</v>
      </c>
      <c r="E1432" s="2">
        <f ca="1">IFERROR(__xludf.DUMMYFUNCTION("""COMPUTED_VALUE"""),4240)</f>
        <v>4240</v>
      </c>
      <c r="F1432" s="2">
        <f ca="1">IFERROR(__xludf.DUMMYFUNCTION("""COMPUTED_VALUE"""),228412600)</f>
        <v>228412600</v>
      </c>
    </row>
    <row r="1433" spans="1:6">
      <c r="A1433" s="5">
        <f ca="1">IFERROR(__xludf.DUMMYFUNCTION("""COMPUTED_VALUE"""),44167.625)</f>
        <v>44167.625</v>
      </c>
      <c r="B1433" s="2">
        <f ca="1">IFERROR(__xludf.DUMMYFUNCTION("""COMPUTED_VALUE"""),4320)</f>
        <v>4320</v>
      </c>
      <c r="C1433" s="2">
        <f ca="1">IFERROR(__xludf.DUMMYFUNCTION("""COMPUTED_VALUE"""),4340)</f>
        <v>4340</v>
      </c>
      <c r="D1433" s="2">
        <f ca="1">IFERROR(__xludf.DUMMYFUNCTION("""COMPUTED_VALUE"""),4250)</f>
        <v>4250</v>
      </c>
      <c r="E1433" s="2">
        <f ca="1">IFERROR(__xludf.DUMMYFUNCTION("""COMPUTED_VALUE"""),4300)</f>
        <v>4300</v>
      </c>
      <c r="F1433" s="2">
        <f ca="1">IFERROR(__xludf.DUMMYFUNCTION("""COMPUTED_VALUE"""),136348400)</f>
        <v>136348400</v>
      </c>
    </row>
    <row r="1434" spans="1:6">
      <c r="A1434" s="5">
        <f ca="1">IFERROR(__xludf.DUMMYFUNCTION("""COMPUTED_VALUE"""),44168.625)</f>
        <v>44168.625</v>
      </c>
      <c r="B1434" s="2">
        <f ca="1">IFERROR(__xludf.DUMMYFUNCTION("""COMPUTED_VALUE"""),4350)</f>
        <v>4350</v>
      </c>
      <c r="C1434" s="2">
        <f ca="1">IFERROR(__xludf.DUMMYFUNCTION("""COMPUTED_VALUE"""),4400)</f>
        <v>4400</v>
      </c>
      <c r="D1434" s="2">
        <f ca="1">IFERROR(__xludf.DUMMYFUNCTION("""COMPUTED_VALUE"""),4300)</f>
        <v>4300</v>
      </c>
      <c r="E1434" s="2">
        <f ca="1">IFERROR(__xludf.DUMMYFUNCTION("""COMPUTED_VALUE"""),4400)</f>
        <v>4400</v>
      </c>
      <c r="F1434" s="2">
        <f ca="1">IFERROR(__xludf.DUMMYFUNCTION("""COMPUTED_VALUE"""),198985500)</f>
        <v>198985500</v>
      </c>
    </row>
    <row r="1435" spans="1:6">
      <c r="A1435" s="5">
        <f ca="1">IFERROR(__xludf.DUMMYFUNCTION("""COMPUTED_VALUE"""),44169.625)</f>
        <v>44169.625</v>
      </c>
      <c r="B1435" s="2">
        <f ca="1">IFERROR(__xludf.DUMMYFUNCTION("""COMPUTED_VALUE"""),4400)</f>
        <v>4400</v>
      </c>
      <c r="C1435" s="2">
        <f ca="1">IFERROR(__xludf.DUMMYFUNCTION("""COMPUTED_VALUE"""),4400)</f>
        <v>4400</v>
      </c>
      <c r="D1435" s="2">
        <f ca="1">IFERROR(__xludf.DUMMYFUNCTION("""COMPUTED_VALUE"""),4270)</f>
        <v>4270</v>
      </c>
      <c r="E1435" s="2">
        <f ca="1">IFERROR(__xludf.DUMMYFUNCTION("""COMPUTED_VALUE"""),4300)</f>
        <v>4300</v>
      </c>
      <c r="F1435" s="2">
        <f ca="1">IFERROR(__xludf.DUMMYFUNCTION("""COMPUTED_VALUE"""),150379700)</f>
        <v>150379700</v>
      </c>
    </row>
    <row r="1436" spans="1:6">
      <c r="A1436" s="5">
        <f ca="1">IFERROR(__xludf.DUMMYFUNCTION("""COMPUTED_VALUE"""),44172.625)</f>
        <v>44172.625</v>
      </c>
      <c r="B1436" s="2">
        <f ca="1">IFERROR(__xludf.DUMMYFUNCTION("""COMPUTED_VALUE"""),4350)</f>
        <v>4350</v>
      </c>
      <c r="C1436" s="2">
        <f ca="1">IFERROR(__xludf.DUMMYFUNCTION("""COMPUTED_VALUE"""),4420)</f>
        <v>4420</v>
      </c>
      <c r="D1436" s="2">
        <f ca="1">IFERROR(__xludf.DUMMYFUNCTION("""COMPUTED_VALUE"""),4350)</f>
        <v>4350</v>
      </c>
      <c r="E1436" s="2">
        <f ca="1">IFERROR(__xludf.DUMMYFUNCTION("""COMPUTED_VALUE"""),4400)</f>
        <v>4400</v>
      </c>
      <c r="F1436" s="2">
        <f ca="1">IFERROR(__xludf.DUMMYFUNCTION("""COMPUTED_VALUE"""),140849600)</f>
        <v>140849600</v>
      </c>
    </row>
    <row r="1437" spans="1:6">
      <c r="A1437" s="5">
        <f ca="1">IFERROR(__xludf.DUMMYFUNCTION("""COMPUTED_VALUE"""),44173.625)</f>
        <v>44173.625</v>
      </c>
      <c r="B1437" s="2">
        <f ca="1">IFERROR(__xludf.DUMMYFUNCTION("""COMPUTED_VALUE"""),4400)</f>
        <v>4400</v>
      </c>
      <c r="C1437" s="2">
        <f ca="1">IFERROR(__xludf.DUMMYFUNCTION("""COMPUTED_VALUE"""),4400)</f>
        <v>4400</v>
      </c>
      <c r="D1437" s="2">
        <f ca="1">IFERROR(__xludf.DUMMYFUNCTION("""COMPUTED_VALUE"""),4340)</f>
        <v>4340</v>
      </c>
      <c r="E1437" s="2">
        <f ca="1">IFERROR(__xludf.DUMMYFUNCTION("""COMPUTED_VALUE"""),4400)</f>
        <v>4400</v>
      </c>
      <c r="F1437" s="2">
        <f ca="1">IFERROR(__xludf.DUMMYFUNCTION("""COMPUTED_VALUE"""),81272000)</f>
        <v>81272000</v>
      </c>
    </row>
    <row r="1438" spans="1:6">
      <c r="A1438" s="5">
        <f ca="1">IFERROR(__xludf.DUMMYFUNCTION("""COMPUTED_VALUE"""),44175.625)</f>
        <v>44175.625</v>
      </c>
      <c r="B1438" s="2">
        <f ca="1">IFERROR(__xludf.DUMMYFUNCTION("""COMPUTED_VALUE"""),4450)</f>
        <v>4450</v>
      </c>
      <c r="C1438" s="2">
        <f ca="1">IFERROR(__xludf.DUMMYFUNCTION("""COMPUTED_VALUE"""),4450)</f>
        <v>4450</v>
      </c>
      <c r="D1438" s="2">
        <f ca="1">IFERROR(__xludf.DUMMYFUNCTION("""COMPUTED_VALUE"""),4330)</f>
        <v>4330</v>
      </c>
      <c r="E1438" s="2">
        <f ca="1">IFERROR(__xludf.DUMMYFUNCTION("""COMPUTED_VALUE"""),4330)</f>
        <v>4330</v>
      </c>
      <c r="F1438" s="2">
        <f ca="1">IFERROR(__xludf.DUMMYFUNCTION("""COMPUTED_VALUE"""),193630600)</f>
        <v>193630600</v>
      </c>
    </row>
    <row r="1439" spans="1:6">
      <c r="A1439" s="5">
        <f ca="1">IFERROR(__xludf.DUMMYFUNCTION("""COMPUTED_VALUE"""),44176.625)</f>
        <v>44176.625</v>
      </c>
      <c r="B1439" s="2">
        <f ca="1">IFERROR(__xludf.DUMMYFUNCTION("""COMPUTED_VALUE"""),4400)</f>
        <v>4400</v>
      </c>
      <c r="C1439" s="2">
        <f ca="1">IFERROR(__xludf.DUMMYFUNCTION("""COMPUTED_VALUE"""),4400)</f>
        <v>4400</v>
      </c>
      <c r="D1439" s="2">
        <f ca="1">IFERROR(__xludf.DUMMYFUNCTION("""COMPUTED_VALUE"""),4260)</f>
        <v>4260</v>
      </c>
      <c r="E1439" s="2">
        <f ca="1">IFERROR(__xludf.DUMMYFUNCTION("""COMPUTED_VALUE"""),4280)</f>
        <v>4280</v>
      </c>
      <c r="F1439" s="2">
        <f ca="1">IFERROR(__xludf.DUMMYFUNCTION("""COMPUTED_VALUE"""),174446900)</f>
        <v>174446900</v>
      </c>
    </row>
    <row r="1440" spans="1:6">
      <c r="A1440" s="5">
        <f ca="1">IFERROR(__xludf.DUMMYFUNCTION("""COMPUTED_VALUE"""),44179.625)</f>
        <v>44179.625</v>
      </c>
      <c r="B1440" s="2">
        <f ca="1">IFERROR(__xludf.DUMMYFUNCTION("""COMPUTED_VALUE"""),4300)</f>
        <v>4300</v>
      </c>
      <c r="C1440" s="2">
        <f ca="1">IFERROR(__xludf.DUMMYFUNCTION("""COMPUTED_VALUE"""),4310)</f>
        <v>4310</v>
      </c>
      <c r="D1440" s="2">
        <f ca="1">IFERROR(__xludf.DUMMYFUNCTION("""COMPUTED_VALUE"""),4270)</f>
        <v>4270</v>
      </c>
      <c r="E1440" s="2">
        <f ca="1">IFERROR(__xludf.DUMMYFUNCTION("""COMPUTED_VALUE"""),4280)</f>
        <v>4280</v>
      </c>
      <c r="F1440" s="2">
        <f ca="1">IFERROR(__xludf.DUMMYFUNCTION("""COMPUTED_VALUE"""),127385200)</f>
        <v>127385200</v>
      </c>
    </row>
    <row r="1441" spans="1:6">
      <c r="A1441" s="5">
        <f ca="1">IFERROR(__xludf.DUMMYFUNCTION("""COMPUTED_VALUE"""),44180.625)</f>
        <v>44180.625</v>
      </c>
      <c r="B1441" s="2">
        <f ca="1">IFERROR(__xludf.DUMMYFUNCTION("""COMPUTED_VALUE"""),4280)</f>
        <v>4280</v>
      </c>
      <c r="C1441" s="2">
        <f ca="1">IFERROR(__xludf.DUMMYFUNCTION("""COMPUTED_VALUE"""),4290)</f>
        <v>4290</v>
      </c>
      <c r="D1441" s="2">
        <f ca="1">IFERROR(__xludf.DUMMYFUNCTION("""COMPUTED_VALUE"""),4240)</f>
        <v>4240</v>
      </c>
      <c r="E1441" s="2">
        <f ca="1">IFERROR(__xludf.DUMMYFUNCTION("""COMPUTED_VALUE"""),4280)</f>
        <v>4280</v>
      </c>
      <c r="F1441" s="2">
        <f ca="1">IFERROR(__xludf.DUMMYFUNCTION("""COMPUTED_VALUE"""),133712000)</f>
        <v>133712000</v>
      </c>
    </row>
    <row r="1442" spans="1:6">
      <c r="A1442" s="5">
        <f ca="1">IFERROR(__xludf.DUMMYFUNCTION("""COMPUTED_VALUE"""),44181.625)</f>
        <v>44181.625</v>
      </c>
      <c r="B1442" s="2">
        <f ca="1">IFERROR(__xludf.DUMMYFUNCTION("""COMPUTED_VALUE"""),4340)</f>
        <v>4340</v>
      </c>
      <c r="C1442" s="2">
        <f ca="1">IFERROR(__xludf.DUMMYFUNCTION("""COMPUTED_VALUE"""),4350)</f>
        <v>4350</v>
      </c>
      <c r="D1442" s="2">
        <f ca="1">IFERROR(__xludf.DUMMYFUNCTION("""COMPUTED_VALUE"""),4300)</f>
        <v>4300</v>
      </c>
      <c r="E1442" s="2">
        <f ca="1">IFERROR(__xludf.DUMMYFUNCTION("""COMPUTED_VALUE"""),4320)</f>
        <v>4320</v>
      </c>
      <c r="F1442" s="2">
        <f ca="1">IFERROR(__xludf.DUMMYFUNCTION("""COMPUTED_VALUE"""),130044800)</f>
        <v>130044800</v>
      </c>
    </row>
    <row r="1443" spans="1:6">
      <c r="A1443" s="5">
        <f ca="1">IFERROR(__xludf.DUMMYFUNCTION("""COMPUTED_VALUE"""),44182.625)</f>
        <v>44182.625</v>
      </c>
      <c r="B1443" s="2">
        <f ca="1">IFERROR(__xludf.DUMMYFUNCTION("""COMPUTED_VALUE"""),4360)</f>
        <v>4360</v>
      </c>
      <c r="C1443" s="2">
        <f ca="1">IFERROR(__xludf.DUMMYFUNCTION("""COMPUTED_VALUE"""),4360)</f>
        <v>4360</v>
      </c>
      <c r="D1443" s="2">
        <f ca="1">IFERROR(__xludf.DUMMYFUNCTION("""COMPUTED_VALUE"""),4310)</f>
        <v>4310</v>
      </c>
      <c r="E1443" s="2">
        <f ca="1">IFERROR(__xludf.DUMMYFUNCTION("""COMPUTED_VALUE"""),4330)</f>
        <v>4330</v>
      </c>
      <c r="F1443" s="2">
        <f ca="1">IFERROR(__xludf.DUMMYFUNCTION("""COMPUTED_VALUE"""),141727100)</f>
        <v>141727100</v>
      </c>
    </row>
    <row r="1444" spans="1:6">
      <c r="A1444" s="5">
        <f ca="1">IFERROR(__xludf.DUMMYFUNCTION("""COMPUTED_VALUE"""),44183.625)</f>
        <v>44183.625</v>
      </c>
      <c r="B1444" s="2">
        <f ca="1">IFERROR(__xludf.DUMMYFUNCTION("""COMPUTED_VALUE"""),4270)</f>
        <v>4270</v>
      </c>
      <c r="C1444" s="2">
        <f ca="1">IFERROR(__xludf.DUMMYFUNCTION("""COMPUTED_VALUE"""),4300)</f>
        <v>4300</v>
      </c>
      <c r="D1444" s="2">
        <f ca="1">IFERROR(__xludf.DUMMYFUNCTION("""COMPUTED_VALUE"""),4270)</f>
        <v>4270</v>
      </c>
      <c r="E1444" s="2">
        <f ca="1">IFERROR(__xludf.DUMMYFUNCTION("""COMPUTED_VALUE"""),4280)</f>
        <v>4280</v>
      </c>
      <c r="F1444" s="2">
        <f ca="1">IFERROR(__xludf.DUMMYFUNCTION("""COMPUTED_VALUE"""),207410700)</f>
        <v>207410700</v>
      </c>
    </row>
    <row r="1445" spans="1:6">
      <c r="A1445" s="5">
        <f ca="1">IFERROR(__xludf.DUMMYFUNCTION("""COMPUTED_VALUE"""),44186.625)</f>
        <v>44186.625</v>
      </c>
      <c r="B1445" s="2">
        <f ca="1">IFERROR(__xludf.DUMMYFUNCTION("""COMPUTED_VALUE"""),4330)</f>
        <v>4330</v>
      </c>
      <c r="C1445" s="2">
        <f ca="1">IFERROR(__xludf.DUMMYFUNCTION("""COMPUTED_VALUE"""),4340)</f>
        <v>4340</v>
      </c>
      <c r="D1445" s="2">
        <f ca="1">IFERROR(__xludf.DUMMYFUNCTION("""COMPUTED_VALUE"""),4210)</f>
        <v>4210</v>
      </c>
      <c r="E1445" s="2">
        <f ca="1">IFERROR(__xludf.DUMMYFUNCTION("""COMPUTED_VALUE"""),4210)</f>
        <v>4210</v>
      </c>
      <c r="F1445" s="2">
        <f ca="1">IFERROR(__xludf.DUMMYFUNCTION("""COMPUTED_VALUE"""),218968900)</f>
        <v>218968900</v>
      </c>
    </row>
    <row r="1446" spans="1:6">
      <c r="A1446" s="5">
        <f ca="1">IFERROR(__xludf.DUMMYFUNCTION("""COMPUTED_VALUE"""),44187.625)</f>
        <v>44187.625</v>
      </c>
      <c r="B1446" s="2">
        <f ca="1">IFERROR(__xludf.DUMMYFUNCTION("""COMPUTED_VALUE"""),4240)</f>
        <v>4240</v>
      </c>
      <c r="C1446" s="2">
        <f ca="1">IFERROR(__xludf.DUMMYFUNCTION("""COMPUTED_VALUE"""),4280)</f>
        <v>4280</v>
      </c>
      <c r="D1446" s="2">
        <f ca="1">IFERROR(__xludf.DUMMYFUNCTION("""COMPUTED_VALUE"""),4120)</f>
        <v>4120</v>
      </c>
      <c r="E1446" s="2">
        <f ca="1">IFERROR(__xludf.DUMMYFUNCTION("""COMPUTED_VALUE"""),4130)</f>
        <v>4130</v>
      </c>
      <c r="F1446" s="2">
        <f ca="1">IFERROR(__xludf.DUMMYFUNCTION("""COMPUTED_VALUE"""),171484000)</f>
        <v>171484000</v>
      </c>
    </row>
    <row r="1447" spans="1:6">
      <c r="A1447" s="5">
        <f ca="1">IFERROR(__xludf.DUMMYFUNCTION("""COMPUTED_VALUE"""),44188.625)</f>
        <v>44188.625</v>
      </c>
      <c r="B1447" s="2">
        <f ca="1">IFERROR(__xludf.DUMMYFUNCTION("""COMPUTED_VALUE"""),4150)</f>
        <v>4150</v>
      </c>
      <c r="C1447" s="2">
        <f ca="1">IFERROR(__xludf.DUMMYFUNCTION("""COMPUTED_VALUE"""),4180)</f>
        <v>4180</v>
      </c>
      <c r="D1447" s="2">
        <f ca="1">IFERROR(__xludf.DUMMYFUNCTION("""COMPUTED_VALUE"""),3950)</f>
        <v>3950</v>
      </c>
      <c r="E1447" s="2">
        <f ca="1">IFERROR(__xludf.DUMMYFUNCTION("""COMPUTED_VALUE"""),4160)</f>
        <v>4160</v>
      </c>
      <c r="F1447" s="2">
        <f ca="1">IFERROR(__xludf.DUMMYFUNCTION("""COMPUTED_VALUE"""),170156900)</f>
        <v>170156900</v>
      </c>
    </row>
    <row r="1448" spans="1:6">
      <c r="A1448" s="5">
        <f ca="1">IFERROR(__xludf.DUMMYFUNCTION("""COMPUTED_VALUE"""),44193.625)</f>
        <v>44193.625</v>
      </c>
      <c r="B1448" s="2">
        <f ca="1">IFERROR(__xludf.DUMMYFUNCTION("""COMPUTED_VALUE"""),4250)</f>
        <v>4250</v>
      </c>
      <c r="C1448" s="2">
        <f ca="1">IFERROR(__xludf.DUMMYFUNCTION("""COMPUTED_VALUE"""),4260)</f>
        <v>4260</v>
      </c>
      <c r="D1448" s="2">
        <f ca="1">IFERROR(__xludf.DUMMYFUNCTION("""COMPUTED_VALUE"""),4160)</f>
        <v>4160</v>
      </c>
      <c r="E1448" s="2">
        <f ca="1">IFERROR(__xludf.DUMMYFUNCTION("""COMPUTED_VALUE"""),4250)</f>
        <v>4250</v>
      </c>
      <c r="F1448" s="2">
        <f ca="1">IFERROR(__xludf.DUMMYFUNCTION("""COMPUTED_VALUE"""),86117000)</f>
        <v>86117000</v>
      </c>
    </row>
    <row r="1449" spans="1:6">
      <c r="A1449" s="5">
        <f ca="1">IFERROR(__xludf.DUMMYFUNCTION("""COMPUTED_VALUE"""),44194.625)</f>
        <v>44194.625</v>
      </c>
      <c r="B1449" s="2">
        <f ca="1">IFERROR(__xludf.DUMMYFUNCTION("""COMPUTED_VALUE"""),4250)</f>
        <v>4250</v>
      </c>
      <c r="C1449" s="2">
        <f ca="1">IFERROR(__xludf.DUMMYFUNCTION("""COMPUTED_VALUE"""),4280)</f>
        <v>4280</v>
      </c>
      <c r="D1449" s="2">
        <f ca="1">IFERROR(__xludf.DUMMYFUNCTION("""COMPUTED_VALUE"""),4170)</f>
        <v>4170</v>
      </c>
      <c r="E1449" s="2">
        <f ca="1">IFERROR(__xludf.DUMMYFUNCTION("""COMPUTED_VALUE"""),4180)</f>
        <v>4180</v>
      </c>
      <c r="F1449" s="2">
        <f ca="1">IFERROR(__xludf.DUMMYFUNCTION("""COMPUTED_VALUE"""),75203600)</f>
        <v>75203600</v>
      </c>
    </row>
    <row r="1450" spans="1:6">
      <c r="A1450" s="5">
        <f ca="1">IFERROR(__xludf.DUMMYFUNCTION("""COMPUTED_VALUE"""),44195.625)</f>
        <v>44195.625</v>
      </c>
      <c r="B1450" s="2">
        <f ca="1">IFERROR(__xludf.DUMMYFUNCTION("""COMPUTED_VALUE"""),4190)</f>
        <v>4190</v>
      </c>
      <c r="C1450" s="2">
        <f ca="1">IFERROR(__xludf.DUMMYFUNCTION("""COMPUTED_VALUE"""),4210)</f>
        <v>4210</v>
      </c>
      <c r="D1450" s="2">
        <f ca="1">IFERROR(__xludf.DUMMYFUNCTION("""COMPUTED_VALUE"""),4130)</f>
        <v>4130</v>
      </c>
      <c r="E1450" s="2">
        <f ca="1">IFERROR(__xludf.DUMMYFUNCTION("""COMPUTED_VALUE"""),4170)</f>
        <v>4170</v>
      </c>
      <c r="F1450" s="2">
        <f ca="1">IFERROR(__xludf.DUMMYFUNCTION("""COMPUTED_VALUE"""),90020900)</f>
        <v>90020900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BBCA</vt:lpstr>
      <vt:lpstr>BMRI</vt:lpstr>
      <vt:lpstr>BBNI</vt:lpstr>
      <vt:lpstr>BBRI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IQBAL TAWAQQAL</cp:lastModifiedBy>
  <dcterms:modified xsi:type="dcterms:W3CDTF">2021-02-10T05:34:46Z</dcterms:modified>
</cp:coreProperties>
</file>