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00000000-0000-0000-0000-000000000000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204503\Downloads\Conta Teste - 05.2026\Lote 33\"/>
    </mc:Choice>
  </mc:AlternateContent>
  <xr:revisionPtr revIDLastSave="0" documentId="13_ncr:1_{BE36D2DB-CF51-4CC0-8EED-A6E3D11611F5}" xr6:coauthVersionLast="47" xr6:coauthVersionMax="47" xr10:uidLastSave="{00000000-0000-0000-0000-000000000000}"/>
  <bookViews>
    <workbookView xWindow="28692" yWindow="-108" windowWidth="29016" windowHeight="15696" tabRatio="703" activeTab="5" xr2:uid="{00000000-000D-0000-FFFF-FFFF00000000}"/>
  </bookViews>
  <sheets>
    <sheet name="Fatura B1 (Res) OK" sheetId="4" r:id="rId1"/>
    <sheet name="Fatura B2 (Rur) OK" sheetId="5" r:id="rId2"/>
    <sheet name="Fatura B2 (Irr) OK" sheetId="6" r:id="rId3"/>
    <sheet name="Fatura B3 OK" sheetId="7" r:id="rId4"/>
    <sheet name="Fatura B3 (AES)" sheetId="8" state="hidden" r:id="rId5"/>
    <sheet name="Fatura B3 (CP)  OK" sheetId="9" r:id="rId6"/>
    <sheet name="Baixa Renda" sheetId="11" state="hidden" r:id="rId7"/>
    <sheet name="Baixa Renda 1 OK" sheetId="12" state="hidden" r:id="rId8"/>
    <sheet name="Baixa Renda MP 1300" sheetId="16" r:id="rId9"/>
    <sheet name="TABELA DE TARIFAS ANTIGAS" sheetId="2" state="hidden" r:id="rId10"/>
    <sheet name="TABELA DE TARIFAS NOVAS" sheetId="3" state="hidden" r:id="rId11"/>
    <sheet name="FIO B" sheetId="1" state="hidden" r:id="rId12"/>
    <sheet name="Baixa Renda (INDIG) 1" sheetId="13" state="hidden" r:id="rId13"/>
    <sheet name="Baixa Renda (IND)" sheetId="14" state="hidden" r:id="rId14"/>
    <sheet name="Fatura B4a " sheetId="10" r:id="rId15"/>
    <sheet name="Fatura B3 (PPF)" sheetId="15" r:id="rId16"/>
  </sheets>
  <definedNames>
    <definedName name="_xlnm._FilterDatabase" localSheetId="9" hidden="1">'TABELA DE TARIFAS ANTIGAS'!$B$1:$B$91</definedName>
    <definedName name="_xlnm._FilterDatabase" localSheetId="10" hidden="1">'TABELA DE TARIFAS NOVAS'!$B$1:$B$91</definedName>
    <definedName name="_Ref352134769" localSheetId="9">'TABELA DE TARIFAS ANTIGAS'!$A$91</definedName>
    <definedName name="_Ref352134769" localSheetId="10">'TABELA DE TARIFAS NOVAS'!$A$91</definedName>
    <definedName name="Z_455EF305_F4BF_4162_9D3A_67B1D57A792B_.wvu.FilterData" localSheetId="9" hidden="1">'TABELA DE TARIFAS ANTIGAS'!$B$1:$B$91</definedName>
    <definedName name="Z_455EF305_F4BF_4162_9D3A_67B1D57A792B_.wvu.FilterData" localSheetId="10" hidden="1">'TABELA DE TARIFAS NOVAS'!$B$1:$B$91</definedName>
    <definedName name="Z_8AD5A21B_3743_481B_8B5E_3FEE10EB7B2F_.wvu.FilterData" localSheetId="9" hidden="1">'TABELA DE TARIFAS ANTIGAS'!$B$1:$B$91</definedName>
    <definedName name="Z_8AD5A21B_3743_481B_8B5E_3FEE10EB7B2F_.wvu.FilterData" localSheetId="10" hidden="1">'TABELA DE TARIFAS NOVAS'!$B$1:$B$91</definedName>
    <definedName name="Z_8D3CE498_0ABB_4BB0_92D1_93DA2BDD5EDF_.wvu.FilterData" localSheetId="9" hidden="1">'TABELA DE TARIFAS ANTIGAS'!$B$1:$B$91</definedName>
    <definedName name="Z_8D3CE498_0ABB_4BB0_92D1_93DA2BDD5EDF_.wvu.FilterData" localSheetId="10" hidden="1">'TABELA DE TARIFAS NOVAS'!$B$1:$B$91</definedName>
    <definedName name="Z_AED82DA2_4B0E_4368_BF7F_A78E16192BBB_.wvu.FilterData" localSheetId="9" hidden="1">'TABELA DE TARIFAS ANTIGAS'!$B$1:$B$91</definedName>
    <definedName name="Z_AED82DA2_4B0E_4368_BF7F_A78E16192BBB_.wvu.FilterData" localSheetId="10" hidden="1">'TABELA DE TARIFAS NOVAS'!$B$1:$B$91</definedName>
    <definedName name="Z_D812A0C8_60A1_4775_A604_FC65C9DC40BF_.wvu.FilterData" localSheetId="9" hidden="1">'TABELA DE TARIFAS ANTIGAS'!$B$1:$B$91</definedName>
    <definedName name="Z_D812A0C8_60A1_4775_A604_FC65C9DC40BF_.wvu.FilterData" localSheetId="10" hidden="1">'TABELA DE TARIFAS NOVAS'!$B$1:$B$91</definedName>
  </definedNames>
  <calcPr calcId="191028"/>
  <customWorkbookViews>
    <customWorkbookView name="Fabiana Alves De Freitas Pinheiro - Modo de exibição pessoal" guid="{D812A0C8-60A1-4775-A604-FC65C9DC40BF}" mergeInterval="0" personalView="1" maximized="1" xWindow="-8" yWindow="-8" windowWidth="1456" windowHeight="873" tabRatio="703" activeSheetId="12"/>
    <customWorkbookView name="Zoghanna Damacena Ribeiro - Modo de exibição pessoal" guid="{8D3CE498-0ABB-4BB0-92D1-93DA2BDD5EDF}" mergeInterval="0" personalView="1" maximized="1" xWindow="-9" yWindow="-9" windowWidth="1938" windowHeight="1048" tabRatio="703" activeSheetId="4"/>
    <customWorkbookView name="FABIANA ALVES DE FREITAS - Modo de exibição pessoal" guid="{455EF305-F4BF-4162-9D3A-67B1D57A792B}" mergeInterval="0" personalView="1" maximized="1" xWindow="-8" yWindow="-8" windowWidth="1382" windowHeight="744" tabRatio="703" activeSheetId="11"/>
    <customWorkbookView name="Giovanni Lombardi - Modo de exibição pessoal" guid="{AED82DA2-4B0E-4368-BF7F-A78E16192BBB}" mergeInterval="0" personalView="1" maximized="1" xWindow="-8" yWindow="-8" windowWidth="1382" windowHeight="744" tabRatio="703" activeSheetId="6"/>
    <customWorkbookView name="Alex Da Costa Pereira - Modo de exibição pessoal" guid="{8AD5A21B-3743-481B-8B5E-3FEE10EB7B2F}" mergeInterval="0" personalView="1" maximized="1" xWindow="-8" yWindow="-8" windowWidth="1616" windowHeight="876" tabRatio="703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6" i="6" l="1"/>
  <c r="D23" i="16"/>
  <c r="E13" i="10"/>
  <c r="B13" i="10"/>
  <c r="E13" i="15" l="1"/>
  <c r="B13" i="15"/>
  <c r="E13" i="7"/>
  <c r="B13" i="7"/>
  <c r="E14" i="6"/>
  <c r="B14" i="6"/>
  <c r="U6" i="16"/>
  <c r="R26" i="16"/>
  <c r="R6" i="16"/>
  <c r="AC15" i="16"/>
  <c r="AC14" i="16"/>
  <c r="AC13" i="16"/>
  <c r="U13" i="16"/>
  <c r="AC12" i="16"/>
  <c r="U12" i="16"/>
  <c r="G7" i="16"/>
  <c r="F7" i="16"/>
  <c r="U11" i="10"/>
  <c r="T11" i="10"/>
  <c r="U11" i="9"/>
  <c r="T11" i="9"/>
  <c r="F7" i="15"/>
  <c r="G7" i="15"/>
  <c r="U11" i="15"/>
  <c r="T11" i="15"/>
  <c r="U11" i="7"/>
  <c r="T11" i="7"/>
  <c r="U11" i="6"/>
  <c r="T11" i="6"/>
  <c r="G7" i="4"/>
  <c r="F7" i="4"/>
  <c r="H7" i="4" s="1"/>
  <c r="U11" i="5"/>
  <c r="G8" i="5" s="1"/>
  <c r="T11" i="5"/>
  <c r="F8" i="5" s="1"/>
  <c r="U11" i="4"/>
  <c r="T11" i="4"/>
  <c r="H7" i="16" l="1"/>
  <c r="H8" i="5"/>
  <c r="F4" i="16" l="1"/>
  <c r="C4" i="16"/>
  <c r="F4" i="10"/>
  <c r="C4" i="10"/>
  <c r="F4" i="9"/>
  <c r="C4" i="9"/>
  <c r="F4" i="15"/>
  <c r="C4" i="15"/>
  <c r="F4" i="7"/>
  <c r="C4" i="7"/>
  <c r="F4" i="6"/>
  <c r="C4" i="6"/>
  <c r="F2" i="16" l="1"/>
  <c r="G6" i="16" l="1"/>
  <c r="F6" i="16"/>
  <c r="D6" i="16" l="1"/>
  <c r="C6" i="16"/>
  <c r="N22" i="16"/>
  <c r="H59" i="16" s="1"/>
  <c r="N21" i="16"/>
  <c r="H58" i="16" s="1"/>
  <c r="L11" i="16"/>
  <c r="K11" i="16"/>
  <c r="E13" i="16"/>
  <c r="M13" i="16" s="1"/>
  <c r="B13" i="16"/>
  <c r="M9" i="16" s="1"/>
  <c r="P72" i="16"/>
  <c r="P71" i="16"/>
  <c r="H60" i="16"/>
  <c r="H61" i="16" s="1"/>
  <c r="P45" i="16"/>
  <c r="I45" i="16"/>
  <c r="H75" i="16" s="1"/>
  <c r="D25" i="16"/>
  <c r="D22" i="16" a="1"/>
  <c r="D22" i="16" s="1"/>
  <c r="F180" i="16"/>
  <c r="Q6" i="16"/>
  <c r="F173" i="16"/>
  <c r="F166" i="16"/>
  <c r="F159" i="16"/>
  <c r="U4" i="16"/>
  <c r="R4" i="16"/>
  <c r="J13" i="16" l="1"/>
  <c r="K13" i="16" s="1"/>
  <c r="E6" i="16"/>
  <c r="H6" i="16"/>
  <c r="D183" i="16"/>
  <c r="D151" i="16" s="1"/>
  <c r="H79" i="16"/>
  <c r="D184" i="16"/>
  <c r="D152" i="16" s="1"/>
  <c r="L13" i="16"/>
  <c r="H76" i="16" s="1"/>
  <c r="H10" i="16"/>
  <c r="F184" i="16"/>
  <c r="J79" i="16"/>
  <c r="F183" i="16"/>
  <c r="K151" i="16" s="1"/>
  <c r="E51" i="16"/>
  <c r="D163" i="16" s="1"/>
  <c r="D146" i="16" s="1"/>
  <c r="F176" i="16"/>
  <c r="K149" i="16" s="1"/>
  <c r="J78" i="16"/>
  <c r="F177" i="16"/>
  <c r="K150" i="16" s="1"/>
  <c r="D24" i="16"/>
  <c r="H81" i="16"/>
  <c r="E50" i="16"/>
  <c r="D162" i="16" s="1"/>
  <c r="D145" i="16" s="1"/>
  <c r="F163" i="16"/>
  <c r="J76" i="16"/>
  <c r="F162" i="16"/>
  <c r="F169" i="16"/>
  <c r="K147" i="16" s="1"/>
  <c r="J77" i="16"/>
  <c r="F170" i="16"/>
  <c r="K148" i="16" s="1"/>
  <c r="H82" i="16"/>
  <c r="C13" i="16"/>
  <c r="D13" i="16"/>
  <c r="D176" i="16" l="1"/>
  <c r="D149" i="16" s="1"/>
  <c r="H149" i="16" s="1"/>
  <c r="AK11" i="16"/>
  <c r="AJ11" i="16"/>
  <c r="W14" i="16"/>
  <c r="W13" i="16"/>
  <c r="I7" i="16"/>
  <c r="W12" i="16"/>
  <c r="X6" i="16"/>
  <c r="J7" i="16"/>
  <c r="AE13" i="16"/>
  <c r="AE12" i="16"/>
  <c r="W15" i="16"/>
  <c r="H151" i="16"/>
  <c r="H145" i="16"/>
  <c r="H152" i="16"/>
  <c r="H146" i="16"/>
  <c r="D177" i="16"/>
  <c r="D150" i="16" s="1"/>
  <c r="H78" i="16"/>
  <c r="K78" i="16" s="1"/>
  <c r="H77" i="16"/>
  <c r="K77" i="16" s="1"/>
  <c r="G151" i="16"/>
  <c r="K79" i="16"/>
  <c r="D139" i="16"/>
  <c r="I183" i="16"/>
  <c r="J183" i="16" s="1"/>
  <c r="K76" i="16"/>
  <c r="F141" i="16"/>
  <c r="D136" i="16"/>
  <c r="F140" i="16"/>
  <c r="E139" i="16"/>
  <c r="F143" i="16"/>
  <c r="G139" i="16"/>
  <c r="I6" i="16"/>
  <c r="D143" i="16"/>
  <c r="D141" i="16"/>
  <c r="J6" i="16"/>
  <c r="E137" i="16"/>
  <c r="N169" i="16"/>
  <c r="D169" i="16"/>
  <c r="G137" i="16"/>
  <c r="D142" i="16"/>
  <c r="G138" i="16"/>
  <c r="E143" i="16"/>
  <c r="E138" i="16"/>
  <c r="G135" i="16"/>
  <c r="G136" i="16"/>
  <c r="F139" i="16"/>
  <c r="D137" i="16"/>
  <c r="F137" i="16"/>
  <c r="D170" i="16"/>
  <c r="F136" i="16"/>
  <c r="F138" i="16"/>
  <c r="F135" i="16"/>
  <c r="G141" i="16"/>
  <c r="E140" i="16"/>
  <c r="D140" i="16"/>
  <c r="E136" i="16"/>
  <c r="K145" i="16"/>
  <c r="G145" i="16" s="1"/>
  <c r="I162" i="16"/>
  <c r="J162" i="16" s="1"/>
  <c r="E135" i="16"/>
  <c r="E141" i="16"/>
  <c r="E142" i="16"/>
  <c r="D138" i="16"/>
  <c r="K152" i="16"/>
  <c r="G152" i="16" s="1"/>
  <c r="I184" i="16"/>
  <c r="J184" i="16" s="1"/>
  <c r="G142" i="16"/>
  <c r="G140" i="16"/>
  <c r="D135" i="16"/>
  <c r="I163" i="16"/>
  <c r="J163" i="16" s="1"/>
  <c r="K146" i="16"/>
  <c r="G146" i="16" s="1"/>
  <c r="F142" i="16"/>
  <c r="G143" i="16"/>
  <c r="G149" i="16" l="1"/>
  <c r="I176" i="16"/>
  <c r="J176" i="16" s="1"/>
  <c r="J151" i="16"/>
  <c r="E151" i="16" s="1"/>
  <c r="F151" i="16" s="1"/>
  <c r="H150" i="16"/>
  <c r="Q23" i="16"/>
  <c r="R23" i="16" s="1"/>
  <c r="Q24" i="16"/>
  <c r="R24" i="16" s="1"/>
  <c r="I177" i="16"/>
  <c r="J177" i="16" s="1"/>
  <c r="J146" i="16"/>
  <c r="E146" i="16" s="1"/>
  <c r="F146" i="16" s="1"/>
  <c r="K7" i="16"/>
  <c r="J152" i="16"/>
  <c r="E152" i="16" s="1"/>
  <c r="F152" i="16" s="1"/>
  <c r="G150" i="16"/>
  <c r="AK12" i="16"/>
  <c r="AK13" i="16"/>
  <c r="K25" i="16"/>
  <c r="H51" i="16"/>
  <c r="K23" i="16"/>
  <c r="G51" i="16"/>
  <c r="M73" i="16"/>
  <c r="N73" i="16" s="1"/>
  <c r="M70" i="16"/>
  <c r="N70" i="16" s="1"/>
  <c r="M72" i="16"/>
  <c r="N72" i="16" s="1"/>
  <c r="M71" i="16"/>
  <c r="N71" i="16" s="1"/>
  <c r="J185" i="16"/>
  <c r="J55" i="16" s="1"/>
  <c r="J149" i="16"/>
  <c r="I169" i="16"/>
  <c r="J169" i="16" s="1"/>
  <c r="D147" i="16"/>
  <c r="J164" i="16"/>
  <c r="J145" i="16"/>
  <c r="E145" i="16" s="1"/>
  <c r="F145" i="16" s="1"/>
  <c r="I170" i="16"/>
  <c r="J170" i="16" s="1"/>
  <c r="D148" i="16"/>
  <c r="K6" i="16"/>
  <c r="E149" i="16" l="1"/>
  <c r="F149" i="16" s="1"/>
  <c r="J178" i="16"/>
  <c r="J54" i="16" s="1"/>
  <c r="H148" i="16"/>
  <c r="J148" i="16" s="1"/>
  <c r="J150" i="16"/>
  <c r="E150" i="16" s="1"/>
  <c r="F150" i="16" s="1"/>
  <c r="H147" i="16"/>
  <c r="J147" i="16" s="1"/>
  <c r="I51" i="16"/>
  <c r="I75" i="16"/>
  <c r="J51" i="16"/>
  <c r="I82" i="16"/>
  <c r="G50" i="16"/>
  <c r="P73" i="16"/>
  <c r="K22" i="16"/>
  <c r="G23" i="16"/>
  <c r="H23" i="16"/>
  <c r="J23" i="16" s="1"/>
  <c r="H50" i="16"/>
  <c r="J81" i="16" s="1"/>
  <c r="J82" i="16"/>
  <c r="J75" i="16"/>
  <c r="K24" i="16"/>
  <c r="H25" i="16"/>
  <c r="J25" i="16" s="1"/>
  <c r="G25" i="16"/>
  <c r="G148" i="16"/>
  <c r="G147" i="16"/>
  <c r="K87" i="16"/>
  <c r="L79" i="16" s="1"/>
  <c r="J171" i="16"/>
  <c r="F40" i="16"/>
  <c r="H72" i="16"/>
  <c r="J52" i="16"/>
  <c r="K84" i="16"/>
  <c r="L76" i="16" s="1"/>
  <c r="K86" i="16" l="1"/>
  <c r="L78" i="16" s="1"/>
  <c r="E25" i="16"/>
  <c r="F25" i="16" s="1"/>
  <c r="E148" i="16"/>
  <c r="F148" i="16" s="1"/>
  <c r="E23" i="16"/>
  <c r="F23" i="16" s="1"/>
  <c r="G22" i="16"/>
  <c r="H22" i="16"/>
  <c r="J22" i="16" s="1"/>
  <c r="P70" i="16"/>
  <c r="P74" i="16" s="1"/>
  <c r="J50" i="16"/>
  <c r="I50" i="16"/>
  <c r="I81" i="16"/>
  <c r="K81" i="16" s="1"/>
  <c r="K82" i="16"/>
  <c r="K75" i="16"/>
  <c r="G24" i="16"/>
  <c r="H24" i="16"/>
  <c r="J24" i="16" s="1"/>
  <c r="E147" i="16"/>
  <c r="F147" i="16" s="1"/>
  <c r="K85" i="16"/>
  <c r="L77" i="16" s="1"/>
  <c r="J53" i="16"/>
  <c r="E24" i="16" l="1"/>
  <c r="F24" i="16" s="1"/>
  <c r="E22" i="16"/>
  <c r="F22" i="16" s="1"/>
  <c r="K83" i="16"/>
  <c r="L75" i="16" s="1"/>
  <c r="L80" i="16" s="1"/>
  <c r="D20" i="16" s="1"/>
  <c r="E58" i="16"/>
  <c r="E60" i="16" s="1"/>
  <c r="J60" i="16" s="1"/>
  <c r="G38" i="16"/>
  <c r="C98" i="16"/>
  <c r="C100" i="16"/>
  <c r="C97" i="16"/>
  <c r="C99" i="16"/>
  <c r="D21" i="16" l="1"/>
  <c r="F20" i="16"/>
  <c r="K89" i="16"/>
  <c r="J58" i="16"/>
  <c r="E59" i="16"/>
  <c r="J59" i="16" s="1"/>
  <c r="M21" i="16"/>
  <c r="M22" i="16" s="1"/>
  <c r="O22" i="16" s="1"/>
  <c r="H71" i="16" l="1"/>
  <c r="K91" i="16"/>
  <c r="O21" i="16"/>
  <c r="K93" i="16" l="1"/>
  <c r="K90" i="16" s="1"/>
  <c r="K92" i="16"/>
  <c r="E61" i="16" l="1"/>
  <c r="J61" i="16" s="1"/>
  <c r="H21" i="16"/>
  <c r="C101" i="16" l="1"/>
  <c r="C102" i="16" s="1"/>
  <c r="K48" i="16"/>
  <c r="I69" i="16" s="1"/>
  <c r="J21" i="16"/>
  <c r="H38" i="16"/>
  <c r="I18" i="7"/>
  <c r="L11" i="12"/>
  <c r="N22" i="12"/>
  <c r="N23" i="12"/>
  <c r="N19" i="15"/>
  <c r="E66" i="15" s="1"/>
  <c r="C74" i="15" s="1"/>
  <c r="F74" i="15" s="1"/>
  <c r="N18" i="15"/>
  <c r="C40" i="15" s="1"/>
  <c r="F40" i="15" s="1"/>
  <c r="L11" i="15"/>
  <c r="K11" i="15"/>
  <c r="F2" i="15"/>
  <c r="U4" i="15"/>
  <c r="M4" i="15"/>
  <c r="N4" i="15"/>
  <c r="R4" i="15"/>
  <c r="M5" i="15"/>
  <c r="N5" i="15"/>
  <c r="F57" i="15" s="1"/>
  <c r="C6" i="15"/>
  <c r="D6" i="15"/>
  <c r="F6" i="15"/>
  <c r="G6" i="15"/>
  <c r="M6" i="15"/>
  <c r="N6" i="15"/>
  <c r="K22" i="15" s="1"/>
  <c r="Q6" i="15"/>
  <c r="R6" i="15"/>
  <c r="U6" i="15"/>
  <c r="N7" i="15"/>
  <c r="K23" i="15" s="1"/>
  <c r="D19" i="15"/>
  <c r="K20" i="15"/>
  <c r="C36" i="15"/>
  <c r="D53" i="15"/>
  <c r="D69" i="15" s="1"/>
  <c r="F56" i="15"/>
  <c r="F58" i="15"/>
  <c r="E67" i="15"/>
  <c r="B89" i="15"/>
  <c r="D89" i="15"/>
  <c r="E89" i="15"/>
  <c r="F89" i="15"/>
  <c r="G89" i="15"/>
  <c r="B90" i="15"/>
  <c r="D90" i="15"/>
  <c r="E90" i="15"/>
  <c r="F90" i="15"/>
  <c r="G90" i="15"/>
  <c r="B92" i="15"/>
  <c r="D92" i="15"/>
  <c r="E92" i="15"/>
  <c r="F92" i="15"/>
  <c r="G92" i="15"/>
  <c r="B93" i="15"/>
  <c r="D93" i="15"/>
  <c r="E93" i="15"/>
  <c r="F93" i="15"/>
  <c r="G93" i="15"/>
  <c r="B94" i="15"/>
  <c r="D94" i="15"/>
  <c r="E94" i="15"/>
  <c r="F94" i="15"/>
  <c r="G94" i="15"/>
  <c r="B95" i="15"/>
  <c r="D95" i="15"/>
  <c r="E95" i="15"/>
  <c r="F95" i="15"/>
  <c r="G95" i="15"/>
  <c r="B96" i="15"/>
  <c r="D96" i="15"/>
  <c r="E96" i="15"/>
  <c r="F96" i="15"/>
  <c r="G96" i="15"/>
  <c r="B97" i="15"/>
  <c r="D97" i="15"/>
  <c r="E97" i="15"/>
  <c r="F97" i="15"/>
  <c r="G97" i="15"/>
  <c r="B98" i="15"/>
  <c r="D98" i="15"/>
  <c r="E98" i="15"/>
  <c r="F98" i="15"/>
  <c r="G98" i="15"/>
  <c r="B99" i="15"/>
  <c r="D99" i="15"/>
  <c r="E99" i="15"/>
  <c r="F99" i="15"/>
  <c r="G99" i="15"/>
  <c r="B100" i="15"/>
  <c r="D100" i="15"/>
  <c r="E100" i="15"/>
  <c r="F100" i="15"/>
  <c r="G100" i="15"/>
  <c r="B103" i="15"/>
  <c r="D103" i="15"/>
  <c r="E103" i="15"/>
  <c r="F103" i="15"/>
  <c r="G103" i="15"/>
  <c r="B104" i="15"/>
  <c r="D104" i="15"/>
  <c r="E104" i="15"/>
  <c r="F104" i="15"/>
  <c r="G104" i="15"/>
  <c r="B106" i="15"/>
  <c r="D106" i="15"/>
  <c r="E106" i="15"/>
  <c r="F106" i="15"/>
  <c r="G106" i="15"/>
  <c r="B107" i="15"/>
  <c r="D107" i="15"/>
  <c r="E107" i="15"/>
  <c r="F107" i="15"/>
  <c r="G107" i="15"/>
  <c r="B108" i="15"/>
  <c r="D108" i="15"/>
  <c r="E108" i="15"/>
  <c r="F108" i="15"/>
  <c r="G108" i="15"/>
  <c r="B109" i="15"/>
  <c r="D109" i="15"/>
  <c r="E109" i="15"/>
  <c r="F109" i="15"/>
  <c r="G109" i="15"/>
  <c r="B110" i="15"/>
  <c r="D110" i="15"/>
  <c r="E110" i="15"/>
  <c r="F110" i="15"/>
  <c r="G110" i="15"/>
  <c r="B111" i="15"/>
  <c r="D111" i="15"/>
  <c r="E111" i="15"/>
  <c r="F111" i="15"/>
  <c r="G111" i="15"/>
  <c r="B112" i="15"/>
  <c r="D112" i="15"/>
  <c r="E112" i="15"/>
  <c r="F112" i="15"/>
  <c r="G112" i="15"/>
  <c r="B113" i="15"/>
  <c r="D113" i="15"/>
  <c r="E113" i="15"/>
  <c r="F113" i="15"/>
  <c r="G113" i="15"/>
  <c r="B114" i="15"/>
  <c r="D114" i="15"/>
  <c r="E114" i="15"/>
  <c r="F114" i="15"/>
  <c r="G114" i="15"/>
  <c r="D138" i="15"/>
  <c r="D141" i="15" s="1"/>
  <c r="H141" i="15" s="1"/>
  <c r="E138" i="15"/>
  <c r="D139" i="15"/>
  <c r="H139" i="15" s="1"/>
  <c r="E139" i="15"/>
  <c r="E145" i="15" s="1"/>
  <c r="E140" i="15"/>
  <c r="E146" i="15" s="1"/>
  <c r="E141" i="15"/>
  <c r="E144" i="15"/>
  <c r="E147" i="15"/>
  <c r="N19" i="10"/>
  <c r="N19" i="9"/>
  <c r="N19" i="7"/>
  <c r="N19" i="6"/>
  <c r="N18" i="10"/>
  <c r="N18" i="9"/>
  <c r="N18" i="7"/>
  <c r="N18" i="6"/>
  <c r="N19" i="5"/>
  <c r="N18" i="5"/>
  <c r="K11" i="12"/>
  <c r="L11" i="10"/>
  <c r="K11" i="10"/>
  <c r="L11" i="9"/>
  <c r="K11" i="9"/>
  <c r="L11" i="7"/>
  <c r="K11" i="7"/>
  <c r="L12" i="6"/>
  <c r="K12" i="6"/>
  <c r="L12" i="5"/>
  <c r="K12" i="5"/>
  <c r="E13" i="12"/>
  <c r="B13" i="12"/>
  <c r="E13" i="9"/>
  <c r="B13" i="9"/>
  <c r="E14" i="5"/>
  <c r="B14" i="5"/>
  <c r="E20" i="5" l="1"/>
  <c r="J38" i="16"/>
  <c r="F21" i="16"/>
  <c r="F38" i="16" s="1"/>
  <c r="H7" i="15"/>
  <c r="C13" i="15"/>
  <c r="H6" i="15"/>
  <c r="D13" i="15"/>
  <c r="D140" i="15"/>
  <c r="H140" i="15" s="1"/>
  <c r="E6" i="15"/>
  <c r="E22" i="15"/>
  <c r="E65" i="15"/>
  <c r="C73" i="15" s="1"/>
  <c r="D76" i="15" s="1"/>
  <c r="F59" i="15"/>
  <c r="C41" i="15"/>
  <c r="F41" i="15" s="1"/>
  <c r="E23" i="15"/>
  <c r="D23" i="15"/>
  <c r="G23" i="15" s="1"/>
  <c r="D59" i="15"/>
  <c r="H10" i="15"/>
  <c r="M13" i="15"/>
  <c r="M9" i="15"/>
  <c r="J13" i="15"/>
  <c r="K21" i="15"/>
  <c r="E21" i="15" s="1"/>
  <c r="H138" i="15"/>
  <c r="D35" i="13"/>
  <c r="U15" i="12"/>
  <c r="U14" i="12"/>
  <c r="U13" i="12"/>
  <c r="P53" i="12"/>
  <c r="N4" i="12"/>
  <c r="AC13" i="13"/>
  <c r="AC14" i="13"/>
  <c r="AC15" i="13"/>
  <c r="AC12" i="13"/>
  <c r="E21" i="16" l="1"/>
  <c r="E128" i="15"/>
  <c r="G128" i="15"/>
  <c r="G120" i="15"/>
  <c r="E120" i="15"/>
  <c r="J7" i="15"/>
  <c r="E36" i="15" s="1"/>
  <c r="D122" i="15"/>
  <c r="G125" i="15"/>
  <c r="D126" i="15"/>
  <c r="E124" i="15"/>
  <c r="F121" i="15"/>
  <c r="E122" i="15"/>
  <c r="F127" i="15"/>
  <c r="G124" i="15"/>
  <c r="F122" i="15"/>
  <c r="F123" i="15"/>
  <c r="D124" i="15"/>
  <c r="D121" i="15"/>
  <c r="G126" i="15"/>
  <c r="F128" i="15"/>
  <c r="D125" i="15"/>
  <c r="D123" i="15"/>
  <c r="F120" i="15"/>
  <c r="E125" i="15"/>
  <c r="E126" i="15"/>
  <c r="F124" i="15"/>
  <c r="E121" i="15"/>
  <c r="F125" i="15"/>
  <c r="J6" i="15"/>
  <c r="E123" i="15"/>
  <c r="I6" i="15"/>
  <c r="K18" i="15" s="1"/>
  <c r="G18" i="15" s="1"/>
  <c r="D128" i="15"/>
  <c r="X6" i="15"/>
  <c r="E127" i="15"/>
  <c r="F126" i="15"/>
  <c r="I7" i="15"/>
  <c r="D36" i="15" s="1"/>
  <c r="G127" i="15"/>
  <c r="D120" i="15"/>
  <c r="D127" i="15"/>
  <c r="G123" i="15"/>
  <c r="G121" i="15"/>
  <c r="G122" i="15"/>
  <c r="H59" i="15"/>
  <c r="H23" i="15"/>
  <c r="J23" i="15" s="1"/>
  <c r="F73" i="15"/>
  <c r="F23" i="15"/>
  <c r="K13" i="15"/>
  <c r="E43" i="15"/>
  <c r="L13" i="15"/>
  <c r="AC11" i="13"/>
  <c r="AC11" i="12"/>
  <c r="U12" i="12"/>
  <c r="D22" i="15" l="1"/>
  <c r="F22" i="15" s="1"/>
  <c r="E69" i="15"/>
  <c r="F69" i="15"/>
  <c r="E53" i="15"/>
  <c r="F53" i="15"/>
  <c r="K19" i="15"/>
  <c r="R53" i="15"/>
  <c r="S53" i="15" s="1"/>
  <c r="R18" i="15"/>
  <c r="S18" i="15" s="1"/>
  <c r="D57" i="15"/>
  <c r="H57" i="15" s="1"/>
  <c r="D21" i="15"/>
  <c r="K6" i="15"/>
  <c r="F36" i="15"/>
  <c r="K7" i="15"/>
  <c r="H18" i="15"/>
  <c r="J18" i="15" s="1"/>
  <c r="E18" i="15" s="1"/>
  <c r="F18" i="15" s="1"/>
  <c r="D56" i="15"/>
  <c r="H56" i="15" s="1"/>
  <c r="D20" i="15"/>
  <c r="G20" i="15" s="1"/>
  <c r="D58" i="15"/>
  <c r="H58" i="15" s="1"/>
  <c r="AC14" i="12"/>
  <c r="AC13" i="12"/>
  <c r="AC15" i="12"/>
  <c r="AC12" i="12"/>
  <c r="U12" i="13"/>
  <c r="U13" i="13"/>
  <c r="U14" i="13"/>
  <c r="U15" i="13"/>
  <c r="H53" i="15" l="1"/>
  <c r="C82" i="15" s="1"/>
  <c r="H69" i="15"/>
  <c r="H22" i="15"/>
  <c r="J22" i="15" s="1"/>
  <c r="G22" i="15"/>
  <c r="E19" i="15"/>
  <c r="F19" i="15" s="1"/>
  <c r="G19" i="15"/>
  <c r="H19" i="15"/>
  <c r="J19" i="15" s="1"/>
  <c r="G53" i="15"/>
  <c r="G21" i="15"/>
  <c r="H21" i="15"/>
  <c r="J21" i="15" s="1"/>
  <c r="F21" i="15"/>
  <c r="M18" i="15"/>
  <c r="O18" i="15" s="1"/>
  <c r="D40" i="15"/>
  <c r="G40" i="15" s="1"/>
  <c r="H20" i="15"/>
  <c r="J20" i="15" s="1"/>
  <c r="E20" i="15" s="1"/>
  <c r="F20" i="15" s="1"/>
  <c r="H42" i="15"/>
  <c r="D42" i="15" s="1"/>
  <c r="G42" i="15" s="1"/>
  <c r="H75" i="15" l="1"/>
  <c r="D75" i="15" s="1"/>
  <c r="G75" i="15" s="1"/>
  <c r="C83" i="15"/>
  <c r="C85" i="15"/>
  <c r="C84" i="15"/>
  <c r="D73" i="15"/>
  <c r="D74" i="15" s="1"/>
  <c r="G74" i="15" s="1"/>
  <c r="D65" i="15"/>
  <c r="D66" i="15" s="1"/>
  <c r="H66" i="15" s="1"/>
  <c r="G34" i="15"/>
  <c r="F28" i="15"/>
  <c r="F26" i="15"/>
  <c r="F29" i="15"/>
  <c r="F27" i="15"/>
  <c r="H34" i="15"/>
  <c r="D41" i="15"/>
  <c r="G41" i="15" s="1"/>
  <c r="J34" i="15"/>
  <c r="D33" i="13"/>
  <c r="M19" i="15" l="1"/>
  <c r="O19" i="15" s="1"/>
  <c r="G73" i="15"/>
  <c r="D67" i="15"/>
  <c r="H67" i="15" s="1"/>
  <c r="H77" i="15"/>
  <c r="H65" i="15"/>
  <c r="F34" i="15"/>
  <c r="H51" i="15"/>
  <c r="D132" i="15"/>
  <c r="D135" i="15" s="1"/>
  <c r="C86" i="15" l="1"/>
  <c r="C87" i="15" s="1"/>
  <c r="D144" i="15"/>
  <c r="H144" i="15" s="1"/>
  <c r="H132" i="15"/>
  <c r="D134" i="15"/>
  <c r="D146" i="15" s="1"/>
  <c r="H146" i="15" s="1"/>
  <c r="D133" i="15"/>
  <c r="H133" i="15" s="1"/>
  <c r="H135" i="15"/>
  <c r="D147" i="15"/>
  <c r="H147" i="15" s="1"/>
  <c r="R21" i="5"/>
  <c r="T22" i="4"/>
  <c r="H134" i="15" l="1"/>
  <c r="D145" i="15"/>
  <c r="H145" i="15" s="1"/>
  <c r="D21" i="6" l="1"/>
  <c r="C6" i="4" l="1"/>
  <c r="D6" i="4"/>
  <c r="K15" i="12" l="1"/>
  <c r="G141" i="12" l="1"/>
  <c r="F141" i="12"/>
  <c r="E141" i="12"/>
  <c r="D141" i="12"/>
  <c r="B141" i="12"/>
  <c r="G140" i="12"/>
  <c r="F140" i="12"/>
  <c r="E140" i="12"/>
  <c r="D140" i="12"/>
  <c r="B140" i="12"/>
  <c r="G139" i="12"/>
  <c r="F139" i="12"/>
  <c r="E139" i="12"/>
  <c r="D139" i="12"/>
  <c r="B139" i="12"/>
  <c r="G138" i="12"/>
  <c r="F138" i="12"/>
  <c r="E138" i="12"/>
  <c r="D138" i="12"/>
  <c r="B138" i="12"/>
  <c r="G137" i="12"/>
  <c r="F137" i="12"/>
  <c r="E137" i="12"/>
  <c r="D137" i="12"/>
  <c r="B137" i="12"/>
  <c r="G136" i="12"/>
  <c r="F136" i="12"/>
  <c r="E136" i="12"/>
  <c r="D136" i="12"/>
  <c r="B136" i="12"/>
  <c r="G135" i="12"/>
  <c r="F135" i="12"/>
  <c r="E135" i="12"/>
  <c r="D135" i="12"/>
  <c r="B135" i="12"/>
  <c r="G134" i="12"/>
  <c r="F134" i="12"/>
  <c r="E134" i="12"/>
  <c r="D134" i="12"/>
  <c r="B134" i="12"/>
  <c r="G133" i="12"/>
  <c r="F133" i="12"/>
  <c r="E133" i="12"/>
  <c r="D133" i="12"/>
  <c r="B133" i="12"/>
  <c r="G131" i="12"/>
  <c r="F131" i="12"/>
  <c r="E131" i="12"/>
  <c r="D131" i="12"/>
  <c r="B131" i="12"/>
  <c r="G130" i="12"/>
  <c r="F130" i="12"/>
  <c r="E130" i="12"/>
  <c r="D130" i="12"/>
  <c r="B130" i="12"/>
  <c r="G127" i="12"/>
  <c r="F127" i="12"/>
  <c r="E127" i="12"/>
  <c r="D127" i="12"/>
  <c r="B127" i="12"/>
  <c r="G126" i="12"/>
  <c r="F126" i="12"/>
  <c r="E126" i="12"/>
  <c r="D126" i="12"/>
  <c r="B126" i="12"/>
  <c r="G125" i="12"/>
  <c r="F125" i="12"/>
  <c r="E125" i="12"/>
  <c r="D125" i="12"/>
  <c r="B125" i="12"/>
  <c r="G124" i="12"/>
  <c r="F124" i="12"/>
  <c r="E124" i="12"/>
  <c r="D124" i="12"/>
  <c r="B124" i="12"/>
  <c r="G123" i="12"/>
  <c r="F123" i="12"/>
  <c r="E123" i="12"/>
  <c r="D123" i="12"/>
  <c r="B123" i="12"/>
  <c r="G122" i="12"/>
  <c r="F122" i="12"/>
  <c r="E122" i="12"/>
  <c r="D122" i="12"/>
  <c r="B122" i="12"/>
  <c r="G121" i="12"/>
  <c r="F121" i="12"/>
  <c r="E121" i="12"/>
  <c r="D121" i="12"/>
  <c r="B121" i="12"/>
  <c r="G120" i="12"/>
  <c r="F120" i="12"/>
  <c r="E120" i="12"/>
  <c r="D120" i="12"/>
  <c r="B120" i="12"/>
  <c r="G119" i="12"/>
  <c r="F119" i="12"/>
  <c r="E119" i="12"/>
  <c r="D119" i="12"/>
  <c r="B119" i="12"/>
  <c r="G117" i="12"/>
  <c r="F117" i="12"/>
  <c r="E117" i="12"/>
  <c r="D117" i="12"/>
  <c r="B117" i="12"/>
  <c r="G116" i="12"/>
  <c r="F116" i="12"/>
  <c r="E116" i="12"/>
  <c r="D116" i="12"/>
  <c r="B116" i="12"/>
  <c r="Q111" i="12"/>
  <c r="Q110" i="12"/>
  <c r="Q109" i="12"/>
  <c r="Q108" i="12"/>
  <c r="H89" i="12"/>
  <c r="H70" i="12"/>
  <c r="H71" i="12" s="1"/>
  <c r="H69" i="12"/>
  <c r="H68" i="12"/>
  <c r="I53" i="12"/>
  <c r="H85" i="12" s="1"/>
  <c r="D25" i="12"/>
  <c r="D29" i="12" s="1"/>
  <c r="D24" i="12"/>
  <c r="D28" i="12" s="1"/>
  <c r="D23" i="12"/>
  <c r="D27" i="12" s="1"/>
  <c r="D22" i="12"/>
  <c r="M13" i="12"/>
  <c r="J13" i="12"/>
  <c r="H10" i="12"/>
  <c r="M9" i="12"/>
  <c r="N7" i="12"/>
  <c r="Y105" i="12" s="1"/>
  <c r="U6" i="12"/>
  <c r="R6" i="12"/>
  <c r="Q6" i="12"/>
  <c r="N6" i="12"/>
  <c r="Y96" i="12" s="1"/>
  <c r="M6" i="12"/>
  <c r="G6" i="12"/>
  <c r="F6" i="12"/>
  <c r="D6" i="12"/>
  <c r="C6" i="12"/>
  <c r="N5" i="12"/>
  <c r="M5" i="12"/>
  <c r="M4" i="12"/>
  <c r="C4" i="12"/>
  <c r="R4" i="12" s="1"/>
  <c r="F2" i="12"/>
  <c r="D13" i="12" s="1"/>
  <c r="Q28" i="11"/>
  <c r="Q32" i="11" s="1"/>
  <c r="Q151" i="13"/>
  <c r="Q150" i="13"/>
  <c r="Q133" i="13"/>
  <c r="Q132" i="13"/>
  <c r="G141" i="13"/>
  <c r="F141" i="13"/>
  <c r="E141" i="13"/>
  <c r="D141" i="13"/>
  <c r="B141" i="13"/>
  <c r="G140" i="13"/>
  <c r="F140" i="13"/>
  <c r="E140" i="13"/>
  <c r="D140" i="13"/>
  <c r="B140" i="13"/>
  <c r="G139" i="13"/>
  <c r="F139" i="13"/>
  <c r="E139" i="13"/>
  <c r="D139" i="13"/>
  <c r="B139" i="13"/>
  <c r="G138" i="13"/>
  <c r="F138" i="13"/>
  <c r="E138" i="13"/>
  <c r="D138" i="13"/>
  <c r="B138" i="13"/>
  <c r="G137" i="13"/>
  <c r="F137" i="13"/>
  <c r="E137" i="13"/>
  <c r="D137" i="13"/>
  <c r="B137" i="13"/>
  <c r="G136" i="13"/>
  <c r="F136" i="13"/>
  <c r="E136" i="13"/>
  <c r="D136" i="13"/>
  <c r="B136" i="13"/>
  <c r="G135" i="13"/>
  <c r="F135" i="13"/>
  <c r="E135" i="13"/>
  <c r="D135" i="13"/>
  <c r="B135" i="13"/>
  <c r="G134" i="13"/>
  <c r="F134" i="13"/>
  <c r="E134" i="13"/>
  <c r="D134" i="13"/>
  <c r="B134" i="13"/>
  <c r="G133" i="13"/>
  <c r="F133" i="13"/>
  <c r="E133" i="13"/>
  <c r="D133" i="13"/>
  <c r="B133" i="13"/>
  <c r="G131" i="13"/>
  <c r="F131" i="13"/>
  <c r="E131" i="13"/>
  <c r="D131" i="13"/>
  <c r="B131" i="13"/>
  <c r="G130" i="13"/>
  <c r="F130" i="13"/>
  <c r="E130" i="13"/>
  <c r="D130" i="13"/>
  <c r="B130" i="13"/>
  <c r="G127" i="13"/>
  <c r="F127" i="13"/>
  <c r="E127" i="13"/>
  <c r="D127" i="13"/>
  <c r="B127" i="13"/>
  <c r="G126" i="13"/>
  <c r="F126" i="13"/>
  <c r="E126" i="13"/>
  <c r="D126" i="13"/>
  <c r="B126" i="13"/>
  <c r="G125" i="13"/>
  <c r="F125" i="13"/>
  <c r="E125" i="13"/>
  <c r="D125" i="13"/>
  <c r="B125" i="13"/>
  <c r="G124" i="13"/>
  <c r="F124" i="13"/>
  <c r="E124" i="13"/>
  <c r="D124" i="13"/>
  <c r="B124" i="13"/>
  <c r="G123" i="13"/>
  <c r="F123" i="13"/>
  <c r="E123" i="13"/>
  <c r="D123" i="13"/>
  <c r="B123" i="13"/>
  <c r="G122" i="13"/>
  <c r="F122" i="13"/>
  <c r="E122" i="13"/>
  <c r="D122" i="13"/>
  <c r="B122" i="13"/>
  <c r="G121" i="13"/>
  <c r="F121" i="13"/>
  <c r="E121" i="13"/>
  <c r="D121" i="13"/>
  <c r="B121" i="13"/>
  <c r="G120" i="13"/>
  <c r="F120" i="13"/>
  <c r="E120" i="13"/>
  <c r="D120" i="13"/>
  <c r="B120" i="13"/>
  <c r="G119" i="13"/>
  <c r="F119" i="13"/>
  <c r="E119" i="13"/>
  <c r="D119" i="13"/>
  <c r="B119" i="13"/>
  <c r="G117" i="13"/>
  <c r="F117" i="13"/>
  <c r="E117" i="13"/>
  <c r="D117" i="13"/>
  <c r="B117" i="13"/>
  <c r="G116" i="13"/>
  <c r="F116" i="13"/>
  <c r="E116" i="13"/>
  <c r="D116" i="13"/>
  <c r="B116" i="13"/>
  <c r="Q113" i="13"/>
  <c r="Q112" i="13"/>
  <c r="Q111" i="13"/>
  <c r="Q110" i="13"/>
  <c r="Q95" i="13"/>
  <c r="Q94" i="13"/>
  <c r="Q93" i="13"/>
  <c r="Q92" i="13"/>
  <c r="H89" i="13"/>
  <c r="H87" i="13"/>
  <c r="H70" i="13"/>
  <c r="H71" i="13" s="1"/>
  <c r="H69" i="13"/>
  <c r="H68" i="13"/>
  <c r="I52" i="13"/>
  <c r="H85" i="13" s="1"/>
  <c r="D24" i="13"/>
  <c r="D28" i="13" s="1"/>
  <c r="D23" i="13"/>
  <c r="D26" i="13"/>
  <c r="M13" i="13"/>
  <c r="J13" i="13"/>
  <c r="H10" i="13"/>
  <c r="M9" i="13"/>
  <c r="K13" i="13" s="1"/>
  <c r="N7" i="13"/>
  <c r="U6" i="13"/>
  <c r="R6" i="13"/>
  <c r="Q6" i="13"/>
  <c r="N6" i="13"/>
  <c r="Y98" i="13" s="1"/>
  <c r="Y138" i="13" s="1"/>
  <c r="M6" i="13"/>
  <c r="G6" i="13"/>
  <c r="F6" i="13"/>
  <c r="D6" i="13"/>
  <c r="C6" i="13"/>
  <c r="E6" i="13" s="1"/>
  <c r="N5" i="13"/>
  <c r="M5" i="13"/>
  <c r="N4" i="13"/>
  <c r="Y80" i="13" s="1"/>
  <c r="M4" i="13"/>
  <c r="C4" i="13"/>
  <c r="R4" i="13" s="1"/>
  <c r="F2" i="13"/>
  <c r="D13" i="13" s="1"/>
  <c r="K128" i="12" l="1"/>
  <c r="K129" i="12"/>
  <c r="K130" i="12"/>
  <c r="K127" i="12"/>
  <c r="K13" i="12"/>
  <c r="D26" i="12"/>
  <c r="D27" i="13"/>
  <c r="Y120" i="13"/>
  <c r="Y123" i="13" s="1"/>
  <c r="AG84" i="13"/>
  <c r="Y84" i="13"/>
  <c r="E6" i="12"/>
  <c r="L13" i="12"/>
  <c r="Y102" i="12"/>
  <c r="Y100" i="12"/>
  <c r="J88" i="12"/>
  <c r="Y101" i="12"/>
  <c r="Y99" i="12"/>
  <c r="H94" i="12"/>
  <c r="H93" i="12"/>
  <c r="H92" i="12"/>
  <c r="H91" i="12"/>
  <c r="Y111" i="12"/>
  <c r="J89" i="12"/>
  <c r="K89" i="12" s="1"/>
  <c r="Y109" i="12"/>
  <c r="Y110" i="12"/>
  <c r="Y108" i="12"/>
  <c r="H6" i="12"/>
  <c r="C13" i="12"/>
  <c r="E58" i="12"/>
  <c r="E59" i="12"/>
  <c r="E60" i="12"/>
  <c r="E61" i="12"/>
  <c r="Y87" i="12"/>
  <c r="Y78" i="12"/>
  <c r="Y141" i="13"/>
  <c r="Y142" i="13"/>
  <c r="Y143" i="13"/>
  <c r="AB143" i="13" s="1"/>
  <c r="AC143" i="13" s="1"/>
  <c r="Y144" i="13"/>
  <c r="AB144" i="13" s="1"/>
  <c r="AC144" i="13" s="1"/>
  <c r="L13" i="13"/>
  <c r="Y126" i="13"/>
  <c r="AB126" i="13" s="1"/>
  <c r="AC126" i="13" s="1"/>
  <c r="C13" i="13"/>
  <c r="Y104" i="13"/>
  <c r="Y102" i="13"/>
  <c r="J88" i="13"/>
  <c r="Y101" i="13"/>
  <c r="Y103" i="13"/>
  <c r="H94" i="13"/>
  <c r="H93" i="13"/>
  <c r="H92" i="13"/>
  <c r="H91" i="13"/>
  <c r="Y83" i="13"/>
  <c r="K29" i="13" s="1"/>
  <c r="K37" i="13" s="1"/>
  <c r="J86" i="13"/>
  <c r="Y86" i="13"/>
  <c r="K32" i="13" s="1"/>
  <c r="K30" i="13"/>
  <c r="K38" i="13" s="1"/>
  <c r="Y85" i="13"/>
  <c r="K31" i="13" s="1"/>
  <c r="E58" i="13"/>
  <c r="E60" i="13"/>
  <c r="Y89" i="13"/>
  <c r="Y129" i="13" s="1"/>
  <c r="E59" i="13"/>
  <c r="E61" i="13"/>
  <c r="H6" i="13"/>
  <c r="D25" i="13"/>
  <c r="Y107" i="13"/>
  <c r="Y147" i="13" s="1"/>
  <c r="I46" i="11"/>
  <c r="E54" i="11" s="1"/>
  <c r="H63" i="11"/>
  <c r="H64" i="11" s="1"/>
  <c r="H62" i="11"/>
  <c r="H61" i="11"/>
  <c r="D23" i="11"/>
  <c r="D22" i="11"/>
  <c r="D21" i="11"/>
  <c r="D20" i="11"/>
  <c r="E51" i="11"/>
  <c r="D49" i="9"/>
  <c r="E62" i="9"/>
  <c r="E61" i="9"/>
  <c r="E63" i="7"/>
  <c r="E62" i="7"/>
  <c r="D50" i="7"/>
  <c r="E75" i="6"/>
  <c r="E74" i="6"/>
  <c r="E73" i="6"/>
  <c r="D52" i="6"/>
  <c r="D51" i="6"/>
  <c r="D50" i="5"/>
  <c r="E63" i="5"/>
  <c r="E62" i="5"/>
  <c r="E54" i="4"/>
  <c r="E53" i="4"/>
  <c r="Q91" i="12" l="1"/>
  <c r="K120" i="12" s="1"/>
  <c r="Y124" i="13"/>
  <c r="Y125" i="13"/>
  <c r="AB125" i="13" s="1"/>
  <c r="AC125" i="13" s="1"/>
  <c r="Q92" i="12"/>
  <c r="K121" i="12" s="1"/>
  <c r="Q93" i="12"/>
  <c r="K122" i="12" s="1"/>
  <c r="Q90" i="12"/>
  <c r="K119" i="12" s="1"/>
  <c r="H87" i="12"/>
  <c r="R127" i="12"/>
  <c r="N127" i="12" s="1"/>
  <c r="R129" i="12"/>
  <c r="N129" i="12" s="1"/>
  <c r="R123" i="12"/>
  <c r="R128" i="12"/>
  <c r="N128" i="12" s="1"/>
  <c r="R125" i="12"/>
  <c r="R130" i="12"/>
  <c r="N130" i="12" s="1"/>
  <c r="R124" i="12"/>
  <c r="R126" i="12"/>
  <c r="H86" i="12"/>
  <c r="AB108" i="12"/>
  <c r="AC108" i="12" s="1"/>
  <c r="AB110" i="12"/>
  <c r="AC110" i="12" s="1"/>
  <c r="AB109" i="12"/>
  <c r="AC109" i="12" s="1"/>
  <c r="AB111" i="12"/>
  <c r="AC111" i="12" s="1"/>
  <c r="AJ11" i="12"/>
  <c r="AK11" i="12"/>
  <c r="AJ11" i="13"/>
  <c r="AK11" i="13"/>
  <c r="AE13" i="13"/>
  <c r="AE14" i="13"/>
  <c r="AE15" i="13"/>
  <c r="AE12" i="13"/>
  <c r="W12" i="13"/>
  <c r="W15" i="13"/>
  <c r="W14" i="13"/>
  <c r="W13" i="13"/>
  <c r="F147" i="12"/>
  <c r="AE13" i="12"/>
  <c r="AE14" i="12"/>
  <c r="AE15" i="12"/>
  <c r="AE12" i="12"/>
  <c r="W13" i="12"/>
  <c r="W12" i="12"/>
  <c r="W14" i="12"/>
  <c r="W15" i="12"/>
  <c r="AF84" i="13"/>
  <c r="AH84" i="13" s="1"/>
  <c r="Q84" i="13"/>
  <c r="AB84" i="13" s="1"/>
  <c r="AC84" i="13" s="1"/>
  <c r="H86" i="13"/>
  <c r="K86" i="13" s="1"/>
  <c r="G153" i="13"/>
  <c r="G149" i="12"/>
  <c r="H88" i="12"/>
  <c r="K88" i="12" s="1"/>
  <c r="J6" i="12"/>
  <c r="D155" i="12"/>
  <c r="G148" i="12"/>
  <c r="F151" i="12"/>
  <c r="I6" i="12"/>
  <c r="D149" i="12"/>
  <c r="G150" i="12"/>
  <c r="F149" i="12"/>
  <c r="F150" i="12"/>
  <c r="F155" i="12"/>
  <c r="J87" i="12"/>
  <c r="Y93" i="12"/>
  <c r="Y92" i="12"/>
  <c r="Y91" i="12"/>
  <c r="Y90" i="12"/>
  <c r="Q102" i="12"/>
  <c r="Q84" i="12"/>
  <c r="F153" i="12"/>
  <c r="G154" i="12"/>
  <c r="Q83" i="12"/>
  <c r="Q101" i="12"/>
  <c r="G155" i="12"/>
  <c r="G153" i="12"/>
  <c r="G147" i="12"/>
  <c r="E155" i="12"/>
  <c r="E153" i="12"/>
  <c r="E149" i="12"/>
  <c r="E147" i="12"/>
  <c r="D150" i="12"/>
  <c r="D152" i="12"/>
  <c r="D148" i="12"/>
  <c r="D154" i="12"/>
  <c r="E150" i="12"/>
  <c r="F154" i="12"/>
  <c r="D153" i="12"/>
  <c r="X6" i="12"/>
  <c r="F152" i="12"/>
  <c r="Y81" i="12"/>
  <c r="J86" i="12"/>
  <c r="Y84" i="12"/>
  <c r="Y82" i="12"/>
  <c r="Y83" i="12"/>
  <c r="Q100" i="12"/>
  <c r="Q82" i="12"/>
  <c r="Q81" i="12"/>
  <c r="Q99" i="12"/>
  <c r="D147" i="12"/>
  <c r="G151" i="12"/>
  <c r="E148" i="12"/>
  <c r="E154" i="12"/>
  <c r="E151" i="12"/>
  <c r="F148" i="12"/>
  <c r="G152" i="12"/>
  <c r="E152" i="12"/>
  <c r="D151" i="12"/>
  <c r="D24" i="11"/>
  <c r="Y153" i="13"/>
  <c r="AB153" i="13" s="1"/>
  <c r="AC153" i="13" s="1"/>
  <c r="Y150" i="13"/>
  <c r="AB150" i="13" s="1"/>
  <c r="AC150" i="13" s="1"/>
  <c r="Y151" i="13"/>
  <c r="AB151" i="13" s="1"/>
  <c r="AC151" i="13" s="1"/>
  <c r="Y152" i="13"/>
  <c r="AB152" i="13" s="1"/>
  <c r="AC152" i="13" s="1"/>
  <c r="Y135" i="13"/>
  <c r="AB135" i="13" s="1"/>
  <c r="AC135" i="13" s="1"/>
  <c r="Y132" i="13"/>
  <c r="AB132" i="13" s="1"/>
  <c r="AC132" i="13" s="1"/>
  <c r="Y133" i="13"/>
  <c r="AB133" i="13" s="1"/>
  <c r="AC133" i="13" s="1"/>
  <c r="Y134" i="13"/>
  <c r="AB134" i="13" s="1"/>
  <c r="AC134" i="13" s="1"/>
  <c r="Q142" i="13"/>
  <c r="AB142" i="13" s="1"/>
  <c r="AC142" i="13" s="1"/>
  <c r="Q141" i="13"/>
  <c r="AB141" i="13" s="1"/>
  <c r="AC141" i="13" s="1"/>
  <c r="F151" i="13"/>
  <c r="H88" i="13"/>
  <c r="K88" i="13" s="1"/>
  <c r="Q124" i="13"/>
  <c r="AB124" i="13" s="1"/>
  <c r="AC124" i="13" s="1"/>
  <c r="F38" i="13" s="1"/>
  <c r="H38" i="13" s="1"/>
  <c r="J38" i="13" s="1"/>
  <c r="Q123" i="13"/>
  <c r="AB123" i="13" s="1"/>
  <c r="AC123" i="13" s="1"/>
  <c r="F37" i="13" s="1"/>
  <c r="H37" i="13" s="1"/>
  <c r="J37" i="13" s="1"/>
  <c r="G154" i="13"/>
  <c r="F150" i="13"/>
  <c r="E150" i="13"/>
  <c r="D155" i="13"/>
  <c r="G149" i="13"/>
  <c r="E151" i="13"/>
  <c r="D149" i="13"/>
  <c r="F148" i="13"/>
  <c r="F147" i="13"/>
  <c r="J6" i="13"/>
  <c r="J87" i="13"/>
  <c r="K87" i="13" s="1"/>
  <c r="Y95" i="13"/>
  <c r="AB95" i="13" s="1"/>
  <c r="AC95" i="13" s="1"/>
  <c r="Y94" i="13"/>
  <c r="AB94" i="13" s="1"/>
  <c r="AC94" i="13" s="1"/>
  <c r="Y93" i="13"/>
  <c r="AB93" i="13" s="1"/>
  <c r="AC93" i="13" s="1"/>
  <c r="Y92" i="13"/>
  <c r="AB92" i="13" s="1"/>
  <c r="AC92" i="13" s="1"/>
  <c r="X6" i="13"/>
  <c r="Q83" i="13"/>
  <c r="Q101" i="13"/>
  <c r="AB101" i="13" s="1"/>
  <c r="AC101" i="13" s="1"/>
  <c r="F149" i="13"/>
  <c r="E147" i="13"/>
  <c r="F153" i="13"/>
  <c r="I6" i="13"/>
  <c r="E153" i="13"/>
  <c r="F154" i="13"/>
  <c r="Q85" i="13"/>
  <c r="Q103" i="13"/>
  <c r="AB103" i="13" s="1"/>
  <c r="AC103" i="13" s="1"/>
  <c r="Y113" i="13"/>
  <c r="AB113" i="13" s="1"/>
  <c r="AC113" i="13" s="1"/>
  <c r="J89" i="13"/>
  <c r="K89" i="13" s="1"/>
  <c r="Y110" i="13"/>
  <c r="AB110" i="13" s="1"/>
  <c r="AC110" i="13" s="1"/>
  <c r="Y111" i="13"/>
  <c r="AB111" i="13" s="1"/>
  <c r="AC111" i="13" s="1"/>
  <c r="Y112" i="13"/>
  <c r="AB112" i="13" s="1"/>
  <c r="AC112" i="13" s="1"/>
  <c r="D154" i="13"/>
  <c r="D148" i="13"/>
  <c r="D152" i="13"/>
  <c r="E154" i="13"/>
  <c r="E152" i="13"/>
  <c r="G151" i="13"/>
  <c r="G148" i="13"/>
  <c r="D153" i="13"/>
  <c r="E148" i="13"/>
  <c r="G155" i="13"/>
  <c r="D147" i="13"/>
  <c r="Q102" i="13"/>
  <c r="AB102" i="13" s="1"/>
  <c r="AC102" i="13" s="1"/>
  <c r="F152" i="13"/>
  <c r="E149" i="13"/>
  <c r="F155" i="13"/>
  <c r="D151" i="13"/>
  <c r="D150" i="13"/>
  <c r="G147" i="13"/>
  <c r="Q104" i="13"/>
  <c r="AB104" i="13" s="1"/>
  <c r="AC104" i="13" s="1"/>
  <c r="Q86" i="13"/>
  <c r="G150" i="13"/>
  <c r="E155" i="13"/>
  <c r="G152" i="13"/>
  <c r="E53" i="11"/>
  <c r="E52" i="11"/>
  <c r="D27" i="11"/>
  <c r="D26" i="11"/>
  <c r="D25" i="11"/>
  <c r="K87" i="12" l="1"/>
  <c r="K86" i="12"/>
  <c r="R119" i="12"/>
  <c r="N119" i="12" s="1"/>
  <c r="K123" i="12"/>
  <c r="N123" i="12" s="1"/>
  <c r="R120" i="12"/>
  <c r="N120" i="12" s="1"/>
  <c r="K125" i="12"/>
  <c r="N125" i="12" s="1"/>
  <c r="R122" i="12"/>
  <c r="N122" i="12" s="1"/>
  <c r="M128" i="12"/>
  <c r="O128" i="12" s="1"/>
  <c r="Q128" i="12" s="1"/>
  <c r="K124" i="12"/>
  <c r="N124" i="12" s="1"/>
  <c r="M129" i="12"/>
  <c r="O129" i="12" s="1"/>
  <c r="Q129" i="12" s="1"/>
  <c r="R121" i="12"/>
  <c r="N121" i="12" s="1"/>
  <c r="M130" i="12"/>
  <c r="O130" i="12" s="1"/>
  <c r="Q130" i="12" s="1"/>
  <c r="M127" i="12"/>
  <c r="O127" i="12" s="1"/>
  <c r="Q127" i="12" s="1"/>
  <c r="K126" i="12"/>
  <c r="N126" i="12" s="1"/>
  <c r="K116" i="12"/>
  <c r="R118" i="12"/>
  <c r="K117" i="12"/>
  <c r="R117" i="12"/>
  <c r="R115" i="12"/>
  <c r="K115" i="12"/>
  <c r="R116" i="12"/>
  <c r="K118" i="12"/>
  <c r="AB93" i="12"/>
  <c r="AC93" i="12" s="1"/>
  <c r="AB100" i="12"/>
  <c r="AC100" i="12" s="1"/>
  <c r="AB102" i="12"/>
  <c r="AC102" i="12" s="1"/>
  <c r="M126" i="12" s="1"/>
  <c r="AB99" i="12"/>
  <c r="AC99" i="12" s="1"/>
  <c r="AB90" i="12"/>
  <c r="AC90" i="12" s="1"/>
  <c r="AC112" i="12"/>
  <c r="K99" i="12" s="1"/>
  <c r="L89" i="12" s="1"/>
  <c r="AB91" i="12"/>
  <c r="AC91" i="12" s="1"/>
  <c r="AB101" i="12"/>
  <c r="AC101" i="12" s="1"/>
  <c r="AB92" i="12"/>
  <c r="AC92" i="12" s="1"/>
  <c r="AK13" i="13"/>
  <c r="AM13" i="13" s="1"/>
  <c r="AK14" i="13"/>
  <c r="AM14" i="13" s="1"/>
  <c r="AK15" i="13"/>
  <c r="AM15" i="13" s="1"/>
  <c r="AK12" i="13"/>
  <c r="R63" i="13"/>
  <c r="S63" i="13" s="1"/>
  <c r="R60" i="13"/>
  <c r="S60" i="13" s="1"/>
  <c r="R62" i="13"/>
  <c r="S62" i="13" s="1"/>
  <c r="R61" i="13"/>
  <c r="S61" i="13" s="1"/>
  <c r="G61" i="13"/>
  <c r="K24" i="13"/>
  <c r="K28" i="13"/>
  <c r="H61" i="13"/>
  <c r="H61" i="12"/>
  <c r="K29" i="12"/>
  <c r="R60" i="12"/>
  <c r="S60" i="12" s="1"/>
  <c r="R59" i="12"/>
  <c r="S59" i="12" s="1"/>
  <c r="R58" i="12"/>
  <c r="S58" i="12" s="1"/>
  <c r="R61" i="12"/>
  <c r="S61" i="12" s="1"/>
  <c r="AK13" i="12"/>
  <c r="AM13" i="12" s="1"/>
  <c r="AK14" i="12"/>
  <c r="AM14" i="12" s="1"/>
  <c r="AK12" i="12"/>
  <c r="AK15" i="12"/>
  <c r="AM15" i="12" s="1"/>
  <c r="K25" i="12"/>
  <c r="G61" i="12"/>
  <c r="AB81" i="12"/>
  <c r="AC81" i="12" s="1"/>
  <c r="AB83" i="13"/>
  <c r="AC83" i="13" s="1"/>
  <c r="D29" i="13"/>
  <c r="D30" i="13"/>
  <c r="AB85" i="13"/>
  <c r="AC85" i="13" s="1"/>
  <c r="D31" i="13"/>
  <c r="AB86" i="13"/>
  <c r="AC86" i="13" s="1"/>
  <c r="D32" i="13"/>
  <c r="F30" i="13"/>
  <c r="G30" i="13"/>
  <c r="AC145" i="13"/>
  <c r="AC127" i="13"/>
  <c r="K6" i="12"/>
  <c r="AB83" i="12"/>
  <c r="AC83" i="12" s="1"/>
  <c r="AB84" i="12"/>
  <c r="AC84" i="12" s="1"/>
  <c r="AB82" i="12"/>
  <c r="AC82" i="12" s="1"/>
  <c r="AC154" i="13"/>
  <c r="AC136" i="13"/>
  <c r="K6" i="13"/>
  <c r="AC114" i="13"/>
  <c r="AC96" i="13"/>
  <c r="AC105" i="13"/>
  <c r="F47" i="13" l="1"/>
  <c r="N118" i="12"/>
  <c r="N115" i="12"/>
  <c r="M120" i="12"/>
  <c r="O120" i="12" s="1"/>
  <c r="Q120" i="12" s="1"/>
  <c r="M125" i="12"/>
  <c r="O125" i="12" s="1"/>
  <c r="Q125" i="12" s="1"/>
  <c r="M119" i="12"/>
  <c r="O119" i="12" s="1"/>
  <c r="Q119" i="12" s="1"/>
  <c r="M123" i="12"/>
  <c r="O123" i="12" s="1"/>
  <c r="Q123" i="12" s="1"/>
  <c r="O126" i="12"/>
  <c r="Q126" i="12" s="1"/>
  <c r="M124" i="12"/>
  <c r="O124" i="12" s="1"/>
  <c r="Q124" i="12" s="1"/>
  <c r="M121" i="12"/>
  <c r="O121" i="12" s="1"/>
  <c r="Q121" i="12" s="1"/>
  <c r="M122" i="12"/>
  <c r="O122" i="12" s="1"/>
  <c r="Q122" i="12" s="1"/>
  <c r="N117" i="12"/>
  <c r="M115" i="12"/>
  <c r="O115" i="12" s="1"/>
  <c r="Q115" i="12" s="1"/>
  <c r="N116" i="12"/>
  <c r="M118" i="12"/>
  <c r="O118" i="12" s="1"/>
  <c r="Q118" i="12" s="1"/>
  <c r="M117" i="12"/>
  <c r="O117" i="12" s="1"/>
  <c r="Q117" i="12" s="1"/>
  <c r="M116" i="12"/>
  <c r="O116" i="12" s="1"/>
  <c r="Q116" i="12" s="1"/>
  <c r="J65" i="12"/>
  <c r="AC103" i="12"/>
  <c r="J64" i="12" s="1"/>
  <c r="AC94" i="12"/>
  <c r="K97" i="12" s="1"/>
  <c r="L87" i="12" s="1"/>
  <c r="AM12" i="12"/>
  <c r="H82" i="12" s="1"/>
  <c r="F48" i="12"/>
  <c r="AM12" i="13"/>
  <c r="J85" i="13"/>
  <c r="H58" i="13"/>
  <c r="J91" i="13" s="1"/>
  <c r="H60" i="13"/>
  <c r="J93" i="13" s="1"/>
  <c r="J94" i="13"/>
  <c r="H59" i="13"/>
  <c r="J92" i="13" s="1"/>
  <c r="H28" i="13"/>
  <c r="J28" i="13" s="1"/>
  <c r="K27" i="13"/>
  <c r="K36" i="13"/>
  <c r="K35" i="13"/>
  <c r="G28" i="13"/>
  <c r="K25" i="13"/>
  <c r="E28" i="13"/>
  <c r="F28" i="13" s="1"/>
  <c r="K26" i="13"/>
  <c r="G24" i="13"/>
  <c r="K34" i="13"/>
  <c r="K21" i="13"/>
  <c r="K33" i="13"/>
  <c r="G33" i="13" s="1"/>
  <c r="K23" i="13"/>
  <c r="H24" i="13"/>
  <c r="J24" i="13" s="1"/>
  <c r="E24" i="13"/>
  <c r="F24" i="13" s="1"/>
  <c r="K22" i="13"/>
  <c r="H82" i="13"/>
  <c r="G60" i="13"/>
  <c r="G58" i="13"/>
  <c r="U63" i="13"/>
  <c r="G59" i="13"/>
  <c r="J61" i="13"/>
  <c r="I94" i="13"/>
  <c r="K94" i="13" s="1"/>
  <c r="I61" i="13"/>
  <c r="I85" i="13"/>
  <c r="H25" i="12"/>
  <c r="J25" i="12" s="1"/>
  <c r="K23" i="12"/>
  <c r="G25" i="12"/>
  <c r="K22" i="12"/>
  <c r="K24" i="12"/>
  <c r="E25" i="12"/>
  <c r="F25" i="12" s="1"/>
  <c r="I85" i="12"/>
  <c r="I94" i="12"/>
  <c r="I61" i="12"/>
  <c r="G60" i="12"/>
  <c r="G59" i="12"/>
  <c r="G58" i="12"/>
  <c r="J61" i="12"/>
  <c r="U61" i="12"/>
  <c r="H29" i="12"/>
  <c r="J29" i="12" s="1"/>
  <c r="E29" i="12"/>
  <c r="F29" i="12" s="1"/>
  <c r="K26" i="12"/>
  <c r="K27" i="12"/>
  <c r="G29" i="12"/>
  <c r="K28" i="12"/>
  <c r="H58" i="12"/>
  <c r="J91" i="12" s="1"/>
  <c r="H59" i="12"/>
  <c r="J92" i="12" s="1"/>
  <c r="J85" i="12"/>
  <c r="H60" i="12"/>
  <c r="J93" i="12" s="1"/>
  <c r="J94" i="12"/>
  <c r="AC87" i="13"/>
  <c r="F29" i="13"/>
  <c r="H29" i="13" s="1"/>
  <c r="J29" i="13" s="1"/>
  <c r="G29" i="13"/>
  <c r="G32" i="13"/>
  <c r="F32" i="13"/>
  <c r="H32" i="13" s="1"/>
  <c r="J32" i="13" s="1"/>
  <c r="F31" i="13"/>
  <c r="H31" i="13" s="1"/>
  <c r="J31" i="13" s="1"/>
  <c r="G31" i="13"/>
  <c r="H30" i="13"/>
  <c r="J30" i="13" s="1"/>
  <c r="J63" i="13"/>
  <c r="K99" i="13"/>
  <c r="J65" i="13"/>
  <c r="J64" i="13"/>
  <c r="AC85" i="12"/>
  <c r="K96" i="12" s="1"/>
  <c r="L86" i="12" s="1"/>
  <c r="K97" i="13"/>
  <c r="K98" i="13"/>
  <c r="K85" i="13" l="1"/>
  <c r="L85" i="13" s="1"/>
  <c r="K85" i="12"/>
  <c r="K98" i="12"/>
  <c r="L88" i="12" s="1"/>
  <c r="J63" i="12"/>
  <c r="M21" i="13"/>
  <c r="M22" i="13" s="1"/>
  <c r="O22" i="13" s="1"/>
  <c r="K94" i="12"/>
  <c r="E25" i="13"/>
  <c r="F25" i="13" s="1"/>
  <c r="G25" i="13"/>
  <c r="H25" i="13"/>
  <c r="J25" i="13" s="1"/>
  <c r="K96" i="13"/>
  <c r="E23" i="13"/>
  <c r="F23" i="13" s="1"/>
  <c r="G23" i="13"/>
  <c r="H23" i="13"/>
  <c r="J23" i="13" s="1"/>
  <c r="I60" i="13"/>
  <c r="J60" i="13"/>
  <c r="I93" i="13"/>
  <c r="K93" i="13" s="1"/>
  <c r="U62" i="13"/>
  <c r="E35" i="13"/>
  <c r="F35" i="13" s="1"/>
  <c r="G35" i="13"/>
  <c r="H35" i="13"/>
  <c r="J35" i="13" s="1"/>
  <c r="H33" i="13"/>
  <c r="J33" i="13" s="1"/>
  <c r="E21" i="13"/>
  <c r="F21" i="13" s="1"/>
  <c r="E33" i="13"/>
  <c r="F33" i="13" s="1"/>
  <c r="H21" i="13"/>
  <c r="J21" i="13" s="1"/>
  <c r="G21" i="13"/>
  <c r="H36" i="13"/>
  <c r="J36" i="13" s="1"/>
  <c r="E36" i="13"/>
  <c r="F36" i="13" s="1"/>
  <c r="G36" i="13"/>
  <c r="U61" i="13"/>
  <c r="I59" i="13"/>
  <c r="I92" i="13"/>
  <c r="K92" i="13" s="1"/>
  <c r="J59" i="13"/>
  <c r="G34" i="13"/>
  <c r="E34" i="13"/>
  <c r="F34" i="13" s="1"/>
  <c r="E22" i="13"/>
  <c r="F22" i="13" s="1"/>
  <c r="H22" i="13"/>
  <c r="J22" i="13" s="1"/>
  <c r="H34" i="13"/>
  <c r="J34" i="13" s="1"/>
  <c r="G22" i="13"/>
  <c r="J62" i="13"/>
  <c r="G27" i="13"/>
  <c r="H27" i="13"/>
  <c r="J27" i="13" s="1"/>
  <c r="E27" i="13"/>
  <c r="F27" i="13" s="1"/>
  <c r="I58" i="13"/>
  <c r="U60" i="13"/>
  <c r="I91" i="13"/>
  <c r="K91" i="13" s="1"/>
  <c r="J58" i="13"/>
  <c r="E26" i="13"/>
  <c r="F26" i="13" s="1"/>
  <c r="G26" i="13"/>
  <c r="H26" i="13"/>
  <c r="J26" i="13" s="1"/>
  <c r="U58" i="12"/>
  <c r="J58" i="12"/>
  <c r="I91" i="12"/>
  <c r="K91" i="12" s="1"/>
  <c r="I58" i="12"/>
  <c r="J60" i="12"/>
  <c r="U60" i="12"/>
  <c r="I93" i="12"/>
  <c r="K93" i="12" s="1"/>
  <c r="I60" i="12"/>
  <c r="E24" i="12"/>
  <c r="F24" i="12" s="1"/>
  <c r="H24" i="12"/>
  <c r="J24" i="12" s="1"/>
  <c r="G24" i="12"/>
  <c r="U59" i="12"/>
  <c r="I59" i="12"/>
  <c r="I92" i="12"/>
  <c r="K92" i="12" s="1"/>
  <c r="J59" i="12"/>
  <c r="G22" i="12"/>
  <c r="H22" i="12"/>
  <c r="J22" i="12" s="1"/>
  <c r="E22" i="12"/>
  <c r="F22" i="12" s="1"/>
  <c r="E28" i="12"/>
  <c r="F28" i="12" s="1"/>
  <c r="H28" i="12"/>
  <c r="J28" i="12" s="1"/>
  <c r="G28" i="12"/>
  <c r="E23" i="12"/>
  <c r="F23" i="12" s="1"/>
  <c r="G23" i="12"/>
  <c r="H23" i="12"/>
  <c r="J23" i="12" s="1"/>
  <c r="G27" i="12"/>
  <c r="H27" i="12"/>
  <c r="J27" i="12" s="1"/>
  <c r="E27" i="12"/>
  <c r="F27" i="12" s="1"/>
  <c r="H26" i="12"/>
  <c r="J26" i="12" s="1"/>
  <c r="G26" i="12"/>
  <c r="E26" i="12"/>
  <c r="F26" i="12" s="1"/>
  <c r="J62" i="12"/>
  <c r="O21" i="13" l="1"/>
  <c r="C112" i="13"/>
  <c r="G46" i="12"/>
  <c r="C109" i="13"/>
  <c r="C110" i="13"/>
  <c r="C111" i="13"/>
  <c r="G45" i="13"/>
  <c r="J57" i="13"/>
  <c r="E68" i="13" s="1"/>
  <c r="E70" i="13" s="1"/>
  <c r="J70" i="13" s="1"/>
  <c r="K95" i="13"/>
  <c r="U64" i="13"/>
  <c r="K95" i="12"/>
  <c r="K101" i="12" s="1"/>
  <c r="U62" i="12"/>
  <c r="C111" i="12"/>
  <c r="C109" i="12"/>
  <c r="C110" i="12"/>
  <c r="E68" i="12"/>
  <c r="C112" i="12"/>
  <c r="J68" i="12" l="1"/>
  <c r="M22" i="12"/>
  <c r="E69" i="13"/>
  <c r="J69" i="13" s="1"/>
  <c r="J68" i="13"/>
  <c r="K101" i="13"/>
  <c r="L86" i="13"/>
  <c r="L87" i="13" s="1"/>
  <c r="D19" i="13" s="1"/>
  <c r="K103" i="12"/>
  <c r="H81" i="12"/>
  <c r="L85" i="12"/>
  <c r="E70" i="12"/>
  <c r="J70" i="12" s="1"/>
  <c r="E69" i="12"/>
  <c r="J69" i="12" s="1"/>
  <c r="O22" i="12" l="1"/>
  <c r="M23" i="12"/>
  <c r="O23" i="12" s="1"/>
  <c r="L90" i="12"/>
  <c r="D20" i="12" s="1"/>
  <c r="F19" i="13"/>
  <c r="D20" i="13"/>
  <c r="H81" i="13"/>
  <c r="K103" i="13"/>
  <c r="K105" i="12"/>
  <c r="K102" i="12" s="1"/>
  <c r="K104" i="12"/>
  <c r="F20" i="12" l="1"/>
  <c r="D21" i="12"/>
  <c r="K105" i="13"/>
  <c r="K102" i="13" s="1"/>
  <c r="K104" i="13"/>
  <c r="H19" i="13"/>
  <c r="H21" i="12"/>
  <c r="E71" i="12"/>
  <c r="J71" i="12" s="1"/>
  <c r="E55" i="4"/>
  <c r="F45" i="4"/>
  <c r="F46" i="4"/>
  <c r="F47" i="4"/>
  <c r="F44" i="4"/>
  <c r="D47" i="4"/>
  <c r="D56" i="7"/>
  <c r="D41" i="4"/>
  <c r="D57" i="4" s="1"/>
  <c r="E63" i="10"/>
  <c r="E62" i="10"/>
  <c r="E61" i="10"/>
  <c r="D49" i="10"/>
  <c r="C37" i="10"/>
  <c r="F37" i="10" s="1"/>
  <c r="C36" i="10"/>
  <c r="C32" i="10"/>
  <c r="D23" i="10"/>
  <c r="D19" i="10"/>
  <c r="H23" i="9"/>
  <c r="H22" i="9"/>
  <c r="H21" i="9"/>
  <c r="H20" i="9"/>
  <c r="H19" i="9"/>
  <c r="H18" i="9"/>
  <c r="E141" i="9"/>
  <c r="E140" i="9"/>
  <c r="E137" i="9"/>
  <c r="E143" i="9" s="1"/>
  <c r="D137" i="9"/>
  <c r="H137" i="9" s="1"/>
  <c r="E136" i="9"/>
  <c r="E142" i="9" s="1"/>
  <c r="D136" i="9"/>
  <c r="H136" i="9" s="1"/>
  <c r="E135" i="9"/>
  <c r="E134" i="9"/>
  <c r="H134" i="9" s="1"/>
  <c r="D134" i="9"/>
  <c r="D135" i="9" s="1"/>
  <c r="H135" i="9" s="1"/>
  <c r="G110" i="9"/>
  <c r="F110" i="9"/>
  <c r="E110" i="9"/>
  <c r="D110" i="9"/>
  <c r="B110" i="9"/>
  <c r="G109" i="9"/>
  <c r="F109" i="9"/>
  <c r="E109" i="9"/>
  <c r="D109" i="9"/>
  <c r="B109" i="9"/>
  <c r="G108" i="9"/>
  <c r="F108" i="9"/>
  <c r="E108" i="9"/>
  <c r="D108" i="9"/>
  <c r="B108" i="9"/>
  <c r="G107" i="9"/>
  <c r="F107" i="9"/>
  <c r="E107" i="9"/>
  <c r="D107" i="9"/>
  <c r="B107" i="9"/>
  <c r="G106" i="9"/>
  <c r="F106" i="9"/>
  <c r="E106" i="9"/>
  <c r="D106" i="9"/>
  <c r="B106" i="9"/>
  <c r="G105" i="9"/>
  <c r="F105" i="9"/>
  <c r="E105" i="9"/>
  <c r="D105" i="9"/>
  <c r="B105" i="9"/>
  <c r="G104" i="9"/>
  <c r="F104" i="9"/>
  <c r="E104" i="9"/>
  <c r="D104" i="9"/>
  <c r="B104" i="9"/>
  <c r="G103" i="9"/>
  <c r="F103" i="9"/>
  <c r="E103" i="9"/>
  <c r="D103" i="9"/>
  <c r="B103" i="9"/>
  <c r="G102" i="9"/>
  <c r="F102" i="9"/>
  <c r="E102" i="9"/>
  <c r="D102" i="9"/>
  <c r="B102" i="9"/>
  <c r="G100" i="9"/>
  <c r="F100" i="9"/>
  <c r="E100" i="9"/>
  <c r="D100" i="9"/>
  <c r="B100" i="9"/>
  <c r="G99" i="9"/>
  <c r="F99" i="9"/>
  <c r="E99" i="9"/>
  <c r="D99" i="9"/>
  <c r="B99" i="9"/>
  <c r="G96" i="9"/>
  <c r="F96" i="9"/>
  <c r="E96" i="9"/>
  <c r="D96" i="9"/>
  <c r="B96" i="9"/>
  <c r="G95" i="9"/>
  <c r="F95" i="9"/>
  <c r="E95" i="9"/>
  <c r="D95" i="9"/>
  <c r="B95" i="9"/>
  <c r="G94" i="9"/>
  <c r="F94" i="9"/>
  <c r="E94" i="9"/>
  <c r="D94" i="9"/>
  <c r="B94" i="9"/>
  <c r="G93" i="9"/>
  <c r="F93" i="9"/>
  <c r="E93" i="9"/>
  <c r="D93" i="9"/>
  <c r="B93" i="9"/>
  <c r="G92" i="9"/>
  <c r="F92" i="9"/>
  <c r="E92" i="9"/>
  <c r="D92" i="9"/>
  <c r="B92" i="9"/>
  <c r="G91" i="9"/>
  <c r="F91" i="9"/>
  <c r="E91" i="9"/>
  <c r="D91" i="9"/>
  <c r="B91" i="9"/>
  <c r="G90" i="9"/>
  <c r="F90" i="9"/>
  <c r="E90" i="9"/>
  <c r="D90" i="9"/>
  <c r="B90" i="9"/>
  <c r="G89" i="9"/>
  <c r="F89" i="9"/>
  <c r="E89" i="9"/>
  <c r="D89" i="9"/>
  <c r="B89" i="9"/>
  <c r="G88" i="9"/>
  <c r="F88" i="9"/>
  <c r="E88" i="9"/>
  <c r="D88" i="9"/>
  <c r="B88" i="9"/>
  <c r="G86" i="9"/>
  <c r="F86" i="9"/>
  <c r="E86" i="9"/>
  <c r="D86" i="9"/>
  <c r="B86" i="9"/>
  <c r="G85" i="9"/>
  <c r="F85" i="9"/>
  <c r="E85" i="9"/>
  <c r="D85" i="9"/>
  <c r="B85" i="9"/>
  <c r="C70" i="9"/>
  <c r="F70" i="9" s="1"/>
  <c r="C69" i="9"/>
  <c r="D65" i="9"/>
  <c r="E63" i="9"/>
  <c r="D55" i="9"/>
  <c r="C37" i="9"/>
  <c r="F37" i="9" s="1"/>
  <c r="C36" i="9"/>
  <c r="C32" i="9"/>
  <c r="D23" i="9"/>
  <c r="D19" i="9"/>
  <c r="M13" i="9"/>
  <c r="J13" i="9"/>
  <c r="H10" i="9"/>
  <c r="M9" i="9"/>
  <c r="N7" i="9"/>
  <c r="K23" i="9" s="1"/>
  <c r="G7" i="9"/>
  <c r="F7" i="9"/>
  <c r="U6" i="9"/>
  <c r="R6" i="9"/>
  <c r="Q6" i="9"/>
  <c r="N6" i="9"/>
  <c r="F54" i="9" s="1"/>
  <c r="M6" i="9"/>
  <c r="G6" i="9"/>
  <c r="F6" i="9"/>
  <c r="H6" i="9" s="1"/>
  <c r="D6" i="9"/>
  <c r="C6" i="9"/>
  <c r="E6" i="9" s="1"/>
  <c r="N5" i="9"/>
  <c r="K21" i="9" s="1"/>
  <c r="E21" i="9" s="1"/>
  <c r="M5" i="9"/>
  <c r="R4" i="9"/>
  <c r="N4" i="9"/>
  <c r="K20" i="9" s="1"/>
  <c r="M4" i="9"/>
  <c r="U4" i="9"/>
  <c r="F2" i="9"/>
  <c r="C13" i="9" s="1"/>
  <c r="F55" i="9" l="1"/>
  <c r="H55" i="9"/>
  <c r="D72" i="9"/>
  <c r="E39" i="10"/>
  <c r="H20" i="13"/>
  <c r="J20" i="13" s="1"/>
  <c r="E71" i="13"/>
  <c r="J71" i="13" s="1"/>
  <c r="C113" i="12"/>
  <c r="C114" i="12" s="1"/>
  <c r="K56" i="12"/>
  <c r="I79" i="12" s="1"/>
  <c r="J21" i="12"/>
  <c r="H46" i="12"/>
  <c r="H7" i="9"/>
  <c r="E39" i="9"/>
  <c r="L13" i="9"/>
  <c r="K13" i="9"/>
  <c r="K22" i="9"/>
  <c r="E22" i="9" s="1"/>
  <c r="F69" i="9"/>
  <c r="H47" i="4"/>
  <c r="D13" i="9"/>
  <c r="G117" i="9" s="1"/>
  <c r="F36" i="10"/>
  <c r="J23" i="9"/>
  <c r="E23" i="9"/>
  <c r="F23" i="9" s="1"/>
  <c r="G23" i="9"/>
  <c r="J20" i="9"/>
  <c r="J21" i="9"/>
  <c r="F52" i="9"/>
  <c r="F53" i="9"/>
  <c r="F36" i="9"/>
  <c r="E64" i="5"/>
  <c r="C33" i="7"/>
  <c r="E64" i="7"/>
  <c r="C38" i="7"/>
  <c r="F38" i="7" s="1"/>
  <c r="C37" i="7"/>
  <c r="D23" i="7"/>
  <c r="D19" i="7"/>
  <c r="C34" i="6"/>
  <c r="C40" i="6"/>
  <c r="F40" i="6" s="1"/>
  <c r="C39" i="6"/>
  <c r="D20" i="6"/>
  <c r="M10" i="5"/>
  <c r="C37" i="5"/>
  <c r="C38" i="5"/>
  <c r="C33" i="5"/>
  <c r="D19" i="5"/>
  <c r="U11" i="14"/>
  <c r="T11" i="14"/>
  <c r="U11" i="11"/>
  <c r="U12" i="11" s="1"/>
  <c r="T11" i="11"/>
  <c r="U11" i="8"/>
  <c r="T11" i="8"/>
  <c r="D22" i="9" l="1"/>
  <c r="F22" i="9" s="1"/>
  <c r="D21" i="9"/>
  <c r="F21" i="9" s="1"/>
  <c r="D53" i="9"/>
  <c r="H53" i="9" s="1"/>
  <c r="D52" i="9"/>
  <c r="H52" i="9" s="1"/>
  <c r="D54" i="9"/>
  <c r="H54" i="9" s="1"/>
  <c r="E40" i="5"/>
  <c r="D20" i="9"/>
  <c r="K55" i="13"/>
  <c r="I79" i="13" s="1"/>
  <c r="C113" i="13"/>
  <c r="C114" i="13" s="1"/>
  <c r="J45" i="13"/>
  <c r="F20" i="13"/>
  <c r="H45" i="13"/>
  <c r="F21" i="12"/>
  <c r="J46" i="12"/>
  <c r="D119" i="9"/>
  <c r="G119" i="9"/>
  <c r="D120" i="9"/>
  <c r="E123" i="9"/>
  <c r="G116" i="9"/>
  <c r="E117" i="9"/>
  <c r="E40" i="7"/>
  <c r="J6" i="9"/>
  <c r="F49" i="9" s="1"/>
  <c r="I7" i="9"/>
  <c r="E65" i="9" s="1"/>
  <c r="F118" i="9"/>
  <c r="D124" i="9"/>
  <c r="D118" i="9"/>
  <c r="E122" i="9"/>
  <c r="F120" i="9"/>
  <c r="D116" i="9"/>
  <c r="G124" i="9"/>
  <c r="G122" i="9"/>
  <c r="F122" i="9"/>
  <c r="F119" i="9"/>
  <c r="G120" i="9"/>
  <c r="F123" i="9"/>
  <c r="D123" i="9"/>
  <c r="F121" i="9"/>
  <c r="F124" i="9"/>
  <c r="F117" i="9"/>
  <c r="E120" i="9"/>
  <c r="E124" i="9"/>
  <c r="J7" i="9"/>
  <c r="E116" i="9"/>
  <c r="G123" i="9"/>
  <c r="G118" i="9"/>
  <c r="E119" i="9"/>
  <c r="I6" i="9"/>
  <c r="E49" i="9" s="1"/>
  <c r="X6" i="9"/>
  <c r="E121" i="9"/>
  <c r="D122" i="9"/>
  <c r="D117" i="9"/>
  <c r="G121" i="9"/>
  <c r="E118" i="9"/>
  <c r="F116" i="9"/>
  <c r="D121" i="9"/>
  <c r="J19" i="9"/>
  <c r="J22" i="9"/>
  <c r="F37" i="7"/>
  <c r="F39" i="6"/>
  <c r="F37" i="5"/>
  <c r="F38" i="5"/>
  <c r="C33" i="4"/>
  <c r="G22" i="9" l="1"/>
  <c r="G21" i="9"/>
  <c r="K19" i="9"/>
  <c r="G19" i="9" s="1"/>
  <c r="E19" i="9" s="1"/>
  <c r="F19" i="9" s="1"/>
  <c r="D32" i="9"/>
  <c r="K18" i="9"/>
  <c r="G20" i="9"/>
  <c r="E20" i="9" s="1"/>
  <c r="F20" i="9" s="1"/>
  <c r="E20" i="13"/>
  <c r="F45" i="13"/>
  <c r="E21" i="12"/>
  <c r="F46" i="12"/>
  <c r="K6" i="9"/>
  <c r="K7" i="9"/>
  <c r="E32" i="9"/>
  <c r="F65" i="9"/>
  <c r="H65" i="9" s="1"/>
  <c r="R18" i="9"/>
  <c r="S18" i="9" s="1"/>
  <c r="R49" i="9"/>
  <c r="S49" i="9" s="1"/>
  <c r="H49" i="9"/>
  <c r="G49" i="9"/>
  <c r="D23" i="4"/>
  <c r="K23" i="4"/>
  <c r="E23" i="4" s="1"/>
  <c r="K22" i="4"/>
  <c r="E22" i="4" s="1"/>
  <c r="K21" i="4"/>
  <c r="E21" i="4" s="1"/>
  <c r="K20" i="4"/>
  <c r="D19" i="4"/>
  <c r="F32" i="9" l="1"/>
  <c r="H38" i="9"/>
  <c r="D38" i="9" s="1"/>
  <c r="G38" i="9" s="1"/>
  <c r="D36" i="9"/>
  <c r="G36" i="9" s="1"/>
  <c r="G18" i="9"/>
  <c r="G30" i="9" s="1"/>
  <c r="H30" i="9"/>
  <c r="J18" i="9"/>
  <c r="J30" i="9" s="1"/>
  <c r="D61" i="9"/>
  <c r="M18" i="9" s="1"/>
  <c r="O18" i="9" s="1"/>
  <c r="H71" i="9"/>
  <c r="C81" i="9"/>
  <c r="C78" i="9"/>
  <c r="D69" i="9"/>
  <c r="C79" i="9"/>
  <c r="C80" i="9"/>
  <c r="F23" i="4"/>
  <c r="H23" i="4"/>
  <c r="J23" i="4" s="1"/>
  <c r="G23" i="4"/>
  <c r="D77" i="6"/>
  <c r="D37" i="9" l="1"/>
  <c r="G37" i="9" s="1"/>
  <c r="M19" i="9"/>
  <c r="O19" i="9" s="1"/>
  <c r="E18" i="9"/>
  <c r="F18" i="9" s="1"/>
  <c r="F30" i="9" s="1"/>
  <c r="D71" i="9"/>
  <c r="G71" i="9" s="1"/>
  <c r="H73" i="9"/>
  <c r="G69" i="9"/>
  <c r="D70" i="9"/>
  <c r="G70" i="9" s="1"/>
  <c r="D62" i="9"/>
  <c r="H62" i="9" s="1"/>
  <c r="H61" i="9"/>
  <c r="D35" i="8"/>
  <c r="D63" i="9" l="1"/>
  <c r="H63" i="9" s="1"/>
  <c r="H47" i="9" s="1"/>
  <c r="U13" i="11"/>
  <c r="U14" i="11"/>
  <c r="U15" i="11"/>
  <c r="C82" i="9" l="1"/>
  <c r="C83" i="9" s="1"/>
  <c r="D128" i="9"/>
  <c r="D131" i="9" s="1"/>
  <c r="U15" i="14"/>
  <c r="W15" i="14" s="1"/>
  <c r="U14" i="14"/>
  <c r="W14" i="14" s="1"/>
  <c r="U13" i="14"/>
  <c r="W13" i="14" s="1"/>
  <c r="U12" i="14"/>
  <c r="W12" i="14" s="1"/>
  <c r="D140" i="9" l="1"/>
  <c r="H140" i="9" s="1"/>
  <c r="H128" i="9"/>
  <c r="D129" i="9"/>
  <c r="H129" i="9" s="1"/>
  <c r="D130" i="9"/>
  <c r="D142" i="9" s="1"/>
  <c r="H142" i="9" s="1"/>
  <c r="D143" i="9"/>
  <c r="H143" i="9" s="1"/>
  <c r="H131" i="9"/>
  <c r="H47" i="14"/>
  <c r="H130" i="9" l="1"/>
  <c r="D141" i="9"/>
  <c r="H141" i="9" s="1"/>
  <c r="D65" i="10"/>
  <c r="G7" i="10"/>
  <c r="F7" i="10"/>
  <c r="F7" i="8"/>
  <c r="G7" i="8"/>
  <c r="D66" i="7"/>
  <c r="F7" i="7"/>
  <c r="G7" i="7"/>
  <c r="G8" i="6"/>
  <c r="F8" i="6"/>
  <c r="D66" i="5"/>
  <c r="N7" i="14"/>
  <c r="N6" i="14"/>
  <c r="N5" i="14"/>
  <c r="N4" i="14"/>
  <c r="N7" i="11"/>
  <c r="K31" i="11" s="1"/>
  <c r="N6" i="11"/>
  <c r="K30" i="11" s="1"/>
  <c r="N5" i="11"/>
  <c r="K29" i="11" s="1"/>
  <c r="N4" i="11"/>
  <c r="K28" i="11" s="1"/>
  <c r="N7" i="10"/>
  <c r="K23" i="10" s="1"/>
  <c r="N6" i="10"/>
  <c r="K22" i="10" s="1"/>
  <c r="E22" i="10" s="1"/>
  <c r="N5" i="10"/>
  <c r="K21" i="10" s="1"/>
  <c r="E21" i="10" s="1"/>
  <c r="N4" i="10"/>
  <c r="K20" i="10" s="1"/>
  <c r="N8" i="8"/>
  <c r="N6" i="8"/>
  <c r="N5" i="8"/>
  <c r="N4" i="8"/>
  <c r="N7" i="7"/>
  <c r="K23" i="7" s="1"/>
  <c r="H23" i="7" s="1"/>
  <c r="N6" i="7"/>
  <c r="K22" i="7" s="1"/>
  <c r="N5" i="7"/>
  <c r="K21" i="7" s="1"/>
  <c r="N4" i="7"/>
  <c r="K20" i="7" s="1"/>
  <c r="N7" i="6"/>
  <c r="N6" i="6"/>
  <c r="N5" i="6"/>
  <c r="N4" i="6"/>
  <c r="N7" i="5"/>
  <c r="K23" i="5" s="1"/>
  <c r="E23" i="5" s="1"/>
  <c r="N6" i="5"/>
  <c r="K22" i="5" s="1"/>
  <c r="N5" i="5"/>
  <c r="K21" i="5" s="1"/>
  <c r="E21" i="5" s="1"/>
  <c r="N4" i="5"/>
  <c r="K20" i="5" s="1"/>
  <c r="E23" i="10" l="1"/>
  <c r="F23" i="10" s="1"/>
  <c r="H23" i="10"/>
  <c r="J23" i="10" s="1"/>
  <c r="G23" i="10"/>
  <c r="G23" i="7"/>
  <c r="J23" i="7"/>
  <c r="E22" i="5"/>
  <c r="H7" i="7"/>
  <c r="H7" i="10"/>
  <c r="H7" i="8"/>
  <c r="H8" i="6"/>
  <c r="D13" i="14"/>
  <c r="C13" i="14"/>
  <c r="F2" i="10"/>
  <c r="E23" i="7" l="1"/>
  <c r="F23" i="7" s="1"/>
  <c r="C13" i="10"/>
  <c r="D13" i="10"/>
  <c r="J7" i="10" l="1"/>
  <c r="F65" i="10" s="1"/>
  <c r="I7" i="10"/>
  <c r="D32" i="10" s="1"/>
  <c r="E32" i="10" l="1"/>
  <c r="F32" i="10" s="1"/>
  <c r="K7" i="10"/>
  <c r="E65" i="10"/>
  <c r="H65" i="10" s="1"/>
  <c r="F4" i="12" l="1"/>
  <c r="U4" i="12" s="1"/>
  <c r="F4" i="13"/>
  <c r="U4" i="13" s="1"/>
  <c r="F4" i="8"/>
  <c r="U6" i="11"/>
  <c r="U6" i="14" s="1"/>
  <c r="R6" i="11"/>
  <c r="R6" i="14" s="1"/>
  <c r="U6" i="10"/>
  <c r="R6" i="10"/>
  <c r="U6" i="7"/>
  <c r="U6" i="8" s="1"/>
  <c r="R6" i="7"/>
  <c r="R6" i="8" s="1"/>
  <c r="U6" i="5"/>
  <c r="U6" i="6" s="1"/>
  <c r="R6" i="5"/>
  <c r="R6" i="6" s="1"/>
  <c r="U6" i="4"/>
  <c r="R6" i="4"/>
  <c r="Q6" i="14" l="1"/>
  <c r="Q6" i="11"/>
  <c r="Q83" i="11"/>
  <c r="Q84" i="11"/>
  <c r="Q85" i="11"/>
  <c r="Q86" i="11"/>
  <c r="Q101" i="11"/>
  <c r="Q102" i="11"/>
  <c r="Q103" i="11"/>
  <c r="Q104" i="11"/>
  <c r="Q6" i="10" l="1"/>
  <c r="U4" i="10"/>
  <c r="R4" i="10"/>
  <c r="Q6" i="8"/>
  <c r="U4" i="8"/>
  <c r="R4" i="8"/>
  <c r="Q6" i="7"/>
  <c r="U4" i="7"/>
  <c r="R4" i="7"/>
  <c r="Q6" i="6"/>
  <c r="U4" i="6"/>
  <c r="R4" i="6"/>
  <c r="Q6" i="5"/>
  <c r="Q6" i="4"/>
  <c r="U4" i="4"/>
  <c r="R4" i="4"/>
  <c r="F6" i="4" l="1"/>
  <c r="D135" i="7" l="1"/>
  <c r="D137" i="7" s="1"/>
  <c r="E138" i="7"/>
  <c r="E144" i="7" s="1"/>
  <c r="E137" i="7"/>
  <c r="E143" i="7" s="1"/>
  <c r="E136" i="7"/>
  <c r="E142" i="7" s="1"/>
  <c r="E135" i="7"/>
  <c r="E141" i="7" s="1"/>
  <c r="H137" i="7" l="1"/>
  <c r="D138" i="7"/>
  <c r="H138" i="7" s="1"/>
  <c r="H135" i="7"/>
  <c r="D136" i="7"/>
  <c r="H136" i="7" s="1"/>
  <c r="D55" i="10" l="1"/>
  <c r="Q114" i="14" l="1"/>
  <c r="Q113" i="14"/>
  <c r="H54" i="14"/>
  <c r="Q74" i="14"/>
  <c r="Q75" i="14"/>
  <c r="Q76" i="14"/>
  <c r="Y70" i="14"/>
  <c r="Y74" i="14" s="1"/>
  <c r="Q73" i="14"/>
  <c r="H82" i="11"/>
  <c r="Y98" i="11"/>
  <c r="Y101" i="11" s="1"/>
  <c r="F55" i="10"/>
  <c r="H55" i="10" s="1"/>
  <c r="F25" i="8"/>
  <c r="F56" i="7"/>
  <c r="H56" i="7" s="1"/>
  <c r="Y110" i="14" l="1"/>
  <c r="J54" i="14"/>
  <c r="K54" i="14" s="1"/>
  <c r="AB74" i="14"/>
  <c r="AC74" i="14" s="1"/>
  <c r="Y73" i="14"/>
  <c r="AB73" i="14" s="1"/>
  <c r="AC73" i="14" s="1"/>
  <c r="Y76" i="14"/>
  <c r="AB76" i="14" s="1"/>
  <c r="AC76" i="14" s="1"/>
  <c r="Y75" i="14"/>
  <c r="AB75" i="14" s="1"/>
  <c r="AC75" i="14" s="1"/>
  <c r="Y102" i="11"/>
  <c r="AB102" i="11" s="1"/>
  <c r="AC102" i="11" s="1"/>
  <c r="Y104" i="11"/>
  <c r="AB104" i="11" s="1"/>
  <c r="AC104" i="11" s="1"/>
  <c r="Y103" i="11"/>
  <c r="AB103" i="11" s="1"/>
  <c r="AC103" i="11" s="1"/>
  <c r="J82" i="11"/>
  <c r="K82" i="11" s="1"/>
  <c r="AB101" i="11"/>
  <c r="AC101" i="11" s="1"/>
  <c r="M6" i="14"/>
  <c r="M5" i="14"/>
  <c r="M4" i="14"/>
  <c r="M6" i="11"/>
  <c r="M5" i="11"/>
  <c r="M4" i="11"/>
  <c r="M7" i="6"/>
  <c r="F58" i="6"/>
  <c r="F63" i="6" s="1"/>
  <c r="M7" i="5"/>
  <c r="D23" i="5" s="1"/>
  <c r="H23" i="5" s="1"/>
  <c r="F56" i="5"/>
  <c r="D56" i="5" l="1"/>
  <c r="H56" i="5" s="1"/>
  <c r="J23" i="5"/>
  <c r="AC77" i="14"/>
  <c r="AC105" i="11"/>
  <c r="F31" i="11" l="1"/>
  <c r="H31" i="11" s="1"/>
  <c r="J31" i="11" s="1"/>
  <c r="G31" i="11"/>
  <c r="G23" i="5"/>
  <c r="F23" i="5"/>
  <c r="J58" i="11"/>
  <c r="K92" i="11"/>
  <c r="K64" i="14"/>
  <c r="C84" i="6"/>
  <c r="F84" i="6" s="1"/>
  <c r="C83" i="6"/>
  <c r="E86" i="6" l="1"/>
  <c r="F83" i="6"/>
  <c r="G6" i="10" l="1"/>
  <c r="F6" i="10"/>
  <c r="D6" i="10"/>
  <c r="C6" i="10"/>
  <c r="D123" i="14" l="1"/>
  <c r="D124" i="14"/>
  <c r="F4" i="11"/>
  <c r="U4" i="11" s="1"/>
  <c r="C4" i="11"/>
  <c r="R4" i="11" s="1"/>
  <c r="M6" i="10"/>
  <c r="M5" i="10"/>
  <c r="M4" i="10"/>
  <c r="F4" i="14" l="1"/>
  <c r="U4" i="14" s="1"/>
  <c r="C4" i="14"/>
  <c r="R4" i="14" s="1"/>
  <c r="F53" i="10"/>
  <c r="Y80" i="11"/>
  <c r="Y43" i="14"/>
  <c r="Y83" i="14" s="1"/>
  <c r="F52" i="10"/>
  <c r="F54" i="10"/>
  <c r="H6" i="10"/>
  <c r="E6" i="10"/>
  <c r="M6" i="8"/>
  <c r="D24" i="8" s="1"/>
  <c r="M5" i="8"/>
  <c r="D23" i="8" s="1"/>
  <c r="M4" i="8"/>
  <c r="D22" i="8" s="1"/>
  <c r="M6" i="7"/>
  <c r="M5" i="7"/>
  <c r="M4" i="7"/>
  <c r="G6" i="7"/>
  <c r="G6" i="8" s="1"/>
  <c r="F6" i="7"/>
  <c r="F6" i="8" s="1"/>
  <c r="D6" i="7"/>
  <c r="D6" i="8" s="1"/>
  <c r="C6" i="7"/>
  <c r="C6" i="8" s="1"/>
  <c r="F4" i="5"/>
  <c r="U4" i="5" s="1"/>
  <c r="C4" i="5"/>
  <c r="R4" i="5" s="1"/>
  <c r="M6" i="6"/>
  <c r="F56" i="6"/>
  <c r="M5" i="6"/>
  <c r="F55" i="6"/>
  <c r="M4" i="6"/>
  <c r="F55" i="5"/>
  <c r="M6" i="5"/>
  <c r="M5" i="5"/>
  <c r="F53" i="5"/>
  <c r="M4" i="5"/>
  <c r="G7" i="6"/>
  <c r="F7" i="6"/>
  <c r="D7" i="6"/>
  <c r="C7" i="6"/>
  <c r="G6" i="6"/>
  <c r="F6" i="6"/>
  <c r="D6" i="6"/>
  <c r="C6" i="6"/>
  <c r="G7" i="5"/>
  <c r="F7" i="5"/>
  <c r="D7" i="5"/>
  <c r="C7" i="5"/>
  <c r="M14" i="5"/>
  <c r="J14" i="5"/>
  <c r="H11" i="5"/>
  <c r="G6" i="5"/>
  <c r="F6" i="5"/>
  <c r="D6" i="5"/>
  <c r="C6" i="5"/>
  <c r="G6" i="4"/>
  <c r="G106" i="14"/>
  <c r="F106" i="14"/>
  <c r="E106" i="14"/>
  <c r="D106" i="14"/>
  <c r="B106" i="14"/>
  <c r="G105" i="14"/>
  <c r="F105" i="14"/>
  <c r="E105" i="14"/>
  <c r="D105" i="14"/>
  <c r="B105" i="14"/>
  <c r="G104" i="14"/>
  <c r="F104" i="14"/>
  <c r="E104" i="14"/>
  <c r="D104" i="14"/>
  <c r="B104" i="14"/>
  <c r="G103" i="14"/>
  <c r="F103" i="14"/>
  <c r="E103" i="14"/>
  <c r="D103" i="14"/>
  <c r="B103" i="14"/>
  <c r="G102" i="14"/>
  <c r="F102" i="14"/>
  <c r="E102" i="14"/>
  <c r="D102" i="14"/>
  <c r="B102" i="14"/>
  <c r="G101" i="14"/>
  <c r="F101" i="14"/>
  <c r="E101" i="14"/>
  <c r="D101" i="14"/>
  <c r="B101" i="14"/>
  <c r="G100" i="14"/>
  <c r="F100" i="14"/>
  <c r="E100" i="14"/>
  <c r="D100" i="14"/>
  <c r="B100" i="14"/>
  <c r="G99" i="14"/>
  <c r="F99" i="14"/>
  <c r="E99" i="14"/>
  <c r="D99" i="14"/>
  <c r="B99" i="14"/>
  <c r="G98" i="14"/>
  <c r="F98" i="14"/>
  <c r="E98" i="14"/>
  <c r="D98" i="14"/>
  <c r="B98" i="14"/>
  <c r="G96" i="14"/>
  <c r="F96" i="14"/>
  <c r="E96" i="14"/>
  <c r="D96" i="14"/>
  <c r="B96" i="14"/>
  <c r="G95" i="14"/>
  <c r="F95" i="14"/>
  <c r="E95" i="14"/>
  <c r="D95" i="14"/>
  <c r="B95" i="14"/>
  <c r="G92" i="14"/>
  <c r="F92" i="14"/>
  <c r="E92" i="14"/>
  <c r="D92" i="14"/>
  <c r="B92" i="14"/>
  <c r="G91" i="14"/>
  <c r="F91" i="14"/>
  <c r="E91" i="14"/>
  <c r="D91" i="14"/>
  <c r="B91" i="14"/>
  <c r="G90" i="14"/>
  <c r="F90" i="14"/>
  <c r="E90" i="14"/>
  <c r="D90" i="14"/>
  <c r="B90" i="14"/>
  <c r="G89" i="14"/>
  <c r="F89" i="14"/>
  <c r="E89" i="14"/>
  <c r="D89" i="14"/>
  <c r="B89" i="14"/>
  <c r="G88" i="14"/>
  <c r="F88" i="14"/>
  <c r="E88" i="14"/>
  <c r="D88" i="14"/>
  <c r="B88" i="14"/>
  <c r="G87" i="14"/>
  <c r="F87" i="14"/>
  <c r="E87" i="14"/>
  <c r="D87" i="14"/>
  <c r="B87" i="14"/>
  <c r="G86" i="14"/>
  <c r="F86" i="14"/>
  <c r="E86" i="14"/>
  <c r="D86" i="14"/>
  <c r="B86" i="14"/>
  <c r="G85" i="14"/>
  <c r="F85" i="14"/>
  <c r="E85" i="14"/>
  <c r="D85" i="14"/>
  <c r="B85" i="14"/>
  <c r="G84" i="14"/>
  <c r="F84" i="14"/>
  <c r="E84" i="14"/>
  <c r="D84" i="14"/>
  <c r="B84" i="14"/>
  <c r="G82" i="14"/>
  <c r="F82" i="14"/>
  <c r="E82" i="14"/>
  <c r="D82" i="14"/>
  <c r="B82" i="14"/>
  <c r="G81" i="14"/>
  <c r="F81" i="14"/>
  <c r="E81" i="14"/>
  <c r="D81" i="14"/>
  <c r="B81" i="14"/>
  <c r="Y61" i="14"/>
  <c r="Y101" i="14" s="1"/>
  <c r="Y52" i="14"/>
  <c r="Y57" i="14" s="1"/>
  <c r="H50" i="14"/>
  <c r="H58" i="14" s="1"/>
  <c r="E26" i="14"/>
  <c r="E25" i="14"/>
  <c r="E24" i="14"/>
  <c r="E23" i="14"/>
  <c r="G6" i="14"/>
  <c r="F6" i="14"/>
  <c r="D6" i="14"/>
  <c r="C6" i="14"/>
  <c r="M13" i="14"/>
  <c r="J13" i="14"/>
  <c r="H10" i="14"/>
  <c r="M9" i="14"/>
  <c r="G134" i="11"/>
  <c r="F134" i="11"/>
  <c r="E134" i="11"/>
  <c r="D134" i="11"/>
  <c r="B134" i="11"/>
  <c r="G133" i="11"/>
  <c r="F133" i="11"/>
  <c r="E133" i="11"/>
  <c r="D133" i="11"/>
  <c r="B133" i="11"/>
  <c r="G132" i="11"/>
  <c r="F132" i="11"/>
  <c r="E132" i="11"/>
  <c r="D132" i="11"/>
  <c r="B132" i="11"/>
  <c r="G131" i="11"/>
  <c r="F131" i="11"/>
  <c r="E131" i="11"/>
  <c r="D131" i="11"/>
  <c r="B131" i="11"/>
  <c r="G130" i="11"/>
  <c r="F130" i="11"/>
  <c r="E130" i="11"/>
  <c r="D130" i="11"/>
  <c r="B130" i="11"/>
  <c r="G129" i="11"/>
  <c r="F129" i="11"/>
  <c r="E129" i="11"/>
  <c r="D129" i="11"/>
  <c r="B129" i="11"/>
  <c r="G128" i="11"/>
  <c r="F128" i="11"/>
  <c r="E128" i="11"/>
  <c r="D128" i="11"/>
  <c r="B128" i="11"/>
  <c r="G127" i="11"/>
  <c r="F127" i="11"/>
  <c r="E127" i="11"/>
  <c r="D127" i="11"/>
  <c r="B127" i="11"/>
  <c r="G126" i="11"/>
  <c r="F126" i="11"/>
  <c r="E126" i="11"/>
  <c r="D126" i="11"/>
  <c r="B126" i="11"/>
  <c r="G124" i="11"/>
  <c r="F124" i="11"/>
  <c r="E124" i="11"/>
  <c r="D124" i="11"/>
  <c r="B124" i="11"/>
  <c r="G123" i="11"/>
  <c r="F123" i="11"/>
  <c r="E123" i="11"/>
  <c r="D123" i="11"/>
  <c r="B123" i="11"/>
  <c r="G120" i="11"/>
  <c r="F120" i="11"/>
  <c r="E120" i="11"/>
  <c r="D120" i="11"/>
  <c r="B120" i="11"/>
  <c r="G119" i="11"/>
  <c r="F119" i="11"/>
  <c r="E119" i="11"/>
  <c r="D119" i="11"/>
  <c r="B119" i="11"/>
  <c r="G118" i="11"/>
  <c r="F118" i="11"/>
  <c r="E118" i="11"/>
  <c r="D118" i="11"/>
  <c r="B118" i="11"/>
  <c r="G117" i="11"/>
  <c r="F117" i="11"/>
  <c r="E117" i="11"/>
  <c r="D117" i="11"/>
  <c r="B117" i="11"/>
  <c r="G116" i="11"/>
  <c r="F116" i="11"/>
  <c r="E116" i="11"/>
  <c r="D116" i="11"/>
  <c r="B116" i="11"/>
  <c r="G115" i="11"/>
  <c r="F115" i="11"/>
  <c r="E115" i="11"/>
  <c r="D115" i="11"/>
  <c r="B115" i="11"/>
  <c r="G114" i="11"/>
  <c r="F114" i="11"/>
  <c r="E114" i="11"/>
  <c r="D114" i="11"/>
  <c r="B114" i="11"/>
  <c r="G113" i="11"/>
  <c r="F113" i="11"/>
  <c r="E113" i="11"/>
  <c r="D113" i="11"/>
  <c r="B113" i="11"/>
  <c r="G112" i="11"/>
  <c r="F112" i="11"/>
  <c r="E112" i="11"/>
  <c r="D112" i="11"/>
  <c r="B112" i="11"/>
  <c r="G110" i="11"/>
  <c r="F110" i="11"/>
  <c r="E110" i="11"/>
  <c r="D110" i="11"/>
  <c r="B110" i="11"/>
  <c r="G109" i="11"/>
  <c r="F109" i="11"/>
  <c r="E109" i="11"/>
  <c r="D109" i="11"/>
  <c r="B109" i="11"/>
  <c r="M9" i="11"/>
  <c r="M13" i="11"/>
  <c r="J13" i="11"/>
  <c r="G6" i="11"/>
  <c r="F6" i="11"/>
  <c r="D6" i="11"/>
  <c r="C6" i="11"/>
  <c r="H10" i="11"/>
  <c r="F2" i="11"/>
  <c r="Y89" i="11"/>
  <c r="Y94" i="11" s="1"/>
  <c r="H78" i="11"/>
  <c r="Y71" i="11"/>
  <c r="D13" i="11" l="1"/>
  <c r="C13" i="11"/>
  <c r="I6" i="14"/>
  <c r="H6" i="5"/>
  <c r="Y104" i="14"/>
  <c r="Y115" i="14"/>
  <c r="AB115" i="14" s="1"/>
  <c r="AC115" i="14" s="1"/>
  <c r="Y114" i="14"/>
  <c r="AB114" i="14" s="1"/>
  <c r="AC114" i="14" s="1"/>
  <c r="Y116" i="14"/>
  <c r="AB116" i="14" s="1"/>
  <c r="AC116" i="14" s="1"/>
  <c r="Y113" i="14"/>
  <c r="AB113" i="14" s="1"/>
  <c r="AC113" i="14" s="1"/>
  <c r="H85" i="11"/>
  <c r="H6" i="8"/>
  <c r="H6" i="14"/>
  <c r="L14" i="5"/>
  <c r="Y58" i="14"/>
  <c r="Y55" i="14"/>
  <c r="Y56" i="14"/>
  <c r="Y105" i="14"/>
  <c r="Y64" i="14"/>
  <c r="Y92" i="14"/>
  <c r="Y97" i="14" s="1"/>
  <c r="AB97" i="14" s="1"/>
  <c r="AC97" i="14" s="1"/>
  <c r="J52" i="14"/>
  <c r="Y66" i="14"/>
  <c r="L13" i="14"/>
  <c r="Y67" i="14"/>
  <c r="J53" i="14"/>
  <c r="H59" i="14"/>
  <c r="Y65" i="14"/>
  <c r="H56" i="14"/>
  <c r="F55" i="7"/>
  <c r="F22" i="8"/>
  <c r="F54" i="5"/>
  <c r="F57" i="6"/>
  <c r="F53" i="7"/>
  <c r="F23" i="8"/>
  <c r="F54" i="7"/>
  <c r="F24" i="8"/>
  <c r="E6" i="8"/>
  <c r="H7" i="5"/>
  <c r="E6" i="5"/>
  <c r="H6" i="7"/>
  <c r="E6" i="7"/>
  <c r="E6" i="6"/>
  <c r="H6" i="6"/>
  <c r="H7" i="6"/>
  <c r="E7" i="6"/>
  <c r="K14" i="5"/>
  <c r="E7" i="5"/>
  <c r="H6" i="4"/>
  <c r="E6" i="4"/>
  <c r="H57" i="14"/>
  <c r="K13" i="14"/>
  <c r="E6" i="14"/>
  <c r="Y88" i="14"/>
  <c r="AB88" i="14" s="1"/>
  <c r="AC88" i="14" s="1"/>
  <c r="Y87" i="14"/>
  <c r="Y86" i="14"/>
  <c r="Y89" i="14"/>
  <c r="Y48" i="14"/>
  <c r="Y106" i="14"/>
  <c r="AB106" i="14" s="1"/>
  <c r="AC106" i="14" s="1"/>
  <c r="Y46" i="14"/>
  <c r="Y107" i="14"/>
  <c r="AB107" i="14" s="1"/>
  <c r="AC107" i="14" s="1"/>
  <c r="Y47" i="14"/>
  <c r="Y49" i="14"/>
  <c r="J51" i="14"/>
  <c r="K13" i="11"/>
  <c r="L13" i="11"/>
  <c r="Q74" i="11" s="1"/>
  <c r="E6" i="11"/>
  <c r="H6" i="11"/>
  <c r="Y77" i="11"/>
  <c r="Y74" i="11"/>
  <c r="Y86" i="11"/>
  <c r="H86" i="11"/>
  <c r="Y83" i="11"/>
  <c r="Y75" i="11"/>
  <c r="Y84" i="11"/>
  <c r="H87" i="11"/>
  <c r="Y76" i="11"/>
  <c r="J79" i="11"/>
  <c r="Y85" i="11"/>
  <c r="J80" i="11"/>
  <c r="Y93" i="11"/>
  <c r="J81" i="11"/>
  <c r="H84" i="11"/>
  <c r="Y95" i="11"/>
  <c r="Y92" i="11"/>
  <c r="D20" i="5" l="1"/>
  <c r="G20" i="5" s="1"/>
  <c r="D22" i="5"/>
  <c r="H22" i="5" s="1"/>
  <c r="J22" i="5" s="1"/>
  <c r="D55" i="5"/>
  <c r="D21" i="5"/>
  <c r="H21" i="5" s="1"/>
  <c r="J21" i="5" s="1"/>
  <c r="D54" i="5"/>
  <c r="D53" i="5"/>
  <c r="Q93" i="11"/>
  <c r="AB93" i="11" s="1"/>
  <c r="AC93" i="11" s="1"/>
  <c r="Q95" i="11"/>
  <c r="AB95" i="11" s="1"/>
  <c r="AC95" i="11" s="1"/>
  <c r="Q92" i="11"/>
  <c r="Q94" i="11"/>
  <c r="Q77" i="11"/>
  <c r="AB77" i="11" s="1"/>
  <c r="AC77" i="11" s="1"/>
  <c r="Q75" i="11"/>
  <c r="AB75" i="11" s="1"/>
  <c r="AC75" i="11" s="1"/>
  <c r="Q76" i="11"/>
  <c r="AB76" i="11" s="1"/>
  <c r="AC76" i="11" s="1"/>
  <c r="W14" i="11"/>
  <c r="W12" i="11"/>
  <c r="W13" i="11"/>
  <c r="W15" i="11"/>
  <c r="I6" i="11"/>
  <c r="X6" i="11"/>
  <c r="R51" i="11" s="1"/>
  <c r="X6" i="14"/>
  <c r="AC117" i="14"/>
  <c r="H129" i="14" s="1"/>
  <c r="D145" i="11"/>
  <c r="H81" i="11"/>
  <c r="K81" i="11" s="1"/>
  <c r="E118" i="14"/>
  <c r="Q95" i="14"/>
  <c r="Q104" i="14"/>
  <c r="AB104" i="14" s="1"/>
  <c r="AC104" i="14" s="1"/>
  <c r="AB94" i="11"/>
  <c r="AC94" i="11" s="1"/>
  <c r="AB92" i="11"/>
  <c r="AC92" i="11" s="1"/>
  <c r="H80" i="11"/>
  <c r="K80" i="11" s="1"/>
  <c r="AB83" i="11"/>
  <c r="AC83" i="11" s="1"/>
  <c r="AB84" i="11"/>
  <c r="AC84" i="11" s="1"/>
  <c r="AB86" i="11"/>
  <c r="AC86" i="11" s="1"/>
  <c r="AB85" i="11"/>
  <c r="AC85" i="11" s="1"/>
  <c r="Q47" i="14"/>
  <c r="AB47" i="14" s="1"/>
  <c r="AC47" i="14" s="1"/>
  <c r="H52" i="14"/>
  <c r="K52" i="14" s="1"/>
  <c r="Q56" i="14"/>
  <c r="AB56" i="14" s="1"/>
  <c r="AC56" i="14" s="1"/>
  <c r="Q96" i="14"/>
  <c r="Q58" i="14"/>
  <c r="AB58" i="14" s="1"/>
  <c r="AC58" i="14" s="1"/>
  <c r="Q57" i="14"/>
  <c r="AB57" i="14" s="1"/>
  <c r="AC57" i="14" s="1"/>
  <c r="Q55" i="14"/>
  <c r="AB55" i="14" s="1"/>
  <c r="AC55" i="14" s="1"/>
  <c r="Y95" i="14"/>
  <c r="Y96" i="14"/>
  <c r="Q46" i="14"/>
  <c r="AB46" i="14" s="1"/>
  <c r="AC46" i="14" s="1"/>
  <c r="Q49" i="14"/>
  <c r="AB49" i="14" s="1"/>
  <c r="AC49" i="14" s="1"/>
  <c r="Q48" i="14"/>
  <c r="AB48" i="14" s="1"/>
  <c r="AC48" i="14" s="1"/>
  <c r="H51" i="14"/>
  <c r="K51" i="14" s="1"/>
  <c r="Y98" i="14"/>
  <c r="AB98" i="14" s="1"/>
  <c r="AC98" i="14" s="1"/>
  <c r="G115" i="14"/>
  <c r="J6" i="14"/>
  <c r="G120" i="14"/>
  <c r="F112" i="14"/>
  <c r="D113" i="14"/>
  <c r="F115" i="14"/>
  <c r="F113" i="14"/>
  <c r="F117" i="14"/>
  <c r="E144" i="11"/>
  <c r="G113" i="14"/>
  <c r="D117" i="14"/>
  <c r="E112" i="14"/>
  <c r="D115" i="14"/>
  <c r="D118" i="14"/>
  <c r="G116" i="14"/>
  <c r="D116" i="14"/>
  <c r="E117" i="14"/>
  <c r="F116" i="14"/>
  <c r="F120" i="14"/>
  <c r="G119" i="14"/>
  <c r="D112" i="14"/>
  <c r="E120" i="14"/>
  <c r="G118" i="14"/>
  <c r="E119" i="14"/>
  <c r="G117" i="14"/>
  <c r="F119" i="14"/>
  <c r="F118" i="14"/>
  <c r="E116" i="14"/>
  <c r="F114" i="14"/>
  <c r="G112" i="14"/>
  <c r="E114" i="14"/>
  <c r="E113" i="14"/>
  <c r="D120" i="14"/>
  <c r="D114" i="14"/>
  <c r="D119" i="14"/>
  <c r="E115" i="14"/>
  <c r="G114" i="14"/>
  <c r="E140" i="11"/>
  <c r="E146" i="11"/>
  <c r="F144" i="11"/>
  <c r="E147" i="11"/>
  <c r="G143" i="11"/>
  <c r="F142" i="11"/>
  <c r="E141" i="11"/>
  <c r="F146" i="11"/>
  <c r="D144" i="11"/>
  <c r="D143" i="11"/>
  <c r="G142" i="11"/>
  <c r="G148" i="11"/>
  <c r="F140" i="11"/>
  <c r="G145" i="11"/>
  <c r="G140" i="11"/>
  <c r="F148" i="11"/>
  <c r="F141" i="11"/>
  <c r="D141" i="11"/>
  <c r="D147" i="11"/>
  <c r="E145" i="11"/>
  <c r="G141" i="11"/>
  <c r="G147" i="11"/>
  <c r="D146" i="11"/>
  <c r="G144" i="11"/>
  <c r="J6" i="11"/>
  <c r="D148" i="11"/>
  <c r="E143" i="11"/>
  <c r="F145" i="11"/>
  <c r="D140" i="11"/>
  <c r="G146" i="11"/>
  <c r="F143" i="11"/>
  <c r="D142" i="11"/>
  <c r="F147" i="11"/>
  <c r="E142" i="11"/>
  <c r="E148" i="11"/>
  <c r="Q105" i="14"/>
  <c r="AB105" i="14" s="1"/>
  <c r="AC105" i="14" s="1"/>
  <c r="Q66" i="14"/>
  <c r="AB66" i="14" s="1"/>
  <c r="AC66" i="14" s="1"/>
  <c r="Q64" i="14"/>
  <c r="AB64" i="14" s="1"/>
  <c r="AC64" i="14" s="1"/>
  <c r="H53" i="14"/>
  <c r="K53" i="14" s="1"/>
  <c r="Q67" i="14"/>
  <c r="AB67" i="14" s="1"/>
  <c r="AC67" i="14" s="1"/>
  <c r="Q65" i="14"/>
  <c r="AB65" i="14" s="1"/>
  <c r="AC65" i="14" s="1"/>
  <c r="Q87" i="14"/>
  <c r="AB87" i="14" s="1"/>
  <c r="AC87" i="14" s="1"/>
  <c r="Q86" i="14"/>
  <c r="AB86" i="14" s="1"/>
  <c r="AC86" i="14" s="1"/>
  <c r="AB89" i="14"/>
  <c r="AC89" i="14" s="1"/>
  <c r="H79" i="11"/>
  <c r="K79" i="11" s="1"/>
  <c r="AB74" i="11"/>
  <c r="AC74" i="11" s="1"/>
  <c r="H20" i="5" l="1"/>
  <c r="J20" i="5" s="1"/>
  <c r="F20" i="5" s="1"/>
  <c r="G22" i="5"/>
  <c r="F22" i="5"/>
  <c r="G21" i="5"/>
  <c r="F21" i="5"/>
  <c r="H54" i="11"/>
  <c r="H51" i="11" s="1"/>
  <c r="K27" i="11"/>
  <c r="G54" i="11"/>
  <c r="K23" i="11"/>
  <c r="F41" i="11"/>
  <c r="H75" i="11"/>
  <c r="J30" i="14"/>
  <c r="R24" i="14"/>
  <c r="R26" i="14"/>
  <c r="S26" i="14" s="1"/>
  <c r="R25" i="14"/>
  <c r="S25" i="14" s="1"/>
  <c r="R23" i="14"/>
  <c r="R54" i="11"/>
  <c r="S54" i="11" s="1"/>
  <c r="R53" i="11"/>
  <c r="R52" i="11"/>
  <c r="S51" i="11"/>
  <c r="H26" i="14"/>
  <c r="H25" i="14" s="1"/>
  <c r="J58" i="14" s="1"/>
  <c r="G26" i="14"/>
  <c r="AC96" i="11"/>
  <c r="AC87" i="11"/>
  <c r="AC59" i="14"/>
  <c r="AB96" i="14"/>
  <c r="AC96" i="14" s="1"/>
  <c r="AB95" i="14"/>
  <c r="AC95" i="14" s="1"/>
  <c r="K6" i="14"/>
  <c r="AC108" i="14"/>
  <c r="H128" i="14" s="1"/>
  <c r="AC68" i="14"/>
  <c r="AC90" i="14"/>
  <c r="H126" i="14" s="1"/>
  <c r="AC50" i="14"/>
  <c r="AC78" i="11"/>
  <c r="K6" i="11"/>
  <c r="H52" i="11" l="1"/>
  <c r="J85" i="11" s="1"/>
  <c r="F29" i="11"/>
  <c r="H29" i="11" s="1"/>
  <c r="J29" i="11" s="1"/>
  <c r="G29" i="11"/>
  <c r="H23" i="11"/>
  <c r="J23" i="11" s="1"/>
  <c r="E23" i="11"/>
  <c r="F23" i="11" s="1"/>
  <c r="K21" i="11"/>
  <c r="K22" i="11"/>
  <c r="K20" i="11"/>
  <c r="G23" i="11"/>
  <c r="F30" i="11"/>
  <c r="H30" i="11" s="1"/>
  <c r="J30" i="11" s="1"/>
  <c r="G30" i="11"/>
  <c r="K25" i="11"/>
  <c r="E27" i="11"/>
  <c r="F27" i="11" s="1"/>
  <c r="K26" i="11"/>
  <c r="K24" i="11"/>
  <c r="H27" i="11"/>
  <c r="J27" i="11" s="1"/>
  <c r="G27" i="11"/>
  <c r="G28" i="11"/>
  <c r="F28" i="11"/>
  <c r="H28" i="11" s="1"/>
  <c r="J28" i="11" s="1"/>
  <c r="J78" i="11"/>
  <c r="J87" i="11"/>
  <c r="J84" i="11"/>
  <c r="H53" i="11"/>
  <c r="J86" i="11" s="1"/>
  <c r="S53" i="11"/>
  <c r="S52" i="11"/>
  <c r="J29" i="14"/>
  <c r="I87" i="11"/>
  <c r="U54" i="11"/>
  <c r="S28" i="14"/>
  <c r="S23" i="14"/>
  <c r="S24" i="14"/>
  <c r="S29" i="14"/>
  <c r="J27" i="14"/>
  <c r="J50" i="14"/>
  <c r="H23" i="14"/>
  <c r="J56" i="14" s="1"/>
  <c r="J59" i="14"/>
  <c r="J26" i="14"/>
  <c r="G23" i="14"/>
  <c r="E123" i="14" s="1"/>
  <c r="K63" i="14"/>
  <c r="K62" i="14"/>
  <c r="I26" i="14"/>
  <c r="G24" i="14"/>
  <c r="E124" i="14" s="1"/>
  <c r="I59" i="14"/>
  <c r="H24" i="14"/>
  <c r="J57" i="14" s="1"/>
  <c r="G25" i="14"/>
  <c r="I50" i="14"/>
  <c r="K91" i="11"/>
  <c r="J57" i="11"/>
  <c r="K90" i="11"/>
  <c r="J56" i="11"/>
  <c r="G53" i="11"/>
  <c r="G52" i="11"/>
  <c r="J54" i="11"/>
  <c r="G51" i="11"/>
  <c r="U51" i="11" s="1"/>
  <c r="I54" i="11"/>
  <c r="I78" i="11"/>
  <c r="AC99" i="14"/>
  <c r="H127" i="14" s="1"/>
  <c r="H130" i="14" s="1"/>
  <c r="J55" i="11"/>
  <c r="K89" i="11"/>
  <c r="K61" i="14"/>
  <c r="M20" i="11" l="1"/>
  <c r="E24" i="11"/>
  <c r="F24" i="11" s="1"/>
  <c r="G24" i="11"/>
  <c r="H24" i="11"/>
  <c r="J24" i="11" s="1"/>
  <c r="E22" i="11"/>
  <c r="F22" i="11" s="1"/>
  <c r="G22" i="11"/>
  <c r="H22" i="11"/>
  <c r="J22" i="11" s="1"/>
  <c r="K87" i="11"/>
  <c r="E26" i="11"/>
  <c r="F26" i="11" s="1"/>
  <c r="G26" i="11"/>
  <c r="H26" i="11"/>
  <c r="J26" i="11" s="1"/>
  <c r="H21" i="11"/>
  <c r="J21" i="11" s="1"/>
  <c r="E21" i="11"/>
  <c r="F21" i="11" s="1"/>
  <c r="G21" i="11"/>
  <c r="E25" i="11"/>
  <c r="F25" i="11" s="1"/>
  <c r="H25" i="11"/>
  <c r="J25" i="11" s="1"/>
  <c r="G25" i="11"/>
  <c r="E20" i="11"/>
  <c r="F20" i="11" s="1"/>
  <c r="G20" i="11"/>
  <c r="H20" i="11"/>
  <c r="J20" i="11" s="1"/>
  <c r="K78" i="11"/>
  <c r="I84" i="11"/>
  <c r="K84" i="11" s="1"/>
  <c r="I85" i="11"/>
  <c r="K85" i="11" s="1"/>
  <c r="U52" i="11"/>
  <c r="I86" i="11"/>
  <c r="K86" i="11" s="1"/>
  <c r="U53" i="11"/>
  <c r="I52" i="11"/>
  <c r="J28" i="14"/>
  <c r="J53" i="11"/>
  <c r="K59" i="14"/>
  <c r="I56" i="14"/>
  <c r="K56" i="14" s="1"/>
  <c r="I23" i="14"/>
  <c r="J23" i="14"/>
  <c r="F123" i="14"/>
  <c r="H123" i="14" s="1"/>
  <c r="K50" i="14"/>
  <c r="F124" i="14"/>
  <c r="G124" i="14" s="1"/>
  <c r="J24" i="14"/>
  <c r="I58" i="14"/>
  <c r="K58" i="14" s="1"/>
  <c r="J25" i="14"/>
  <c r="I25" i="14"/>
  <c r="I24" i="14"/>
  <c r="I57" i="14"/>
  <c r="K57" i="14" s="1"/>
  <c r="J52" i="11"/>
  <c r="I53" i="11"/>
  <c r="J51" i="11"/>
  <c r="I51" i="11"/>
  <c r="G113" i="10"/>
  <c r="F113" i="10"/>
  <c r="E113" i="10"/>
  <c r="D113" i="10"/>
  <c r="B113" i="10"/>
  <c r="G112" i="10"/>
  <c r="F112" i="10"/>
  <c r="E112" i="10"/>
  <c r="D112" i="10"/>
  <c r="B112" i="10"/>
  <c r="G111" i="10"/>
  <c r="F111" i="10"/>
  <c r="E111" i="10"/>
  <c r="D111" i="10"/>
  <c r="B111" i="10"/>
  <c r="G110" i="10"/>
  <c r="F110" i="10"/>
  <c r="E110" i="10"/>
  <c r="D110" i="10"/>
  <c r="B110" i="10"/>
  <c r="G109" i="10"/>
  <c r="F109" i="10"/>
  <c r="E109" i="10"/>
  <c r="D109" i="10"/>
  <c r="B109" i="10"/>
  <c r="G108" i="10"/>
  <c r="F108" i="10"/>
  <c r="E108" i="10"/>
  <c r="D108" i="10"/>
  <c r="B108" i="10"/>
  <c r="G107" i="10"/>
  <c r="F107" i="10"/>
  <c r="E107" i="10"/>
  <c r="D107" i="10"/>
  <c r="B107" i="10"/>
  <c r="G106" i="10"/>
  <c r="F106" i="10"/>
  <c r="E106" i="10"/>
  <c r="D106" i="10"/>
  <c r="B106" i="10"/>
  <c r="G105" i="10"/>
  <c r="F105" i="10"/>
  <c r="E105" i="10"/>
  <c r="D105" i="10"/>
  <c r="B105" i="10"/>
  <c r="G103" i="10"/>
  <c r="F103" i="10"/>
  <c r="E103" i="10"/>
  <c r="D103" i="10"/>
  <c r="B103" i="10"/>
  <c r="G102" i="10"/>
  <c r="F102" i="10"/>
  <c r="E102" i="10"/>
  <c r="D102" i="10"/>
  <c r="B102" i="10"/>
  <c r="G99" i="10"/>
  <c r="F99" i="10"/>
  <c r="E99" i="10"/>
  <c r="D99" i="10"/>
  <c r="B99" i="10"/>
  <c r="G98" i="10"/>
  <c r="F98" i="10"/>
  <c r="E98" i="10"/>
  <c r="D98" i="10"/>
  <c r="B98" i="10"/>
  <c r="G97" i="10"/>
  <c r="F97" i="10"/>
  <c r="E97" i="10"/>
  <c r="D97" i="10"/>
  <c r="B97" i="10"/>
  <c r="G96" i="10"/>
  <c r="F96" i="10"/>
  <c r="E96" i="10"/>
  <c r="D96" i="10"/>
  <c r="B96" i="10"/>
  <c r="G95" i="10"/>
  <c r="F95" i="10"/>
  <c r="E95" i="10"/>
  <c r="D95" i="10"/>
  <c r="B95" i="10"/>
  <c r="G94" i="10"/>
  <c r="F94" i="10"/>
  <c r="E94" i="10"/>
  <c r="D94" i="10"/>
  <c r="B94" i="10"/>
  <c r="G93" i="10"/>
  <c r="F93" i="10"/>
  <c r="E93" i="10"/>
  <c r="D93" i="10"/>
  <c r="B93" i="10"/>
  <c r="G92" i="10"/>
  <c r="F92" i="10"/>
  <c r="E92" i="10"/>
  <c r="D92" i="10"/>
  <c r="B92" i="10"/>
  <c r="G91" i="10"/>
  <c r="F91" i="10"/>
  <c r="E91" i="10"/>
  <c r="D91" i="10"/>
  <c r="B91" i="10"/>
  <c r="G89" i="10"/>
  <c r="F89" i="10"/>
  <c r="E89" i="10"/>
  <c r="D89" i="10"/>
  <c r="B89" i="10"/>
  <c r="G88" i="10"/>
  <c r="F88" i="10"/>
  <c r="E88" i="10"/>
  <c r="D88" i="10"/>
  <c r="B88" i="10"/>
  <c r="G71" i="8"/>
  <c r="F71" i="8"/>
  <c r="E71" i="8"/>
  <c r="D71" i="8"/>
  <c r="B71" i="8"/>
  <c r="G70" i="8"/>
  <c r="F70" i="8"/>
  <c r="E70" i="8"/>
  <c r="D70" i="8"/>
  <c r="B70" i="8"/>
  <c r="G69" i="8"/>
  <c r="F69" i="8"/>
  <c r="E69" i="8"/>
  <c r="D69" i="8"/>
  <c r="B69" i="8"/>
  <c r="G68" i="8"/>
  <c r="F68" i="8"/>
  <c r="E68" i="8"/>
  <c r="D68" i="8"/>
  <c r="B68" i="8"/>
  <c r="G67" i="8"/>
  <c r="F67" i="8"/>
  <c r="E67" i="8"/>
  <c r="D67" i="8"/>
  <c r="B67" i="8"/>
  <c r="G66" i="8"/>
  <c r="F66" i="8"/>
  <c r="E66" i="8"/>
  <c r="D66" i="8"/>
  <c r="B66" i="8"/>
  <c r="G65" i="8"/>
  <c r="F65" i="8"/>
  <c r="E65" i="8"/>
  <c r="D65" i="8"/>
  <c r="B65" i="8"/>
  <c r="G64" i="8"/>
  <c r="F64" i="8"/>
  <c r="E64" i="8"/>
  <c r="D64" i="8"/>
  <c r="B64" i="8"/>
  <c r="G63" i="8"/>
  <c r="F63" i="8"/>
  <c r="E63" i="8"/>
  <c r="D63" i="8"/>
  <c r="B63" i="8"/>
  <c r="G61" i="8"/>
  <c r="F61" i="8"/>
  <c r="E61" i="8"/>
  <c r="D61" i="8"/>
  <c r="B61" i="8"/>
  <c r="G60" i="8"/>
  <c r="F60" i="8"/>
  <c r="E60" i="8"/>
  <c r="D60" i="8"/>
  <c r="B60" i="8"/>
  <c r="G57" i="8"/>
  <c r="F57" i="8"/>
  <c r="E57" i="8"/>
  <c r="D57" i="8"/>
  <c r="B57" i="8"/>
  <c r="G56" i="8"/>
  <c r="F56" i="8"/>
  <c r="E56" i="8"/>
  <c r="D56" i="8"/>
  <c r="B56" i="8"/>
  <c r="G55" i="8"/>
  <c r="F55" i="8"/>
  <c r="E55" i="8"/>
  <c r="D55" i="8"/>
  <c r="B55" i="8"/>
  <c r="G54" i="8"/>
  <c r="F54" i="8"/>
  <c r="E54" i="8"/>
  <c r="D54" i="8"/>
  <c r="B54" i="8"/>
  <c r="G53" i="8"/>
  <c r="F53" i="8"/>
  <c r="E53" i="8"/>
  <c r="D53" i="8"/>
  <c r="B53" i="8"/>
  <c r="G52" i="8"/>
  <c r="F52" i="8"/>
  <c r="E52" i="8"/>
  <c r="D52" i="8"/>
  <c r="B52" i="8"/>
  <c r="G51" i="8"/>
  <c r="F51" i="8"/>
  <c r="E51" i="8"/>
  <c r="D51" i="8"/>
  <c r="B51" i="8"/>
  <c r="G50" i="8"/>
  <c r="F50" i="8"/>
  <c r="E50" i="8"/>
  <c r="D50" i="8"/>
  <c r="B50" i="8"/>
  <c r="G49" i="8"/>
  <c r="F49" i="8"/>
  <c r="E49" i="8"/>
  <c r="D49" i="8"/>
  <c r="B49" i="8"/>
  <c r="G47" i="8"/>
  <c r="F47" i="8"/>
  <c r="E47" i="8"/>
  <c r="D47" i="8"/>
  <c r="B47" i="8"/>
  <c r="G46" i="8"/>
  <c r="F46" i="8"/>
  <c r="E46" i="8"/>
  <c r="D46" i="8"/>
  <c r="B46" i="8"/>
  <c r="G111" i="7"/>
  <c r="F111" i="7"/>
  <c r="E111" i="7"/>
  <c r="D111" i="7"/>
  <c r="B111" i="7"/>
  <c r="G110" i="7"/>
  <c r="F110" i="7"/>
  <c r="E110" i="7"/>
  <c r="D110" i="7"/>
  <c r="B110" i="7"/>
  <c r="G109" i="7"/>
  <c r="F109" i="7"/>
  <c r="E109" i="7"/>
  <c r="D109" i="7"/>
  <c r="B109" i="7"/>
  <c r="G108" i="7"/>
  <c r="F108" i="7"/>
  <c r="E108" i="7"/>
  <c r="D108" i="7"/>
  <c r="B108" i="7"/>
  <c r="G107" i="7"/>
  <c r="F107" i="7"/>
  <c r="E107" i="7"/>
  <c r="D107" i="7"/>
  <c r="B107" i="7"/>
  <c r="G106" i="7"/>
  <c r="F106" i="7"/>
  <c r="E106" i="7"/>
  <c r="D106" i="7"/>
  <c r="B106" i="7"/>
  <c r="G105" i="7"/>
  <c r="F105" i="7"/>
  <c r="E105" i="7"/>
  <c r="D105" i="7"/>
  <c r="B105" i="7"/>
  <c r="G104" i="7"/>
  <c r="F104" i="7"/>
  <c r="E104" i="7"/>
  <c r="D104" i="7"/>
  <c r="B104" i="7"/>
  <c r="G103" i="7"/>
  <c r="F103" i="7"/>
  <c r="E103" i="7"/>
  <c r="D103" i="7"/>
  <c r="B103" i="7"/>
  <c r="G101" i="7"/>
  <c r="F101" i="7"/>
  <c r="E101" i="7"/>
  <c r="D101" i="7"/>
  <c r="B101" i="7"/>
  <c r="G100" i="7"/>
  <c r="F100" i="7"/>
  <c r="E100" i="7"/>
  <c r="D100" i="7"/>
  <c r="B100" i="7"/>
  <c r="G97" i="7"/>
  <c r="F97" i="7"/>
  <c r="E97" i="7"/>
  <c r="D97" i="7"/>
  <c r="B97" i="7"/>
  <c r="G96" i="7"/>
  <c r="F96" i="7"/>
  <c r="E96" i="7"/>
  <c r="D96" i="7"/>
  <c r="B96" i="7"/>
  <c r="G95" i="7"/>
  <c r="F95" i="7"/>
  <c r="E95" i="7"/>
  <c r="D95" i="7"/>
  <c r="B95" i="7"/>
  <c r="G94" i="7"/>
  <c r="F94" i="7"/>
  <c r="E94" i="7"/>
  <c r="D94" i="7"/>
  <c r="B94" i="7"/>
  <c r="G93" i="7"/>
  <c r="F93" i="7"/>
  <c r="E93" i="7"/>
  <c r="D93" i="7"/>
  <c r="B93" i="7"/>
  <c r="G92" i="7"/>
  <c r="F92" i="7"/>
  <c r="E92" i="7"/>
  <c r="D92" i="7"/>
  <c r="B92" i="7"/>
  <c r="G91" i="7"/>
  <c r="F91" i="7"/>
  <c r="E91" i="7"/>
  <c r="D91" i="7"/>
  <c r="B91" i="7"/>
  <c r="G90" i="7"/>
  <c r="F90" i="7"/>
  <c r="E90" i="7"/>
  <c r="D90" i="7"/>
  <c r="B90" i="7"/>
  <c r="G89" i="7"/>
  <c r="F89" i="7"/>
  <c r="E89" i="7"/>
  <c r="D89" i="7"/>
  <c r="B89" i="7"/>
  <c r="G87" i="7"/>
  <c r="F87" i="7"/>
  <c r="E87" i="7"/>
  <c r="D87" i="7"/>
  <c r="B87" i="7"/>
  <c r="G86" i="7"/>
  <c r="F86" i="7"/>
  <c r="E86" i="7"/>
  <c r="D86" i="7"/>
  <c r="B86" i="7"/>
  <c r="G126" i="6"/>
  <c r="F126" i="6"/>
  <c r="E126" i="6"/>
  <c r="D126" i="6"/>
  <c r="B126" i="6"/>
  <c r="G125" i="6"/>
  <c r="F125" i="6"/>
  <c r="E125" i="6"/>
  <c r="D125" i="6"/>
  <c r="B125" i="6"/>
  <c r="G124" i="6"/>
  <c r="F124" i="6"/>
  <c r="E124" i="6"/>
  <c r="D124" i="6"/>
  <c r="B124" i="6"/>
  <c r="G123" i="6"/>
  <c r="F123" i="6"/>
  <c r="E123" i="6"/>
  <c r="D123" i="6"/>
  <c r="B123" i="6"/>
  <c r="G122" i="6"/>
  <c r="F122" i="6"/>
  <c r="E122" i="6"/>
  <c r="D122" i="6"/>
  <c r="B122" i="6"/>
  <c r="G121" i="6"/>
  <c r="F121" i="6"/>
  <c r="E121" i="6"/>
  <c r="D121" i="6"/>
  <c r="B121" i="6"/>
  <c r="G120" i="6"/>
  <c r="F120" i="6"/>
  <c r="E120" i="6"/>
  <c r="D120" i="6"/>
  <c r="B120" i="6"/>
  <c r="G119" i="6"/>
  <c r="F119" i="6"/>
  <c r="E119" i="6"/>
  <c r="D119" i="6"/>
  <c r="B119" i="6"/>
  <c r="G118" i="6"/>
  <c r="F118" i="6"/>
  <c r="E118" i="6"/>
  <c r="D118" i="6"/>
  <c r="B118" i="6"/>
  <c r="G116" i="6"/>
  <c r="F116" i="6"/>
  <c r="E116" i="6"/>
  <c r="D116" i="6"/>
  <c r="B116" i="6"/>
  <c r="G115" i="6"/>
  <c r="F115" i="6"/>
  <c r="E115" i="6"/>
  <c r="D115" i="6"/>
  <c r="B115" i="6"/>
  <c r="G112" i="6"/>
  <c r="F112" i="6"/>
  <c r="E112" i="6"/>
  <c r="D112" i="6"/>
  <c r="B112" i="6"/>
  <c r="G111" i="6"/>
  <c r="F111" i="6"/>
  <c r="E111" i="6"/>
  <c r="D111" i="6"/>
  <c r="B111" i="6"/>
  <c r="G110" i="6"/>
  <c r="F110" i="6"/>
  <c r="E110" i="6"/>
  <c r="D110" i="6"/>
  <c r="B110" i="6"/>
  <c r="G109" i="6"/>
  <c r="F109" i="6"/>
  <c r="E109" i="6"/>
  <c r="D109" i="6"/>
  <c r="B109" i="6"/>
  <c r="G108" i="6"/>
  <c r="F108" i="6"/>
  <c r="E108" i="6"/>
  <c r="D108" i="6"/>
  <c r="B108" i="6"/>
  <c r="G107" i="6"/>
  <c r="F107" i="6"/>
  <c r="E107" i="6"/>
  <c r="D107" i="6"/>
  <c r="B107" i="6"/>
  <c r="G106" i="6"/>
  <c r="F106" i="6"/>
  <c r="E106" i="6"/>
  <c r="D106" i="6"/>
  <c r="B106" i="6"/>
  <c r="G105" i="6"/>
  <c r="F105" i="6"/>
  <c r="E105" i="6"/>
  <c r="D105" i="6"/>
  <c r="B105" i="6"/>
  <c r="G104" i="6"/>
  <c r="F104" i="6"/>
  <c r="E104" i="6"/>
  <c r="D104" i="6"/>
  <c r="B104" i="6"/>
  <c r="G102" i="6"/>
  <c r="F102" i="6"/>
  <c r="E102" i="6"/>
  <c r="D102" i="6"/>
  <c r="B102" i="6"/>
  <c r="G101" i="6"/>
  <c r="F101" i="6"/>
  <c r="E101" i="6"/>
  <c r="D101" i="6"/>
  <c r="B101" i="6"/>
  <c r="B114" i="5"/>
  <c r="B113" i="5"/>
  <c r="B112" i="5"/>
  <c r="B111" i="5"/>
  <c r="B110" i="5"/>
  <c r="B109" i="5"/>
  <c r="B108" i="5"/>
  <c r="B107" i="5"/>
  <c r="B106" i="5"/>
  <c r="B100" i="5"/>
  <c r="B99" i="5"/>
  <c r="B98" i="5"/>
  <c r="B97" i="5"/>
  <c r="B96" i="5"/>
  <c r="B95" i="5"/>
  <c r="B94" i="5"/>
  <c r="B93" i="5"/>
  <c r="B92" i="5"/>
  <c r="G104" i="5"/>
  <c r="F104" i="5"/>
  <c r="E104" i="5"/>
  <c r="D104" i="5"/>
  <c r="G103" i="5"/>
  <c r="F103" i="5"/>
  <c r="E103" i="5"/>
  <c r="D103" i="5"/>
  <c r="B104" i="5"/>
  <c r="B103" i="5"/>
  <c r="G90" i="5"/>
  <c r="F90" i="5"/>
  <c r="E90" i="5"/>
  <c r="D90" i="5"/>
  <c r="G89" i="5"/>
  <c r="F89" i="5"/>
  <c r="E89" i="5"/>
  <c r="D89" i="5"/>
  <c r="B90" i="5"/>
  <c r="B89" i="5"/>
  <c r="G114" i="5"/>
  <c r="G113" i="5"/>
  <c r="G112" i="5"/>
  <c r="G111" i="5"/>
  <c r="G110" i="5"/>
  <c r="G109" i="5"/>
  <c r="G108" i="5"/>
  <c r="G107" i="5"/>
  <c r="G106" i="5"/>
  <c r="F114" i="5"/>
  <c r="F113" i="5"/>
  <c r="F112" i="5"/>
  <c r="F111" i="5"/>
  <c r="F110" i="5"/>
  <c r="F109" i="5"/>
  <c r="F108" i="5"/>
  <c r="F107" i="5"/>
  <c r="F106" i="5"/>
  <c r="E114" i="5"/>
  <c r="E113" i="5"/>
  <c r="E112" i="5"/>
  <c r="E111" i="5"/>
  <c r="E110" i="5"/>
  <c r="E109" i="5"/>
  <c r="E108" i="5"/>
  <c r="E107" i="5"/>
  <c r="E106" i="5"/>
  <c r="D114" i="5"/>
  <c r="D113" i="5"/>
  <c r="D112" i="5"/>
  <c r="D111" i="5"/>
  <c r="D110" i="5"/>
  <c r="D109" i="5"/>
  <c r="D108" i="5"/>
  <c r="D107" i="5"/>
  <c r="D106" i="5"/>
  <c r="D92" i="5"/>
  <c r="E92" i="5"/>
  <c r="F92" i="5"/>
  <c r="G92" i="5"/>
  <c r="D93" i="5"/>
  <c r="E93" i="5"/>
  <c r="F93" i="5"/>
  <c r="G93" i="5"/>
  <c r="D94" i="5"/>
  <c r="E94" i="5"/>
  <c r="F94" i="5"/>
  <c r="G94" i="5"/>
  <c r="D95" i="5"/>
  <c r="E95" i="5"/>
  <c r="F95" i="5"/>
  <c r="G95" i="5"/>
  <c r="D96" i="5"/>
  <c r="E96" i="5"/>
  <c r="F96" i="5"/>
  <c r="G96" i="5"/>
  <c r="D97" i="5"/>
  <c r="E97" i="5"/>
  <c r="F97" i="5"/>
  <c r="G97" i="5"/>
  <c r="D98" i="5"/>
  <c r="E98" i="5"/>
  <c r="F98" i="5"/>
  <c r="G98" i="5"/>
  <c r="D99" i="5"/>
  <c r="E99" i="5"/>
  <c r="F99" i="5"/>
  <c r="G99" i="5"/>
  <c r="D100" i="5"/>
  <c r="E100" i="5"/>
  <c r="F100" i="5"/>
  <c r="G100" i="5"/>
  <c r="K88" i="11" l="1"/>
  <c r="K94" i="11" s="1"/>
  <c r="K96" i="11" s="1"/>
  <c r="K98" i="11" s="1"/>
  <c r="U55" i="11"/>
  <c r="E61" i="11"/>
  <c r="E63" i="11" s="1"/>
  <c r="G123" i="14"/>
  <c r="C102" i="11"/>
  <c r="C105" i="11"/>
  <c r="C104" i="11"/>
  <c r="C103" i="11"/>
  <c r="K60" i="14"/>
  <c r="H124" i="14"/>
  <c r="K95" i="11" l="1"/>
  <c r="H32" i="11" s="1"/>
  <c r="E62" i="11"/>
  <c r="J62" i="11" s="1"/>
  <c r="H74" i="11"/>
  <c r="K66" i="14"/>
  <c r="H125" i="14"/>
  <c r="J22" i="14" s="1"/>
  <c r="J63" i="11"/>
  <c r="J61" i="11"/>
  <c r="K97" i="11"/>
  <c r="E64" i="11" l="1"/>
  <c r="J64" i="11" s="1"/>
  <c r="C106" i="11" s="1"/>
  <c r="C107" i="11" s="1"/>
  <c r="J32" i="11"/>
  <c r="F32" i="11" s="1"/>
  <c r="F39" i="11" s="1"/>
  <c r="E33" i="14"/>
  <c r="E35" i="14" s="1"/>
  <c r="H46" i="14"/>
  <c r="K68" i="14"/>
  <c r="K70" i="14" s="1"/>
  <c r="C74" i="14"/>
  <c r="C76" i="14"/>
  <c r="C75" i="14"/>
  <c r="C77" i="14"/>
  <c r="M9" i="10"/>
  <c r="M9" i="8"/>
  <c r="M9" i="7"/>
  <c r="M10" i="6"/>
  <c r="M9" i="4"/>
  <c r="K49" i="11" l="1"/>
  <c r="I72" i="11" s="1"/>
  <c r="K67" i="14"/>
  <c r="E36" i="14" s="1"/>
  <c r="J36" i="14" s="1"/>
  <c r="K69" i="14"/>
  <c r="E34" i="14"/>
  <c r="J34" i="14" s="1"/>
  <c r="J35" i="14"/>
  <c r="J33" i="14"/>
  <c r="M13" i="8"/>
  <c r="L13" i="8" s="1"/>
  <c r="J13" i="8"/>
  <c r="K13" i="8" s="1"/>
  <c r="H10" i="8"/>
  <c r="D25" i="8" l="1"/>
  <c r="H25" i="8" s="1"/>
  <c r="C78" i="14"/>
  <c r="C79" i="14" s="1"/>
  <c r="K20" i="14"/>
  <c r="I44" i="14" s="1"/>
  <c r="H22" i="8"/>
  <c r="H24" i="8"/>
  <c r="H23" i="8"/>
  <c r="D13" i="4" l="1"/>
  <c r="M14" i="6" l="1"/>
  <c r="L14" i="6" s="1"/>
  <c r="J14" i="6"/>
  <c r="K14" i="6" s="1"/>
  <c r="H11" i="6"/>
  <c r="D24" i="6" l="1"/>
  <c r="D57" i="6"/>
  <c r="D62" i="6"/>
  <c r="D22" i="6"/>
  <c r="D55" i="6"/>
  <c r="D60" i="6"/>
  <c r="D23" i="6"/>
  <c r="D25" i="6"/>
  <c r="D61" i="6"/>
  <c r="D56" i="6"/>
  <c r="D58" i="6"/>
  <c r="D63" i="6"/>
  <c r="H63" i="6" s="1"/>
  <c r="H68" i="6" s="1"/>
  <c r="J67" i="6" l="1"/>
  <c r="J70" i="6"/>
  <c r="J68" i="6"/>
  <c r="J69" i="6"/>
  <c r="H58" i="6"/>
  <c r="I63" i="6" s="1"/>
  <c r="F61" i="6"/>
  <c r="H61" i="6" s="1"/>
  <c r="H66" i="6" s="1"/>
  <c r="K23" i="6" l="1"/>
  <c r="E23" i="6" s="1"/>
  <c r="F23" i="6" s="1"/>
  <c r="F60" i="6"/>
  <c r="H55" i="6"/>
  <c r="H56" i="6"/>
  <c r="I61" i="6" s="1"/>
  <c r="K61" i="6" s="1"/>
  <c r="F62" i="6"/>
  <c r="H57" i="6"/>
  <c r="G23" i="6" l="1"/>
  <c r="H62" i="6"/>
  <c r="H67" i="6" s="1"/>
  <c r="K24" i="6"/>
  <c r="H23" i="6"/>
  <c r="J23" i="6" s="1"/>
  <c r="H60" i="6"/>
  <c r="H65" i="6" s="1"/>
  <c r="K22" i="6"/>
  <c r="E22" i="6" s="1"/>
  <c r="F2" i="7"/>
  <c r="F2" i="5"/>
  <c r="I62" i="6" l="1"/>
  <c r="E24" i="6"/>
  <c r="F24" i="6" s="1"/>
  <c r="G24" i="6"/>
  <c r="H24" i="6"/>
  <c r="J24" i="6" s="1"/>
  <c r="I60" i="6"/>
  <c r="D13" i="7"/>
  <c r="C13" i="7"/>
  <c r="C14" i="5"/>
  <c r="D14" i="5"/>
  <c r="F2" i="8"/>
  <c r="F2" i="6"/>
  <c r="J8" i="5" l="1"/>
  <c r="I8" i="5"/>
  <c r="D33" i="5" s="1"/>
  <c r="J7" i="7"/>
  <c r="I7" i="7"/>
  <c r="D13" i="8"/>
  <c r="C13" i="8"/>
  <c r="D14" i="6"/>
  <c r="C14" i="6"/>
  <c r="X6" i="10"/>
  <c r="X6" i="5"/>
  <c r="G117" i="7"/>
  <c r="X6" i="7"/>
  <c r="I6" i="10"/>
  <c r="K18" i="10" s="1"/>
  <c r="J6" i="10"/>
  <c r="J6" i="7"/>
  <c r="I6" i="7"/>
  <c r="E50" i="7" s="1"/>
  <c r="I7" i="5"/>
  <c r="J7" i="5"/>
  <c r="I6" i="5"/>
  <c r="J6" i="5"/>
  <c r="F119" i="7"/>
  <c r="F123" i="7"/>
  <c r="D122" i="7"/>
  <c r="F125" i="7"/>
  <c r="G120" i="7"/>
  <c r="D123" i="7"/>
  <c r="D125" i="7"/>
  <c r="F118" i="7"/>
  <c r="D118" i="7"/>
  <c r="E123" i="7"/>
  <c r="F122" i="7"/>
  <c r="G124" i="7"/>
  <c r="G125" i="7"/>
  <c r="F120" i="7"/>
  <c r="F117" i="7"/>
  <c r="F124" i="7"/>
  <c r="D120" i="7"/>
  <c r="E119" i="7"/>
  <c r="E117" i="7"/>
  <c r="D121" i="7"/>
  <c r="G118" i="7"/>
  <c r="F121" i="7"/>
  <c r="E120" i="7"/>
  <c r="E122" i="7"/>
  <c r="G121" i="7"/>
  <c r="G123" i="7"/>
  <c r="G122" i="7"/>
  <c r="G119" i="7"/>
  <c r="D119" i="7"/>
  <c r="D117" i="7"/>
  <c r="E125" i="7"/>
  <c r="E121" i="7"/>
  <c r="E124" i="7"/>
  <c r="E118" i="7"/>
  <c r="D124" i="7"/>
  <c r="G120" i="10"/>
  <c r="F127" i="10"/>
  <c r="G125" i="10"/>
  <c r="F124" i="10"/>
  <c r="D121" i="10"/>
  <c r="G121" i="10"/>
  <c r="F126" i="10"/>
  <c r="E119" i="10"/>
  <c r="E122" i="10"/>
  <c r="D124" i="10"/>
  <c r="D126" i="10"/>
  <c r="G122" i="10"/>
  <c r="E120" i="10"/>
  <c r="F120" i="10"/>
  <c r="G126" i="10"/>
  <c r="E123" i="10"/>
  <c r="F119" i="10"/>
  <c r="G127" i="10"/>
  <c r="G119" i="10"/>
  <c r="F123" i="10"/>
  <c r="D122" i="10"/>
  <c r="F122" i="10"/>
  <c r="D125" i="10"/>
  <c r="G123" i="10"/>
  <c r="E127" i="10"/>
  <c r="F121" i="10"/>
  <c r="E125" i="10"/>
  <c r="G124" i="10"/>
  <c r="E121" i="10"/>
  <c r="D119" i="10"/>
  <c r="E126" i="10"/>
  <c r="D127" i="10"/>
  <c r="D123" i="10"/>
  <c r="E124" i="10"/>
  <c r="D120" i="10"/>
  <c r="F125" i="10"/>
  <c r="F128" i="5"/>
  <c r="F126" i="5"/>
  <c r="F124" i="5"/>
  <c r="F122" i="5"/>
  <c r="F120" i="5"/>
  <c r="D126" i="5"/>
  <c r="G125" i="5"/>
  <c r="F123" i="5"/>
  <c r="E123" i="5"/>
  <c r="D127" i="5"/>
  <c r="G128" i="5"/>
  <c r="E128" i="5"/>
  <c r="E126" i="5"/>
  <c r="E124" i="5"/>
  <c r="E122" i="5"/>
  <c r="E120" i="5"/>
  <c r="D128" i="5"/>
  <c r="D122" i="5"/>
  <c r="G127" i="5"/>
  <c r="G123" i="5"/>
  <c r="G121" i="5"/>
  <c r="F121" i="5"/>
  <c r="E127" i="5"/>
  <c r="D125" i="5"/>
  <c r="G122" i="5"/>
  <c r="D124" i="5"/>
  <c r="F127" i="5"/>
  <c r="E121" i="5"/>
  <c r="D121" i="5"/>
  <c r="G124" i="5"/>
  <c r="F125" i="5"/>
  <c r="E125" i="5"/>
  <c r="D123" i="5"/>
  <c r="G126" i="5"/>
  <c r="G120" i="5"/>
  <c r="D33" i="7" l="1"/>
  <c r="E66" i="7"/>
  <c r="R50" i="5"/>
  <c r="S50" i="5" s="1"/>
  <c r="R18" i="5"/>
  <c r="S18" i="5" s="1"/>
  <c r="F49" i="10"/>
  <c r="K19" i="10"/>
  <c r="E49" i="10"/>
  <c r="R48" i="10"/>
  <c r="S48" i="10" s="1"/>
  <c r="R18" i="10"/>
  <c r="S18" i="10" s="1"/>
  <c r="F50" i="7"/>
  <c r="K19" i="7"/>
  <c r="K18" i="7"/>
  <c r="H18" i="7" s="1"/>
  <c r="F66" i="7"/>
  <c r="E33" i="7"/>
  <c r="R50" i="7"/>
  <c r="S50" i="7" s="1"/>
  <c r="R18" i="7"/>
  <c r="S18" i="7" s="1"/>
  <c r="F66" i="5"/>
  <c r="E33" i="5"/>
  <c r="F33" i="5" s="1"/>
  <c r="F50" i="5"/>
  <c r="K19" i="5"/>
  <c r="E50" i="5"/>
  <c r="K18" i="5"/>
  <c r="K7" i="7"/>
  <c r="E66" i="5"/>
  <c r="K8" i="5"/>
  <c r="I8" i="6"/>
  <c r="D34" i="6" s="1"/>
  <c r="J8" i="6"/>
  <c r="J7" i="8"/>
  <c r="F35" i="8" s="1"/>
  <c r="I7" i="8"/>
  <c r="X6" i="6"/>
  <c r="X6" i="8"/>
  <c r="R19" i="8" s="1"/>
  <c r="S19" i="8" s="1"/>
  <c r="D132" i="6"/>
  <c r="K6" i="10"/>
  <c r="J6" i="8"/>
  <c r="F19" i="8" s="1"/>
  <c r="I6" i="8"/>
  <c r="E19" i="8" s="1"/>
  <c r="K7" i="5"/>
  <c r="K6" i="7"/>
  <c r="I7" i="6"/>
  <c r="J6" i="6"/>
  <c r="I6" i="6"/>
  <c r="J7" i="6"/>
  <c r="K6" i="5"/>
  <c r="E84" i="8"/>
  <c r="D84" i="8"/>
  <c r="E78" i="8"/>
  <c r="D80" i="8"/>
  <c r="G85" i="8"/>
  <c r="E77" i="8"/>
  <c r="E81" i="8"/>
  <c r="F84" i="8"/>
  <c r="F78" i="8"/>
  <c r="F82" i="8"/>
  <c r="D82" i="8"/>
  <c r="D77" i="8"/>
  <c r="F79" i="8"/>
  <c r="F80" i="8"/>
  <c r="E79" i="8"/>
  <c r="G79" i="8"/>
  <c r="D78" i="8"/>
  <c r="G78" i="8"/>
  <c r="F77" i="8"/>
  <c r="D81" i="8"/>
  <c r="E85" i="8"/>
  <c r="E80" i="8"/>
  <c r="D79" i="8"/>
  <c r="G80" i="8"/>
  <c r="E83" i="8"/>
  <c r="G83" i="8"/>
  <c r="F83" i="8"/>
  <c r="G82" i="8"/>
  <c r="F81" i="8"/>
  <c r="G84" i="8"/>
  <c r="D85" i="8"/>
  <c r="E82" i="8"/>
  <c r="G77" i="8"/>
  <c r="D83" i="8"/>
  <c r="G81" i="8"/>
  <c r="F85" i="8"/>
  <c r="E138" i="6"/>
  <c r="D138" i="6"/>
  <c r="G133" i="6"/>
  <c r="F133" i="6"/>
  <c r="D140" i="6"/>
  <c r="G139" i="6"/>
  <c r="F138" i="6"/>
  <c r="E132" i="6"/>
  <c r="E137" i="6"/>
  <c r="D133" i="6"/>
  <c r="G136" i="6"/>
  <c r="G134" i="6"/>
  <c r="G132" i="6"/>
  <c r="E134" i="6"/>
  <c r="E140" i="6"/>
  <c r="F132" i="6"/>
  <c r="G135" i="6"/>
  <c r="F135" i="6"/>
  <c r="F140" i="6"/>
  <c r="D136" i="6"/>
  <c r="E136" i="6"/>
  <c r="G138" i="6"/>
  <c r="F137" i="6"/>
  <c r="D139" i="6"/>
  <c r="G140" i="6"/>
  <c r="F134" i="6"/>
  <c r="D137" i="6"/>
  <c r="E135" i="6"/>
  <c r="F139" i="6"/>
  <c r="E133" i="6"/>
  <c r="F136" i="6"/>
  <c r="E139" i="6"/>
  <c r="G137" i="6"/>
  <c r="D134" i="6"/>
  <c r="D135" i="6"/>
  <c r="C71" i="7"/>
  <c r="F71" i="7" s="1"/>
  <c r="C70" i="7"/>
  <c r="F33" i="7" l="1"/>
  <c r="H19" i="7"/>
  <c r="J19" i="7" s="1"/>
  <c r="G49" i="10"/>
  <c r="H18" i="5"/>
  <c r="J18" i="5" s="1"/>
  <c r="S21" i="5"/>
  <c r="S22" i="5"/>
  <c r="H66" i="5"/>
  <c r="R51" i="6"/>
  <c r="R52" i="6" s="1"/>
  <c r="S52" i="6" s="1"/>
  <c r="S53" i="6" s="1"/>
  <c r="R18" i="6"/>
  <c r="G18" i="10"/>
  <c r="H18" i="10"/>
  <c r="H19" i="10"/>
  <c r="J19" i="10" s="1"/>
  <c r="G19" i="10"/>
  <c r="J18" i="7"/>
  <c r="G18" i="7"/>
  <c r="H66" i="7"/>
  <c r="G19" i="7"/>
  <c r="H39" i="5"/>
  <c r="D39" i="5" s="1"/>
  <c r="G39" i="5" s="1"/>
  <c r="H50" i="5"/>
  <c r="D37" i="5"/>
  <c r="D38" i="5" s="1"/>
  <c r="G38" i="5" s="1"/>
  <c r="G18" i="5"/>
  <c r="H19" i="5"/>
  <c r="J19" i="5" s="1"/>
  <c r="G19" i="5"/>
  <c r="F77" i="6"/>
  <c r="E34" i="6"/>
  <c r="F34" i="6" s="1"/>
  <c r="E51" i="6"/>
  <c r="K18" i="6"/>
  <c r="F51" i="6"/>
  <c r="F52" i="6" s="1"/>
  <c r="K20" i="6"/>
  <c r="E77" i="6"/>
  <c r="K8" i="6"/>
  <c r="K7" i="8"/>
  <c r="E35" i="8"/>
  <c r="H35" i="8" s="1"/>
  <c r="G19" i="8"/>
  <c r="J50" i="5"/>
  <c r="K50" i="5" s="1"/>
  <c r="K6" i="8"/>
  <c r="K6" i="6"/>
  <c r="K7" i="6"/>
  <c r="D73" i="7"/>
  <c r="F70" i="7"/>
  <c r="E19" i="7" l="1"/>
  <c r="F19" i="7" s="1"/>
  <c r="E19" i="10"/>
  <c r="F19" i="10" s="1"/>
  <c r="E19" i="5"/>
  <c r="F19" i="5" s="1"/>
  <c r="E18" i="7"/>
  <c r="F18" i="7" s="1"/>
  <c r="E18" i="5"/>
  <c r="F18" i="5" s="1"/>
  <c r="K19" i="6"/>
  <c r="G18" i="6"/>
  <c r="H20" i="6"/>
  <c r="J20" i="6" s="1"/>
  <c r="K21" i="6"/>
  <c r="G21" i="6" s="1"/>
  <c r="S51" i="6"/>
  <c r="T51" i="6" s="1"/>
  <c r="R19" i="6"/>
  <c r="S19" i="6" s="1"/>
  <c r="S20" i="6" s="1"/>
  <c r="S18" i="6"/>
  <c r="J18" i="10"/>
  <c r="E18" i="10" s="1"/>
  <c r="F18" i="10" s="1"/>
  <c r="G31" i="5"/>
  <c r="H18" i="6"/>
  <c r="J18" i="6" s="1"/>
  <c r="G37" i="5"/>
  <c r="J31" i="5"/>
  <c r="H31" i="5"/>
  <c r="G20" i="6"/>
  <c r="H77" i="6"/>
  <c r="J51" i="6"/>
  <c r="K51" i="6" s="1"/>
  <c r="E52" i="6"/>
  <c r="G51" i="6"/>
  <c r="H51" i="6"/>
  <c r="H19" i="8"/>
  <c r="H20" i="8" s="1"/>
  <c r="F31" i="5" l="1"/>
  <c r="H19" i="6"/>
  <c r="E20" i="6"/>
  <c r="F20" i="6" s="1"/>
  <c r="G19" i="6"/>
  <c r="E18" i="6"/>
  <c r="F18" i="6" s="1"/>
  <c r="H21" i="6"/>
  <c r="J21" i="6" s="1"/>
  <c r="E21" i="6" s="1"/>
  <c r="F21" i="6" s="1"/>
  <c r="S21" i="6"/>
  <c r="I20" i="8"/>
  <c r="J52" i="6"/>
  <c r="K52" i="6" s="1"/>
  <c r="H52" i="6"/>
  <c r="G52" i="6"/>
  <c r="L51" i="6"/>
  <c r="H10" i="10"/>
  <c r="H10" i="7"/>
  <c r="H10" i="4"/>
  <c r="J19" i="6" l="1"/>
  <c r="E19" i="6" s="1"/>
  <c r="F19" i="6" s="1"/>
  <c r="S20" i="8"/>
  <c r="T19" i="8" s="1"/>
  <c r="D31" i="8"/>
  <c r="D33" i="8" s="1"/>
  <c r="H53" i="6"/>
  <c r="F36" i="6" s="1"/>
  <c r="L52" i="6"/>
  <c r="H85" i="6" l="1"/>
  <c r="H88" i="6" s="1"/>
  <c r="H78" i="6"/>
  <c r="D73" i="6"/>
  <c r="M18" i="6" s="1"/>
  <c r="D83" i="6"/>
  <c r="C13" i="4"/>
  <c r="I7" i="4" s="1"/>
  <c r="D85" i="6" l="1"/>
  <c r="D75" i="6" s="1"/>
  <c r="X6" i="4"/>
  <c r="R18" i="4" s="1"/>
  <c r="J7" i="4"/>
  <c r="F57" i="4" s="1"/>
  <c r="E57" i="4"/>
  <c r="D84" i="6"/>
  <c r="G84" i="6" s="1"/>
  <c r="G83" i="6"/>
  <c r="I6" i="4"/>
  <c r="J6" i="4"/>
  <c r="F100" i="4"/>
  <c r="E103" i="4"/>
  <c r="G105" i="4"/>
  <c r="D101" i="4"/>
  <c r="G106" i="4"/>
  <c r="G101" i="4"/>
  <c r="D105" i="4"/>
  <c r="F99" i="4"/>
  <c r="E105" i="4"/>
  <c r="G102" i="4"/>
  <c r="G100" i="4"/>
  <c r="F103" i="4"/>
  <c r="E106" i="4"/>
  <c r="D102" i="4"/>
  <c r="F101" i="4"/>
  <c r="D104" i="4"/>
  <c r="E99" i="4"/>
  <c r="G104" i="4"/>
  <c r="F102" i="4"/>
  <c r="D107" i="4"/>
  <c r="F105" i="4"/>
  <c r="E101" i="4"/>
  <c r="G103" i="4"/>
  <c r="F106" i="4"/>
  <c r="D103" i="4"/>
  <c r="E104" i="4"/>
  <c r="E107" i="4"/>
  <c r="E102" i="4"/>
  <c r="D106" i="4"/>
  <c r="G107" i="4"/>
  <c r="E100" i="4"/>
  <c r="D99" i="4"/>
  <c r="F104" i="4"/>
  <c r="F107" i="4"/>
  <c r="G99" i="4"/>
  <c r="D100" i="4"/>
  <c r="H57" i="4" l="1"/>
  <c r="K19" i="4"/>
  <c r="F41" i="4"/>
  <c r="K18" i="4"/>
  <c r="E41" i="4"/>
  <c r="S18" i="4"/>
  <c r="D33" i="4"/>
  <c r="E33" i="4"/>
  <c r="K7" i="4"/>
  <c r="K6" i="4"/>
  <c r="C71" i="10"/>
  <c r="F71" i="10" s="1"/>
  <c r="C70" i="10"/>
  <c r="H18" i="4" l="1"/>
  <c r="H41" i="4"/>
  <c r="G41" i="4"/>
  <c r="F33" i="4"/>
  <c r="G19" i="4"/>
  <c r="H19" i="4"/>
  <c r="J19" i="4" s="1"/>
  <c r="G18" i="4"/>
  <c r="D73" i="10"/>
  <c r="F70" i="10"/>
  <c r="C73" i="5"/>
  <c r="F73" i="5" s="1"/>
  <c r="C72" i="5"/>
  <c r="E19" i="4" l="1"/>
  <c r="F19" i="4" s="1"/>
  <c r="J18" i="4"/>
  <c r="Q22" i="4" s="1"/>
  <c r="F72" i="5"/>
  <c r="E75" i="5"/>
  <c r="E18" i="4" l="1"/>
  <c r="F18" i="4" s="1"/>
  <c r="M13" i="4"/>
  <c r="L13" i="4" s="1"/>
  <c r="J13" i="4"/>
  <c r="K13" i="4" s="1"/>
  <c r="D44" i="4" l="1"/>
  <c r="H44" i="4" s="1"/>
  <c r="D45" i="4"/>
  <c r="H45" i="4" s="1"/>
  <c r="D46" i="4"/>
  <c r="H46" i="4" s="1"/>
  <c r="D22" i="4"/>
  <c r="D20" i="4"/>
  <c r="D21" i="4"/>
  <c r="M13" i="10"/>
  <c r="L13" i="10" s="1"/>
  <c r="J13" i="10"/>
  <c r="K13" i="10" s="1"/>
  <c r="M13" i="7"/>
  <c r="L13" i="7" s="1"/>
  <c r="J13" i="7"/>
  <c r="K13" i="7" s="1"/>
  <c r="D54" i="7" l="1"/>
  <c r="D21" i="7"/>
  <c r="D53" i="10"/>
  <c r="D21" i="10"/>
  <c r="D20" i="10"/>
  <c r="D22" i="10"/>
  <c r="D54" i="10"/>
  <c r="D53" i="7"/>
  <c r="D53" i="4"/>
  <c r="H53" i="4" s="1"/>
  <c r="G22" i="4"/>
  <c r="F22" i="4"/>
  <c r="H22" i="4"/>
  <c r="J22" i="4" s="1"/>
  <c r="T21" i="4"/>
  <c r="D52" i="10"/>
  <c r="C61" i="4"/>
  <c r="D20" i="7"/>
  <c r="D55" i="7"/>
  <c r="D22" i="7"/>
  <c r="G20" i="4"/>
  <c r="H20" i="4"/>
  <c r="C62" i="4"/>
  <c r="C63" i="4"/>
  <c r="C64" i="4"/>
  <c r="G21" i="4"/>
  <c r="F21" i="4"/>
  <c r="H21" i="4"/>
  <c r="J21" i="4" s="1"/>
  <c r="H55" i="5"/>
  <c r="H53" i="5"/>
  <c r="H54" i="5"/>
  <c r="G50" i="7"/>
  <c r="H21" i="7" l="1"/>
  <c r="J21" i="7" s="1"/>
  <c r="G21" i="7"/>
  <c r="D55" i="4"/>
  <c r="H55" i="4" s="1"/>
  <c r="M18" i="4"/>
  <c r="M19" i="4" s="1"/>
  <c r="O19" i="4" s="1"/>
  <c r="D54" i="4"/>
  <c r="H54" i="4" s="1"/>
  <c r="F22" i="10"/>
  <c r="H22" i="10"/>
  <c r="J22" i="10" s="1"/>
  <c r="G22" i="10"/>
  <c r="H21" i="10"/>
  <c r="J21" i="10" s="1"/>
  <c r="G21" i="10"/>
  <c r="F21" i="10"/>
  <c r="H20" i="10"/>
  <c r="G20" i="10"/>
  <c r="D36" i="10"/>
  <c r="H38" i="10"/>
  <c r="D38" i="10" s="1"/>
  <c r="G38" i="10" s="1"/>
  <c r="C82" i="5"/>
  <c r="H20" i="7"/>
  <c r="G20" i="7"/>
  <c r="D37" i="7"/>
  <c r="H39" i="7"/>
  <c r="D39" i="7" s="1"/>
  <c r="G39" i="7" s="1"/>
  <c r="M18" i="7"/>
  <c r="H22" i="7"/>
  <c r="J22" i="7" s="1"/>
  <c r="G22" i="7"/>
  <c r="J20" i="4"/>
  <c r="J31" i="4" s="1"/>
  <c r="H31" i="4"/>
  <c r="G31" i="4"/>
  <c r="H74" i="5"/>
  <c r="D72" i="5"/>
  <c r="D62" i="5"/>
  <c r="M18" i="5" s="1"/>
  <c r="C84" i="5"/>
  <c r="C85" i="5"/>
  <c r="C83" i="5"/>
  <c r="H54" i="10"/>
  <c r="G50" i="5"/>
  <c r="H50" i="7"/>
  <c r="H53" i="7"/>
  <c r="H55" i="7"/>
  <c r="H54" i="7"/>
  <c r="H52" i="10"/>
  <c r="H53" i="10"/>
  <c r="E21" i="7" l="1"/>
  <c r="F21" i="7" s="1"/>
  <c r="E22" i="7"/>
  <c r="F22" i="7" s="1"/>
  <c r="O18" i="4"/>
  <c r="C65" i="4" s="1"/>
  <c r="H39" i="4"/>
  <c r="O18" i="5"/>
  <c r="M19" i="5"/>
  <c r="O19" i="5" s="1"/>
  <c r="E20" i="4"/>
  <c r="F20" i="4" s="1"/>
  <c r="F31" i="4" s="1"/>
  <c r="S21" i="4"/>
  <c r="G30" i="10"/>
  <c r="G36" i="10"/>
  <c r="D37" i="10"/>
  <c r="G37" i="10" s="1"/>
  <c r="J20" i="10"/>
  <c r="J30" i="10" s="1"/>
  <c r="H30" i="10"/>
  <c r="D38" i="7"/>
  <c r="G38" i="7" s="1"/>
  <c r="G37" i="7"/>
  <c r="C79" i="7"/>
  <c r="C81" i="7"/>
  <c r="C80" i="7"/>
  <c r="C82" i="7"/>
  <c r="O18" i="7"/>
  <c r="G31" i="7"/>
  <c r="J20" i="7"/>
  <c r="J31" i="7" s="1"/>
  <c r="H31" i="7"/>
  <c r="H72" i="7"/>
  <c r="H77" i="5"/>
  <c r="I74" i="5"/>
  <c r="D74" i="5"/>
  <c r="D64" i="5" s="1"/>
  <c r="D62" i="7"/>
  <c r="D70" i="7"/>
  <c r="D71" i="7" s="1"/>
  <c r="G71" i="7" s="1"/>
  <c r="H49" i="10"/>
  <c r="H72" i="10" s="1"/>
  <c r="M19" i="7" l="1"/>
  <c r="O19" i="7" s="1"/>
  <c r="E20" i="10"/>
  <c r="F20" i="10" s="1"/>
  <c r="F27" i="10" s="1"/>
  <c r="E20" i="7"/>
  <c r="F20" i="7" s="1"/>
  <c r="F31" i="7" s="1"/>
  <c r="D61" i="10"/>
  <c r="J64" i="5"/>
  <c r="C81" i="10"/>
  <c r="C83" i="10"/>
  <c r="C82" i="10"/>
  <c r="C84" i="10"/>
  <c r="D70" i="10"/>
  <c r="D72" i="7"/>
  <c r="D64" i="7" s="1"/>
  <c r="H74" i="7"/>
  <c r="D63" i="7"/>
  <c r="H63" i="7" s="1"/>
  <c r="D73" i="5"/>
  <c r="G73" i="5" s="1"/>
  <c r="G70" i="7"/>
  <c r="L50" i="5"/>
  <c r="H67" i="5" s="1"/>
  <c r="H62" i="7"/>
  <c r="D63" i="10" l="1"/>
  <c r="H63" i="10" s="1"/>
  <c r="M18" i="10"/>
  <c r="F30" i="10"/>
  <c r="H61" i="10"/>
  <c r="D63" i="5"/>
  <c r="H63" i="5" s="1"/>
  <c r="D62" i="10"/>
  <c r="H62" i="10" s="1"/>
  <c r="H64" i="7"/>
  <c r="C83" i="7" s="1"/>
  <c r="H62" i="5"/>
  <c r="G72" i="5"/>
  <c r="M19" i="10" l="1"/>
  <c r="O19" i="10" s="1"/>
  <c r="O18" i="10"/>
  <c r="H47" i="10"/>
  <c r="C85" i="10"/>
  <c r="C86" i="10" s="1"/>
  <c r="D129" i="7"/>
  <c r="H129" i="7" s="1"/>
  <c r="H48" i="7"/>
  <c r="G74" i="5"/>
  <c r="H64" i="5"/>
  <c r="C86" i="5" s="1"/>
  <c r="D132" i="7" l="1"/>
  <c r="D144" i="7" s="1"/>
  <c r="H144" i="7" s="1"/>
  <c r="D130" i="7"/>
  <c r="D142" i="7" s="1"/>
  <c r="H142" i="7" s="1"/>
  <c r="D141" i="7"/>
  <c r="H141" i="7" s="1"/>
  <c r="D131" i="7"/>
  <c r="D143" i="7" s="1"/>
  <c r="H143" i="7" s="1"/>
  <c r="H48" i="5"/>
  <c r="C87" i="5"/>
  <c r="G72" i="7"/>
  <c r="H130" i="7" l="1"/>
  <c r="H132" i="7"/>
  <c r="H131" i="7"/>
  <c r="G70" i="10"/>
  <c r="D71" i="10"/>
  <c r="G71" i="10" l="1"/>
  <c r="H75" i="10" l="1"/>
  <c r="D72" i="10"/>
  <c r="G72" i="10" s="1"/>
  <c r="H73" i="6" l="1"/>
  <c r="D74" i="6"/>
  <c r="H74" i="6" s="1"/>
  <c r="H75" i="6" l="1"/>
  <c r="H49" i="6" s="1"/>
  <c r="K25" i="6" s="1"/>
  <c r="E25" i="6" l="1"/>
  <c r="F25" i="6" s="1"/>
  <c r="G25" i="6"/>
  <c r="H25" i="6"/>
  <c r="J25" i="6" s="1"/>
  <c r="H41" i="6"/>
  <c r="D39" i="6"/>
  <c r="I85" i="6"/>
  <c r="G85" i="6"/>
  <c r="D120" i="5"/>
  <c r="C66" i="4"/>
  <c r="C84" i="7"/>
  <c r="C42" i="8" l="1"/>
  <c r="C41" i="8"/>
  <c r="C40" i="8"/>
  <c r="C39" i="8"/>
  <c r="D32" i="8" l="1"/>
  <c r="H32" i="8" s="1"/>
  <c r="H31" i="8"/>
  <c r="H33" i="8" l="1"/>
  <c r="C43" i="8" s="1"/>
  <c r="C44" i="8" s="1"/>
  <c r="H17" i="8" l="1"/>
  <c r="G39" i="11" l="1"/>
  <c r="O20" i="11" l="1"/>
  <c r="M21" i="11"/>
  <c r="O21" i="11" s="1"/>
  <c r="H39" i="11"/>
  <c r="J39" i="11"/>
  <c r="G22" i="6"/>
  <c r="O18" i="6"/>
  <c r="D40" i="6"/>
  <c r="G40" i="6" s="1"/>
  <c r="H22" i="6"/>
  <c r="H32" i="6" s="1"/>
  <c r="D41" i="6"/>
  <c r="G41" i="6" s="1"/>
  <c r="G32" i="6" l="1"/>
  <c r="M19" i="6"/>
  <c r="O19" i="6" s="1"/>
  <c r="G39" i="6"/>
  <c r="J22" i="6"/>
  <c r="J32" i="6" s="1"/>
  <c r="F22" i="6" l="1"/>
  <c r="F32" i="6" s="1"/>
  <c r="C98" i="6"/>
  <c r="C97" i="6" l="1"/>
  <c r="C94" i="6"/>
  <c r="C95" i="6"/>
  <c r="C96" i="6"/>
  <c r="C99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Ivan Moises Stasieniuk Cavalcante</author>
  </authors>
  <commentList>
    <comment ref="I16" authorId="0" shapeId="0" xr:uid="{E60ED669-913C-4C65-B0C8-88600FC66C1C}">
      <text>
        <r>
          <rPr>
            <b/>
            <sz val="9"/>
            <color indexed="81"/>
            <rFont val="Segoe UI"/>
            <family val="2"/>
          </rPr>
          <t>Residencial com consumo =&lt;50kWh é isento de ICMS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Giovanni Lombardi</author>
  </authors>
  <commentList>
    <comment ref="D20" authorId="0" shapeId="0" xr:uid="{033DF91D-BA63-4576-8AFD-0E776A04F58C}">
      <text>
        <r>
          <rPr>
            <b/>
            <sz val="9"/>
            <color indexed="81"/>
            <rFont val="Segoe UI"/>
            <family val="2"/>
          </rPr>
          <t>valor está incorreto no SAP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Ivan Moises Stasieniuk Cavalcante</author>
  </authors>
  <commentList>
    <comment ref="M15" authorId="0" shapeId="0" xr:uid="{B07CE4E2-C495-481B-B7F7-745B2B464A56}">
      <text>
        <r>
          <rPr>
            <b/>
            <sz val="9"/>
            <color indexed="81"/>
            <rFont val="Segoe UI"/>
            <family val="2"/>
          </rPr>
          <t>Após colocar o valor de consumo, pressione esse botão.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Giovanni Lombardi</author>
  </authors>
  <commentList>
    <comment ref="D19" authorId="0" shapeId="0" xr:uid="{A4586F20-9201-49A6-A200-CB3E979FA34A}">
      <text>
        <r>
          <rPr>
            <b/>
            <sz val="9"/>
            <color indexed="81"/>
            <rFont val="Segoe UI"/>
            <family val="2"/>
          </rPr>
          <t>valor está incorreto no SAP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Ivan Moises Stasieniuk Cavalcante</author>
  </authors>
  <commentList>
    <comment ref="F26" authorId="0" shapeId="0" xr:uid="{5EF38BDD-71EA-4405-8405-4906DC263BBB}">
      <text>
        <r>
          <rPr>
            <b/>
            <sz val="9"/>
            <color indexed="81"/>
            <rFont val="Segoe UI"/>
            <family val="2"/>
          </rPr>
          <t>O valor da alíquota na função é a do mês anterior.</t>
        </r>
      </text>
    </comment>
    <comment ref="F29" authorId="0" shapeId="0" xr:uid="{455B35A9-E8B6-42CF-AE49-8CC787C14010}">
      <text>
        <r>
          <rPr>
            <sz val="9"/>
            <color indexed="81"/>
            <rFont val="Segoe UI"/>
            <family val="2"/>
          </rPr>
          <t xml:space="preserve">O valor da alíquota na função é a do mês anterior.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<sst xmlns="http://schemas.openxmlformats.org/spreadsheetml/2006/main" count="3261" uniqueCount="310">
  <si>
    <t xml:space="preserve"> </t>
  </si>
  <si>
    <t>B1 Res</t>
  </si>
  <si>
    <t>Vigência das Tarifas:</t>
  </si>
  <si>
    <t>Bandeira</t>
  </si>
  <si>
    <t>R$/kWh</t>
  </si>
  <si>
    <t>ANEEL em 29/06</t>
  </si>
  <si>
    <t>TUSD FIO B</t>
  </si>
  <si>
    <t>VERDE</t>
  </si>
  <si>
    <t>TARIFA</t>
  </si>
  <si>
    <t>TARIFA ANTIGA - REH 3370/2024</t>
  </si>
  <si>
    <t>TARIFA NOVA - REH xxxx/2025</t>
  </si>
  <si>
    <t>Tarifas Proporcionalizadas</t>
  </si>
  <si>
    <t>BAM</t>
  </si>
  <si>
    <t>Tusd</t>
  </si>
  <si>
    <t>TE</t>
  </si>
  <si>
    <t>TUSD + TE</t>
  </si>
  <si>
    <t>BVM1</t>
  </si>
  <si>
    <t>Tusd (R$/kWh)</t>
  </si>
  <si>
    <t>B1</t>
  </si>
  <si>
    <t>BVM2</t>
  </si>
  <si>
    <t>CDE Escassez Hídrica</t>
  </si>
  <si>
    <t>Escassez Hídrica</t>
  </si>
  <si>
    <t>Fatura</t>
  </si>
  <si>
    <t>Vigência das Tarifas (troca Bandeira):</t>
  </si>
  <si>
    <t>INSTALAÇÃO</t>
  </si>
  <si>
    <t>Altere a bandeira na célula abaixo</t>
  </si>
  <si>
    <t>CUSTO</t>
  </si>
  <si>
    <t>Part. TUSD (%)</t>
  </si>
  <si>
    <t>Part. TE (%)</t>
  </si>
  <si>
    <t>TE (R$/kWh)</t>
  </si>
  <si>
    <t>CDE ESCASSEZ HÍDRICA</t>
  </si>
  <si>
    <t>Leitura Anterior</t>
  </si>
  <si>
    <t>Nº de dias tarifa Anterior</t>
  </si>
  <si>
    <t>Nº de dias tarifa Nova</t>
  </si>
  <si>
    <t>Leitura Atual</t>
  </si>
  <si>
    <t xml:space="preserve">Documento impressão: </t>
  </si>
  <si>
    <t>Descrição</t>
  </si>
  <si>
    <t>Unidade</t>
  </si>
  <si>
    <t>Quantidade</t>
  </si>
  <si>
    <t>Preço Unit (R$)
com tributos</t>
  </si>
  <si>
    <t>Valor Total (R$)</t>
  </si>
  <si>
    <t>PIS/COFINS
(R$)</t>
  </si>
  <si>
    <t>Base de Cálculo ICMS
(R$)</t>
  </si>
  <si>
    <t>Alíquota ICMS
(%)</t>
  </si>
  <si>
    <t>ICMS
(R$)</t>
  </si>
  <si>
    <t>Preço Unit (R$)</t>
  </si>
  <si>
    <t>Tributos</t>
  </si>
  <si>
    <t>Base de Cálc
(R$)</t>
  </si>
  <si>
    <t>Alíquota
(%)</t>
  </si>
  <si>
    <t>Valor
(R$)</t>
  </si>
  <si>
    <t>TUSD Fio B</t>
  </si>
  <si>
    <t>Receita Fio B</t>
  </si>
  <si>
    <t>TUSD - Consumo</t>
  </si>
  <si>
    <t>kWh</t>
  </si>
  <si>
    <t>PIS</t>
  </si>
  <si>
    <t>TE - Consumo</t>
  </si>
  <si>
    <t>COFINS</t>
  </si>
  <si>
    <t xml:space="preserve">Adicional BAM </t>
  </si>
  <si>
    <t>Adicional BVM 1</t>
  </si>
  <si>
    <t>Adicional BVM 2</t>
  </si>
  <si>
    <t>Adicional Escassez</t>
  </si>
  <si>
    <t>Juros</t>
  </si>
  <si>
    <t>Multas</t>
  </si>
  <si>
    <t>Bônus/Descontos</t>
  </si>
  <si>
    <t>Outros</t>
  </si>
  <si>
    <t>CIP</t>
  </si>
  <si>
    <t>TOTAL</t>
  </si>
  <si>
    <t>Informativo Escassez</t>
  </si>
  <si>
    <t>Fatura B1</t>
  </si>
  <si>
    <t>Qtde</t>
  </si>
  <si>
    <t>TUSD</t>
  </si>
  <si>
    <t>R$</t>
  </si>
  <si>
    <t>Fornecimento de Energia Elétrica</t>
  </si>
  <si>
    <t>Consumo</t>
  </si>
  <si>
    <t>Adicional Escassez Hídrica</t>
  </si>
  <si>
    <t>Base de Cálculo Alterada (ICMS fora da base de cálculo do PIS/COFINS)</t>
  </si>
  <si>
    <t xml:space="preserve">PIS </t>
  </si>
  <si>
    <t>ICMS</t>
  </si>
  <si>
    <t>Informativo Escassez Hídrica</t>
  </si>
  <si>
    <t>Participação</t>
  </si>
  <si>
    <t>Energia</t>
  </si>
  <si>
    <t>Distribuição</t>
  </si>
  <si>
    <t>Transmissão</t>
  </si>
  <si>
    <t>Encargos Setoriais</t>
  </si>
  <si>
    <t>Impostos / Tributos</t>
  </si>
  <si>
    <t>Total</t>
  </si>
  <si>
    <t>Setoriais</t>
  </si>
  <si>
    <t>Grupo B</t>
  </si>
  <si>
    <t>%</t>
  </si>
  <si>
    <t>B1 - Residencial</t>
  </si>
  <si>
    <t>B1 - Residencial Baixa Renda</t>
  </si>
  <si>
    <t>B2 - Rural</t>
  </si>
  <si>
    <t>B2 - Cooperativa Eletrificação Rural</t>
  </si>
  <si>
    <t>B2 - Serviço de Irrigação</t>
  </si>
  <si>
    <t>B3 - Demais Classes</t>
  </si>
  <si>
    <t>B4 - Iluminação Pública</t>
  </si>
  <si>
    <t>B4a - Rede de Distribuição</t>
  </si>
  <si>
    <t>B4b - Bulbo de Lâmpada</t>
  </si>
  <si>
    <t>proporcional</t>
  </si>
  <si>
    <t>B2 Rural</t>
  </si>
  <si>
    <t>B2</t>
  </si>
  <si>
    <t>Se for base reduzida: (célula I18 = 12%)</t>
  </si>
  <si>
    <t>Com tributos</t>
  </si>
  <si>
    <t>x</t>
  </si>
  <si>
    <t>Rural c/ incrição</t>
  </si>
  <si>
    <t>Base de cálculo reduzida     =</t>
  </si>
  <si>
    <t>Importe</t>
  </si>
  <si>
    <t>12% x 4%</t>
  </si>
  <si>
    <t>Fatura B2 Rural</t>
  </si>
  <si>
    <t>B1 Residencial</t>
  </si>
  <si>
    <t>Diferença</t>
  </si>
  <si>
    <t xml:space="preserve">Adicional BVM 1 </t>
  </si>
  <si>
    <t xml:space="preserve">Adicional BVM 2 </t>
  </si>
  <si>
    <t>Base de Cálculo</t>
  </si>
  <si>
    <t>Benefício Rural (em relação ao B1 residencial)</t>
  </si>
  <si>
    <t>(mensagem na fatura)</t>
  </si>
  <si>
    <t>Se for base reduzida: (célula E33 = 12%)</t>
  </si>
  <si>
    <t>=</t>
  </si>
  <si>
    <t>Irrig</t>
  </si>
  <si>
    <t>desconto:</t>
  </si>
  <si>
    <t>TUSD - Ativo</t>
  </si>
  <si>
    <t>TUSD - Reservado</t>
  </si>
  <si>
    <t>TE - Reservado</t>
  </si>
  <si>
    <t>Desconto Rural Irrigante</t>
  </si>
  <si>
    <t>Fatura B2 Rural Irrigação</t>
  </si>
  <si>
    <t>Consumo Ponta</t>
  </si>
  <si>
    <t>Consumo Reservado</t>
  </si>
  <si>
    <t>Desconto Reservado</t>
  </si>
  <si>
    <t>Ex inst</t>
  </si>
  <si>
    <t>Adicional BAM PT Reservado</t>
  </si>
  <si>
    <t>Adicional BVM 1 PT Reservado</t>
  </si>
  <si>
    <t>Adicional BVM 2 PT Reservado</t>
  </si>
  <si>
    <t>Adicional Esc. Hídrica Reserv</t>
  </si>
  <si>
    <t>Desc Adicional BAM</t>
  </si>
  <si>
    <t xml:space="preserve">Desc Adicional BVM 1 </t>
  </si>
  <si>
    <t>Tarifa reservada bandeira com desconto</t>
  </si>
  <si>
    <t>Desc Adicional BVM 2</t>
  </si>
  <si>
    <t>Desc Adicional Escassez Hídrica</t>
  </si>
  <si>
    <t>Se for base reduzida: (célula E43 = 12%)</t>
  </si>
  <si>
    <t xml:space="preserve">B3 </t>
  </si>
  <si>
    <t>TARIFA 
R$ kWh</t>
  </si>
  <si>
    <t>B3</t>
  </si>
  <si>
    <t>Doações</t>
  </si>
  <si>
    <t>12% x 7%</t>
  </si>
  <si>
    <t>Fatura B3</t>
  </si>
  <si>
    <t>Se for base reduzida: (célula E32 = 12%)</t>
  </si>
  <si>
    <t>Retenção Consumo</t>
  </si>
  <si>
    <t>IR</t>
  </si>
  <si>
    <t>CSLL</t>
  </si>
  <si>
    <t>PIS/Pasep</t>
  </si>
  <si>
    <t>Retenção juros/multas</t>
  </si>
  <si>
    <t>Retenção Consumo + juros/multas</t>
  </si>
  <si>
    <t>B3 AES</t>
  </si>
  <si>
    <t>TARIFA ANTIGA - REH 2749/2020</t>
  </si>
  <si>
    <t>até 06/08/2023</t>
  </si>
  <si>
    <t>07/08/2023 em diante</t>
  </si>
  <si>
    <t>Fatura B3 AES</t>
  </si>
  <si>
    <t>Desc Consumo</t>
  </si>
  <si>
    <t>COM ERRO, produção também</t>
  </si>
  <si>
    <t>Baixa Renda</t>
  </si>
  <si>
    <t>Baixa renda</t>
  </si>
  <si>
    <t>Vigência das Tarifas (troca da Bandeira):</t>
  </si>
  <si>
    <t>Nº de dias band. Anterior</t>
  </si>
  <si>
    <t>Nº de dias band. Nova</t>
  </si>
  <si>
    <t>0 - 30</t>
  </si>
  <si>
    <t>31- 100</t>
  </si>
  <si>
    <t>101 - 220</t>
  </si>
  <si>
    <t>&gt;220</t>
  </si>
  <si>
    <t>CONSUMO</t>
  </si>
  <si>
    <t>TUSD - Consumo 0 a 30</t>
  </si>
  <si>
    <t>TUSD - Consumo 31 a 100</t>
  </si>
  <si>
    <t>TUSD - Consumo 101 a 220</t>
  </si>
  <si>
    <t>TUSD - Consumo &gt; 220</t>
  </si>
  <si>
    <t>TE - Consumo 0 a 30</t>
  </si>
  <si>
    <t>TE - Consumo 31 a 100</t>
  </si>
  <si>
    <t>TE - Consumo 101 a 220</t>
  </si>
  <si>
    <t>TE - Consumo &gt; 220</t>
  </si>
  <si>
    <t>ICMS Desc Tarifa Social</t>
  </si>
  <si>
    <t>Demonstrativo de Valores</t>
  </si>
  <si>
    <t xml:space="preserve">Valor R$ </t>
  </si>
  <si>
    <t>Energia Ativa Diferença 0-30</t>
  </si>
  <si>
    <t>Energia Ativa Diferença 31-100</t>
  </si>
  <si>
    <t>Energia Ativa Diferença 101-220</t>
  </si>
  <si>
    <t>Energia Ativa Diferença &gt;220</t>
  </si>
  <si>
    <t>Adicional de BAM</t>
  </si>
  <si>
    <t>Adicional de BVM1</t>
  </si>
  <si>
    <t>Adicional de BVM2</t>
  </si>
  <si>
    <t>Adicional de Escassez Hídrica</t>
  </si>
  <si>
    <t>B.Cálculo</t>
  </si>
  <si>
    <t>Alíquota</t>
  </si>
  <si>
    <t xml:space="preserve">Cofins </t>
  </si>
  <si>
    <t xml:space="preserve">ICMS </t>
  </si>
  <si>
    <t>Financeiros</t>
  </si>
  <si>
    <t>Valor Toltal a Pagar (R$)</t>
  </si>
  <si>
    <t xml:space="preserve">Tarifas </t>
  </si>
  <si>
    <t>Receita</t>
  </si>
  <si>
    <t>Receita Total</t>
  </si>
  <si>
    <t>KWh</t>
  </si>
  <si>
    <t>Tusd+TE</t>
  </si>
  <si>
    <t>Benefício Tarifa Social</t>
  </si>
  <si>
    <t>TUSD          X</t>
  </si>
  <si>
    <t xml:space="preserve">TE           </t>
  </si>
  <si>
    <t>B1 Baixa Renda</t>
  </si>
  <si>
    <t>sem considerar as bandeiras</t>
  </si>
  <si>
    <t>considerando as bandeiras no cálculo dos tributos</t>
  </si>
  <si>
    <t>NOVO</t>
  </si>
  <si>
    <t>ANTIGO</t>
  </si>
  <si>
    <t>PROPORCIONAL</t>
  </si>
  <si>
    <t>Desconto Bx renda</t>
  </si>
  <si>
    <t>Valor Bx Renda</t>
  </si>
  <si>
    <t>Adicional BVM1</t>
  </si>
  <si>
    <t>Adicional BVM2</t>
  </si>
  <si>
    <t>0 - 80</t>
  </si>
  <si>
    <t>&gt;80</t>
  </si>
  <si>
    <t>TUSD - Consumo 0 a 80</t>
  </si>
  <si>
    <t>TUSD - Consumo &gt; 80</t>
  </si>
  <si>
    <t>TE - Consumo 0 a 80</t>
  </si>
  <si>
    <t>TE - Consumo &gt; 80</t>
  </si>
  <si>
    <t>Energia Ativa Diferença 0-80</t>
  </si>
  <si>
    <t>TABELA  1 – TARIFAS DE APLICAÇÃO E BASE ECONÔMICA PARA O GRUPO A.</t>
  </si>
  <si>
    <t>SUBGRUPO</t>
  </si>
  <si>
    <t>MODALIDADE</t>
  </si>
  <si>
    <t>UC</t>
  </si>
  <si>
    <t>POSTO</t>
  </si>
  <si>
    <t>TARIFAS DE APLICAÇÃO</t>
  </si>
  <si>
    <t>BASE ECONÔMICA</t>
  </si>
  <si>
    <t>Reajuste</t>
  </si>
  <si>
    <t>Dia</t>
  </si>
  <si>
    <t>Mês</t>
  </si>
  <si>
    <t>Ano</t>
  </si>
  <si>
    <t xml:space="preserve">TE </t>
  </si>
  <si>
    <t>De</t>
  </si>
  <si>
    <t>07</t>
  </si>
  <si>
    <t>08</t>
  </si>
  <si>
    <t>R$/kW</t>
  </si>
  <si>
    <t>R$/MWh</t>
  </si>
  <si>
    <t>BVD – R$/MWh</t>
  </si>
  <si>
    <t>BAM – R$/MWh</t>
  </si>
  <si>
    <t>BVM – R$/MWh</t>
  </si>
  <si>
    <t>Até</t>
  </si>
  <si>
    <t>06</t>
  </si>
  <si>
    <t>AZUL</t>
  </si>
  <si>
    <t>NA</t>
  </si>
  <si>
    <t>P</t>
  </si>
  <si>
    <t>A1 (230 kV ou mais)</t>
  </si>
  <si>
    <t>FP</t>
  </si>
  <si>
    <t>AZUL APE</t>
  </si>
  <si>
    <t>A2 (88 a 138kV)</t>
  </si>
  <si>
    <t>DISTRIBUIÇÃO</t>
  </si>
  <si>
    <t>ELFSM</t>
  </si>
  <si>
    <t>GERAÇÃO</t>
  </si>
  <si>
    <t>UTE LASA</t>
  </si>
  <si>
    <t>UTE ALCON</t>
  </si>
  <si>
    <t>UTE SOL</t>
  </si>
  <si>
    <t>UHE MASCARENHAS - ENERGEST</t>
  </si>
  <si>
    <t>UHE SUICA</t>
  </si>
  <si>
    <t>PCH SAO JOAQUIM</t>
  </si>
  <si>
    <t>PCH SAO SIMAO</t>
  </si>
  <si>
    <t>PCH FRANCISCO GROSS</t>
  </si>
  <si>
    <t>PCH SAO PEDRO</t>
  </si>
  <si>
    <t>UTE LINHARES</t>
  </si>
  <si>
    <t>UTE ARCEL</t>
  </si>
  <si>
    <t>NOVO GERADOR</t>
  </si>
  <si>
    <t>A3 (69kV)</t>
  </si>
  <si>
    <t>A3a (30 a 44kV)</t>
  </si>
  <si>
    <t>VERDE APE</t>
  </si>
  <si>
    <t>CONVENCIONAL</t>
  </si>
  <si>
    <t>A4 (2,3 a 25kV)</t>
  </si>
  <si>
    <t>COELBA</t>
  </si>
  <si>
    <t>TABELA 2 – TARIFAS DE APLICAÇÃO E BASE ECONÔMICA PARA O GRUPO B.</t>
  </si>
  <si>
    <t>CLASSE</t>
  </si>
  <si>
    <t>SUBCLASSE</t>
  </si>
  <si>
    <t>TARIFAS BASE ECONÔMICA</t>
  </si>
  <si>
    <t>BRANCA</t>
  </si>
  <si>
    <t>RESIDENCIAL</t>
  </si>
  <si>
    <t>INT</t>
  </si>
  <si>
    <r>
      <t>BAIXA RENDA</t>
    </r>
    <r>
      <rPr>
        <vertAlign val="superscript"/>
        <sz val="8"/>
        <color theme="1"/>
        <rFont val="Times New Roman"/>
        <family val="1"/>
      </rPr>
      <t>(1)</t>
    </r>
  </si>
  <si>
    <t>RURAL</t>
  </si>
  <si>
    <t>COOPERATIVA DE ELETRIFICAÇÃO RURAL</t>
  </si>
  <si>
    <t>SERVIÇO PÚBLICO DE IRRIGAÇÃO RURAL</t>
  </si>
  <si>
    <t>B4</t>
  </si>
  <si>
    <t>ILUMINAÇÃO PÚBLICA</t>
  </si>
  <si>
    <t>B4a – REDE DE DISTRIBUIÇÃO</t>
  </si>
  <si>
    <t>B4b – BULBO DE LÂMPADA</t>
  </si>
  <si>
    <t xml:space="preserve">CLASSE </t>
  </si>
  <si>
    <t>TUSD FIO B (RTP 2024)</t>
  </si>
  <si>
    <t>TUSD FIO B (RTA 2025)</t>
  </si>
  <si>
    <t>PRÉ-PAGAMENTO</t>
  </si>
  <si>
    <t>BAIXA RENDA</t>
  </si>
  <si>
    <t>NÃO SE APLICA</t>
  </si>
  <si>
    <t>ILUMINAÇÃO PÚBLICA – B4A</t>
  </si>
  <si>
    <t>ILUMINAÇÃO PÚBLICA – B4B</t>
  </si>
  <si>
    <t>B</t>
  </si>
  <si>
    <t>TIPO 01</t>
  </si>
  <si>
    <t>TIPO 02</t>
  </si>
  <si>
    <t>Desconto Res 1000</t>
  </si>
  <si>
    <t>Indígena</t>
  </si>
  <si>
    <t>Bx Renda</t>
  </si>
  <si>
    <t>INDÍGENA</t>
  </si>
  <si>
    <t>Desconto Res 414</t>
  </si>
  <si>
    <t>desconto</t>
  </si>
  <si>
    <t>Adicional de Bandeira</t>
  </si>
  <si>
    <t>B4a</t>
  </si>
  <si>
    <t>-</t>
  </si>
  <si>
    <t>Bõnus/Descontos</t>
  </si>
  <si>
    <t>Retenção IR</t>
  </si>
  <si>
    <t>Fatura B4a - Iluminação Pública</t>
  </si>
  <si>
    <t>Retenção PIS/PASEP</t>
  </si>
  <si>
    <t>Retenção CSLL</t>
  </si>
  <si>
    <t>Retenção COFINS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</si>
</sst>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_(&quot;R$&quot;* #,##0.00_);_(&quot;R$&quot;* \(#,##0.00\);_(&quot;R$&quot;* &quot;-&quot;??_);_(@_)"/>
    <numFmt numFmtId="166" formatCode="0.00000000"/>
    <numFmt numFmtId="167" formatCode="0.0000000"/>
    <numFmt numFmtId="168" formatCode="0.00000"/>
    <numFmt numFmtId="169" formatCode="0.0000"/>
    <numFmt numFmtId="170" formatCode="_-* #,##0.00000_-;\-* #,##0.00000_-;_-* &quot;-&quot;??_-;_-@_-"/>
    <numFmt numFmtId="171" formatCode="0.000000"/>
    <numFmt numFmtId="172" formatCode="0.000"/>
    <numFmt numFmtId="173" formatCode="0.00000%"/>
    <numFmt numFmtId="174" formatCode="#,##0.00_ ;[Red]\-#,##0.00\ "/>
    <numFmt numFmtId="175" formatCode="#,##0_ ;[Red]\-#,##0\ "/>
    <numFmt numFmtId="176" formatCode="_(&quot;R$ &quot;* #,##0.00_);_(&quot;R$ &quot;* \(#,##0.00\);_(&quot;R$ &quot;* &quot;-&quot;??_);_(@_)"/>
    <numFmt numFmtId="177" formatCode="_-* #,##0.00_-;\-* #,##0.00_-;_-* &quot;-&quot;????????_-;_-@_-"/>
    <numFmt numFmtId="178" formatCode="#,##0.00_ ;\-#,##0.00\ "/>
    <numFmt numFmtId="179" formatCode="_-* #,##0.00000000_-;\-* #,##0.00000000_-;_-* &quot;-&quot;????????_-;_-@_-"/>
    <numFmt numFmtId="180" formatCode="0.000000000"/>
    <numFmt numFmtId="181" formatCode="_-* #,##0.0000_-;\-* #,##0.0000_-;_-* &quot;-&quot;??_-;_-@_-"/>
    <numFmt numFmtId="182" formatCode="_(* #,##0.0000_);_(* \(#,##0.0000\);_(* &quot;-&quot;??_);_(@_)"/>
    <numFmt numFmtId="183" formatCode="_-* #,##0.0000_-;\-* #,##0.0000_-;_-* &quot;-&quot;????_-;_-@_-"/>
  </numFmts>
  <fonts count="50" x14ac:knownFonts="1">
    <font>
      <sz val="11"/>
      <color theme="1"/>
      <name val="Calibri"/>
      <family val="2"/>
      <scheme val="minor"/>
    </font>
    <font>
      <sz val="10"/>
      <color theme="1"/>
      <name val="Century Gothic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rgb="FF0000FF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0"/>
      <color theme="1"/>
      <name val="Times New Roman"/>
      <family val="1"/>
    </font>
    <font>
      <sz val="8"/>
      <color theme="1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8"/>
      <name val="Times New Roman"/>
      <family val="1"/>
    </font>
    <font>
      <sz val="8"/>
      <name val="Times New Roman"/>
      <family val="1"/>
    </font>
    <font>
      <sz val="8"/>
      <color theme="1"/>
      <name val="Times New Roman"/>
      <family val="1"/>
    </font>
    <font>
      <sz val="9"/>
      <color theme="1"/>
      <name val="Calibri"/>
      <family val="2"/>
    </font>
    <font>
      <b/>
      <sz val="8"/>
      <color theme="1"/>
      <name val="Times New Roman"/>
      <family val="1"/>
    </font>
    <font>
      <vertAlign val="superscript"/>
      <sz val="8"/>
      <color theme="1"/>
      <name val="Times New Roman"/>
      <family val="1"/>
    </font>
    <font>
      <b/>
      <sz val="10"/>
      <color rgb="FF0000FF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0"/>
      <color rgb="FF0033CC"/>
      <name val="Calibri"/>
      <family val="2"/>
      <scheme val="minor"/>
    </font>
    <font>
      <b/>
      <sz val="8"/>
      <color theme="1"/>
      <name val="Arial"/>
      <family val="2"/>
    </font>
    <font>
      <b/>
      <sz val="8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8"/>
      <color rgb="FFFF0000"/>
      <name val="Arial"/>
      <family val="2"/>
    </font>
    <font>
      <sz val="8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Segoe UI"/>
      <family val="2"/>
    </font>
    <font>
      <sz val="12"/>
      <color rgb="FF212E3E"/>
      <name val="Segoe UI"/>
      <family val="2"/>
    </font>
    <font>
      <sz val="9"/>
      <color indexed="81"/>
      <name val="Segoe UI"/>
      <family val="2"/>
    </font>
    <font>
      <sz val="11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9D1EB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0">
    <xf numFmtId="0" fontId="0" fillId="0" borderId="0"/>
    <xf numFmtId="0" fontId="1" fillId="0" borderId="0"/>
    <xf numFmtId="37" fontId="2" fillId="0" borderId="0"/>
    <xf numFmtId="165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2" fillId="0" borderId="0"/>
    <xf numFmtId="43" fontId="3" fillId="0" borderId="0" applyFont="0" applyFill="0" applyBorder="0" applyAlignment="0" applyProtection="0"/>
  </cellStyleXfs>
  <cellXfs count="53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3" fillId="0" borderId="0" xfId="0" applyFont="1"/>
    <xf numFmtId="168" fontId="6" fillId="0" borderId="1" xfId="1" applyNumberFormat="1" applyFont="1" applyBorder="1"/>
    <xf numFmtId="2" fontId="6" fillId="0" borderId="1" xfId="1" applyNumberFormat="1" applyFont="1" applyBorder="1"/>
    <xf numFmtId="2" fontId="3" fillId="0" borderId="0" xfId="0" applyNumberFormat="1" applyFont="1"/>
    <xf numFmtId="169" fontId="6" fillId="0" borderId="1" xfId="1" applyNumberFormat="1" applyFont="1" applyBorder="1"/>
    <xf numFmtId="0" fontId="4" fillId="0" borderId="0" xfId="0" applyFont="1"/>
    <xf numFmtId="0" fontId="8" fillId="0" borderId="0" xfId="0" applyFont="1"/>
    <xf numFmtId="2" fontId="9" fillId="6" borderId="1" xfId="1" applyNumberFormat="1" applyFont="1" applyFill="1" applyBorder="1"/>
    <xf numFmtId="0" fontId="5" fillId="0" borderId="0" xfId="0" applyFont="1"/>
    <xf numFmtId="2" fontId="0" fillId="0" borderId="0" xfId="0" applyNumberFormat="1"/>
    <xf numFmtId="0" fontId="5" fillId="2" borderId="0" xfId="0" applyFont="1" applyFill="1"/>
    <xf numFmtId="4" fontId="0" fillId="2" borderId="0" xfId="0" applyNumberFormat="1" applyFill="1"/>
    <xf numFmtId="0" fontId="6" fillId="0" borderId="0" xfId="0" applyFont="1"/>
    <xf numFmtId="9" fontId="0" fillId="0" borderId="10" xfId="0" applyNumberFormat="1" applyBorder="1" applyAlignment="1">
      <alignment vertical="center" wrapText="1"/>
    </xf>
    <xf numFmtId="0" fontId="14" fillId="4" borderId="1" xfId="1" applyFont="1" applyFill="1" applyBorder="1" applyAlignment="1">
      <alignment horizontal="center" vertical="center"/>
    </xf>
    <xf numFmtId="0" fontId="14" fillId="4" borderId="6" xfId="1" applyFont="1" applyFill="1" applyBorder="1" applyAlignment="1">
      <alignment horizontal="center" vertical="center" wrapText="1"/>
    </xf>
    <xf numFmtId="0" fontId="14" fillId="4" borderId="6" xfId="1" applyFont="1" applyFill="1" applyBorder="1" applyAlignment="1">
      <alignment horizontal="center" vertical="justify"/>
    </xf>
    <xf numFmtId="0" fontId="14" fillId="4" borderId="6" xfId="1" applyFont="1" applyFill="1" applyBorder="1" applyAlignment="1">
      <alignment horizontal="center"/>
    </xf>
    <xf numFmtId="0" fontId="16" fillId="0" borderId="0" xfId="0" applyFont="1"/>
    <xf numFmtId="164" fontId="5" fillId="0" borderId="0" xfId="4" applyFont="1" applyFill="1"/>
    <xf numFmtId="0" fontId="17" fillId="0" borderId="0" xfId="0" applyFont="1"/>
    <xf numFmtId="10" fontId="18" fillId="0" borderId="12" xfId="5" applyNumberFormat="1" applyFont="1" applyFill="1" applyBorder="1" applyAlignment="1">
      <alignment horizontal="right" vertical="center"/>
    </xf>
    <xf numFmtId="10" fontId="18" fillId="7" borderId="12" xfId="5" quotePrefix="1" applyNumberFormat="1" applyFont="1" applyFill="1" applyBorder="1" applyAlignment="1">
      <alignment horizontal="right" vertical="center"/>
    </xf>
    <xf numFmtId="10" fontId="18" fillId="0" borderId="12" xfId="5" quotePrefix="1" applyNumberFormat="1" applyFont="1" applyFill="1" applyBorder="1" applyAlignment="1">
      <alignment horizontal="right" vertical="center"/>
    </xf>
    <xf numFmtId="0" fontId="0" fillId="0" borderId="0" xfId="0" applyAlignment="1">
      <alignment horizontal="right"/>
    </xf>
    <xf numFmtId="164" fontId="0" fillId="0" borderId="13" xfId="0" applyNumberFormat="1" applyBorder="1"/>
    <xf numFmtId="164" fontId="5" fillId="7" borderId="0" xfId="0" applyNumberFormat="1" applyFont="1" applyFill="1"/>
    <xf numFmtId="2" fontId="9" fillId="3" borderId="1" xfId="1" applyNumberFormat="1" applyFont="1" applyFill="1" applyBorder="1"/>
    <xf numFmtId="2" fontId="5" fillId="0" borderId="0" xfId="0" applyNumberFormat="1" applyFont="1"/>
    <xf numFmtId="0" fontId="3" fillId="0" borderId="1" xfId="0" applyFont="1" applyBorder="1"/>
    <xf numFmtId="164" fontId="0" fillId="0" borderId="0" xfId="4" applyFont="1"/>
    <xf numFmtId="170" fontId="6" fillId="0" borderId="1" xfId="1" applyNumberFormat="1" applyFont="1" applyBorder="1"/>
    <xf numFmtId="2" fontId="16" fillId="0" borderId="0" xfId="0" applyNumberFormat="1" applyFont="1"/>
    <xf numFmtId="2" fontId="17" fillId="0" borderId="1" xfId="0" applyNumberFormat="1" applyFont="1" applyBorder="1"/>
    <xf numFmtId="2" fontId="3" fillId="0" borderId="0" xfId="0" applyNumberFormat="1" applyFont="1" applyAlignment="1">
      <alignment horizontal="right"/>
    </xf>
    <xf numFmtId="0" fontId="0" fillId="0" borderId="0" xfId="0" applyAlignment="1">
      <alignment horizontal="center"/>
    </xf>
    <xf numFmtId="0" fontId="21" fillId="5" borderId="11" xfId="0" applyFont="1" applyFill="1" applyBorder="1" applyAlignment="1">
      <alignment horizontal="center" vertical="center"/>
    </xf>
    <xf numFmtId="168" fontId="20" fillId="5" borderId="18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64" fontId="5" fillId="7" borderId="0" xfId="4" applyFont="1" applyFill="1"/>
    <xf numFmtId="0" fontId="10" fillId="3" borderId="0" xfId="0" applyFont="1" applyFill="1" applyAlignment="1">
      <alignment vertical="center"/>
    </xf>
    <xf numFmtId="0" fontId="22" fillId="0" borderId="0" xfId="0" applyFont="1"/>
    <xf numFmtId="172" fontId="8" fillId="0" borderId="1" xfId="0" applyNumberFormat="1" applyFont="1" applyBorder="1"/>
    <xf numFmtId="43" fontId="0" fillId="0" borderId="0" xfId="0" applyNumberFormat="1"/>
    <xf numFmtId="0" fontId="6" fillId="0" borderId="10" xfId="0" applyFont="1" applyBorder="1" applyAlignment="1">
      <alignment horizontal="center" vertical="center"/>
    </xf>
    <xf numFmtId="168" fontId="6" fillId="0" borderId="10" xfId="0" applyNumberFormat="1" applyFont="1" applyBorder="1" applyAlignment="1">
      <alignment horizontal="center" vertical="center"/>
    </xf>
    <xf numFmtId="164" fontId="0" fillId="0" borderId="0" xfId="0" applyNumberFormat="1"/>
    <xf numFmtId="172" fontId="8" fillId="0" borderId="0" xfId="0" applyNumberFormat="1" applyFont="1"/>
    <xf numFmtId="0" fontId="24" fillId="0" borderId="0" xfId="0" applyFont="1" applyAlignment="1">
      <alignment vertical="center"/>
    </xf>
    <xf numFmtId="0" fontId="3" fillId="0" borderId="7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173" fontId="6" fillId="2" borderId="0" xfId="0" applyNumberFormat="1" applyFont="1" applyFill="1"/>
    <xf numFmtId="0" fontId="6" fillId="2" borderId="10" xfId="0" applyFont="1" applyFill="1" applyBorder="1"/>
    <xf numFmtId="0" fontId="9" fillId="2" borderId="10" xfId="0" applyFont="1" applyFill="1" applyBorder="1" applyAlignment="1">
      <alignment horizontal="center"/>
    </xf>
    <xf numFmtId="164" fontId="6" fillId="2" borderId="10" xfId="4" applyFont="1" applyFill="1" applyBorder="1"/>
    <xf numFmtId="43" fontId="6" fillId="2" borderId="10" xfId="0" applyNumberFormat="1" applyFont="1" applyFill="1" applyBorder="1"/>
    <xf numFmtId="0" fontId="9" fillId="2" borderId="10" xfId="0" applyFont="1" applyFill="1" applyBorder="1"/>
    <xf numFmtId="164" fontId="9" fillId="2" borderId="10" xfId="0" applyNumberFormat="1" applyFont="1" applyFill="1" applyBorder="1"/>
    <xf numFmtId="10" fontId="6" fillId="0" borderId="0" xfId="0" applyNumberFormat="1" applyFont="1"/>
    <xf numFmtId="0" fontId="6" fillId="2" borderId="0" xfId="0" applyFont="1" applyFill="1"/>
    <xf numFmtId="0" fontId="14" fillId="4" borderId="9" xfId="1" applyFont="1" applyFill="1" applyBorder="1" applyAlignment="1">
      <alignment horizontal="center" vertical="center" wrapText="1"/>
    </xf>
    <xf numFmtId="0" fontId="27" fillId="13" borderId="1" xfId="8" applyFont="1" applyFill="1" applyBorder="1" applyAlignment="1">
      <alignment horizontal="center"/>
    </xf>
    <xf numFmtId="0" fontId="26" fillId="12" borderId="3" xfId="0" applyFont="1" applyFill="1" applyBorder="1" applyAlignment="1">
      <alignment horizontal="center" vertical="center" wrapText="1"/>
    </xf>
    <xf numFmtId="0" fontId="27" fillId="9" borderId="1" xfId="8" applyFont="1" applyFill="1" applyBorder="1" applyAlignment="1">
      <alignment horizontal="center"/>
    </xf>
    <xf numFmtId="49" fontId="28" fillId="14" borderId="1" xfId="8" applyNumberFormat="1" applyFont="1" applyFill="1" applyBorder="1" applyAlignment="1" applyProtection="1">
      <alignment horizontal="center"/>
      <protection locked="0"/>
    </xf>
    <xf numFmtId="0" fontId="28" fillId="14" borderId="1" xfId="8" applyFont="1" applyFill="1" applyBorder="1" applyAlignment="1" applyProtection="1">
      <alignment horizontal="center"/>
      <protection locked="0"/>
    </xf>
    <xf numFmtId="0" fontId="26" fillId="11" borderId="3" xfId="0" applyFont="1" applyFill="1" applyBorder="1" applyAlignment="1">
      <alignment horizontal="center" vertical="center" wrapText="1"/>
    </xf>
    <xf numFmtId="0" fontId="26" fillId="7" borderId="3" xfId="0" applyFont="1" applyFill="1" applyBorder="1" applyAlignment="1">
      <alignment horizontal="center" vertical="center" wrapText="1"/>
    </xf>
    <xf numFmtId="0" fontId="26" fillId="5" borderId="3" xfId="0" applyFont="1" applyFill="1" applyBorder="1" applyAlignment="1">
      <alignment horizontal="center" vertical="center" wrapText="1"/>
    </xf>
    <xf numFmtId="49" fontId="28" fillId="9" borderId="1" xfId="8" applyNumberFormat="1" applyFont="1" applyFill="1" applyBorder="1" applyAlignment="1" applyProtection="1">
      <alignment horizontal="center"/>
      <protection locked="0"/>
    </xf>
    <xf numFmtId="0" fontId="28" fillId="9" borderId="1" xfId="8" applyFont="1" applyFill="1" applyBorder="1" applyAlignment="1" applyProtection="1">
      <alignment horizontal="center"/>
      <protection locked="0"/>
    </xf>
    <xf numFmtId="0" fontId="19" fillId="12" borderId="0" xfId="0" applyFont="1" applyFill="1"/>
    <xf numFmtId="0" fontId="29" fillId="0" borderId="3" xfId="0" applyFont="1" applyBorder="1" applyAlignment="1">
      <alignment horizontal="center" vertical="center" wrapText="1"/>
    </xf>
    <xf numFmtId="43" fontId="30" fillId="14" borderId="1" xfId="9" applyFont="1" applyFill="1" applyBorder="1" applyAlignment="1">
      <alignment horizontal="center" vertical="center" wrapText="1"/>
    </xf>
    <xf numFmtId="2" fontId="31" fillId="0" borderId="0" xfId="0" applyNumberFormat="1" applyFont="1" applyAlignment="1">
      <alignment horizontal="center" vertical="center" wrapText="1"/>
    </xf>
    <xf numFmtId="2" fontId="31" fillId="0" borderId="4" xfId="0" applyNumberFormat="1" applyFont="1" applyBorder="1" applyAlignment="1">
      <alignment horizontal="center" vertical="center" wrapText="1"/>
    </xf>
    <xf numFmtId="2" fontId="31" fillId="0" borderId="0" xfId="0" applyNumberFormat="1" applyFont="1" applyAlignment="1">
      <alignment horizontal="right" vertical="center" wrapText="1"/>
    </xf>
    <xf numFmtId="2" fontId="31" fillId="0" borderId="5" xfId="0" applyNumberFormat="1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/>
    </xf>
    <xf numFmtId="0" fontId="29" fillId="2" borderId="3" xfId="0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31" fillId="12" borderId="3" xfId="0" applyFont="1" applyFill="1" applyBorder="1" applyAlignment="1">
      <alignment horizontal="center" vertical="center" wrapText="1"/>
    </xf>
    <xf numFmtId="0" fontId="31" fillId="12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31" fillId="7" borderId="5" xfId="0" applyFont="1" applyFill="1" applyBorder="1" applyAlignment="1">
      <alignment horizontal="center" vertical="center" wrapText="1"/>
    </xf>
    <xf numFmtId="0" fontId="31" fillId="5" borderId="5" xfId="0" applyFont="1" applyFill="1" applyBorder="1" applyAlignment="1">
      <alignment horizontal="center" vertical="center" wrapText="1"/>
    </xf>
    <xf numFmtId="0" fontId="30" fillId="0" borderId="2" xfId="0" applyFont="1" applyBorder="1" applyAlignment="1">
      <alignment horizontal="center" vertical="center" wrapText="1"/>
    </xf>
    <xf numFmtId="169" fontId="0" fillId="0" borderId="0" xfId="0" applyNumberFormat="1"/>
    <xf numFmtId="0" fontId="31" fillId="0" borderId="3" xfId="0" applyFont="1" applyBorder="1" applyAlignment="1">
      <alignment horizontal="center" vertical="center" wrapText="1"/>
    </xf>
    <xf numFmtId="0" fontId="6" fillId="2" borderId="28" xfId="0" applyFont="1" applyFill="1" applyBorder="1" applyAlignment="1">
      <alignment horizontal="center" vertical="center"/>
    </xf>
    <xf numFmtId="0" fontId="9" fillId="16" borderId="10" xfId="0" applyFont="1" applyFill="1" applyBorder="1" applyAlignment="1">
      <alignment horizontal="center" vertical="center" wrapText="1"/>
    </xf>
    <xf numFmtId="0" fontId="22" fillId="2" borderId="0" xfId="0" applyFont="1" applyFill="1" applyAlignment="1">
      <alignment horizontal="center" vertical="center"/>
    </xf>
    <xf numFmtId="0" fontId="24" fillId="0" borderId="19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6" fillId="10" borderId="0" xfId="0" applyFont="1" applyFill="1"/>
    <xf numFmtId="0" fontId="0" fillId="2" borderId="0" xfId="0" applyFill="1" applyAlignment="1">
      <alignment horizontal="right" vertical="center"/>
    </xf>
    <xf numFmtId="0" fontId="16" fillId="2" borderId="0" xfId="0" applyFont="1" applyFill="1" applyAlignment="1">
      <alignment vertical="center"/>
    </xf>
    <xf numFmtId="14" fontId="22" fillId="6" borderId="10" xfId="0" applyNumberFormat="1" applyFont="1" applyFill="1" applyBorder="1" applyAlignment="1">
      <alignment horizontal="center" vertical="center"/>
    </xf>
    <xf numFmtId="0" fontId="15" fillId="0" borderId="21" xfId="0" applyFont="1" applyBorder="1" applyAlignment="1">
      <alignment vertical="center"/>
    </xf>
    <xf numFmtId="3" fontId="6" fillId="2" borderId="10" xfId="0" applyNumberFormat="1" applyFont="1" applyFill="1" applyBorder="1" applyAlignment="1">
      <alignment horizontal="center" vertical="center"/>
    </xf>
    <xf numFmtId="14" fontId="17" fillId="2" borderId="10" xfId="0" applyNumberFormat="1" applyFont="1" applyFill="1" applyBorder="1" applyAlignment="1">
      <alignment horizontal="center" vertical="center"/>
    </xf>
    <xf numFmtId="3" fontId="17" fillId="2" borderId="10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3" fontId="6" fillId="0" borderId="0" xfId="0" applyNumberFormat="1" applyFont="1" applyAlignment="1">
      <alignment vertical="center"/>
    </xf>
    <xf numFmtId="0" fontId="5" fillId="2" borderId="0" xfId="0" applyFont="1" applyFill="1" applyAlignment="1">
      <alignment vertical="center"/>
    </xf>
    <xf numFmtId="0" fontId="0" fillId="2" borderId="29" xfId="0" applyFill="1" applyBorder="1" applyAlignment="1">
      <alignment vertical="center"/>
    </xf>
    <xf numFmtId="0" fontId="0" fillId="2" borderId="30" xfId="0" applyFill="1" applyBorder="1" applyAlignment="1">
      <alignment horizontal="right" vertical="center"/>
    </xf>
    <xf numFmtId="164" fontId="11" fillId="2" borderId="0" xfId="4" applyFont="1" applyFill="1" applyBorder="1" applyAlignment="1">
      <alignment vertical="center"/>
    </xf>
    <xf numFmtId="166" fontId="0" fillId="0" borderId="0" xfId="0" applyNumberFormat="1" applyAlignment="1">
      <alignment vertical="center"/>
    </xf>
    <xf numFmtId="4" fontId="0" fillId="2" borderId="30" xfId="0" applyNumberFormat="1" applyFill="1" applyBorder="1" applyAlignment="1">
      <alignment vertical="center"/>
    </xf>
    <xf numFmtId="166" fontId="0" fillId="2" borderId="0" xfId="0" applyNumberFormat="1" applyFill="1" applyAlignment="1">
      <alignment vertical="center"/>
    </xf>
    <xf numFmtId="167" fontId="0" fillId="2" borderId="0" xfId="0" applyNumberFormat="1" applyFill="1" applyAlignment="1">
      <alignment vertical="center"/>
    </xf>
    <xf numFmtId="0" fontId="11" fillId="2" borderId="0" xfId="0" applyFont="1" applyFill="1" applyAlignment="1">
      <alignment vertical="center"/>
    </xf>
    <xf numFmtId="0" fontId="0" fillId="2" borderId="30" xfId="0" applyFill="1" applyBorder="1" applyAlignment="1">
      <alignment vertical="center"/>
    </xf>
    <xf numFmtId="164" fontId="13" fillId="2" borderId="0" xfId="4" applyFont="1" applyFill="1" applyBorder="1" applyAlignment="1">
      <alignment vertical="center"/>
    </xf>
    <xf numFmtId="168" fontId="0" fillId="2" borderId="0" xfId="0" applyNumberFormat="1" applyFill="1" applyAlignment="1">
      <alignment vertical="center"/>
    </xf>
    <xf numFmtId="0" fontId="13" fillId="2" borderId="0" xfId="0" applyFont="1" applyFill="1" applyAlignment="1">
      <alignment vertical="center"/>
    </xf>
    <xf numFmtId="0" fontId="16" fillId="2" borderId="29" xfId="0" applyFont="1" applyFill="1" applyBorder="1" applyAlignment="1">
      <alignment vertical="center"/>
    </xf>
    <xf numFmtId="4" fontId="16" fillId="2" borderId="30" xfId="0" applyNumberFormat="1" applyFont="1" applyFill="1" applyBorder="1" applyAlignment="1">
      <alignment vertical="center"/>
    </xf>
    <xf numFmtId="0" fontId="0" fillId="2" borderId="31" xfId="0" applyFill="1" applyBorder="1" applyAlignment="1">
      <alignment vertical="center"/>
    </xf>
    <xf numFmtId="0" fontId="0" fillId="2" borderId="32" xfId="0" applyFill="1" applyBorder="1" applyAlignment="1">
      <alignment vertical="center"/>
    </xf>
    <xf numFmtId="164" fontId="11" fillId="2" borderId="32" xfId="4" applyFont="1" applyFill="1" applyBorder="1" applyAlignment="1">
      <alignment vertical="center"/>
    </xf>
    <xf numFmtId="171" fontId="0" fillId="2" borderId="32" xfId="0" applyNumberFormat="1" applyFill="1" applyBorder="1" applyAlignment="1">
      <alignment vertical="center"/>
    </xf>
    <xf numFmtId="4" fontId="0" fillId="2" borderId="17" xfId="0" applyNumberFormat="1" applyFill="1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6" xfId="0" applyBorder="1" applyAlignment="1">
      <alignment vertical="center"/>
    </xf>
    <xf numFmtId="4" fontId="5" fillId="2" borderId="30" xfId="0" applyNumberFormat="1" applyFont="1" applyFill="1" applyBorder="1" applyAlignment="1">
      <alignment vertical="center"/>
    </xf>
    <xf numFmtId="4" fontId="5" fillId="2" borderId="0" xfId="0" applyNumberFormat="1" applyFont="1" applyFill="1" applyAlignment="1">
      <alignment vertical="center"/>
    </xf>
    <xf numFmtId="4" fontId="0" fillId="2" borderId="0" xfId="0" applyNumberFormat="1" applyFill="1" applyAlignment="1">
      <alignment vertical="center"/>
    </xf>
    <xf numFmtId="0" fontId="0" fillId="2" borderId="17" xfId="0" applyFill="1" applyBorder="1" applyAlignment="1">
      <alignment vertical="center"/>
    </xf>
    <xf numFmtId="0" fontId="6" fillId="2" borderId="0" xfId="0" applyFont="1" applyFill="1" applyAlignment="1">
      <alignment vertical="center"/>
    </xf>
    <xf numFmtId="0" fontId="6" fillId="2" borderId="10" xfId="0" applyFont="1" applyFill="1" applyBorder="1" applyAlignment="1">
      <alignment vertical="center"/>
    </xf>
    <xf numFmtId="0" fontId="9" fillId="2" borderId="10" xfId="0" applyFont="1" applyFill="1" applyBorder="1" applyAlignment="1">
      <alignment horizontal="center" vertical="center"/>
    </xf>
    <xf numFmtId="164" fontId="6" fillId="2" borderId="10" xfId="4" applyFont="1" applyFill="1" applyBorder="1" applyAlignment="1">
      <alignment vertical="center"/>
    </xf>
    <xf numFmtId="43" fontId="6" fillId="2" borderId="10" xfId="0" applyNumberFormat="1" applyFont="1" applyFill="1" applyBorder="1" applyAlignment="1">
      <alignment vertical="center"/>
    </xf>
    <xf numFmtId="0" fontId="9" fillId="2" borderId="10" xfId="0" applyFont="1" applyFill="1" applyBorder="1" applyAlignment="1">
      <alignment vertical="center"/>
    </xf>
    <xf numFmtId="164" fontId="9" fillId="2" borderId="10" xfId="0" applyNumberFormat="1" applyFont="1" applyFill="1" applyBorder="1" applyAlignment="1">
      <alignment vertical="center"/>
    </xf>
    <xf numFmtId="10" fontId="6" fillId="0" borderId="0" xfId="0" applyNumberFormat="1" applyFont="1" applyAlignment="1">
      <alignment vertical="center"/>
    </xf>
    <xf numFmtId="0" fontId="6" fillId="10" borderId="0" xfId="0" applyFont="1" applyFill="1" applyAlignment="1">
      <alignment vertical="center"/>
    </xf>
    <xf numFmtId="171" fontId="0" fillId="2" borderId="0" xfId="0" applyNumberFormat="1" applyFill="1" applyAlignment="1">
      <alignment vertical="center"/>
    </xf>
    <xf numFmtId="0" fontId="0" fillId="2" borderId="14" xfId="0" applyFill="1" applyBorder="1" applyAlignment="1">
      <alignment vertical="center"/>
    </xf>
    <xf numFmtId="4" fontId="0" fillId="0" borderId="16" xfId="0" applyNumberFormat="1" applyBorder="1" applyAlignment="1">
      <alignment vertical="center"/>
    </xf>
    <xf numFmtId="9" fontId="11" fillId="7" borderId="0" xfId="0" applyNumberFormat="1" applyFont="1" applyFill="1" applyAlignment="1">
      <alignment vertical="center"/>
    </xf>
    <xf numFmtId="0" fontId="5" fillId="2" borderId="19" xfId="0" applyFont="1" applyFill="1" applyBorder="1" applyAlignment="1">
      <alignment vertical="center"/>
    </xf>
    <xf numFmtId="0" fontId="5" fillId="0" borderId="20" xfId="0" applyFont="1" applyBorder="1" applyAlignment="1">
      <alignment vertical="center"/>
    </xf>
    <xf numFmtId="4" fontId="5" fillId="0" borderId="18" xfId="0" applyNumberFormat="1" applyFont="1" applyBorder="1" applyAlignment="1">
      <alignment vertical="center"/>
    </xf>
    <xf numFmtId="0" fontId="0" fillId="2" borderId="18" xfId="0" applyFill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2" fontId="3" fillId="0" borderId="0" xfId="0" applyNumberFormat="1" applyFont="1" applyAlignment="1">
      <alignment vertical="center"/>
    </xf>
    <xf numFmtId="0" fontId="17" fillId="0" borderId="0" xfId="0" applyFont="1" applyAlignment="1">
      <alignment vertical="center"/>
    </xf>
    <xf numFmtId="164" fontId="0" fillId="0" borderId="0" xfId="4" applyFont="1" applyAlignment="1">
      <alignment vertical="center"/>
    </xf>
    <xf numFmtId="164" fontId="5" fillId="0" borderId="0" xfId="4" applyFont="1" applyFill="1" applyAlignment="1">
      <alignment vertical="center"/>
    </xf>
    <xf numFmtId="164" fontId="5" fillId="7" borderId="0" xfId="4" applyFont="1" applyFill="1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164" fontId="0" fillId="0" borderId="13" xfId="0" applyNumberFormat="1" applyBorder="1" applyAlignment="1">
      <alignment vertical="center"/>
    </xf>
    <xf numFmtId="164" fontId="0" fillId="0" borderId="0" xfId="0" applyNumberFormat="1" applyAlignment="1">
      <alignment vertical="center"/>
    </xf>
    <xf numFmtId="164" fontId="5" fillId="7" borderId="0" xfId="0" applyNumberFormat="1" applyFont="1" applyFill="1" applyAlignment="1">
      <alignment vertical="center"/>
    </xf>
    <xf numFmtId="14" fontId="6" fillId="2" borderId="0" xfId="0" applyNumberFormat="1" applyFont="1" applyFill="1" applyAlignment="1">
      <alignment vertical="center"/>
    </xf>
    <xf numFmtId="0" fontId="0" fillId="2" borderId="30" xfId="0" applyFill="1" applyBorder="1" applyAlignment="1">
      <alignment horizontal="center" vertical="center"/>
    </xf>
    <xf numFmtId="9" fontId="9" fillId="18" borderId="0" xfId="0" applyNumberFormat="1" applyFont="1" applyFill="1" applyAlignment="1">
      <alignment vertical="center"/>
    </xf>
    <xf numFmtId="10" fontId="0" fillId="2" borderId="0" xfId="5" applyNumberFormat="1" applyFont="1" applyFill="1" applyBorder="1" applyAlignment="1">
      <alignment vertical="center"/>
    </xf>
    <xf numFmtId="43" fontId="0" fillId="2" borderId="0" xfId="0" applyNumberFormat="1" applyFill="1"/>
    <xf numFmtId="0" fontId="36" fillId="2" borderId="33" xfId="0" applyFont="1" applyFill="1" applyBorder="1" applyAlignment="1">
      <alignment horizontal="right" vertical="center"/>
    </xf>
    <xf numFmtId="2" fontId="12" fillId="2" borderId="0" xfId="0" applyNumberFormat="1" applyFont="1" applyFill="1" applyAlignment="1">
      <alignment vertical="center"/>
    </xf>
    <xf numFmtId="0" fontId="37" fillId="0" borderId="0" xfId="0" applyFont="1" applyAlignment="1">
      <alignment vertical="center"/>
    </xf>
    <xf numFmtId="174" fontId="36" fillId="0" borderId="0" xfId="0" applyNumberFormat="1" applyFont="1" applyAlignment="1">
      <alignment horizontal="center" vertical="center"/>
    </xf>
    <xf numFmtId="174" fontId="36" fillId="0" borderId="0" xfId="0" applyNumberFormat="1" applyFont="1" applyAlignment="1">
      <alignment vertical="center"/>
    </xf>
    <xf numFmtId="0" fontId="12" fillId="0" borderId="0" xfId="0" applyFont="1" applyAlignment="1">
      <alignment vertical="center"/>
    </xf>
    <xf numFmtId="43" fontId="0" fillId="0" borderId="0" xfId="0" applyNumberFormat="1" applyAlignment="1">
      <alignment vertical="center"/>
    </xf>
    <xf numFmtId="176" fontId="0" fillId="2" borderId="0" xfId="0" applyNumberFormat="1" applyFill="1" applyAlignment="1">
      <alignment vertical="center"/>
    </xf>
    <xf numFmtId="176" fontId="0" fillId="0" borderId="0" xfId="0" applyNumberFormat="1" applyAlignment="1">
      <alignment vertical="center"/>
    </xf>
    <xf numFmtId="0" fontId="6" fillId="0" borderId="0" xfId="0" applyFont="1" applyAlignment="1">
      <alignment horizontal="left"/>
    </xf>
    <xf numFmtId="1" fontId="6" fillId="0" borderId="1" xfId="1" applyNumberFormat="1" applyFont="1" applyBorder="1"/>
    <xf numFmtId="0" fontId="24" fillId="2" borderId="0" xfId="0" applyFont="1" applyFill="1" applyAlignment="1">
      <alignment vertical="center"/>
    </xf>
    <xf numFmtId="2" fontId="9" fillId="0" borderId="1" xfId="1" applyNumberFormat="1" applyFont="1" applyBorder="1"/>
    <xf numFmtId="0" fontId="7" fillId="0" borderId="0" xfId="0" applyFont="1" applyAlignment="1">
      <alignment horizontal="right"/>
    </xf>
    <xf numFmtId="2" fontId="36" fillId="6" borderId="1" xfId="1" applyNumberFormat="1" applyFont="1" applyFill="1" applyBorder="1"/>
    <xf numFmtId="2" fontId="6" fillId="0" borderId="0" xfId="0" applyNumberFormat="1" applyFont="1"/>
    <xf numFmtId="2" fontId="36" fillId="0" borderId="0" xfId="0" applyNumberFormat="1" applyFont="1"/>
    <xf numFmtId="164" fontId="12" fillId="0" borderId="0" xfId="4" applyFont="1"/>
    <xf numFmtId="164" fontId="12" fillId="0" borderId="0" xfId="0" applyNumberFormat="1" applyFont="1"/>
    <xf numFmtId="14" fontId="15" fillId="2" borderId="0" xfId="0" applyNumberFormat="1" applyFont="1" applyFill="1" applyAlignment="1">
      <alignment horizontal="center"/>
    </xf>
    <xf numFmtId="3" fontId="6" fillId="2" borderId="0" xfId="0" applyNumberFormat="1" applyFont="1" applyFill="1" applyAlignment="1">
      <alignment horizontal="center"/>
    </xf>
    <xf numFmtId="14" fontId="17" fillId="2" borderId="0" xfId="0" applyNumberFormat="1" applyFont="1" applyFill="1" applyAlignment="1">
      <alignment horizontal="center"/>
    </xf>
    <xf numFmtId="3" fontId="17" fillId="2" borderId="0" xfId="0" applyNumberFormat="1" applyFont="1" applyFill="1" applyAlignment="1">
      <alignment horizontal="center"/>
    </xf>
    <xf numFmtId="171" fontId="6" fillId="0" borderId="10" xfId="1" applyNumberFormat="1" applyFont="1" applyBorder="1"/>
    <xf numFmtId="171" fontId="6" fillId="7" borderId="10" xfId="1" applyNumberFormat="1" applyFont="1" applyFill="1" applyBorder="1"/>
    <xf numFmtId="0" fontId="5" fillId="3" borderId="19" xfId="0" applyFont="1" applyFill="1" applyBorder="1" applyAlignment="1">
      <alignment vertical="center"/>
    </xf>
    <xf numFmtId="0" fontId="5" fillId="3" borderId="20" xfId="0" applyFont="1" applyFill="1" applyBorder="1" applyAlignment="1">
      <alignment vertical="center"/>
    </xf>
    <xf numFmtId="4" fontId="5" fillId="3" borderId="18" xfId="0" applyNumberFormat="1" applyFont="1" applyFill="1" applyBorder="1" applyAlignment="1">
      <alignment vertical="center"/>
    </xf>
    <xf numFmtId="0" fontId="14" fillId="3" borderId="10" xfId="1" applyFont="1" applyFill="1" applyBorder="1" applyAlignment="1">
      <alignment horizontal="center"/>
    </xf>
    <xf numFmtId="0" fontId="14" fillId="6" borderId="10" xfId="1" applyFont="1" applyFill="1" applyBorder="1" applyAlignment="1">
      <alignment horizontal="center"/>
    </xf>
    <xf numFmtId="171" fontId="6" fillId="0" borderId="10" xfId="1" applyNumberFormat="1" applyFont="1" applyBorder="1" applyAlignment="1">
      <alignment vertical="center"/>
    </xf>
    <xf numFmtId="0" fontId="14" fillId="6" borderId="10" xfId="1" applyFont="1" applyFill="1" applyBorder="1" applyAlignment="1">
      <alignment horizontal="center" vertical="center"/>
    </xf>
    <xf numFmtId="0" fontId="14" fillId="3" borderId="10" xfId="1" applyFont="1" applyFill="1" applyBorder="1" applyAlignment="1">
      <alignment horizontal="center" vertical="center"/>
    </xf>
    <xf numFmtId="171" fontId="6" fillId="7" borderId="10" xfId="1" applyNumberFormat="1" applyFont="1" applyFill="1" applyBorder="1" applyAlignment="1">
      <alignment vertical="center"/>
    </xf>
    <xf numFmtId="171" fontId="6" fillId="0" borderId="10" xfId="1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2" borderId="15" xfId="0" applyFill="1" applyBorder="1" applyAlignment="1">
      <alignment vertical="center"/>
    </xf>
    <xf numFmtId="0" fontId="5" fillId="0" borderId="16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17" fontId="22" fillId="3" borderId="30" xfId="0" quotePrefix="1" applyNumberFormat="1" applyFont="1" applyFill="1" applyBorder="1" applyAlignment="1">
      <alignment horizontal="center" vertical="center"/>
    </xf>
    <xf numFmtId="0" fontId="0" fillId="0" borderId="30" xfId="0" applyBorder="1"/>
    <xf numFmtId="0" fontId="0" fillId="0" borderId="30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17" xfId="0" applyBorder="1" applyAlignment="1">
      <alignment vertical="center"/>
    </xf>
    <xf numFmtId="0" fontId="5" fillId="19" borderId="29" xfId="0" applyFont="1" applyFill="1" applyBorder="1" applyAlignment="1">
      <alignment vertical="center"/>
    </xf>
    <xf numFmtId="0" fontId="5" fillId="19" borderId="0" xfId="0" applyFont="1" applyFill="1" applyAlignment="1">
      <alignment vertical="center"/>
    </xf>
    <xf numFmtId="0" fontId="5" fillId="19" borderId="0" xfId="0" applyFont="1" applyFill="1" applyAlignment="1">
      <alignment horizontal="center" vertical="center"/>
    </xf>
    <xf numFmtId="4" fontId="5" fillId="19" borderId="30" xfId="0" applyNumberFormat="1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right" vertical="center"/>
    </xf>
    <xf numFmtId="167" fontId="6" fillId="7" borderId="0" xfId="0" applyNumberFormat="1" applyFont="1" applyFill="1" applyAlignment="1">
      <alignment vertical="center"/>
    </xf>
    <xf numFmtId="4" fontId="6" fillId="2" borderId="0" xfId="0" applyNumberFormat="1" applyFont="1" applyFill="1" applyAlignment="1">
      <alignment vertical="center"/>
    </xf>
    <xf numFmtId="14" fontId="15" fillId="18" borderId="10" xfId="0" applyNumberFormat="1" applyFont="1" applyFill="1" applyBorder="1" applyAlignment="1">
      <alignment horizontal="center" vertical="center"/>
    </xf>
    <xf numFmtId="164" fontId="11" fillId="18" borderId="0" xfId="4" applyFont="1" applyFill="1" applyBorder="1" applyAlignment="1">
      <alignment vertical="center"/>
    </xf>
    <xf numFmtId="0" fontId="19" fillId="7" borderId="11" xfId="0" applyFont="1" applyFill="1" applyBorder="1" applyAlignment="1">
      <alignment horizontal="center" vertical="center"/>
    </xf>
    <xf numFmtId="168" fontId="6" fillId="7" borderId="10" xfId="0" applyNumberFormat="1" applyFont="1" applyFill="1" applyBorder="1" applyAlignment="1">
      <alignment horizontal="center" vertical="center"/>
    </xf>
    <xf numFmtId="0" fontId="21" fillId="20" borderId="11" xfId="0" applyFont="1" applyFill="1" applyBorder="1" applyAlignment="1">
      <alignment horizontal="center" vertical="center"/>
    </xf>
    <xf numFmtId="168" fontId="20" fillId="20" borderId="10" xfId="0" applyNumberFormat="1" applyFont="1" applyFill="1" applyBorder="1" applyAlignment="1">
      <alignment horizontal="center" vertical="center"/>
    </xf>
    <xf numFmtId="9" fontId="5" fillId="15" borderId="0" xfId="5" applyFont="1" applyFill="1" applyAlignment="1">
      <alignment vertical="center"/>
    </xf>
    <xf numFmtId="0" fontId="9" fillId="18" borderId="0" xfId="0" applyFont="1" applyFill="1" applyAlignment="1">
      <alignment vertical="center"/>
    </xf>
    <xf numFmtId="0" fontId="9" fillId="15" borderId="0" xfId="0" applyFont="1" applyFill="1" applyAlignment="1">
      <alignment horizontal="right" vertical="center"/>
    </xf>
    <xf numFmtId="0" fontId="19" fillId="0" borderId="32" xfId="0" applyFont="1" applyBorder="1" applyAlignment="1">
      <alignment vertical="center"/>
    </xf>
    <xf numFmtId="171" fontId="6" fillId="0" borderId="0" xfId="1" applyNumberFormat="1" applyFont="1" applyAlignment="1">
      <alignment horizontal="center" vertical="center"/>
    </xf>
    <xf numFmtId="171" fontId="6" fillId="0" borderId="0" xfId="1" applyNumberFormat="1" applyFont="1" applyAlignment="1">
      <alignment vertical="center"/>
    </xf>
    <xf numFmtId="171" fontId="17" fillId="0" borderId="0" xfId="0" applyNumberFormat="1" applyFont="1" applyAlignment="1">
      <alignment horizontal="center" vertical="center"/>
    </xf>
    <xf numFmtId="0" fontId="9" fillId="2" borderId="29" xfId="0" applyFont="1" applyFill="1" applyBorder="1" applyAlignment="1">
      <alignment horizontal="right" vertical="center"/>
    </xf>
    <xf numFmtId="0" fontId="9" fillId="2" borderId="0" xfId="0" applyFont="1" applyFill="1" applyAlignment="1">
      <alignment horizontal="right" vertical="center"/>
    </xf>
    <xf numFmtId="174" fontId="9" fillId="2" borderId="16" xfId="0" applyNumberFormat="1" applyFont="1" applyFill="1" applyBorder="1" applyAlignment="1">
      <alignment horizontal="right" vertical="center"/>
    </xf>
    <xf numFmtId="0" fontId="14" fillId="3" borderId="29" xfId="0" applyFont="1" applyFill="1" applyBorder="1" applyAlignment="1">
      <alignment vertical="center"/>
    </xf>
    <xf numFmtId="0" fontId="9" fillId="3" borderId="0" xfId="0" applyFont="1" applyFill="1" applyAlignment="1">
      <alignment vertical="center"/>
    </xf>
    <xf numFmtId="3" fontId="9" fillId="3" borderId="0" xfId="4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169" fontId="9" fillId="3" borderId="0" xfId="0" applyNumberFormat="1" applyFont="1" applyFill="1" applyAlignment="1">
      <alignment vertical="center"/>
    </xf>
    <xf numFmtId="174" fontId="9" fillId="3" borderId="30" xfId="0" applyNumberFormat="1" applyFont="1" applyFill="1" applyBorder="1" applyAlignment="1">
      <alignment vertical="center"/>
    </xf>
    <xf numFmtId="0" fontId="6" fillId="2" borderId="29" xfId="0" applyFont="1" applyFill="1" applyBorder="1" applyAlignment="1">
      <alignment vertical="center"/>
    </xf>
    <xf numFmtId="0" fontId="9" fillId="2" borderId="0" xfId="0" applyFont="1" applyFill="1" applyAlignment="1">
      <alignment vertical="center"/>
    </xf>
    <xf numFmtId="3" fontId="9" fillId="2" borderId="0" xfId="4" applyNumberFormat="1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169" fontId="9" fillId="2" borderId="0" xfId="0" applyNumberFormat="1" applyFont="1" applyFill="1" applyAlignment="1">
      <alignment vertical="center"/>
    </xf>
    <xf numFmtId="174" fontId="9" fillId="2" borderId="30" xfId="0" applyNumberFormat="1" applyFont="1" applyFill="1" applyBorder="1" applyAlignment="1">
      <alignment vertical="center"/>
    </xf>
    <xf numFmtId="9" fontId="6" fillId="2" borderId="29" xfId="0" applyNumberFormat="1" applyFont="1" applyFill="1" applyBorder="1" applyAlignment="1">
      <alignment horizontal="center" vertical="center"/>
    </xf>
    <xf numFmtId="3" fontId="6" fillId="2" borderId="0" xfId="4" applyNumberFormat="1" applyFont="1" applyFill="1" applyBorder="1" applyAlignment="1">
      <alignment horizontal="center" vertical="center"/>
    </xf>
    <xf numFmtId="2" fontId="6" fillId="2" borderId="0" xfId="0" applyNumberFormat="1" applyFont="1" applyFill="1" applyAlignment="1">
      <alignment vertical="center"/>
    </xf>
    <xf numFmtId="168" fontId="15" fillId="0" borderId="0" xfId="0" applyNumberFormat="1" applyFont="1" applyAlignment="1">
      <alignment horizontal="center" vertical="center"/>
    </xf>
    <xf numFmtId="168" fontId="17" fillId="0" borderId="0" xfId="0" applyNumberFormat="1" applyFont="1" applyAlignment="1">
      <alignment horizontal="right" vertical="center"/>
    </xf>
    <xf numFmtId="0" fontId="14" fillId="2" borderId="29" xfId="0" applyFont="1" applyFill="1" applyBorder="1" applyAlignment="1">
      <alignment vertical="center"/>
    </xf>
    <xf numFmtId="4" fontId="6" fillId="2" borderId="0" xfId="4" applyNumberFormat="1" applyFont="1" applyFill="1" applyBorder="1" applyAlignment="1">
      <alignment horizontal="center" vertical="center"/>
    </xf>
    <xf numFmtId="10" fontId="15" fillId="8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vertical="center"/>
    </xf>
    <xf numFmtId="4" fontId="6" fillId="7" borderId="0" xfId="4" applyNumberFormat="1" applyFont="1" applyFill="1" applyBorder="1" applyAlignment="1">
      <alignment horizontal="center" vertical="center"/>
    </xf>
    <xf numFmtId="168" fontId="15" fillId="7" borderId="0" xfId="0" applyNumberFormat="1" applyFont="1" applyFill="1" applyAlignment="1">
      <alignment horizontal="center" vertical="center"/>
    </xf>
    <xf numFmtId="10" fontId="15" fillId="7" borderId="0" xfId="5" applyNumberFormat="1" applyFont="1" applyFill="1" applyBorder="1" applyAlignment="1">
      <alignment horizontal="center" vertical="center"/>
    </xf>
    <xf numFmtId="2" fontId="17" fillId="7" borderId="0" xfId="0" applyNumberFormat="1" applyFont="1" applyFill="1" applyAlignment="1">
      <alignment horizontal="right" vertical="center"/>
    </xf>
    <xf numFmtId="10" fontId="15" fillId="0" borderId="0" xfId="5" applyNumberFormat="1" applyFont="1" applyFill="1" applyBorder="1" applyAlignment="1">
      <alignment horizontal="center" vertical="center"/>
    </xf>
    <xf numFmtId="2" fontId="17" fillId="0" borderId="0" xfId="0" applyNumberFormat="1" applyFont="1" applyAlignment="1">
      <alignment horizontal="right" vertical="center"/>
    </xf>
    <xf numFmtId="2" fontId="15" fillId="8" borderId="30" xfId="0" applyNumberFormat="1" applyFont="1" applyFill="1" applyBorder="1" applyAlignment="1">
      <alignment vertical="center"/>
    </xf>
    <xf numFmtId="0" fontId="6" fillId="2" borderId="31" xfId="0" applyFont="1" applyFill="1" applyBorder="1" applyAlignment="1">
      <alignment vertical="center"/>
    </xf>
    <xf numFmtId="0" fontId="6" fillId="2" borderId="32" xfId="0" applyFont="1" applyFill="1" applyBorder="1" applyAlignment="1">
      <alignment vertical="center"/>
    </xf>
    <xf numFmtId="4" fontId="6" fillId="2" borderId="32" xfId="4" applyNumberFormat="1" applyFont="1" applyFill="1" applyBorder="1" applyAlignment="1">
      <alignment horizontal="center" vertical="center"/>
    </xf>
    <xf numFmtId="168" fontId="15" fillId="0" borderId="32" xfId="0" applyNumberFormat="1" applyFont="1" applyBorder="1" applyAlignment="1">
      <alignment horizontal="center" vertical="center"/>
    </xf>
    <xf numFmtId="10" fontId="15" fillId="0" borderId="32" xfId="5" applyNumberFormat="1" applyFont="1" applyFill="1" applyBorder="1" applyAlignment="1">
      <alignment horizontal="center" vertical="center"/>
    </xf>
    <xf numFmtId="2" fontId="17" fillId="0" borderId="32" xfId="0" applyNumberFormat="1" applyFont="1" applyBorder="1" applyAlignment="1">
      <alignment horizontal="right" vertical="center"/>
    </xf>
    <xf numFmtId="174" fontId="9" fillId="2" borderId="17" xfId="0" applyNumberFormat="1" applyFont="1" applyFill="1" applyBorder="1" applyAlignment="1">
      <alignment vertical="center"/>
    </xf>
    <xf numFmtId="174" fontId="6" fillId="2" borderId="0" xfId="0" applyNumberFormat="1" applyFont="1" applyFill="1" applyAlignment="1">
      <alignment vertical="center"/>
    </xf>
    <xf numFmtId="4" fontId="6" fillId="2" borderId="0" xfId="0" applyNumberFormat="1" applyFont="1" applyFill="1" applyAlignment="1">
      <alignment horizontal="center" vertical="center"/>
    </xf>
    <xf numFmtId="0" fontId="6" fillId="6" borderId="14" xfId="0" applyFont="1" applyFill="1" applyBorder="1" applyAlignment="1">
      <alignment vertical="center"/>
    </xf>
    <xf numFmtId="0" fontId="6" fillId="6" borderId="15" xfId="0" applyFont="1" applyFill="1" applyBorder="1" applyAlignment="1">
      <alignment vertical="center"/>
    </xf>
    <xf numFmtId="0" fontId="9" fillId="6" borderId="15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vertical="center"/>
    </xf>
    <xf numFmtId="0" fontId="9" fillId="6" borderId="15" xfId="0" applyFont="1" applyFill="1" applyBorder="1" applyAlignment="1">
      <alignment horizontal="right" vertical="center"/>
    </xf>
    <xf numFmtId="174" fontId="9" fillId="6" borderId="15" xfId="0" applyNumberFormat="1" applyFont="1" applyFill="1" applyBorder="1" applyAlignment="1">
      <alignment horizontal="center" vertical="center"/>
    </xf>
    <xf numFmtId="174" fontId="9" fillId="6" borderId="15" xfId="0" applyNumberFormat="1" applyFont="1" applyFill="1" applyBorder="1" applyAlignment="1">
      <alignment horizontal="left" vertical="center"/>
    </xf>
    <xf numFmtId="174" fontId="6" fillId="6" borderId="16" xfId="0" applyNumberFormat="1" applyFont="1" applyFill="1" applyBorder="1" applyAlignment="1">
      <alignment vertical="center"/>
    </xf>
    <xf numFmtId="0" fontId="6" fillId="6" borderId="29" xfId="0" applyFont="1" applyFill="1" applyBorder="1" applyAlignment="1">
      <alignment vertical="center"/>
    </xf>
    <xf numFmtId="0" fontId="6" fillId="6" borderId="0" xfId="0" applyFont="1" applyFill="1" applyAlignment="1">
      <alignment vertical="center"/>
    </xf>
    <xf numFmtId="0" fontId="9" fillId="6" borderId="0" xfId="0" applyFont="1" applyFill="1" applyAlignment="1">
      <alignment horizontal="center" vertical="center"/>
    </xf>
    <xf numFmtId="0" fontId="9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1" fontId="35" fillId="8" borderId="0" xfId="4" applyNumberFormat="1" applyFont="1" applyFill="1" applyBorder="1" applyAlignment="1">
      <alignment horizontal="center" vertical="center"/>
    </xf>
    <xf numFmtId="175" fontId="6" fillId="6" borderId="0" xfId="0" applyNumberFormat="1" applyFont="1" applyFill="1" applyAlignment="1">
      <alignment horizontal="center" vertical="center"/>
    </xf>
    <xf numFmtId="174" fontId="6" fillId="6" borderId="30" xfId="0" applyNumberFormat="1" applyFont="1" applyFill="1" applyBorder="1" applyAlignment="1">
      <alignment vertical="center"/>
    </xf>
    <xf numFmtId="0" fontId="6" fillId="6" borderId="31" xfId="0" applyFont="1" applyFill="1" applyBorder="1" applyAlignment="1">
      <alignment vertical="center"/>
    </xf>
    <xf numFmtId="0" fontId="6" fillId="6" borderId="32" xfId="0" applyFont="1" applyFill="1" applyBorder="1" applyAlignment="1">
      <alignment vertical="center"/>
    </xf>
    <xf numFmtId="175" fontId="6" fillId="6" borderId="32" xfId="0" applyNumberFormat="1" applyFont="1" applyFill="1" applyBorder="1" applyAlignment="1">
      <alignment horizontal="center" vertical="center"/>
    </xf>
    <xf numFmtId="174" fontId="6" fillId="6" borderId="32" xfId="0" applyNumberFormat="1" applyFont="1" applyFill="1" applyBorder="1" applyAlignment="1">
      <alignment vertical="center"/>
    </xf>
    <xf numFmtId="174" fontId="6" fillId="6" borderId="17" xfId="0" applyNumberFormat="1" applyFont="1" applyFill="1" applyBorder="1" applyAlignment="1">
      <alignment vertical="center"/>
    </xf>
    <xf numFmtId="2" fontId="9" fillId="2" borderId="0" xfId="0" applyNumberFormat="1" applyFont="1" applyFill="1" applyAlignment="1">
      <alignment vertical="center"/>
    </xf>
    <xf numFmtId="0" fontId="16" fillId="0" borderId="0" xfId="0" applyFont="1" applyAlignment="1">
      <alignment vertical="center"/>
    </xf>
    <xf numFmtId="166" fontId="6" fillId="0" borderId="10" xfId="1" applyNumberFormat="1" applyFont="1" applyBorder="1" applyAlignment="1">
      <alignment vertical="center"/>
    </xf>
    <xf numFmtId="0" fontId="4" fillId="2" borderId="0" xfId="0" applyFont="1" applyFill="1"/>
    <xf numFmtId="168" fontId="20" fillId="21" borderId="18" xfId="0" applyNumberFormat="1" applyFont="1" applyFill="1" applyBorder="1" applyAlignment="1">
      <alignment horizontal="center" vertical="center"/>
    </xf>
    <xf numFmtId="4" fontId="0" fillId="0" borderId="0" xfId="0" applyNumberFormat="1"/>
    <xf numFmtId="4" fontId="0" fillId="7" borderId="0" xfId="0" applyNumberFormat="1" applyFill="1" applyAlignment="1">
      <alignment vertical="center"/>
    </xf>
    <xf numFmtId="0" fontId="5" fillId="7" borderId="0" xfId="0" applyFont="1" applyFill="1" applyAlignment="1">
      <alignment vertical="center"/>
    </xf>
    <xf numFmtId="43" fontId="0" fillId="2" borderId="0" xfId="0" applyNumberFormat="1" applyFill="1" applyAlignment="1">
      <alignment vertical="center"/>
    </xf>
    <xf numFmtId="177" fontId="0" fillId="0" borderId="0" xfId="0" applyNumberFormat="1"/>
    <xf numFmtId="10" fontId="11" fillId="7" borderId="0" xfId="0" applyNumberFormat="1" applyFont="1" applyFill="1" applyAlignment="1">
      <alignment vertical="center"/>
    </xf>
    <xf numFmtId="10" fontId="15" fillId="7" borderId="0" xfId="0" applyNumberFormat="1" applyFont="1" applyFill="1" applyAlignment="1">
      <alignment horizontal="center" vertical="center"/>
    </xf>
    <xf numFmtId="164" fontId="12" fillId="7" borderId="0" xfId="0" applyNumberFormat="1" applyFont="1" applyFill="1"/>
    <xf numFmtId="4" fontId="6" fillId="0" borderId="0" xfId="0" applyNumberFormat="1" applyFont="1" applyAlignment="1">
      <alignment vertical="center"/>
    </xf>
    <xf numFmtId="10" fontId="15" fillId="7" borderId="0" xfId="0" applyNumberFormat="1" applyFont="1" applyFill="1" applyAlignment="1">
      <alignment vertical="center"/>
    </xf>
    <xf numFmtId="4" fontId="7" fillId="0" borderId="0" xfId="4" applyNumberFormat="1" applyFont="1" applyAlignment="1">
      <alignment vertical="center"/>
    </xf>
    <xf numFmtId="10" fontId="15" fillId="2" borderId="0" xfId="0" applyNumberFormat="1" applyFont="1" applyFill="1" applyAlignment="1">
      <alignment vertical="center"/>
    </xf>
    <xf numFmtId="0" fontId="39" fillId="7" borderId="0" xfId="0" applyFont="1" applyFill="1" applyAlignment="1">
      <alignment vertical="center"/>
    </xf>
    <xf numFmtId="43" fontId="6" fillId="0" borderId="0" xfId="0" applyNumberFormat="1" applyFont="1" applyAlignment="1">
      <alignment vertical="center"/>
    </xf>
    <xf numFmtId="4" fontId="7" fillId="0" borderId="0" xfId="0" applyNumberFormat="1" applyFont="1" applyAlignment="1">
      <alignment vertical="center"/>
    </xf>
    <xf numFmtId="0" fontId="9" fillId="7" borderId="0" xfId="0" applyFont="1" applyFill="1" applyAlignment="1">
      <alignment vertical="center"/>
    </xf>
    <xf numFmtId="0" fontId="0" fillId="15" borderId="0" xfId="0" applyFill="1"/>
    <xf numFmtId="0" fontId="26" fillId="12" borderId="24" xfId="0" applyFont="1" applyFill="1" applyBorder="1" applyAlignment="1">
      <alignment horizontal="center" vertical="center" wrapText="1"/>
    </xf>
    <xf numFmtId="40" fontId="26" fillId="0" borderId="1" xfId="0" applyNumberFormat="1" applyFont="1" applyBorder="1" applyAlignment="1">
      <alignment horizontal="center" vertical="center"/>
    </xf>
    <xf numFmtId="10" fontId="0" fillId="2" borderId="0" xfId="5" applyNumberFormat="1" applyFont="1" applyFill="1" applyAlignment="1">
      <alignment vertical="center"/>
    </xf>
    <xf numFmtId="0" fontId="0" fillId="7" borderId="0" xfId="0" applyFill="1" applyAlignment="1">
      <alignment vertical="center"/>
    </xf>
    <xf numFmtId="171" fontId="6" fillId="7" borderId="0" xfId="0" applyNumberFormat="1" applyFont="1" applyFill="1" applyAlignment="1">
      <alignment vertical="center"/>
    </xf>
    <xf numFmtId="43" fontId="0" fillId="7" borderId="0" xfId="0" applyNumberFormat="1" applyFill="1" applyAlignment="1">
      <alignment vertical="center"/>
    </xf>
    <xf numFmtId="4" fontId="0" fillId="22" borderId="0" xfId="0" applyNumberFormat="1" applyFill="1" applyAlignment="1">
      <alignment vertical="center"/>
    </xf>
    <xf numFmtId="178" fontId="0" fillId="7" borderId="0" xfId="0" applyNumberFormat="1" applyFill="1" applyAlignment="1">
      <alignment vertical="center"/>
    </xf>
    <xf numFmtId="0" fontId="40" fillId="0" borderId="0" xfId="0" applyFont="1" applyAlignment="1">
      <alignment horizontal="center" vertical="center"/>
    </xf>
    <xf numFmtId="0" fontId="40" fillId="0" borderId="0" xfId="0" applyFont="1" applyAlignment="1">
      <alignment vertical="center"/>
    </xf>
    <xf numFmtId="40" fontId="26" fillId="0" borderId="0" xfId="0" applyNumberFormat="1" applyFont="1" applyAlignment="1">
      <alignment vertical="center"/>
    </xf>
    <xf numFmtId="40" fontId="26" fillId="0" borderId="0" xfId="0" applyNumberFormat="1" applyFont="1" applyAlignment="1">
      <alignment horizontal="left" vertical="center"/>
    </xf>
    <xf numFmtId="40" fontId="26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0" fontId="19" fillId="0" borderId="0" xfId="0" applyFont="1" applyAlignment="1">
      <alignment vertical="center"/>
    </xf>
    <xf numFmtId="0" fontId="41" fillId="0" borderId="1" xfId="0" applyFont="1" applyBorder="1" applyAlignment="1">
      <alignment horizontal="center" vertical="center"/>
    </xf>
    <xf numFmtId="2" fontId="19" fillId="0" borderId="0" xfId="0" applyNumberFormat="1" applyFont="1"/>
    <xf numFmtId="0" fontId="41" fillId="22" borderId="0" xfId="0" applyFont="1" applyFill="1" applyAlignment="1">
      <alignment horizontal="center" vertical="center"/>
    </xf>
    <xf numFmtId="0" fontId="42" fillId="7" borderId="21" xfId="0" applyFont="1" applyFill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171" fontId="9" fillId="7" borderId="0" xfId="0" applyNumberFormat="1" applyFont="1" applyFill="1" applyAlignment="1">
      <alignment vertical="center"/>
    </xf>
    <xf numFmtId="4" fontId="16" fillId="7" borderId="0" xfId="0" applyNumberFormat="1" applyFont="1" applyFill="1" applyAlignment="1">
      <alignment vertical="center"/>
    </xf>
    <xf numFmtId="0" fontId="6" fillId="2" borderId="34" xfId="0" applyFont="1" applyFill="1" applyBorder="1" applyAlignment="1">
      <alignment horizontal="center" vertical="center"/>
    </xf>
    <xf numFmtId="0" fontId="16" fillId="7" borderId="0" xfId="0" applyFont="1" applyFill="1"/>
    <xf numFmtId="0" fontId="43" fillId="0" borderId="0" xfId="0" applyFont="1" applyAlignment="1">
      <alignment horizontal="center" vertical="center"/>
    </xf>
    <xf numFmtId="0" fontId="41" fillId="22" borderId="1" xfId="0" applyFont="1" applyFill="1" applyBorder="1" applyAlignment="1">
      <alignment horizontal="center" vertical="center" readingOrder="1"/>
    </xf>
    <xf numFmtId="1" fontId="0" fillId="0" borderId="10" xfId="0" applyNumberFormat="1" applyBorder="1" applyAlignment="1">
      <alignment vertical="center"/>
    </xf>
    <xf numFmtId="0" fontId="44" fillId="2" borderId="0" xfId="0" applyFont="1" applyFill="1" applyAlignment="1">
      <alignment vertical="center"/>
    </xf>
    <xf numFmtId="10" fontId="11" fillId="18" borderId="0" xfId="0" applyNumberFormat="1" applyFont="1" applyFill="1" applyAlignment="1">
      <alignment vertical="center"/>
    </xf>
    <xf numFmtId="167" fontId="0" fillId="0" borderId="0" xfId="0" applyNumberFormat="1" applyAlignment="1">
      <alignment vertical="center"/>
    </xf>
    <xf numFmtId="172" fontId="8" fillId="0" borderId="0" xfId="0" applyNumberFormat="1" applyFont="1" applyAlignment="1">
      <alignment vertical="center"/>
    </xf>
    <xf numFmtId="0" fontId="14" fillId="4" borderId="6" xfId="1" applyFont="1" applyFill="1" applyBorder="1" applyAlignment="1">
      <alignment horizontal="center" vertical="center"/>
    </xf>
    <xf numFmtId="2" fontId="17" fillId="0" borderId="1" xfId="0" applyNumberFormat="1" applyFont="1" applyBorder="1" applyAlignment="1">
      <alignment vertical="center"/>
    </xf>
    <xf numFmtId="170" fontId="6" fillId="0" borderId="1" xfId="1" applyNumberFormat="1" applyFont="1" applyBorder="1" applyAlignment="1">
      <alignment vertical="center"/>
    </xf>
    <xf numFmtId="168" fontId="6" fillId="0" borderId="1" xfId="1" applyNumberFormat="1" applyFont="1" applyBorder="1" applyAlignment="1">
      <alignment vertical="center"/>
    </xf>
    <xf numFmtId="2" fontId="6" fillId="0" borderId="1" xfId="1" applyNumberFormat="1" applyFont="1" applyBorder="1" applyAlignment="1">
      <alignment vertical="center"/>
    </xf>
    <xf numFmtId="2" fontId="9" fillId="6" borderId="1" xfId="1" applyNumberFormat="1" applyFont="1" applyFill="1" applyBorder="1" applyAlignment="1">
      <alignment vertical="center"/>
    </xf>
    <xf numFmtId="0" fontId="3" fillId="0" borderId="7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2" fontId="9" fillId="3" borderId="1" xfId="1" applyNumberFormat="1" applyFont="1" applyFill="1" applyBorder="1" applyAlignment="1">
      <alignment vertical="center"/>
    </xf>
    <xf numFmtId="2" fontId="5" fillId="0" borderId="0" xfId="0" applyNumberFormat="1" applyFont="1" applyAlignment="1">
      <alignment vertical="center"/>
    </xf>
    <xf numFmtId="164" fontId="35" fillId="18" borderId="0" xfId="4" applyFont="1" applyFill="1" applyBorder="1" applyAlignment="1">
      <alignment vertical="center"/>
    </xf>
    <xf numFmtId="164" fontId="15" fillId="18" borderId="0" xfId="4" applyFont="1" applyFill="1" applyBorder="1" applyAlignment="1">
      <alignment vertical="center"/>
    </xf>
    <xf numFmtId="4" fontId="6" fillId="18" borderId="0" xfId="0" applyNumberFormat="1" applyFont="1" applyFill="1" applyAlignment="1">
      <alignment vertical="center"/>
    </xf>
    <xf numFmtId="166" fontId="6" fillId="18" borderId="0" xfId="0" applyNumberFormat="1" applyFont="1" applyFill="1" applyAlignment="1">
      <alignment vertical="center"/>
    </xf>
    <xf numFmtId="171" fontId="6" fillId="0" borderId="10" xfId="1" applyNumberFormat="1" applyFont="1" applyBorder="1" applyAlignment="1">
      <alignment horizontal="left" vertical="center"/>
    </xf>
    <xf numFmtId="0" fontId="14" fillId="6" borderId="35" xfId="1" applyFont="1" applyFill="1" applyBorder="1" applyAlignment="1">
      <alignment horizontal="center" vertical="center"/>
    </xf>
    <xf numFmtId="171" fontId="6" fillId="0" borderId="35" xfId="1" applyNumberFormat="1" applyFont="1" applyBorder="1" applyAlignment="1">
      <alignment vertical="center"/>
    </xf>
    <xf numFmtId="10" fontId="9" fillId="0" borderId="35" xfId="5" applyNumberFormat="1" applyFont="1" applyFill="1" applyBorder="1" applyAlignment="1">
      <alignment vertical="center"/>
    </xf>
    <xf numFmtId="0" fontId="14" fillId="15" borderId="36" xfId="0" applyFont="1" applyFill="1" applyBorder="1" applyAlignment="1">
      <alignment horizontal="left" vertical="center"/>
    </xf>
    <xf numFmtId="0" fontId="14" fillId="15" borderId="37" xfId="0" applyFont="1" applyFill="1" applyBorder="1" applyAlignment="1">
      <alignment horizontal="center" vertical="center"/>
    </xf>
    <xf numFmtId="0" fontId="9" fillId="0" borderId="36" xfId="0" applyFont="1" applyBorder="1" applyAlignment="1">
      <alignment horizontal="left" vertical="center"/>
    </xf>
    <xf numFmtId="0" fontId="9" fillId="0" borderId="37" xfId="0" applyFont="1" applyBorder="1" applyAlignment="1">
      <alignment horizontal="center" vertical="center"/>
    </xf>
    <xf numFmtId="179" fontId="0" fillId="2" borderId="0" xfId="0" applyNumberFormat="1" applyFill="1" applyAlignment="1">
      <alignment vertical="center"/>
    </xf>
    <xf numFmtId="0" fontId="21" fillId="5" borderId="38" xfId="0" applyFont="1" applyFill="1" applyBorder="1" applyAlignment="1">
      <alignment horizontal="center" vertical="center"/>
    </xf>
    <xf numFmtId="0" fontId="0" fillId="2" borderId="39" xfId="0" applyFill="1" applyBorder="1" applyAlignment="1">
      <alignment horizontal="left" vertical="center"/>
    </xf>
    <xf numFmtId="9" fontId="6" fillId="2" borderId="39" xfId="0" applyNumberFormat="1" applyFont="1" applyFill="1" applyBorder="1" applyAlignment="1">
      <alignment horizontal="center" vertical="center"/>
    </xf>
    <xf numFmtId="0" fontId="0" fillId="2" borderId="40" xfId="0" applyFill="1" applyBorder="1" applyAlignment="1">
      <alignment horizontal="left" vertical="center"/>
    </xf>
    <xf numFmtId="9" fontId="6" fillId="2" borderId="40" xfId="0" applyNumberFormat="1" applyFont="1" applyFill="1" applyBorder="1" applyAlignment="1">
      <alignment horizontal="center" vertical="center"/>
    </xf>
    <xf numFmtId="14" fontId="17" fillId="2" borderId="40" xfId="0" applyNumberFormat="1" applyFont="1" applyFill="1" applyBorder="1" applyAlignment="1">
      <alignment horizontal="left" vertical="center"/>
    </xf>
    <xf numFmtId="0" fontId="0" fillId="0" borderId="41" xfId="0" applyBorder="1" applyAlignment="1">
      <alignment horizontal="left" vertical="center"/>
    </xf>
    <xf numFmtId="9" fontId="6" fillId="2" borderId="41" xfId="0" applyNumberFormat="1" applyFont="1" applyFill="1" applyBorder="1" applyAlignment="1">
      <alignment horizontal="center" vertical="center"/>
    </xf>
    <xf numFmtId="171" fontId="9" fillId="7" borderId="35" xfId="1" applyNumberFormat="1" applyFont="1" applyFill="1" applyBorder="1" applyAlignment="1">
      <alignment vertical="center"/>
    </xf>
    <xf numFmtId="43" fontId="32" fillId="23" borderId="1" xfId="9" applyFont="1" applyFill="1" applyBorder="1" applyAlignment="1">
      <alignment horizontal="right" vertical="center" wrapText="1"/>
    </xf>
    <xf numFmtId="43" fontId="30" fillId="0" borderId="1" xfId="9" applyFont="1" applyFill="1" applyBorder="1" applyAlignment="1">
      <alignment horizontal="center" vertical="center" wrapText="1"/>
    </xf>
    <xf numFmtId="43" fontId="30" fillId="23" borderId="1" xfId="9" applyFont="1" applyFill="1" applyBorder="1" applyAlignment="1">
      <alignment horizontal="center" vertical="center" wrapText="1"/>
    </xf>
    <xf numFmtId="43" fontId="12" fillId="23" borderId="1" xfId="9" applyFont="1" applyFill="1" applyBorder="1"/>
    <xf numFmtId="43" fontId="26" fillId="23" borderId="1" xfId="9" applyFont="1" applyFill="1" applyBorder="1" applyAlignment="1">
      <alignment horizontal="right" vertical="center"/>
    </xf>
    <xf numFmtId="171" fontId="6" fillId="7" borderId="35" xfId="1" applyNumberFormat="1" applyFont="1" applyFill="1" applyBorder="1" applyAlignment="1">
      <alignment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 wrapText="1"/>
    </xf>
    <xf numFmtId="0" fontId="9" fillId="3" borderId="19" xfId="0" applyFont="1" applyFill="1" applyBorder="1" applyAlignment="1">
      <alignment horizontal="center" vertical="center" wrapText="1"/>
    </xf>
    <xf numFmtId="0" fontId="0" fillId="2" borderId="38" xfId="0" applyFill="1" applyBorder="1" applyAlignment="1">
      <alignment vertical="center"/>
    </xf>
    <xf numFmtId="0" fontId="0" fillId="2" borderId="38" xfId="0" applyFill="1" applyBorder="1" applyAlignment="1">
      <alignment horizontal="center" vertical="center"/>
    </xf>
    <xf numFmtId="10" fontId="11" fillId="18" borderId="38" xfId="0" applyNumberFormat="1" applyFont="1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28" xfId="0" applyFill="1" applyBorder="1" applyAlignment="1">
      <alignment vertical="center"/>
    </xf>
    <xf numFmtId="164" fontId="11" fillId="18" borderId="38" xfId="4" applyFont="1" applyFill="1" applyBorder="1" applyAlignment="1">
      <alignment vertical="center"/>
    </xf>
    <xf numFmtId="9" fontId="38" fillId="7" borderId="38" xfId="0" applyNumberFormat="1" applyFont="1" applyFill="1" applyBorder="1" applyAlignment="1">
      <alignment vertical="center"/>
    </xf>
    <xf numFmtId="164" fontId="0" fillId="2" borderId="38" xfId="0" applyNumberFormat="1" applyFill="1" applyBorder="1" applyAlignment="1">
      <alignment vertical="center"/>
    </xf>
    <xf numFmtId="0" fontId="5" fillId="2" borderId="11" xfId="0" applyFont="1" applyFill="1" applyBorder="1" applyAlignment="1">
      <alignment vertical="center"/>
    </xf>
    <xf numFmtId="166" fontId="0" fillId="2" borderId="38" xfId="0" applyNumberFormat="1" applyFill="1" applyBorder="1" applyAlignment="1">
      <alignment vertical="center"/>
    </xf>
    <xf numFmtId="164" fontId="5" fillId="24" borderId="11" xfId="0" applyNumberFormat="1" applyFont="1" applyFill="1" applyBorder="1" applyAlignment="1">
      <alignment vertical="center"/>
    </xf>
    <xf numFmtId="10" fontId="0" fillId="2" borderId="0" xfId="0" applyNumberFormat="1" applyFill="1" applyAlignment="1">
      <alignment vertical="center"/>
    </xf>
    <xf numFmtId="9" fontId="0" fillId="2" borderId="0" xfId="0" applyNumberFormat="1" applyFill="1" applyAlignment="1">
      <alignment vertical="center"/>
    </xf>
    <xf numFmtId="164" fontId="5" fillId="2" borderId="11" xfId="0" applyNumberFormat="1" applyFont="1" applyFill="1" applyBorder="1" applyAlignment="1">
      <alignment vertical="center"/>
    </xf>
    <xf numFmtId="43" fontId="0" fillId="2" borderId="38" xfId="0" applyNumberFormat="1" applyFill="1" applyBorder="1" applyAlignment="1">
      <alignment vertical="center"/>
    </xf>
    <xf numFmtId="164" fontId="5" fillId="6" borderId="11" xfId="0" applyNumberFormat="1" applyFont="1" applyFill="1" applyBorder="1" applyAlignment="1">
      <alignment vertical="center"/>
    </xf>
    <xf numFmtId="164" fontId="5" fillId="6" borderId="38" xfId="0" applyNumberFormat="1" applyFont="1" applyFill="1" applyBorder="1" applyAlignment="1">
      <alignment vertical="center"/>
    </xf>
    <xf numFmtId="10" fontId="18" fillId="6" borderId="12" xfId="5" quotePrefix="1" applyNumberFormat="1" applyFont="1" applyFill="1" applyBorder="1" applyAlignment="1">
      <alignment horizontal="right" vertical="center"/>
    </xf>
    <xf numFmtId="164" fontId="14" fillId="9" borderId="0" xfId="4" applyFont="1" applyFill="1" applyBorder="1" applyAlignment="1">
      <alignment vertical="center"/>
    </xf>
    <xf numFmtId="4" fontId="17" fillId="9" borderId="0" xfId="0" applyNumberFormat="1" applyFont="1" applyFill="1" applyAlignment="1">
      <alignment vertical="center"/>
    </xf>
    <xf numFmtId="166" fontId="17" fillId="9" borderId="0" xfId="0" applyNumberFormat="1" applyFont="1" applyFill="1" applyAlignment="1">
      <alignment vertical="center"/>
    </xf>
    <xf numFmtId="180" fontId="0" fillId="0" borderId="0" xfId="0" applyNumberFormat="1" applyAlignment="1">
      <alignment vertical="center"/>
    </xf>
    <xf numFmtId="0" fontId="35" fillId="16" borderId="10" xfId="0" applyFont="1" applyFill="1" applyBorder="1" applyAlignment="1">
      <alignment horizontal="center" vertical="center" wrapText="1"/>
    </xf>
    <xf numFmtId="0" fontId="0" fillId="3" borderId="38" xfId="0" applyFill="1" applyBorder="1" applyAlignment="1">
      <alignment vertical="center"/>
    </xf>
    <xf numFmtId="0" fontId="0" fillId="3" borderId="38" xfId="0" applyFill="1" applyBorder="1" applyAlignment="1">
      <alignment horizontal="center" vertical="center"/>
    </xf>
    <xf numFmtId="164" fontId="0" fillId="3" borderId="38" xfId="0" applyNumberFormat="1" applyFill="1" applyBorder="1" applyAlignment="1">
      <alignment vertical="center"/>
    </xf>
    <xf numFmtId="166" fontId="0" fillId="3" borderId="38" xfId="0" applyNumberFormat="1" applyFill="1" applyBorder="1" applyAlignment="1">
      <alignment vertical="center"/>
    </xf>
    <xf numFmtId="43" fontId="0" fillId="3" borderId="38" xfId="0" applyNumberForma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1" xfId="0" applyNumberFormat="1" applyFont="1" applyBorder="1"/>
    <xf numFmtId="1" fontId="0" fillId="0" borderId="0" xfId="0" applyNumberFormat="1" applyAlignment="1">
      <alignment vertical="center"/>
    </xf>
    <xf numFmtId="10" fontId="0" fillId="0" borderId="0" xfId="0" applyNumberFormat="1"/>
    <xf numFmtId="9" fontId="0" fillId="0" borderId="0" xfId="0" applyNumberFormat="1"/>
    <xf numFmtId="0" fontId="0" fillId="6" borderId="38" xfId="0" applyFill="1" applyBorder="1" applyAlignment="1">
      <alignment vertical="center"/>
    </xf>
    <xf numFmtId="166" fontId="0" fillId="6" borderId="38" xfId="0" applyNumberFormat="1" applyFill="1" applyBorder="1" applyAlignment="1">
      <alignment vertical="center"/>
    </xf>
    <xf numFmtId="2" fontId="0" fillId="6" borderId="38" xfId="0" applyNumberFormat="1" applyFill="1" applyBorder="1" applyAlignment="1">
      <alignment vertical="center"/>
    </xf>
    <xf numFmtId="164" fontId="0" fillId="6" borderId="38" xfId="4" applyFont="1" applyFill="1" applyBorder="1" applyAlignment="1">
      <alignment vertical="center"/>
    </xf>
    <xf numFmtId="181" fontId="0" fillId="0" borderId="0" xfId="0" applyNumberFormat="1"/>
    <xf numFmtId="2" fontId="0" fillId="25" borderId="38" xfId="0" applyNumberFormat="1" applyFill="1" applyBorder="1" applyAlignment="1">
      <alignment vertical="center"/>
    </xf>
    <xf numFmtId="166" fontId="0" fillId="25" borderId="38" xfId="0" applyNumberFormat="1" applyFill="1" applyBorder="1" applyAlignment="1">
      <alignment vertical="center"/>
    </xf>
    <xf numFmtId="182" fontId="11" fillId="18" borderId="38" xfId="4" applyNumberFormat="1" applyFont="1" applyFill="1" applyBorder="1" applyAlignment="1">
      <alignment vertical="center"/>
    </xf>
    <xf numFmtId="182" fontId="0" fillId="2" borderId="38" xfId="0" applyNumberFormat="1" applyFill="1" applyBorder="1" applyAlignment="1">
      <alignment vertical="center"/>
    </xf>
    <xf numFmtId="182" fontId="0" fillId="2" borderId="11" xfId="0" applyNumberFormat="1" applyFill="1" applyBorder="1" applyAlignment="1">
      <alignment vertical="center"/>
    </xf>
    <xf numFmtId="183" fontId="0" fillId="2" borderId="0" xfId="0" applyNumberFormat="1" applyFill="1" applyAlignment="1">
      <alignment vertical="center"/>
    </xf>
    <xf numFmtId="2" fontId="0" fillId="2" borderId="0" xfId="0" applyNumberFormat="1" applyFill="1" applyAlignment="1">
      <alignment vertical="center"/>
    </xf>
    <xf numFmtId="166" fontId="0" fillId="7" borderId="38" xfId="0" applyNumberFormat="1" applyFill="1" applyBorder="1" applyAlignment="1">
      <alignment vertical="center"/>
    </xf>
    <xf numFmtId="164" fontId="0" fillId="7" borderId="38" xfId="0" applyNumberFormat="1" applyFill="1" applyBorder="1" applyAlignment="1">
      <alignment vertical="center"/>
    </xf>
    <xf numFmtId="43" fontId="0" fillId="7" borderId="38" xfId="0" applyNumberFormat="1" applyFill="1" applyBorder="1" applyAlignment="1">
      <alignment vertical="center"/>
    </xf>
    <xf numFmtId="179" fontId="0" fillId="7" borderId="0" xfId="0" applyNumberFormat="1" applyFill="1" applyAlignment="1">
      <alignment vertical="center"/>
    </xf>
    <xf numFmtId="164" fontId="0" fillId="18" borderId="38" xfId="0" applyNumberFormat="1" applyFill="1" applyBorder="1" applyAlignment="1">
      <alignment vertical="center"/>
    </xf>
    <xf numFmtId="2" fontId="24" fillId="2" borderId="0" xfId="0" applyNumberFormat="1" applyFont="1" applyFill="1" applyAlignment="1">
      <alignment vertical="center"/>
    </xf>
    <xf numFmtId="4" fontId="0" fillId="0" borderId="0" xfId="0" applyNumberFormat="1" applyAlignment="1">
      <alignment vertical="center"/>
    </xf>
    <xf numFmtId="164" fontId="4" fillId="2" borderId="38" xfId="0" applyNumberFormat="1" applyFont="1" applyFill="1" applyBorder="1" applyAlignment="1">
      <alignment vertical="center"/>
    </xf>
    <xf numFmtId="40" fontId="26" fillId="7" borderId="1" xfId="0" applyNumberFormat="1" applyFont="1" applyFill="1" applyBorder="1" applyAlignment="1">
      <alignment horizontal="center" vertical="center"/>
    </xf>
    <xf numFmtId="43" fontId="32" fillId="2" borderId="1" xfId="9" applyFont="1" applyFill="1" applyBorder="1" applyAlignment="1">
      <alignment horizontal="right" vertical="center" wrapText="1"/>
    </xf>
    <xf numFmtId="43" fontId="30" fillId="2" borderId="1" xfId="9" applyFont="1" applyFill="1" applyBorder="1" applyAlignment="1">
      <alignment horizontal="center" vertical="center" wrapText="1"/>
    </xf>
    <xf numFmtId="166" fontId="6" fillId="0" borderId="35" xfId="1" applyNumberFormat="1" applyFont="1" applyBorder="1" applyAlignment="1">
      <alignment vertical="center"/>
    </xf>
    <xf numFmtId="171" fontId="20" fillId="2" borderId="35" xfId="1" applyNumberFormat="1" applyFont="1" applyFill="1" applyBorder="1" applyAlignment="1">
      <alignment vertical="center"/>
    </xf>
    <xf numFmtId="171" fontId="20" fillId="0" borderId="35" xfId="1" applyNumberFormat="1" applyFont="1" applyBorder="1" applyAlignment="1">
      <alignment vertical="center"/>
    </xf>
    <xf numFmtId="164" fontId="14" fillId="9" borderId="22" xfId="4" applyFont="1" applyFill="1" applyBorder="1" applyAlignment="1">
      <alignment vertical="center"/>
    </xf>
    <xf numFmtId="4" fontId="17" fillId="9" borderId="23" xfId="0" applyNumberFormat="1" applyFont="1" applyFill="1" applyBorder="1" applyAlignment="1">
      <alignment vertical="center"/>
    </xf>
    <xf numFmtId="166" fontId="17" fillId="9" borderId="23" xfId="0" applyNumberFormat="1" applyFont="1" applyFill="1" applyBorder="1" applyAlignment="1">
      <alignment vertical="center"/>
    </xf>
    <xf numFmtId="164" fontId="14" fillId="7" borderId="24" xfId="4" applyFont="1" applyFill="1" applyBorder="1" applyAlignment="1">
      <alignment vertical="center"/>
    </xf>
    <xf numFmtId="4" fontId="5" fillId="7" borderId="24" xfId="0" applyNumberFormat="1" applyFont="1" applyFill="1" applyBorder="1" applyAlignment="1">
      <alignment vertical="center"/>
    </xf>
    <xf numFmtId="1" fontId="0" fillId="7" borderId="10" xfId="0" applyNumberFormat="1" applyFill="1" applyBorder="1" applyAlignment="1">
      <alignment vertical="center"/>
    </xf>
    <xf numFmtId="0" fontId="16" fillId="0" borderId="7" xfId="0" applyFont="1" applyBorder="1" applyAlignment="1">
      <alignment vertical="center"/>
    </xf>
    <xf numFmtId="1" fontId="47" fillId="0" borderId="9" xfId="0" applyNumberFormat="1" applyFont="1" applyBorder="1"/>
    <xf numFmtId="0" fontId="0" fillId="0" borderId="8" xfId="0" applyBorder="1" applyAlignment="1">
      <alignment vertical="center"/>
    </xf>
    <xf numFmtId="1" fontId="0" fillId="7" borderId="1" xfId="0" applyNumberFormat="1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164" fontId="0" fillId="2" borderId="1" xfId="0" applyNumberFormat="1" applyFill="1" applyBorder="1" applyAlignment="1">
      <alignment vertical="center"/>
    </xf>
    <xf numFmtId="166" fontId="0" fillId="2" borderId="1" xfId="0" applyNumberFormat="1" applyFill="1" applyBorder="1" applyAlignment="1">
      <alignment vertical="center"/>
    </xf>
    <xf numFmtId="43" fontId="0" fillId="2" borderId="1" xfId="0" applyNumberFormat="1" applyFill="1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38" xfId="0" applyBorder="1" applyAlignment="1">
      <alignment vertical="center"/>
    </xf>
    <xf numFmtId="0" fontId="0" fillId="0" borderId="1" xfId="0" applyBorder="1" applyAlignment="1">
      <alignment vertical="center"/>
    </xf>
    <xf numFmtId="0" fontId="16" fillId="0" borderId="42" xfId="0" applyFont="1" applyBorder="1" applyAlignment="1">
      <alignment vertical="center"/>
    </xf>
    <xf numFmtId="1" fontId="0" fillId="2" borderId="42" xfId="0" applyNumberFormat="1" applyFill="1" applyBorder="1" applyAlignment="1">
      <alignment vertical="center"/>
    </xf>
    <xf numFmtId="1" fontId="0" fillId="7" borderId="42" xfId="0" applyNumberFormat="1" applyFill="1" applyBorder="1" applyAlignment="1">
      <alignment vertical="center"/>
    </xf>
    <xf numFmtId="9" fontId="38" fillId="18" borderId="38" xfId="5" applyFont="1" applyFill="1" applyBorder="1" applyAlignment="1">
      <alignment vertical="center"/>
    </xf>
    <xf numFmtId="164" fontId="0" fillId="26" borderId="38" xfId="0" applyNumberFormat="1" applyFill="1" applyBorder="1" applyAlignment="1">
      <alignment vertical="center"/>
    </xf>
    <xf numFmtId="0" fontId="14" fillId="6" borderId="19" xfId="1" applyFont="1" applyFill="1" applyBorder="1" applyAlignment="1">
      <alignment horizontal="center" vertical="center" wrapText="1"/>
    </xf>
    <xf numFmtId="0" fontId="14" fillId="6" borderId="20" xfId="1" applyFont="1" applyFill="1" applyBorder="1" applyAlignment="1">
      <alignment horizontal="center" vertical="center" wrapText="1"/>
    </xf>
    <xf numFmtId="0" fontId="14" fillId="6" borderId="18" xfId="1" applyFont="1" applyFill="1" applyBorder="1" applyAlignment="1">
      <alignment horizontal="center" vertical="center" wrapText="1"/>
    </xf>
    <xf numFmtId="0" fontId="14" fillId="6" borderId="10" xfId="1" applyFont="1" applyFill="1" applyBorder="1" applyAlignment="1">
      <alignment horizontal="center" vertical="center" wrapText="1"/>
    </xf>
    <xf numFmtId="0" fontId="14" fillId="3" borderId="10" xfId="1" applyFont="1" applyFill="1" applyBorder="1" applyAlignment="1">
      <alignment horizontal="center" vertical="center" wrapText="1"/>
    </xf>
    <xf numFmtId="0" fontId="0" fillId="2" borderId="28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23" fillId="8" borderId="0" xfId="0" applyFont="1" applyFill="1" applyAlignment="1">
      <alignment horizontal="left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9" fillId="2" borderId="28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center" vertical="center" wrapText="1"/>
    </xf>
    <xf numFmtId="174" fontId="9" fillId="6" borderId="7" xfId="0" applyNumberFormat="1" applyFont="1" applyFill="1" applyBorder="1" applyAlignment="1">
      <alignment horizontal="center" vertical="center"/>
    </xf>
    <xf numFmtId="174" fontId="9" fillId="6" borderId="9" xfId="0" applyNumberFormat="1" applyFont="1" applyFill="1" applyBorder="1" applyAlignment="1">
      <alignment horizontal="center" vertical="center"/>
    </xf>
    <xf numFmtId="174" fontId="9" fillId="6" borderId="8" xfId="0" applyNumberFormat="1" applyFont="1" applyFill="1" applyBorder="1" applyAlignment="1">
      <alignment horizontal="center" vertical="center"/>
    </xf>
    <xf numFmtId="176" fontId="9" fillId="2" borderId="7" xfId="0" applyNumberFormat="1" applyFont="1" applyFill="1" applyBorder="1" applyAlignment="1">
      <alignment horizontal="right" vertical="center"/>
    </xf>
    <xf numFmtId="176" fontId="9" fillId="2" borderId="9" xfId="0" applyNumberFormat="1" applyFont="1" applyFill="1" applyBorder="1" applyAlignment="1">
      <alignment horizontal="right" vertical="center"/>
    </xf>
    <xf numFmtId="176" fontId="9" fillId="2" borderId="8" xfId="0" applyNumberFormat="1" applyFont="1" applyFill="1" applyBorder="1" applyAlignment="1">
      <alignment horizontal="right" vertical="center"/>
    </xf>
    <xf numFmtId="0" fontId="14" fillId="4" borderId="7" xfId="1" applyFont="1" applyFill="1" applyBorder="1" applyAlignment="1">
      <alignment horizontal="center" vertical="center" wrapText="1"/>
    </xf>
    <xf numFmtId="0" fontId="14" fillId="4" borderId="8" xfId="1" applyFont="1" applyFill="1" applyBorder="1" applyAlignment="1">
      <alignment horizontal="center" vertical="center" wrapText="1"/>
    </xf>
    <xf numFmtId="0" fontId="9" fillId="17" borderId="19" xfId="0" applyFont="1" applyFill="1" applyBorder="1" applyAlignment="1">
      <alignment horizontal="center" vertical="center"/>
    </xf>
    <xf numFmtId="0" fontId="9" fillId="17" borderId="20" xfId="0" applyFont="1" applyFill="1" applyBorder="1" applyAlignment="1">
      <alignment horizontal="center" vertical="center"/>
    </xf>
    <xf numFmtId="0" fontId="9" fillId="17" borderId="18" xfId="0" applyFont="1" applyFill="1" applyBorder="1" applyAlignment="1">
      <alignment horizontal="center" vertical="center"/>
    </xf>
    <xf numFmtId="0" fontId="31" fillId="12" borderId="25" xfId="0" applyFont="1" applyFill="1" applyBorder="1" applyAlignment="1">
      <alignment horizontal="center" vertical="center" textRotation="90" wrapText="1"/>
    </xf>
    <xf numFmtId="0" fontId="31" fillId="12" borderId="26" xfId="0" applyFont="1" applyFill="1" applyBorder="1" applyAlignment="1">
      <alignment horizontal="center" vertical="center" textRotation="90" wrapText="1"/>
    </xf>
    <xf numFmtId="0" fontId="31" fillId="12" borderId="27" xfId="0" applyFont="1" applyFill="1" applyBorder="1" applyAlignment="1">
      <alignment horizontal="center" vertical="center" textRotation="90" wrapText="1"/>
    </xf>
    <xf numFmtId="0" fontId="31" fillId="0" borderId="25" xfId="0" applyFont="1" applyBorder="1" applyAlignment="1">
      <alignment horizontal="center" vertical="center" wrapText="1"/>
    </xf>
    <xf numFmtId="0" fontId="31" fillId="0" borderId="26" xfId="0" applyFont="1" applyBorder="1" applyAlignment="1">
      <alignment horizontal="center" vertical="center" wrapText="1"/>
    </xf>
    <xf numFmtId="0" fontId="31" fillId="0" borderId="27" xfId="0" applyFont="1" applyBorder="1" applyAlignment="1">
      <alignment horizontal="center" vertical="center" wrapText="1"/>
    </xf>
    <xf numFmtId="0" fontId="29" fillId="0" borderId="25" xfId="0" applyFont="1" applyBorder="1" applyAlignment="1">
      <alignment horizontal="center" vertical="center" wrapText="1"/>
    </xf>
    <xf numFmtId="0" fontId="29" fillId="0" borderId="27" xfId="0" applyFont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 wrapText="1"/>
    </xf>
    <xf numFmtId="0" fontId="25" fillId="12" borderId="22" xfId="0" applyFont="1" applyFill="1" applyBorder="1" applyAlignment="1">
      <alignment horizontal="center" vertical="center"/>
    </xf>
    <xf numFmtId="0" fontId="25" fillId="12" borderId="23" xfId="0" applyFont="1" applyFill="1" applyBorder="1" applyAlignment="1">
      <alignment horizontal="center" vertical="center"/>
    </xf>
    <xf numFmtId="0" fontId="25" fillId="12" borderId="24" xfId="0" applyFont="1" applyFill="1" applyBorder="1" applyAlignment="1">
      <alignment horizontal="center" vertical="center"/>
    </xf>
    <xf numFmtId="0" fontId="31" fillId="12" borderId="25" xfId="0" applyFont="1" applyFill="1" applyBorder="1" applyAlignment="1">
      <alignment horizontal="center" vertical="center" wrapText="1"/>
    </xf>
    <xf numFmtId="0" fontId="31" fillId="12" borderId="26" xfId="0" applyFont="1" applyFill="1" applyBorder="1" applyAlignment="1">
      <alignment horizontal="center" vertical="center" wrapText="1"/>
    </xf>
    <xf numFmtId="0" fontId="31" fillId="12" borderId="27" xfId="0" applyFont="1" applyFill="1" applyBorder="1" applyAlignment="1">
      <alignment horizontal="center" vertical="center" wrapText="1"/>
    </xf>
    <xf numFmtId="0" fontId="33" fillId="12" borderId="22" xfId="0" applyFont="1" applyFill="1" applyBorder="1" applyAlignment="1">
      <alignment horizontal="center" vertical="center" wrapText="1"/>
    </xf>
    <xf numFmtId="0" fontId="33" fillId="12" borderId="23" xfId="0" applyFont="1" applyFill="1" applyBorder="1" applyAlignment="1">
      <alignment horizontal="center" vertical="center" wrapText="1"/>
    </xf>
    <xf numFmtId="0" fontId="33" fillId="12" borderId="24" xfId="0" applyFont="1" applyFill="1" applyBorder="1" applyAlignment="1">
      <alignment horizontal="center" vertical="center" wrapText="1"/>
    </xf>
    <xf numFmtId="0" fontId="31" fillId="12" borderId="22" xfId="0" applyFont="1" applyFill="1" applyBorder="1" applyAlignment="1">
      <alignment horizontal="center" vertical="center" wrapText="1"/>
    </xf>
    <xf numFmtId="0" fontId="31" fillId="12" borderId="24" xfId="0" applyFont="1" applyFill="1" applyBorder="1" applyAlignment="1">
      <alignment horizontal="center" vertical="center" wrapText="1"/>
    </xf>
    <xf numFmtId="0" fontId="31" fillId="12" borderId="23" xfId="0" applyFont="1" applyFill="1" applyBorder="1" applyAlignment="1">
      <alignment horizontal="center" vertical="center" wrapText="1"/>
    </xf>
    <xf numFmtId="0" fontId="29" fillId="2" borderId="25" xfId="0" applyFont="1" applyFill="1" applyBorder="1" applyAlignment="1">
      <alignment horizontal="center" vertical="center" wrapText="1"/>
    </xf>
    <xf numFmtId="0" fontId="29" fillId="2" borderId="26" xfId="0" applyFont="1" applyFill="1" applyBorder="1" applyAlignment="1">
      <alignment horizontal="center" vertical="center" wrapText="1"/>
    </xf>
    <xf numFmtId="0" fontId="29" fillId="2" borderId="27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12" borderId="22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40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41" fillId="22" borderId="1" xfId="0" applyFont="1" applyFill="1" applyBorder="1" applyAlignment="1">
      <alignment horizontal="center" vertical="center"/>
    </xf>
  </cellXfs>
  <cellStyles count="10">
    <cellStyle name="A3 297 x 420 mm" xfId="2" xr:uid="{00000000-0005-0000-0000-000000000000}"/>
    <cellStyle name="Moeda 2" xfId="3" xr:uid="{00000000-0005-0000-0000-000001000000}"/>
    <cellStyle name="Normal" xfId="0" builtinId="0"/>
    <cellStyle name="Normal 2" xfId="1" xr:uid="{00000000-0005-0000-0000-000003000000}"/>
    <cellStyle name="Normal 3" xfId="8" xr:uid="{00000000-0005-0000-0000-000004000000}"/>
    <cellStyle name="Normal 5 2" xfId="7" xr:uid="{00000000-0005-0000-0000-000005000000}"/>
    <cellStyle name="Porcentagem" xfId="5" builtinId="5"/>
    <cellStyle name="Vírgula" xfId="4" builtinId="3"/>
    <cellStyle name="Vírgula 2" xfId="6" xr:uid="{00000000-0005-0000-0000-000008000000}"/>
    <cellStyle name="Vírgula 3" xfId="9" xr:uid="{00000000-0005-0000-0000-000009000000}"/>
  </cellStyles>
  <dxfs count="182"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</dxfs>
  <tableStyles count="0" defaultTableStyle="TableStyleMedium2" defaultPivotStyle="PivotStyleLight16"/>
  <colors>
    <mruColors>
      <color rgb="FF0000FF"/>
      <color rgb="FF9D1EB2"/>
      <color rgb="FFFF5050"/>
      <color rgb="FFFF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28</xdr:row>
      <xdr:rowOff>0</xdr:rowOff>
    </xdr:from>
    <xdr:to>
      <xdr:col>25</xdr:col>
      <xdr:colOff>231128</xdr:colOff>
      <xdr:row>60</xdr:row>
      <xdr:rowOff>76708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EE1DCDD-D4EF-9649-3D57-9E05A07DE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01775" y="5819775"/>
          <a:ext cx="7193903" cy="58679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28</xdr:row>
      <xdr:rowOff>0</xdr:rowOff>
    </xdr:from>
    <xdr:to>
      <xdr:col>25</xdr:col>
      <xdr:colOff>294005</xdr:colOff>
      <xdr:row>61</xdr:row>
      <xdr:rowOff>147215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A28FD60-CE28-21DB-34B4-A78798363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5810250"/>
          <a:ext cx="7323455" cy="61193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30</xdr:row>
      <xdr:rowOff>0</xdr:rowOff>
    </xdr:from>
    <xdr:to>
      <xdr:col>27</xdr:col>
      <xdr:colOff>593240</xdr:colOff>
      <xdr:row>63</xdr:row>
      <xdr:rowOff>101495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75A093E-BA2E-7EE3-919C-87C1E75A6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92275" y="6248400"/>
          <a:ext cx="9060965" cy="61117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647700</xdr:colOff>
      <xdr:row>22</xdr:row>
      <xdr:rowOff>95250</xdr:rowOff>
    </xdr:from>
    <xdr:to>
      <xdr:col>27</xdr:col>
      <xdr:colOff>589359</xdr:colOff>
      <xdr:row>57</xdr:row>
      <xdr:rowOff>63411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29FFD73-791F-56B5-192A-70FFEA6E8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25600" y="4829175"/>
          <a:ext cx="8237934" cy="63022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22</xdr:row>
      <xdr:rowOff>0</xdr:rowOff>
    </xdr:from>
    <xdr:to>
      <xdr:col>23</xdr:col>
      <xdr:colOff>709246</xdr:colOff>
      <xdr:row>56</xdr:row>
      <xdr:rowOff>118653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025DDDC-7B39-7AD5-3B32-7E0C2242E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30200" y="4733925"/>
          <a:ext cx="6767146" cy="627180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773906</xdr:colOff>
      <xdr:row>14</xdr:row>
      <xdr:rowOff>71438</xdr:rowOff>
    </xdr:from>
    <xdr:to>
      <xdr:col>4</xdr:col>
      <xdr:colOff>785812</xdr:colOff>
      <xdr:row>15</xdr:row>
      <xdr:rowOff>71438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39D93ABE-F6EC-47C3-8E2D-EE1F9DDE2E7D}"/>
            </a:ext>
          </a:extLst>
        </xdr:cNvPr>
        <xdr:cNvCxnSpPr/>
      </xdr:nvCxnSpPr>
      <xdr:spPr>
        <a:xfrm flipH="1">
          <a:off x="7917656" y="8739188"/>
          <a:ext cx="85725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773906</xdr:colOff>
      <xdr:row>14</xdr:row>
      <xdr:rowOff>71438</xdr:rowOff>
    </xdr:from>
    <xdr:to>
      <xdr:col>4</xdr:col>
      <xdr:colOff>785812</xdr:colOff>
      <xdr:row>15</xdr:row>
      <xdr:rowOff>71438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1EFE714B-1F6B-4333-9735-D23555D4CB61}"/>
            </a:ext>
          </a:extLst>
        </xdr:cNvPr>
        <xdr:cNvCxnSpPr/>
      </xdr:nvCxnSpPr>
      <xdr:spPr>
        <a:xfrm flipH="1">
          <a:off x="3698081" y="2919413"/>
          <a:ext cx="859631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480060</xdr:colOff>
          <xdr:row>13</xdr:row>
          <xdr:rowOff>121920</xdr:rowOff>
        </xdr:from>
        <xdr:to>
          <xdr:col>13</xdr:col>
          <xdr:colOff>335280</xdr:colOff>
          <xdr:row>15</xdr:row>
          <xdr:rowOff>182880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TROCAR BANDEIRA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773906</xdr:colOff>
      <xdr:row>14</xdr:row>
      <xdr:rowOff>71438</xdr:rowOff>
    </xdr:from>
    <xdr:to>
      <xdr:col>4</xdr:col>
      <xdr:colOff>785812</xdr:colOff>
      <xdr:row>15</xdr:row>
      <xdr:rowOff>71438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59BB61C7-0997-4D60-BDF5-1B2D90A5237C}"/>
            </a:ext>
          </a:extLst>
        </xdr:cNvPr>
        <xdr:cNvCxnSpPr/>
      </xdr:nvCxnSpPr>
      <xdr:spPr>
        <a:xfrm flipH="1">
          <a:off x="3726656" y="2938463"/>
          <a:ext cx="859631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480060</xdr:colOff>
          <xdr:row>13</xdr:row>
          <xdr:rowOff>121920</xdr:rowOff>
        </xdr:from>
        <xdr:to>
          <xdr:col>13</xdr:col>
          <xdr:colOff>335280</xdr:colOff>
          <xdr:row>15</xdr:row>
          <xdr:rowOff>182880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EDITAR ADICIONAL DE BANDEIRA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773906</xdr:colOff>
      <xdr:row>14</xdr:row>
      <xdr:rowOff>71438</xdr:rowOff>
    </xdr:from>
    <xdr:to>
      <xdr:col>4</xdr:col>
      <xdr:colOff>785812</xdr:colOff>
      <xdr:row>15</xdr:row>
      <xdr:rowOff>71438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19A002CB-61D3-42C2-807A-B1D0F75A58A2}"/>
            </a:ext>
          </a:extLst>
        </xdr:cNvPr>
        <xdr:cNvCxnSpPr/>
      </xdr:nvCxnSpPr>
      <xdr:spPr>
        <a:xfrm flipH="1">
          <a:off x="3698081" y="2919413"/>
          <a:ext cx="859631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821531</xdr:colOff>
      <xdr:row>15</xdr:row>
      <xdr:rowOff>23812</xdr:rowOff>
    </xdr:from>
    <xdr:to>
      <xdr:col>9</xdr:col>
      <xdr:colOff>833437</xdr:colOff>
      <xdr:row>16</xdr:row>
      <xdr:rowOff>23812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057DFFA5-94FC-47C9-A805-E8488D410DC0}"/>
            </a:ext>
          </a:extLst>
        </xdr:cNvPr>
        <xdr:cNvCxnSpPr/>
      </xdr:nvCxnSpPr>
      <xdr:spPr>
        <a:xfrm flipH="1">
          <a:off x="7096125" y="2881312"/>
          <a:ext cx="85725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printerSettings" Target="../printerSettings/printerSettings3.bin"/><Relationship Id="rId7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7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printerSettings" Target="../printerSettings/printerSettings12.bin"/><Relationship Id="rId5" Type="http://schemas.openxmlformats.org/officeDocument/2006/relationships/printerSettings" Target="../printerSettings/printerSettings11.bin"/><Relationship Id="rId4" Type="http://schemas.openxmlformats.org/officeDocument/2006/relationships/printerSettings" Target="../printerSettings/printerSettings10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7" Type="http://schemas.openxmlformats.org/officeDocument/2006/relationships/drawing" Target="../drawings/drawing3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printerSettings" Target="../printerSettings/printerSettings18.bin"/><Relationship Id="rId5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16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7" Type="http://schemas.openxmlformats.org/officeDocument/2006/relationships/drawing" Target="../drawings/drawing4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6" Type="http://schemas.openxmlformats.org/officeDocument/2006/relationships/printerSettings" Target="../printerSettings/printerSettings24.bin"/><Relationship Id="rId5" Type="http://schemas.openxmlformats.org/officeDocument/2006/relationships/printerSettings" Target="../printerSettings/printerSettings23.bin"/><Relationship Id="rId4" Type="http://schemas.openxmlformats.org/officeDocument/2006/relationships/printerSettings" Target="../printerSettings/printerSettings2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6" Type="http://schemas.openxmlformats.org/officeDocument/2006/relationships/printerSettings" Target="../printerSettings/printerSettings30.bin"/><Relationship Id="rId5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28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3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7.bin"/><Relationship Id="rId7" Type="http://schemas.openxmlformats.org/officeDocument/2006/relationships/drawing" Target="../drawings/drawing6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Relationship Id="rId6" Type="http://schemas.openxmlformats.org/officeDocument/2006/relationships/printerSettings" Target="../printerSettings/printerSettings40.bin"/><Relationship Id="rId5" Type="http://schemas.openxmlformats.org/officeDocument/2006/relationships/printerSettings" Target="../printerSettings/printerSettings39.bin"/><Relationship Id="rId4" Type="http://schemas.openxmlformats.org/officeDocument/2006/relationships/printerSettings" Target="../printerSettings/printerSettings38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printerSettings" Target="../printerSettings/printerSettings4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7.xml"/><Relationship Id="rId4" Type="http://schemas.openxmlformats.org/officeDocument/2006/relationships/printerSettings" Target="../printerSettings/printerSettings4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5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8.bin"/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Relationship Id="rId6" Type="http://schemas.openxmlformats.org/officeDocument/2006/relationships/printerSettings" Target="../printerSettings/printerSettings51.bin"/><Relationship Id="rId5" Type="http://schemas.openxmlformats.org/officeDocument/2006/relationships/printerSettings" Target="../printerSettings/printerSettings50.bin"/><Relationship Id="rId4" Type="http://schemas.openxmlformats.org/officeDocument/2006/relationships/printerSettings" Target="../printerSettings/printerSettings4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4.bin"/><Relationship Id="rId2" Type="http://schemas.openxmlformats.org/officeDocument/2006/relationships/printerSettings" Target="../printerSettings/printerSettings53.bin"/><Relationship Id="rId1" Type="http://schemas.openxmlformats.org/officeDocument/2006/relationships/printerSettings" Target="../printerSettings/printerSettings52.bin"/><Relationship Id="rId6" Type="http://schemas.openxmlformats.org/officeDocument/2006/relationships/printerSettings" Target="../printerSettings/printerSettings57.bin"/><Relationship Id="rId5" Type="http://schemas.openxmlformats.org/officeDocument/2006/relationships/printerSettings" Target="../printerSettings/printerSettings56.bin"/><Relationship Id="rId4" Type="http://schemas.openxmlformats.org/officeDocument/2006/relationships/printerSettings" Target="../printerSettings/printerSettings5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0.bin"/><Relationship Id="rId2" Type="http://schemas.openxmlformats.org/officeDocument/2006/relationships/printerSettings" Target="../printerSettings/printerSettings59.bin"/><Relationship Id="rId1" Type="http://schemas.openxmlformats.org/officeDocument/2006/relationships/printerSettings" Target="../printerSettings/printerSettings58.bin"/><Relationship Id="rId6" Type="http://schemas.openxmlformats.org/officeDocument/2006/relationships/printerSettings" Target="../printerSettings/printerSettings63.bin"/><Relationship Id="rId5" Type="http://schemas.openxmlformats.org/officeDocument/2006/relationships/printerSettings" Target="../printerSettings/printerSettings62.bin"/><Relationship Id="rId4" Type="http://schemas.openxmlformats.org/officeDocument/2006/relationships/printerSettings" Target="../printerSettings/printerSettings6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6.bin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65.bin"/><Relationship Id="rId1" Type="http://schemas.openxmlformats.org/officeDocument/2006/relationships/printerSettings" Target="../printerSettings/printerSettings64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9.xml"/><Relationship Id="rId4" Type="http://schemas.openxmlformats.org/officeDocument/2006/relationships/printerSettings" Target="../printerSettings/printerSettings6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0.bin"/><Relationship Id="rId7" Type="http://schemas.openxmlformats.org/officeDocument/2006/relationships/drawing" Target="../drawings/drawing10.xml"/><Relationship Id="rId2" Type="http://schemas.openxmlformats.org/officeDocument/2006/relationships/printerSettings" Target="../printerSettings/printerSettings69.bin"/><Relationship Id="rId1" Type="http://schemas.openxmlformats.org/officeDocument/2006/relationships/printerSettings" Target="../printerSettings/printerSettings68.bin"/><Relationship Id="rId6" Type="http://schemas.openxmlformats.org/officeDocument/2006/relationships/printerSettings" Target="../printerSettings/printerSettings73.bin"/><Relationship Id="rId5" Type="http://schemas.openxmlformats.org/officeDocument/2006/relationships/printerSettings" Target="../printerSettings/printerSettings72.bin"/><Relationship Id="rId4" Type="http://schemas.openxmlformats.org/officeDocument/2006/relationships/printerSettings" Target="../printerSettings/printerSettings7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6.bin"/><Relationship Id="rId2" Type="http://schemas.openxmlformats.org/officeDocument/2006/relationships/printerSettings" Target="../printerSettings/printerSettings75.bin"/><Relationship Id="rId1" Type="http://schemas.openxmlformats.org/officeDocument/2006/relationships/printerSettings" Target="../printerSettings/printerSettings74.bin"/><Relationship Id="rId6" Type="http://schemas.openxmlformats.org/officeDocument/2006/relationships/printerSettings" Target="../printerSettings/printerSettings79.bin"/><Relationship Id="rId5" Type="http://schemas.openxmlformats.org/officeDocument/2006/relationships/printerSettings" Target="../printerSettings/printerSettings78.bin"/><Relationship Id="rId4" Type="http://schemas.openxmlformats.org/officeDocument/2006/relationships/printerSettings" Target="../printerSettings/printerSettings77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rgb="FF92D050"/>
  </sheetPr>
  <dimension ref="A1:Z107"/>
  <sheetViews>
    <sheetView showGridLines="0" zoomScale="80" zoomScaleNormal="80" workbookViewId="0">
      <selection activeCell="R13" sqref="R13"/>
    </sheetView>
  </sheetViews>
  <sheetFormatPr defaultColWidth="9.109375" defaultRowHeight="14.4" x14ac:dyDescent="0.3"/>
  <cols>
    <col min="1" max="1" width="5.44140625" style="99" customWidth="1"/>
    <col min="2" max="2" width="18.6640625" style="99" customWidth="1"/>
    <col min="3" max="3" width="11.6640625" style="99" customWidth="1"/>
    <col min="4" max="4" width="14.5546875" style="99" customWidth="1"/>
    <col min="5" max="5" width="11.6640625" style="99" customWidth="1"/>
    <col min="6" max="6" width="12.33203125" style="99" bestFit="1" customWidth="1"/>
    <col min="7" max="12" width="11.6640625" style="99" customWidth="1"/>
    <col min="13" max="13" width="15.109375" style="99" bestFit="1" customWidth="1"/>
    <col min="14" max="15" width="11.6640625" style="99" customWidth="1"/>
    <col min="16" max="16" width="12.6640625" style="99" customWidth="1"/>
    <col min="17" max="17" width="11.6640625" style="99" customWidth="1"/>
    <col min="18" max="18" width="14.33203125" style="99" bestFit="1" customWidth="1"/>
    <col min="19" max="19" width="13.109375" style="99" bestFit="1" customWidth="1"/>
    <col min="20" max="20" width="12.44140625" style="99" bestFit="1" customWidth="1"/>
    <col min="21" max="21" width="12.109375" style="99" bestFit="1" customWidth="1"/>
    <col min="22" max="22" width="13.109375" style="99" bestFit="1" customWidth="1"/>
    <col min="23" max="23" width="11.33203125" style="99" bestFit="1" customWidth="1"/>
    <col min="24" max="24" width="12.109375" style="99" bestFit="1" customWidth="1"/>
    <col min="25" max="25" width="13.109375" style="99" bestFit="1" customWidth="1"/>
    <col min="26" max="26" width="11.33203125" style="99" bestFit="1" customWidth="1"/>
    <col min="27" max="16384" width="9.109375" style="99"/>
  </cols>
  <sheetData>
    <row r="1" spans="1:26" x14ac:dyDescent="0.3">
      <c r="A1" s="99" t="s">
        <v>0</v>
      </c>
      <c r="B1" s="99" t="s">
        <v>0</v>
      </c>
      <c r="D1" s="99" t="s">
        <v>0</v>
      </c>
      <c r="F1" s="103"/>
      <c r="G1" s="97"/>
      <c r="H1" s="97" t="s">
        <v>0</v>
      </c>
      <c r="I1" s="97"/>
      <c r="J1" s="97"/>
      <c r="K1" s="97"/>
      <c r="L1" s="99" t="s">
        <v>0</v>
      </c>
    </row>
    <row r="2" spans="1:26" ht="18" x14ac:dyDescent="0.3">
      <c r="A2" s="99" t="s">
        <v>0</v>
      </c>
      <c r="B2" s="43" t="s">
        <v>1</v>
      </c>
      <c r="E2" s="102" t="s">
        <v>2</v>
      </c>
      <c r="F2" s="104">
        <v>45876</v>
      </c>
      <c r="G2" s="97" t="s">
        <v>0</v>
      </c>
      <c r="J2" s="97"/>
      <c r="K2" s="97"/>
      <c r="M2" s="47" t="s">
        <v>3</v>
      </c>
      <c r="N2" s="47" t="s">
        <v>4</v>
      </c>
      <c r="O2" s="99" t="s">
        <v>5</v>
      </c>
      <c r="Q2" s="308" t="s">
        <v>6</v>
      </c>
      <c r="R2" s="326"/>
    </row>
    <row r="3" spans="1:26" x14ac:dyDescent="0.3">
      <c r="M3" s="93" t="s">
        <v>7</v>
      </c>
      <c r="N3" s="48">
        <v>0</v>
      </c>
    </row>
    <row r="4" spans="1:26" ht="15" customHeight="1" x14ac:dyDescent="0.3">
      <c r="B4" s="483" t="s">
        <v>8</v>
      </c>
      <c r="C4" s="481" t="s">
        <v>9</v>
      </c>
      <c r="D4" s="481"/>
      <c r="E4" s="481"/>
      <c r="F4" s="481" t="s">
        <v>10</v>
      </c>
      <c r="G4" s="481"/>
      <c r="H4" s="481"/>
      <c r="I4" s="482" t="s">
        <v>11</v>
      </c>
      <c r="J4" s="482"/>
      <c r="K4" s="482"/>
      <c r="M4" s="229" t="s">
        <v>12</v>
      </c>
      <c r="N4" s="230">
        <v>1.8849999999999999E-2</v>
      </c>
      <c r="Q4" s="483" t="s">
        <v>8</v>
      </c>
      <c r="R4" s="478" t="str">
        <f>C4</f>
        <v>TARIFA ANTIGA - REH 3370/2024</v>
      </c>
      <c r="S4" s="479"/>
      <c r="T4" s="480"/>
      <c r="U4" s="478" t="str">
        <f>F4</f>
        <v>TARIFA NOVA - REH xxxx/2025</v>
      </c>
      <c r="V4" s="479"/>
      <c r="W4" s="480"/>
      <c r="X4" s="478" t="s">
        <v>11</v>
      </c>
      <c r="Y4" s="479"/>
      <c r="Z4" s="480"/>
    </row>
    <row r="5" spans="1:26" x14ac:dyDescent="0.3">
      <c r="B5" s="484"/>
      <c r="C5" s="204" t="s">
        <v>13</v>
      </c>
      <c r="D5" s="204" t="s">
        <v>14</v>
      </c>
      <c r="E5" s="204" t="s">
        <v>15</v>
      </c>
      <c r="F5" s="204" t="s">
        <v>13</v>
      </c>
      <c r="G5" s="204" t="s">
        <v>14</v>
      </c>
      <c r="H5" s="204" t="s">
        <v>15</v>
      </c>
      <c r="I5" s="205" t="s">
        <v>13</v>
      </c>
      <c r="J5" s="205" t="s">
        <v>14</v>
      </c>
      <c r="K5" s="205" t="s">
        <v>15</v>
      </c>
      <c r="M5" s="231" t="s">
        <v>16</v>
      </c>
      <c r="N5" s="232">
        <v>4.4630000000000003E-2</v>
      </c>
      <c r="Q5" s="484"/>
      <c r="R5" s="204" t="s">
        <v>17</v>
      </c>
      <c r="S5"/>
      <c r="T5"/>
      <c r="U5" s="204" t="s">
        <v>17</v>
      </c>
      <c r="V5"/>
      <c r="W5"/>
      <c r="X5" s="204" t="s">
        <v>17</v>
      </c>
      <c r="Y5"/>
      <c r="Z5"/>
    </row>
    <row r="6" spans="1:26" x14ac:dyDescent="0.3">
      <c r="B6" s="207" t="s">
        <v>18</v>
      </c>
      <c r="C6" s="203">
        <f>'TABELA DE TARIFAS ANTIGAS'!G71/1000</f>
        <v>0.38351000000000002</v>
      </c>
      <c r="D6" s="203">
        <f>'TABELA DE TARIFAS ANTIGAS'!H71/1000</f>
        <v>0.30096000000000001</v>
      </c>
      <c r="E6" s="203">
        <f t="shared" ref="E6" si="0">C6+D6</f>
        <v>0.68447000000000002</v>
      </c>
      <c r="F6" s="203">
        <f>'TABELA DE TARIFAS NOVAS'!G71/1000</f>
        <v>0.46862999999999999</v>
      </c>
      <c r="G6" s="203">
        <f>'TABELA DE TARIFAS NOVAS'!H71/1000</f>
        <v>0.32068000000000002</v>
      </c>
      <c r="H6" s="203">
        <f t="shared" ref="H6:H7" si="1">F6+G6</f>
        <v>0.78930999999999996</v>
      </c>
      <c r="I6" s="203">
        <f>((C6*$C$13)+(F6*$D$13))/($D$13+$C$13)</f>
        <v>0.46862999999999999</v>
      </c>
      <c r="J6" s="203">
        <f>((D6*$C$13)+(G6*$D$13))/($D$13+$C$13)</f>
        <v>0.32068000000000002</v>
      </c>
      <c r="K6" s="206">
        <f t="shared" ref="K6" si="2">I6+J6</f>
        <v>0.78930999999999996</v>
      </c>
      <c r="M6" s="39" t="s">
        <v>19</v>
      </c>
      <c r="N6" s="40">
        <v>7.8770000000000007E-2</v>
      </c>
      <c r="P6" s="325"/>
      <c r="Q6" s="207" t="str">
        <f>B6</f>
        <v>B1</v>
      </c>
      <c r="R6" s="203">
        <f>'FIO B'!H11/1000</f>
        <v>0.18823431351264014</v>
      </c>
      <c r="S6"/>
      <c r="T6"/>
      <c r="U6" s="203">
        <f>'FIO B'!K11/1000</f>
        <v>0.20383072193179136</v>
      </c>
      <c r="V6"/>
      <c r="W6"/>
      <c r="X6" s="203">
        <f>((R6*$C$13)+(U6*$D$13))/($D$13+$C$13)</f>
        <v>0.20383072193179136</v>
      </c>
      <c r="Y6"/>
      <c r="Z6"/>
    </row>
    <row r="7" spans="1:26" x14ac:dyDescent="0.3">
      <c r="A7" s="99" t="s">
        <v>0</v>
      </c>
      <c r="B7" s="370" t="s">
        <v>20</v>
      </c>
      <c r="C7" s="387">
        <v>1.7567285996534902E-4</v>
      </c>
      <c r="D7" s="393">
        <v>3.42973552660492E-3</v>
      </c>
      <c r="E7" s="206">
        <v>3.6054083865702689E-3</v>
      </c>
      <c r="F7" s="206">
        <f>T11</f>
        <v>1.8774721494831901E-4</v>
      </c>
      <c r="G7" s="206">
        <f>U11</f>
        <v>-4.4031307414479802E-3</v>
      </c>
      <c r="H7" s="206">
        <f t="shared" si="1"/>
        <v>-4.2153835264996612E-3</v>
      </c>
      <c r="I7" s="203">
        <f>((C7*$C$13)+(F7*$D$13))/($D$13+$C$13)</f>
        <v>1.8774721494831901E-4</v>
      </c>
      <c r="J7" s="203">
        <f>((D7*$C$13)+(G7*$D$13))/($D$13+$C$13)</f>
        <v>-4.4031307414479802E-3</v>
      </c>
      <c r="K7" s="206">
        <f t="shared" ref="K7" si="3">I7+J7</f>
        <v>-4.2153835264996612E-3</v>
      </c>
      <c r="M7" s="93" t="s">
        <v>21</v>
      </c>
      <c r="N7" s="305">
        <v>0.14199999999999999</v>
      </c>
      <c r="O7" s="102"/>
      <c r="P7" t="s">
        <v>0</v>
      </c>
      <c r="Q7"/>
      <c r="R7"/>
      <c r="S7"/>
      <c r="T7"/>
      <c r="U7"/>
      <c r="V7"/>
      <c r="W7"/>
      <c r="X7"/>
      <c r="Y7"/>
      <c r="Z7"/>
    </row>
    <row r="8" spans="1:26" customFormat="1" x14ac:dyDescent="0.3">
      <c r="P8" s="99"/>
      <c r="Q8" s="99"/>
      <c r="R8" s="99"/>
      <c r="S8" s="99"/>
      <c r="T8" s="99"/>
      <c r="U8" s="99"/>
    </row>
    <row r="9" spans="1:26" x14ac:dyDescent="0.3">
      <c r="B9" s="131"/>
      <c r="C9" s="132"/>
      <c r="D9" s="209"/>
      <c r="E9" s="132"/>
      <c r="F9" s="132"/>
      <c r="G9" s="132"/>
      <c r="H9" s="210" t="s">
        <v>22</v>
      </c>
      <c r="I9" s="97"/>
      <c r="L9" s="102" t="s">
        <v>23</v>
      </c>
      <c r="M9" s="104">
        <f>EOMONTH(B13,0)+1</f>
        <v>46143</v>
      </c>
      <c r="P9"/>
      <c r="Q9"/>
      <c r="R9"/>
      <c r="S9"/>
      <c r="T9"/>
      <c r="U9"/>
      <c r="V9"/>
      <c r="W9"/>
      <c r="X9"/>
      <c r="Y9"/>
      <c r="Z9"/>
    </row>
    <row r="10" spans="1:26" x14ac:dyDescent="0.3">
      <c r="B10" s="211" t="s">
        <v>24</v>
      </c>
      <c r="C10" s="105">
        <v>33293</v>
      </c>
      <c r="E10" s="97"/>
      <c r="F10" s="97"/>
      <c r="G10" s="97"/>
      <c r="H10" s="212">
        <f>E13</f>
        <v>46148</v>
      </c>
      <c r="K10" s="485" t="s">
        <v>25</v>
      </c>
      <c r="L10" s="485"/>
      <c r="P10" s="374" t="s">
        <v>26</v>
      </c>
      <c r="Q10" s="375"/>
      <c r="R10" s="371" t="s">
        <v>27</v>
      </c>
      <c r="S10" s="371" t="s">
        <v>28</v>
      </c>
      <c r="T10" s="371" t="s">
        <v>17</v>
      </c>
      <c r="U10" s="371" t="s">
        <v>29</v>
      </c>
      <c r="V10"/>
      <c r="W10"/>
      <c r="X10"/>
      <c r="Y10"/>
      <c r="Z10"/>
    </row>
    <row r="11" spans="1:26" x14ac:dyDescent="0.3">
      <c r="A11" s="99" t="s">
        <v>0</v>
      </c>
      <c r="B11" s="112"/>
      <c r="H11" s="213"/>
      <c r="K11" s="93" t="s">
        <v>7</v>
      </c>
      <c r="L11" s="93" t="s">
        <v>12</v>
      </c>
      <c r="P11" s="376" t="s">
        <v>30</v>
      </c>
      <c r="Q11" s="377"/>
      <c r="R11" s="373"/>
      <c r="S11" s="373"/>
      <c r="T11" s="387">
        <f>0.187747214948319/1000</f>
        <v>1.8774721494831901E-4</v>
      </c>
      <c r="U11" s="393">
        <f>-4.40313074144798/1000</f>
        <v>-4.4031307414479802E-3</v>
      </c>
      <c r="V11" s="97"/>
      <c r="W11" s="97"/>
      <c r="X11" s="97"/>
      <c r="Y11" s="97"/>
      <c r="Z11" s="97"/>
    </row>
    <row r="12" spans="1:26" ht="41.4" x14ac:dyDescent="0.3">
      <c r="B12" s="94" t="s">
        <v>31</v>
      </c>
      <c r="C12" s="94" t="s">
        <v>32</v>
      </c>
      <c r="D12" s="94" t="s">
        <v>33</v>
      </c>
      <c r="E12" s="94" t="s">
        <v>34</v>
      </c>
      <c r="F12" s="97"/>
      <c r="G12" s="97"/>
      <c r="H12" s="214"/>
      <c r="J12" s="94" t="s">
        <v>31</v>
      </c>
      <c r="K12" s="94" t="s">
        <v>32</v>
      </c>
      <c r="L12" s="94" t="s">
        <v>33</v>
      </c>
      <c r="M12" s="94" t="s">
        <v>34</v>
      </c>
    </row>
    <row r="13" spans="1:26" x14ac:dyDescent="0.3">
      <c r="B13" s="227">
        <v>46119</v>
      </c>
      <c r="C13" s="106">
        <f>IF((F2-B13-1)&lt;0,0,(F2-B13-1))</f>
        <v>0</v>
      </c>
      <c r="D13" s="106">
        <f>E13-F2+1</f>
        <v>273</v>
      </c>
      <c r="E13" s="227">
        <v>46148</v>
      </c>
      <c r="F13" s="215"/>
      <c r="G13" s="215"/>
      <c r="H13" s="216"/>
      <c r="J13" s="107">
        <f>B13</f>
        <v>46119</v>
      </c>
      <c r="K13" s="108">
        <f>IF((M9-J13-1)&lt;0,0,(M9-J13-1))</f>
        <v>23</v>
      </c>
      <c r="L13" s="108">
        <f>M13-M9+1</f>
        <v>6</v>
      </c>
      <c r="M13" s="107">
        <f>E13</f>
        <v>46148</v>
      </c>
      <c r="P13" s="302" t="s">
        <v>35</v>
      </c>
      <c r="Q13" s="97"/>
      <c r="R13" s="461">
        <v>197002520144</v>
      </c>
    </row>
    <row r="14" spans="1:26" x14ac:dyDescent="0.3">
      <c r="Q14"/>
      <c r="R14"/>
      <c r="S14"/>
    </row>
    <row r="16" spans="1:26" ht="42" customHeight="1" x14ac:dyDescent="0.3">
      <c r="B16" s="394" t="s">
        <v>36</v>
      </c>
      <c r="C16" s="394" t="s">
        <v>37</v>
      </c>
      <c r="D16" s="394" t="s">
        <v>38</v>
      </c>
      <c r="E16" s="395" t="s">
        <v>39</v>
      </c>
      <c r="F16" s="395" t="s">
        <v>40</v>
      </c>
      <c r="G16" s="395" t="s">
        <v>41</v>
      </c>
      <c r="H16" s="395" t="s">
        <v>42</v>
      </c>
      <c r="I16" s="395" t="s">
        <v>43</v>
      </c>
      <c r="J16" s="395" t="s">
        <v>44</v>
      </c>
      <c r="K16" s="396" t="s">
        <v>45</v>
      </c>
      <c r="L16" s="394" t="s">
        <v>46</v>
      </c>
      <c r="M16" s="395" t="s">
        <v>47</v>
      </c>
      <c r="N16" s="395" t="s">
        <v>48</v>
      </c>
      <c r="O16" s="395" t="s">
        <v>49</v>
      </c>
    </row>
    <row r="17" spans="2:20" x14ac:dyDescent="0.3">
      <c r="B17" s="401"/>
      <c r="C17" s="401"/>
      <c r="D17" s="401"/>
      <c r="E17" s="401"/>
      <c r="F17" s="401"/>
      <c r="G17" s="401"/>
      <c r="H17" s="401"/>
      <c r="I17" s="401"/>
      <c r="J17" s="401"/>
      <c r="K17" s="401"/>
      <c r="L17" s="120"/>
      <c r="M17" s="397"/>
      <c r="N17" s="397"/>
      <c r="O17" s="397"/>
      <c r="R17" s="308" t="s">
        <v>50</v>
      </c>
      <c r="S17" s="308" t="s">
        <v>51</v>
      </c>
    </row>
    <row r="18" spans="2:20" x14ac:dyDescent="0.3">
      <c r="B18" s="397" t="s">
        <v>52</v>
      </c>
      <c r="C18" s="398" t="s">
        <v>53</v>
      </c>
      <c r="D18" s="437">
        <v>155</v>
      </c>
      <c r="E18" s="406">
        <f>(ROUND(D18*K18,2)+ROUND(G18,2)+ROUND(J18,2))/ROUND(D18,4)</f>
        <v>0.58522580645161293</v>
      </c>
      <c r="F18" s="404">
        <f>ROUND(D18*E18,2)</f>
        <v>90.71</v>
      </c>
      <c r="G18" s="404">
        <f>((D18*K18)/(1-$N$18-$N$19))*($N$18+$N$19)</f>
        <v>2.6501298507462678</v>
      </c>
      <c r="H18" s="411">
        <f>ROUND((D18*K18)/(1-$N$18-$N$19)/(1-$I$18),8)</f>
        <v>90.708168490000006</v>
      </c>
      <c r="I18" s="403">
        <v>0.17</v>
      </c>
      <c r="J18" s="411">
        <f>H18*$I$18</f>
        <v>15.420388643300003</v>
      </c>
      <c r="K18" s="406">
        <f>IF(AND($B$13&lt;$F$2,$E$13&lt;$F$2),C6,IF($B$13&lt;$F$2,I6,F6))</f>
        <v>0.46862999999999999</v>
      </c>
      <c r="L18" s="169" t="s">
        <v>54</v>
      </c>
      <c r="M18" s="404">
        <f>D53</f>
        <v>127.43573797678275</v>
      </c>
      <c r="N18" s="399">
        <v>6.3E-3</v>
      </c>
      <c r="O18" s="413">
        <f>ROUND(M18*N18,2)</f>
        <v>0.8</v>
      </c>
      <c r="R18" s="327">
        <f>IF(AND($B$13&lt;$F$2,$E$13&lt;$F$2),R6,IF($B$13&lt;$F$2,X6,U6))</f>
        <v>0.20383072193179136</v>
      </c>
      <c r="S18" s="328">
        <f>D18*R18</f>
        <v>31.593761899427662</v>
      </c>
    </row>
    <row r="19" spans="2:20" x14ac:dyDescent="0.3">
      <c r="B19" s="397" t="s">
        <v>55</v>
      </c>
      <c r="C19" s="398" t="s">
        <v>53</v>
      </c>
      <c r="D19" s="438">
        <f>D18</f>
        <v>155</v>
      </c>
      <c r="E19" s="406">
        <f>(ROUND(D19*K19,2)+ROUND(G19,2)+ROUND(J19,2))/ROUND(D19,4)</f>
        <v>0.40045161290322584</v>
      </c>
      <c r="F19" s="404">
        <f t="shared" ref="F19:F23" si="4">ROUND(D19*E19,2)</f>
        <v>62.07</v>
      </c>
      <c r="G19" s="404">
        <f>((D19*K19)/(1-$N$18-$N$19))*($N$18+$N$19)</f>
        <v>1.8134640132669984</v>
      </c>
      <c r="H19" s="411">
        <f t="shared" ref="H19:H23" si="5">(D19*K19)/(1-$N$18-$N$19)/(1-$I$18)</f>
        <v>62.070920497912056</v>
      </c>
      <c r="I19" s="397"/>
      <c r="J19" s="411">
        <f t="shared" ref="J19:J23" si="6">H19*$I$18</f>
        <v>10.55205648464505</v>
      </c>
      <c r="K19" s="406">
        <f>IF(AND($B$13&lt;$F$2,$E$13&lt;$F$2),D6,IF($B$13&lt;$F$2,J6,G6))</f>
        <v>0.32068000000000002</v>
      </c>
      <c r="L19" s="169" t="s">
        <v>56</v>
      </c>
      <c r="M19" s="404">
        <f>M18</f>
        <v>127.43573797678275</v>
      </c>
      <c r="N19" s="399">
        <v>2.8899999999999999E-2</v>
      </c>
      <c r="O19" s="413">
        <f>ROUND(M19*N19,2)</f>
        <v>3.68</v>
      </c>
    </row>
    <row r="20" spans="2:20" x14ac:dyDescent="0.3">
      <c r="B20" s="397" t="s">
        <v>57</v>
      </c>
      <c r="C20" s="398" t="s">
        <v>53</v>
      </c>
      <c r="D20" s="438">
        <f>IF($K$11=M4,(D18*(K13)/(K13+L13)),0)+IF($L$11=M4,(D18*(L13)/(K13+L13)),0)</f>
        <v>32.068965517241381</v>
      </c>
      <c r="E20" s="406">
        <f>IFERROR((ROUND(D20*K20,2)+ROUND(G20,2)+ROUND(J20,2))/ROUND(D20,4), 0)</f>
        <v>2.3387071626804701E-2</v>
      </c>
      <c r="F20" s="404">
        <f t="shared" si="4"/>
        <v>0.75</v>
      </c>
      <c r="G20" s="404">
        <f t="shared" ref="G20:G23" si="7">((D20*K20)/(1-$N$18-$N$19))*($N$18+$N$19)</f>
        <v>2.2054726368159201E-2</v>
      </c>
      <c r="H20" s="411">
        <f t="shared" si="5"/>
        <v>0.75488521249175811</v>
      </c>
      <c r="I20" s="397"/>
      <c r="J20" s="411">
        <f t="shared" si="6"/>
        <v>0.12833048612359887</v>
      </c>
      <c r="K20" s="406">
        <f>N4</f>
        <v>1.8849999999999999E-2</v>
      </c>
      <c r="L20" s="137"/>
      <c r="M20" s="400"/>
      <c r="N20" s="400"/>
      <c r="O20" s="400"/>
      <c r="R20" s="408"/>
    </row>
    <row r="21" spans="2:20" x14ac:dyDescent="0.3">
      <c r="B21" s="397" t="s">
        <v>58</v>
      </c>
      <c r="C21" s="398" t="s">
        <v>53</v>
      </c>
      <c r="D21" s="438">
        <f>IF($K$11=M5,(D18*(K13)/(K13+L13)),0)+IF($L$11=M5,(D18*(L13)/(K13+L13)),0)</f>
        <v>0</v>
      </c>
      <c r="E21" s="406">
        <f t="shared" ref="E21:E23" si="8">K21/(1-$N$18-$N$19)/(1-$I$18)</f>
        <v>5.5732881775859666E-2</v>
      </c>
      <c r="F21" s="404">
        <f t="shared" si="4"/>
        <v>0</v>
      </c>
      <c r="G21" s="404">
        <f t="shared" si="7"/>
        <v>0</v>
      </c>
      <c r="H21" s="411">
        <f t="shared" si="5"/>
        <v>0</v>
      </c>
      <c r="I21" s="397"/>
      <c r="J21" s="411">
        <f t="shared" si="6"/>
        <v>0</v>
      </c>
      <c r="K21" s="406">
        <f>N5</f>
        <v>4.4630000000000003E-2</v>
      </c>
      <c r="O21" s="120"/>
      <c r="R21" s="408"/>
      <c r="S21" s="378">
        <f>(ROUND(D20*K20,2)+ROUND(G20,2)+ROUND(J20,2))/ROUND(D20,4)</f>
        <v>2.3387071626804701E-2</v>
      </c>
      <c r="T21" s="117">
        <f>ROUND(D20*K20,2)</f>
        <v>0.6</v>
      </c>
    </row>
    <row r="22" spans="2:20" x14ac:dyDescent="0.3">
      <c r="B22" s="397" t="s">
        <v>59</v>
      </c>
      <c r="C22" s="398" t="s">
        <v>53</v>
      </c>
      <c r="D22" s="438">
        <f>IF($K$11=M6,(D18*(K13)/(K13+L13)),0)+IF($L$11=M6,(D18*(L13)/(K13+L13)),0)</f>
        <v>0</v>
      </c>
      <c r="E22" s="406">
        <f t="shared" si="8"/>
        <v>9.8366101220803637E-2</v>
      </c>
      <c r="F22" s="404">
        <f t="shared" si="4"/>
        <v>0</v>
      </c>
      <c r="G22" s="404">
        <f t="shared" si="7"/>
        <v>0</v>
      </c>
      <c r="H22" s="411">
        <f t="shared" si="5"/>
        <v>0</v>
      </c>
      <c r="I22" s="397"/>
      <c r="J22" s="411">
        <f t="shared" si="6"/>
        <v>0</v>
      </c>
      <c r="K22" s="406">
        <f>N6</f>
        <v>7.8770000000000007E-2</v>
      </c>
      <c r="O22" s="120"/>
      <c r="Q22" s="117">
        <f>(87.93+G18+J18)/D18</f>
        <v>0.6838743128648147</v>
      </c>
      <c r="R22" s="409"/>
      <c r="S22" s="441">
        <v>0.44</v>
      </c>
      <c r="T22" s="117">
        <f>(S22+S23+S24)/S25</f>
        <v>2.3303585299753158E-2</v>
      </c>
    </row>
    <row r="23" spans="2:20" x14ac:dyDescent="0.3">
      <c r="B23" s="397" t="s">
        <v>60</v>
      </c>
      <c r="C23" s="398" t="s">
        <v>53</v>
      </c>
      <c r="D23" s="438">
        <f>IF($K$11=M7,(D18*(K13)/(K13+L13)),0)+IF($L$11=M7,(D18*(L13)/(K13+L13)),0)</f>
        <v>0</v>
      </c>
      <c r="E23" s="406">
        <f t="shared" si="8"/>
        <v>0.17732622030410197</v>
      </c>
      <c r="F23" s="404">
        <f t="shared" si="4"/>
        <v>0</v>
      </c>
      <c r="G23" s="404">
        <f t="shared" si="7"/>
        <v>0</v>
      </c>
      <c r="H23" s="411">
        <f t="shared" si="5"/>
        <v>0</v>
      </c>
      <c r="I23" s="397"/>
      <c r="J23" s="411">
        <f t="shared" si="6"/>
        <v>0</v>
      </c>
      <c r="K23" s="406">
        <f>N7</f>
        <v>0.14199999999999999</v>
      </c>
      <c r="O23" s="120"/>
      <c r="S23" s="441">
        <v>0.09</v>
      </c>
    </row>
    <row r="24" spans="2:20" x14ac:dyDescent="0.3">
      <c r="B24" s="397" t="s">
        <v>61</v>
      </c>
      <c r="C24" s="397"/>
      <c r="D24" s="438"/>
      <c r="E24" s="397"/>
      <c r="F24" s="402"/>
      <c r="G24" s="397"/>
      <c r="H24" s="397"/>
      <c r="I24" s="397"/>
      <c r="J24" s="397"/>
      <c r="K24" s="397"/>
      <c r="O24" s="120"/>
      <c r="S24" s="441">
        <v>0.01</v>
      </c>
    </row>
    <row r="25" spans="2:20" x14ac:dyDescent="0.3">
      <c r="B25" s="397" t="s">
        <v>62</v>
      </c>
      <c r="C25" s="397"/>
      <c r="D25" s="438"/>
      <c r="E25" s="397"/>
      <c r="F25" s="402"/>
      <c r="G25" s="397"/>
      <c r="H25" s="397"/>
      <c r="I25" s="397"/>
      <c r="J25" s="397"/>
      <c r="K25" s="397"/>
      <c r="O25" s="120"/>
      <c r="S25" s="441">
        <v>23.1724</v>
      </c>
    </row>
    <row r="26" spans="2:20" x14ac:dyDescent="0.3">
      <c r="B26" s="397" t="s">
        <v>63</v>
      </c>
      <c r="C26" s="397"/>
      <c r="D26" s="438"/>
      <c r="E26" s="397"/>
      <c r="F26" s="402"/>
      <c r="G26" s="397"/>
      <c r="H26" s="397"/>
      <c r="I26" s="397"/>
      <c r="J26" s="397"/>
      <c r="K26" s="397"/>
      <c r="O26" s="120"/>
      <c r="S26" s="441"/>
    </row>
    <row r="27" spans="2:20" x14ac:dyDescent="0.3">
      <c r="B27" s="397" t="s">
        <v>64</v>
      </c>
      <c r="C27" s="397"/>
      <c r="D27" s="438"/>
      <c r="E27" s="397"/>
      <c r="F27" s="402"/>
      <c r="G27" s="397"/>
      <c r="H27" s="397"/>
      <c r="I27" s="397"/>
      <c r="J27" s="397"/>
      <c r="K27" s="397"/>
      <c r="O27" s="120"/>
      <c r="S27" s="441"/>
    </row>
    <row r="28" spans="2:20" x14ac:dyDescent="0.3">
      <c r="B28" s="397" t="s">
        <v>65</v>
      </c>
      <c r="C28" s="397"/>
      <c r="D28" s="438"/>
      <c r="E28" s="397"/>
      <c r="F28" s="402">
        <v>13.51</v>
      </c>
      <c r="G28" s="397"/>
      <c r="H28" s="397"/>
      <c r="I28" s="397"/>
      <c r="J28" s="397"/>
      <c r="K28" s="397"/>
      <c r="O28" s="120"/>
    </row>
    <row r="29" spans="2:20" x14ac:dyDescent="0.3">
      <c r="B29" s="397"/>
      <c r="C29" s="397"/>
      <c r="D29" s="438"/>
      <c r="E29" s="397"/>
      <c r="F29" s="397"/>
      <c r="G29" s="397"/>
      <c r="H29" s="397"/>
      <c r="I29" s="397"/>
      <c r="J29" s="397"/>
      <c r="K29" s="397"/>
      <c r="O29" s="120"/>
    </row>
    <row r="30" spans="2:20" x14ac:dyDescent="0.3">
      <c r="B30" s="397"/>
      <c r="C30" s="397"/>
      <c r="D30" s="438"/>
      <c r="E30" s="397"/>
      <c r="F30" s="397"/>
      <c r="G30" s="397"/>
      <c r="H30" s="397"/>
      <c r="I30" s="397"/>
      <c r="J30" s="397"/>
      <c r="K30" s="397"/>
      <c r="O30" s="120"/>
    </row>
    <row r="31" spans="2:20" x14ac:dyDescent="0.3">
      <c r="B31" s="405" t="s">
        <v>66</v>
      </c>
      <c r="C31" s="400"/>
      <c r="D31" s="439"/>
      <c r="E31" s="400"/>
      <c r="F31" s="407">
        <f>SUM(F18:F30)</f>
        <v>167.04</v>
      </c>
      <c r="G31" s="410">
        <f>SUM(G18:G30)</f>
        <v>4.4856485903814249</v>
      </c>
      <c r="H31" s="412">
        <f>SUM(H18:H30)</f>
        <v>153.53397420040383</v>
      </c>
      <c r="I31" s="400"/>
      <c r="J31" s="412">
        <f>SUM(J18:J30)</f>
        <v>26.100775614068649</v>
      </c>
      <c r="K31" s="400"/>
      <c r="L31" s="127"/>
      <c r="M31" s="127"/>
      <c r="N31" s="127"/>
      <c r="O31" s="137"/>
    </row>
    <row r="33" spans="1:26" x14ac:dyDescent="0.3">
      <c r="B33" s="415" t="s">
        <v>67</v>
      </c>
      <c r="C33" s="416">
        <f>D18</f>
        <v>155</v>
      </c>
      <c r="D33" s="417">
        <f>IF(AND($B$13&lt;$F$2,$E$13&lt;$F$2),C7,IF($B$13&lt;$F$2,I7,F7))</f>
        <v>1.8774721494831901E-4</v>
      </c>
      <c r="E33" s="417">
        <f>IF(AND($B$13&lt;$F$2,$E$13&lt;$F$2),D7,IF($B$13&lt;$F$2,J7,G7))</f>
        <v>-4.4031307414479802E-3</v>
      </c>
      <c r="F33" s="415">
        <f>C33*(D33+E33)</f>
        <v>-0.65338444660744743</v>
      </c>
    </row>
    <row r="37" spans="1:26" s="1" customFormat="1" x14ac:dyDescent="0.3">
      <c r="A37" s="1" t="s">
        <v>0</v>
      </c>
      <c r="B37" s="486" t="s">
        <v>68</v>
      </c>
      <c r="C37" s="487"/>
      <c r="D37" s="487"/>
      <c r="E37" s="487"/>
      <c r="F37" s="487"/>
      <c r="G37" s="487"/>
      <c r="H37" s="488"/>
      <c r="I37"/>
      <c r="Q37" s="99"/>
      <c r="R37" s="99"/>
      <c r="S37" s="99"/>
      <c r="T37" s="99"/>
      <c r="U37" s="99"/>
      <c r="V37" s="99"/>
      <c r="W37" s="99"/>
      <c r="X37" s="99"/>
      <c r="Y37" s="99"/>
      <c r="Z37" s="99"/>
    </row>
    <row r="38" spans="1:26" s="1" customFormat="1" x14ac:dyDescent="0.3">
      <c r="B38" s="112"/>
      <c r="C38" s="99"/>
      <c r="D38" s="98" t="s">
        <v>69</v>
      </c>
      <c r="E38" s="98" t="s">
        <v>70</v>
      </c>
      <c r="F38" s="98" t="s">
        <v>14</v>
      </c>
      <c r="G38" s="98" t="s">
        <v>15</v>
      </c>
      <c r="H38" s="169" t="s">
        <v>71</v>
      </c>
      <c r="I38"/>
      <c r="J38"/>
      <c r="K38"/>
      <c r="L38"/>
      <c r="Q38" s="99"/>
      <c r="R38" s="99"/>
      <c r="S38" s="99"/>
      <c r="T38" s="99"/>
      <c r="U38" s="99"/>
      <c r="V38" s="99"/>
      <c r="W38" s="99"/>
      <c r="X38" s="99"/>
      <c r="Y38" s="99"/>
      <c r="Z38" s="99"/>
    </row>
    <row r="39" spans="1:26" s="1" customFormat="1" x14ac:dyDescent="0.3">
      <c r="B39" s="217" t="s">
        <v>72</v>
      </c>
      <c r="C39" s="218"/>
      <c r="D39" s="219"/>
      <c r="E39" s="219"/>
      <c r="F39" s="219"/>
      <c r="G39" s="219"/>
      <c r="H39" s="220">
        <f>H41+SUM(H44:H47)+SUM(H53:H55)</f>
        <v>153.53703370696718</v>
      </c>
      <c r="I39"/>
      <c r="Q39" s="99"/>
      <c r="R39" s="99"/>
      <c r="S39" s="99"/>
      <c r="T39" s="99"/>
      <c r="U39" s="99"/>
      <c r="V39" s="99"/>
      <c r="W39" s="99"/>
      <c r="X39" s="99"/>
      <c r="Y39" s="99"/>
      <c r="Z39" s="99"/>
    </row>
    <row r="40" spans="1:26" s="1" customFormat="1" x14ac:dyDescent="0.3">
      <c r="B40" s="112"/>
      <c r="C40" s="99"/>
      <c r="D40" s="98"/>
      <c r="E40" s="98"/>
      <c r="F40" s="98"/>
      <c r="G40" s="98"/>
      <c r="H40" s="113"/>
      <c r="I40"/>
      <c r="Q40" s="99"/>
      <c r="R40" s="99"/>
      <c r="S40" s="99"/>
      <c r="T40" s="99"/>
      <c r="U40" s="99"/>
      <c r="V40" s="99"/>
      <c r="W40" s="99"/>
      <c r="X40" s="99"/>
      <c r="Y40" s="99"/>
      <c r="Z40" s="99"/>
    </row>
    <row r="41" spans="1:26" s="1" customFormat="1" x14ac:dyDescent="0.3">
      <c r="B41" s="112" t="s">
        <v>73</v>
      </c>
      <c r="C41" s="99"/>
      <c r="D41" s="228">
        <f>D18</f>
        <v>155</v>
      </c>
      <c r="E41" s="115">
        <f>IF(AND($B$13&lt;$F$2,$E$13&lt;$F$2),C6,IF($B$13&lt;$F$2,I6,F6))</f>
        <v>0.46862999999999999</v>
      </c>
      <c r="F41" s="115">
        <f>IF(AND($B$13&lt;$F$2,$E$13&lt;$F$2),D6,IF($B$13&lt;$F$2,J6,G6))</f>
        <v>0.32068000000000002</v>
      </c>
      <c r="G41" s="115">
        <f>E41+F41</f>
        <v>0.78930999999999996</v>
      </c>
      <c r="H41" s="116">
        <f>ROUND((D41*E41),2)+ROUND((D41*F41),2)</f>
        <v>122.35</v>
      </c>
      <c r="I41"/>
      <c r="Q41" s="99"/>
      <c r="R41" s="99"/>
      <c r="S41" s="99"/>
      <c r="T41" s="99"/>
      <c r="U41" s="99"/>
      <c r="V41" s="99"/>
      <c r="W41" s="99"/>
      <c r="X41" s="99"/>
      <c r="Y41" s="99"/>
      <c r="Z41" s="99"/>
    </row>
    <row r="42" spans="1:26" s="1" customFormat="1" x14ac:dyDescent="0.3">
      <c r="B42" s="112"/>
      <c r="C42" s="99"/>
      <c r="D42" s="114"/>
      <c r="E42" s="117"/>
      <c r="F42" s="118"/>
      <c r="G42" s="118"/>
      <c r="H42" s="116"/>
      <c r="I42"/>
      <c r="J42"/>
      <c r="K42"/>
      <c r="L42"/>
      <c r="M42"/>
      <c r="N42"/>
      <c r="O42"/>
      <c r="P42"/>
      <c r="Q42" s="99"/>
      <c r="R42" s="99"/>
      <c r="S42" s="99"/>
      <c r="T42" s="99"/>
      <c r="U42" s="99"/>
      <c r="V42" s="99"/>
      <c r="W42" s="99"/>
      <c r="X42" s="99"/>
      <c r="Y42" s="99"/>
      <c r="Z42" s="99"/>
    </row>
    <row r="43" spans="1:26" s="1" customFormat="1" x14ac:dyDescent="0.3">
      <c r="B43" s="112"/>
      <c r="C43" s="99"/>
      <c r="D43" s="119"/>
      <c r="E43" s="99"/>
      <c r="F43" s="99"/>
      <c r="G43" s="99"/>
      <c r="H43" s="120"/>
      <c r="I43"/>
      <c r="J43"/>
      <c r="K43"/>
      <c r="L43"/>
      <c r="M43"/>
      <c r="N43"/>
      <c r="O43"/>
      <c r="P43"/>
      <c r="Q43" s="99"/>
      <c r="R43" s="99"/>
      <c r="S43" s="99"/>
      <c r="T43" s="99"/>
      <c r="U43" s="99"/>
      <c r="V43" s="99"/>
      <c r="W43" s="99"/>
      <c r="X43" s="99"/>
      <c r="Y43" s="99"/>
      <c r="Z43" s="99"/>
    </row>
    <row r="44" spans="1:26" s="1" customFormat="1" x14ac:dyDescent="0.3">
      <c r="B44" s="112" t="s">
        <v>57</v>
      </c>
      <c r="C44" s="99"/>
      <c r="D44" s="121">
        <f>IF($K$11=$M$4,(D41*(K13)/(K13+L13)),0)+IF($L$11=$M$4,(D41*(L13)/(K13+L13)),0)</f>
        <v>32.068965517241381</v>
      </c>
      <c r="E44" s="99"/>
      <c r="F44" s="122">
        <f>N4</f>
        <v>1.8849999999999999E-2</v>
      </c>
      <c r="G44" s="122"/>
      <c r="H44" s="116">
        <f>ROUND(D44*(E44+F44),2)</f>
        <v>0.6</v>
      </c>
      <c r="I44"/>
      <c r="J44"/>
      <c r="L44"/>
      <c r="M44"/>
      <c r="N44"/>
      <c r="O44"/>
      <c r="P44"/>
      <c r="Q44" s="99"/>
      <c r="R44" s="99"/>
      <c r="S44" s="99"/>
      <c r="T44" s="99"/>
      <c r="U44" s="99"/>
      <c r="V44" s="99"/>
      <c r="W44" s="99"/>
      <c r="X44" s="99"/>
      <c r="Y44" s="99"/>
      <c r="Z44" s="99"/>
    </row>
    <row r="45" spans="1:26" s="1" customFormat="1" x14ac:dyDescent="0.3">
      <c r="B45" s="112" t="s">
        <v>58</v>
      </c>
      <c r="C45" s="99"/>
      <c r="D45" s="121">
        <f>IF($K$11=$M$5,(D41*(K13)/(K13+L13)),0)+IF($L$11=$M$5,(D41*(L13)/(K13+L13)),0)</f>
        <v>0</v>
      </c>
      <c r="E45" s="99"/>
      <c r="F45" s="122">
        <f>N5</f>
        <v>4.4630000000000003E-2</v>
      </c>
      <c r="G45" s="122"/>
      <c r="H45" s="116">
        <f>ROUND(D45*(E45+F45),2)</f>
        <v>0</v>
      </c>
      <c r="I45"/>
      <c r="J45"/>
      <c r="L45"/>
      <c r="M45"/>
      <c r="N45"/>
      <c r="O45"/>
      <c r="P45"/>
      <c r="Q45" s="99"/>
      <c r="R45" s="99"/>
      <c r="S45" s="99"/>
      <c r="T45" s="99"/>
      <c r="U45" s="99"/>
      <c r="V45" s="99"/>
      <c r="W45" s="99"/>
      <c r="X45" s="99"/>
      <c r="Y45" s="99"/>
      <c r="Z45" s="99"/>
    </row>
    <row r="46" spans="1:26" s="1" customFormat="1" x14ac:dyDescent="0.3">
      <c r="B46" s="112" t="s">
        <v>59</v>
      </c>
      <c r="C46" s="99"/>
      <c r="D46" s="121">
        <f>IF($K$11=$M$6,(D41*(K13)/(K13+L13)),0)+IF($L$11=$M$6,(D41*(L13)/(K13+L13)),0)</f>
        <v>0</v>
      </c>
      <c r="E46" s="99"/>
      <c r="F46" s="122">
        <f>N6</f>
        <v>7.8770000000000007E-2</v>
      </c>
      <c r="G46" s="122"/>
      <c r="H46" s="116">
        <f>ROUND(D46*(E46+F46),2)</f>
        <v>0</v>
      </c>
      <c r="I46"/>
      <c r="J46"/>
      <c r="L46"/>
      <c r="M46"/>
      <c r="N46"/>
      <c r="O46"/>
      <c r="P46"/>
      <c r="Q46" s="99"/>
      <c r="R46" s="99"/>
      <c r="S46" s="99"/>
      <c r="T46" s="99"/>
      <c r="U46" s="99"/>
      <c r="V46" s="99"/>
      <c r="W46" s="99"/>
      <c r="X46" s="99"/>
      <c r="Y46" s="99"/>
      <c r="Z46" s="99"/>
    </row>
    <row r="47" spans="1:26" s="1" customFormat="1" x14ac:dyDescent="0.3">
      <c r="B47" s="112" t="s">
        <v>74</v>
      </c>
      <c r="C47" s="99"/>
      <c r="D47" s="121">
        <f>IF($K$11=$M$7,(D41*(K13)/(K13+L13)),0)+IF($L$11=$M$7,(D41*(L13)/(K13+L13)),0)</f>
        <v>0</v>
      </c>
      <c r="E47" s="99"/>
      <c r="F47" s="122">
        <f>N7</f>
        <v>0.14199999999999999</v>
      </c>
      <c r="G47" s="122"/>
      <c r="H47" s="116">
        <f>ROUND(D47*(E47+F47),2)</f>
        <v>0</v>
      </c>
      <c r="I47"/>
      <c r="J47"/>
      <c r="L47"/>
      <c r="M47"/>
      <c r="N47"/>
      <c r="O47"/>
      <c r="P47"/>
      <c r="Q47" s="99"/>
      <c r="R47" s="99"/>
      <c r="S47" s="99"/>
      <c r="T47" s="99"/>
      <c r="U47" s="99"/>
      <c r="V47" s="99"/>
      <c r="W47" s="99"/>
      <c r="X47" s="99"/>
      <c r="Y47" s="99"/>
      <c r="Z47" s="99"/>
    </row>
    <row r="48" spans="1:26" s="1" customFormat="1" x14ac:dyDescent="0.3">
      <c r="B48" s="112"/>
      <c r="C48" s="99"/>
      <c r="D48" s="119"/>
      <c r="E48" s="99"/>
      <c r="F48" s="99"/>
      <c r="G48" s="99"/>
      <c r="H48" s="116"/>
      <c r="I48"/>
      <c r="J48"/>
      <c r="L48"/>
      <c r="M48"/>
      <c r="N48"/>
      <c r="O48"/>
      <c r="P48"/>
      <c r="Q48" s="99"/>
      <c r="R48" s="99"/>
      <c r="S48" s="99"/>
      <c r="T48" s="99"/>
      <c r="U48" s="99"/>
      <c r="V48" s="99"/>
      <c r="W48" s="99"/>
      <c r="X48" s="99"/>
      <c r="Y48" s="99"/>
      <c r="Z48" s="99"/>
    </row>
    <row r="49" spans="2:26" s="1" customFormat="1" x14ac:dyDescent="0.3">
      <c r="B49" s="124"/>
      <c r="C49" s="103"/>
      <c r="D49" s="103"/>
      <c r="E49" s="103"/>
      <c r="F49" s="103"/>
      <c r="G49" s="103"/>
      <c r="H49" s="125"/>
      <c r="I49"/>
      <c r="J49"/>
      <c r="L49"/>
      <c r="M49"/>
      <c r="N49"/>
      <c r="O49"/>
      <c r="P49"/>
      <c r="Q49" s="99"/>
      <c r="R49" s="99"/>
      <c r="S49" s="99"/>
      <c r="T49" s="99"/>
      <c r="U49" s="99"/>
      <c r="V49" s="99"/>
      <c r="W49" s="99"/>
      <c r="X49" s="99"/>
      <c r="Y49" s="99"/>
      <c r="Z49" s="99"/>
    </row>
    <row r="50" spans="2:26" s="1" customFormat="1" x14ac:dyDescent="0.3">
      <c r="B50" s="126"/>
      <c r="C50" s="127"/>
      <c r="D50" s="128"/>
      <c r="E50" s="129"/>
      <c r="F50" s="127"/>
      <c r="G50" s="127"/>
      <c r="H50" s="130"/>
      <c r="I50"/>
      <c r="J50"/>
      <c r="L50"/>
      <c r="M50"/>
      <c r="N50"/>
      <c r="O50"/>
      <c r="P50"/>
      <c r="Q50" s="99"/>
      <c r="R50" s="99"/>
      <c r="S50" s="99"/>
      <c r="T50" s="99"/>
      <c r="U50" s="99"/>
      <c r="V50" s="99"/>
      <c r="W50" s="99"/>
      <c r="X50" s="99"/>
      <c r="Y50" s="99"/>
      <c r="Z50" s="99"/>
    </row>
    <row r="51" spans="2:26" s="1" customFormat="1" x14ac:dyDescent="0.3">
      <c r="B51" s="131"/>
      <c r="C51" s="132"/>
      <c r="D51" s="132"/>
      <c r="E51" s="132"/>
      <c r="F51" s="132"/>
      <c r="G51" s="132"/>
      <c r="H51" s="133"/>
      <c r="I51"/>
      <c r="J51"/>
      <c r="L51"/>
      <c r="M51"/>
      <c r="N51"/>
      <c r="O51"/>
      <c r="P51"/>
      <c r="Q51" s="99"/>
      <c r="R51" s="99"/>
      <c r="S51" s="99"/>
      <c r="T51" s="99"/>
      <c r="U51" s="99"/>
      <c r="V51" s="99"/>
      <c r="W51" s="99"/>
      <c r="X51" s="99"/>
      <c r="Y51" s="99"/>
      <c r="Z51" s="99"/>
    </row>
    <row r="52" spans="2:26" s="1" customFormat="1" x14ac:dyDescent="0.3">
      <c r="B52" s="112"/>
      <c r="C52" s="99"/>
      <c r="D52" s="95" t="s">
        <v>75</v>
      </c>
      <c r="E52" s="111"/>
      <c r="F52" s="111"/>
      <c r="G52" s="111"/>
      <c r="H52" s="134"/>
      <c r="I52"/>
      <c r="J52"/>
      <c r="K52" s="14"/>
      <c r="L52"/>
      <c r="M52"/>
      <c r="N52"/>
      <c r="O52"/>
      <c r="P52"/>
      <c r="Q52" s="99"/>
      <c r="R52" s="99"/>
      <c r="S52" s="99"/>
      <c r="T52" s="99"/>
      <c r="U52" s="99"/>
      <c r="V52" s="99"/>
      <c r="W52" s="99"/>
      <c r="X52" s="99"/>
      <c r="Y52" s="99"/>
      <c r="Z52" s="99"/>
    </row>
    <row r="53" spans="2:26" s="1" customFormat="1" x14ac:dyDescent="0.3">
      <c r="B53" s="112" t="s">
        <v>76</v>
      </c>
      <c r="C53" s="99"/>
      <c r="D53" s="136">
        <f>(H41+H44+H45+H46+H47)/(1-(E53+E54))</f>
        <v>127.43573797678275</v>
      </c>
      <c r="E53" s="352">
        <f>N18</f>
        <v>6.3E-3</v>
      </c>
      <c r="F53" s="99"/>
      <c r="G53" s="99"/>
      <c r="H53" s="116">
        <f>D53*E53</f>
        <v>0.80284514925373129</v>
      </c>
      <c r="I53"/>
      <c r="J53"/>
      <c r="L53"/>
      <c r="M53"/>
      <c r="N53"/>
      <c r="O53"/>
      <c r="P53"/>
      <c r="Q53" s="99"/>
      <c r="R53" s="99"/>
      <c r="S53" s="99"/>
      <c r="T53" s="99"/>
      <c r="U53" s="99"/>
      <c r="V53" s="99"/>
      <c r="W53" s="99"/>
      <c r="X53" s="99"/>
      <c r="Y53" s="99"/>
      <c r="Z53" s="99"/>
    </row>
    <row r="54" spans="2:26" s="1" customFormat="1" x14ac:dyDescent="0.3">
      <c r="B54" s="112" t="s">
        <v>56</v>
      </c>
      <c r="C54" s="99"/>
      <c r="D54" s="136">
        <f>D53</f>
        <v>127.43573797678275</v>
      </c>
      <c r="E54" s="352">
        <f>N19</f>
        <v>2.8899999999999999E-2</v>
      </c>
      <c r="F54" s="99"/>
      <c r="G54" s="99"/>
      <c r="H54" s="116">
        <f>D54*E54</f>
        <v>3.6828928275290211</v>
      </c>
      <c r="I54"/>
      <c r="J54"/>
      <c r="L54"/>
      <c r="M54"/>
      <c r="N54"/>
      <c r="O54"/>
      <c r="P54"/>
      <c r="Q54" s="99"/>
      <c r="R54" s="99"/>
      <c r="S54" s="99"/>
      <c r="T54" s="99"/>
      <c r="U54" s="99"/>
      <c r="V54" s="99"/>
      <c r="W54" s="99"/>
      <c r="X54" s="99"/>
      <c r="Y54" s="99"/>
      <c r="Z54" s="99"/>
    </row>
    <row r="55" spans="2:26" s="1" customFormat="1" x14ac:dyDescent="0.3">
      <c r="B55" s="112" t="s">
        <v>77</v>
      </c>
      <c r="C55" s="99"/>
      <c r="D55" s="307">
        <f>IF((E55=17%),(D53/(1-(E55))),D63)</f>
        <v>153.53703370696718</v>
      </c>
      <c r="E55" s="150">
        <f>I18</f>
        <v>0.17</v>
      </c>
      <c r="F55" s="99"/>
      <c r="G55" s="99"/>
      <c r="H55" s="116">
        <f>D55*E55</f>
        <v>26.101295730184422</v>
      </c>
      <c r="I55"/>
      <c r="J55"/>
      <c r="L55"/>
      <c r="M55"/>
      <c r="N55"/>
      <c r="O55"/>
      <c r="P55"/>
      <c r="Q55" s="99"/>
      <c r="R55" s="99"/>
      <c r="S55" s="99"/>
      <c r="T55" s="99"/>
      <c r="U55" s="99"/>
      <c r="V55" s="99"/>
      <c r="W55" s="99"/>
      <c r="X55" s="99"/>
      <c r="Y55" s="99"/>
      <c r="Z55" s="99"/>
    </row>
    <row r="56" spans="2:26" s="1" customFormat="1" x14ac:dyDescent="0.3">
      <c r="B56" s="126"/>
      <c r="C56" s="127"/>
      <c r="D56" s="127"/>
      <c r="E56" s="127"/>
      <c r="F56" s="127"/>
      <c r="G56" s="127"/>
      <c r="H56" s="137"/>
      <c r="I56"/>
      <c r="J56"/>
      <c r="L56"/>
      <c r="M56"/>
      <c r="N56"/>
      <c r="O56"/>
      <c r="P56"/>
      <c r="Q56" s="99"/>
      <c r="R56" s="99"/>
      <c r="S56" s="99"/>
      <c r="T56" s="99"/>
      <c r="U56" s="99"/>
      <c r="V56" s="99"/>
      <c r="W56" s="99"/>
      <c r="X56" s="99"/>
      <c r="Y56" s="99"/>
      <c r="Z56" s="99"/>
    </row>
    <row r="57" spans="2:26" s="1" customFormat="1" x14ac:dyDescent="0.3">
      <c r="B57" s="366" t="s">
        <v>78</v>
      </c>
      <c r="C57" s="367"/>
      <c r="D57" s="368">
        <f>D41</f>
        <v>155</v>
      </c>
      <c r="E57" s="369">
        <f>IF(AND($B$13&lt;$F$2,$E$13&lt;$F$2),C7,IF($B$13&lt;$F$2,I7,F7))</f>
        <v>1.8774721494831901E-4</v>
      </c>
      <c r="F57" s="369">
        <f>IF(AND($B$13&lt;$F$2,$E$13&lt;$F$2),D7,IF($B$13&lt;$F$2,J7,G7))</f>
        <v>-4.4031307414479802E-3</v>
      </c>
      <c r="G57" s="367"/>
      <c r="H57" s="366">
        <f>D57*(E57+F57)</f>
        <v>-0.65338444660744743</v>
      </c>
      <c r="I57"/>
      <c r="J57"/>
      <c r="L57"/>
      <c r="M57"/>
      <c r="N57"/>
      <c r="O57"/>
      <c r="P57"/>
      <c r="Q57" s="99"/>
      <c r="R57" s="99"/>
      <c r="S57" s="99"/>
      <c r="T57" s="99"/>
      <c r="U57" s="99"/>
      <c r="V57" s="99"/>
      <c r="W57" s="99"/>
      <c r="X57" s="99"/>
      <c r="Y57" s="99"/>
      <c r="Z57" s="99"/>
    </row>
    <row r="58" spans="2:26" x14ac:dyDescent="0.3">
      <c r="L58" s="97"/>
      <c r="M58" s="97"/>
      <c r="N58" s="97"/>
      <c r="O58" s="97"/>
      <c r="P58" s="97"/>
    </row>
    <row r="59" spans="2:26" x14ac:dyDescent="0.3">
      <c r="B59" s="138" t="s">
        <v>79</v>
      </c>
      <c r="D59" s="111"/>
      <c r="E59" s="111" t="s">
        <v>0</v>
      </c>
      <c r="F59" s="111"/>
      <c r="G59" s="111"/>
      <c r="H59" s="135"/>
    </row>
    <row r="60" spans="2:26" x14ac:dyDescent="0.3">
      <c r="B60" s="139"/>
      <c r="C60" s="140" t="s">
        <v>71</v>
      </c>
    </row>
    <row r="61" spans="2:26" x14ac:dyDescent="0.3">
      <c r="B61" s="139" t="s">
        <v>80</v>
      </c>
      <c r="C61" s="141">
        <f>((D18*K18)+(D19*K19)+(D20*K20)+(D21*K21)+(D22*K22)+(D23*K23))*IF($B$13&lt;$F$2,D99,D71)</f>
        <v>55.629360720039671</v>
      </c>
    </row>
    <row r="62" spans="2:26" x14ac:dyDescent="0.3">
      <c r="B62" s="139" t="s">
        <v>81</v>
      </c>
      <c r="C62" s="141">
        <f>((D18*K18)+(D19*K19)+(D20*K20)+(D21*K21)+(D22*K22)+(D23*K23))*IF($B$13&lt;$F$2,F99,F71)</f>
        <v>33.811699077131237</v>
      </c>
    </row>
    <row r="63" spans="2:26" x14ac:dyDescent="0.3">
      <c r="B63" s="139" t="s">
        <v>82</v>
      </c>
      <c r="C63" s="141">
        <f>((D18*K18)+(D19*K19)+(D20*K20)+(D21*K21)+(D22*K22)+(D23*K23))*IF($B$13&lt;$F$2,E99,E71)</f>
        <v>9.0931283964258451</v>
      </c>
    </row>
    <row r="64" spans="2:26" x14ac:dyDescent="0.3">
      <c r="B64" s="139" t="s">
        <v>83</v>
      </c>
      <c r="C64" s="141">
        <f>((D18*K18)+(D19*K19)+(D20*K20)+(D21*K21)+(D22*K22)+(D23*K23))*IF($B$13&lt;$F$2,G99,G71)</f>
        <v>24.413361806403255</v>
      </c>
    </row>
    <row r="65" spans="2:10" x14ac:dyDescent="0.3">
      <c r="B65" s="139" t="s">
        <v>84</v>
      </c>
      <c r="C65" s="142">
        <f>O18+O19+J31</f>
        <v>30.580775614068649</v>
      </c>
    </row>
    <row r="66" spans="2:10" x14ac:dyDescent="0.3">
      <c r="B66" s="143" t="s">
        <v>85</v>
      </c>
      <c r="C66" s="144">
        <f>SUM(C61:C65)</f>
        <v>153.52832561406865</v>
      </c>
    </row>
    <row r="67" spans="2:10" x14ac:dyDescent="0.3">
      <c r="E67" s="351"/>
    </row>
    <row r="68" spans="2:10" x14ac:dyDescent="0.3">
      <c r="B68" s="109">
        <v>2024</v>
      </c>
      <c r="C68" s="109"/>
      <c r="D68" s="109" t="s">
        <v>80</v>
      </c>
      <c r="E68" s="109" t="s">
        <v>82</v>
      </c>
      <c r="F68" s="109" t="s">
        <v>81</v>
      </c>
      <c r="G68" s="109" t="s">
        <v>86</v>
      </c>
    </row>
    <row r="69" spans="2:10" x14ac:dyDescent="0.3">
      <c r="B69" s="109" t="s">
        <v>87</v>
      </c>
      <c r="C69" s="109"/>
      <c r="D69" s="109" t="s">
        <v>88</v>
      </c>
      <c r="E69" s="109" t="s">
        <v>88</v>
      </c>
      <c r="F69" s="109" t="s">
        <v>88</v>
      </c>
      <c r="G69" s="109" t="s">
        <v>88</v>
      </c>
    </row>
    <row r="70" spans="2:10" x14ac:dyDescent="0.3">
      <c r="B70" s="109"/>
      <c r="C70" s="109"/>
      <c r="D70" s="109"/>
      <c r="E70" s="109"/>
      <c r="F70" s="109"/>
      <c r="G70" s="109"/>
    </row>
    <row r="71" spans="2:10" x14ac:dyDescent="0.3">
      <c r="B71" s="109" t="s">
        <v>89</v>
      </c>
      <c r="C71" s="109"/>
      <c r="D71" s="145">
        <v>0.45246416638672077</v>
      </c>
      <c r="E71" s="145">
        <v>7.39594111182032E-2</v>
      </c>
      <c r="F71" s="145">
        <v>0.27500913257019954</v>
      </c>
      <c r="G71" s="145">
        <v>0.19856728992487654</v>
      </c>
    </row>
    <row r="72" spans="2:10" x14ac:dyDescent="0.3">
      <c r="B72" s="109" t="s">
        <v>90</v>
      </c>
      <c r="C72" s="109"/>
      <c r="D72" s="145">
        <v>0.53149575868436638</v>
      </c>
      <c r="E72" s="145">
        <v>8.6877848555460851E-2</v>
      </c>
      <c r="F72" s="145">
        <v>0.32304478104372042</v>
      </c>
      <c r="G72" s="145">
        <v>5.8581611716452382E-2</v>
      </c>
    </row>
    <row r="73" spans="2:10" x14ac:dyDescent="0.3">
      <c r="B73" s="109" t="s">
        <v>91</v>
      </c>
      <c r="C73" s="109"/>
      <c r="D73" s="145">
        <v>0.45246416638672077</v>
      </c>
      <c r="E73" s="145">
        <v>7.39594111182032E-2</v>
      </c>
      <c r="F73" s="145">
        <v>0.27500913257019954</v>
      </c>
      <c r="G73" s="145">
        <v>0.19856728992487654</v>
      </c>
    </row>
    <row r="74" spans="2:10" x14ac:dyDescent="0.3">
      <c r="B74" s="109" t="s">
        <v>92</v>
      </c>
      <c r="C74" s="109"/>
      <c r="D74" s="145">
        <v>0.45246416638672077</v>
      </c>
      <c r="E74" s="145">
        <v>7.39594111182032E-2</v>
      </c>
      <c r="F74" s="145">
        <v>0.27500913257019954</v>
      </c>
      <c r="G74" s="145">
        <v>0.19856728992487654</v>
      </c>
      <c r="J74" s="103"/>
    </row>
    <row r="75" spans="2:10" x14ac:dyDescent="0.3">
      <c r="B75" s="109" t="s">
        <v>93</v>
      </c>
      <c r="C75" s="109"/>
      <c r="D75" s="145">
        <v>0.45246416638672077</v>
      </c>
      <c r="E75" s="145">
        <v>7.39594111182032E-2</v>
      </c>
      <c r="F75" s="145">
        <v>0.27500913257019954</v>
      </c>
      <c r="G75" s="145">
        <v>0.19856728992487654</v>
      </c>
    </row>
    <row r="76" spans="2:10" x14ac:dyDescent="0.3">
      <c r="B76" s="109" t="s">
        <v>94</v>
      </c>
      <c r="C76" s="109"/>
      <c r="D76" s="145">
        <v>0.45246416638672077</v>
      </c>
      <c r="E76" s="145">
        <v>7.39594111182032E-2</v>
      </c>
      <c r="F76" s="145">
        <v>0.27500913257019954</v>
      </c>
      <c r="G76" s="145">
        <v>0.19856728992487654</v>
      </c>
    </row>
    <row r="77" spans="2:10" x14ac:dyDescent="0.3">
      <c r="B77" s="109" t="s">
        <v>95</v>
      </c>
      <c r="C77" s="109"/>
      <c r="D77" s="145">
        <v>0.45246416638672071</v>
      </c>
      <c r="E77" s="145">
        <v>7.3959411118203186E-2</v>
      </c>
      <c r="F77" s="145">
        <v>0.27500913257019949</v>
      </c>
      <c r="G77" s="145">
        <v>0.19856728992487654</v>
      </c>
    </row>
    <row r="78" spans="2:10" x14ac:dyDescent="0.3">
      <c r="B78" s="109" t="s">
        <v>96</v>
      </c>
      <c r="C78" s="109"/>
      <c r="D78" s="145">
        <v>0.45246416638672071</v>
      </c>
      <c r="E78" s="145">
        <v>7.3959411118203186E-2</v>
      </c>
      <c r="F78" s="145">
        <v>0.27500913257019949</v>
      </c>
      <c r="G78" s="145">
        <v>0.19856728992487654</v>
      </c>
    </row>
    <row r="79" spans="2:10" x14ac:dyDescent="0.3">
      <c r="B79" s="109" t="s">
        <v>97</v>
      </c>
      <c r="C79" s="109"/>
      <c r="D79" s="145">
        <v>0.45246416638672071</v>
      </c>
      <c r="E79" s="145">
        <v>7.39594111182032E-2</v>
      </c>
      <c r="F79" s="145">
        <v>0.27500913257019954</v>
      </c>
      <c r="G79" s="145">
        <v>0.19856728992487657</v>
      </c>
    </row>
    <row r="80" spans="2:10" x14ac:dyDescent="0.3">
      <c r="B80" s="138"/>
      <c r="C80" s="138"/>
      <c r="D80" s="138"/>
      <c r="E80" s="138"/>
      <c r="F80" s="138"/>
      <c r="G80" s="138"/>
    </row>
    <row r="81" spans="2:7" x14ac:dyDescent="0.3">
      <c r="B81" s="138"/>
      <c r="C81" s="138"/>
      <c r="D81" s="138"/>
      <c r="E81" s="138"/>
      <c r="F81" s="138"/>
      <c r="G81" s="138"/>
    </row>
    <row r="82" spans="2:7" x14ac:dyDescent="0.3">
      <c r="B82" s="109">
        <v>2023</v>
      </c>
      <c r="C82" s="109"/>
      <c r="D82" s="109" t="s">
        <v>80</v>
      </c>
      <c r="E82" s="109" t="s">
        <v>82</v>
      </c>
      <c r="F82" s="109" t="s">
        <v>81</v>
      </c>
      <c r="G82" s="109" t="s">
        <v>86</v>
      </c>
    </row>
    <row r="83" spans="2:7" x14ac:dyDescent="0.3">
      <c r="B83" s="109" t="s">
        <v>87</v>
      </c>
      <c r="C83" s="109"/>
      <c r="D83" s="109" t="s">
        <v>88</v>
      </c>
      <c r="E83" s="109" t="s">
        <v>88</v>
      </c>
      <c r="F83" s="109" t="s">
        <v>88</v>
      </c>
      <c r="G83" s="109" t="s">
        <v>88</v>
      </c>
    </row>
    <row r="84" spans="2:7" x14ac:dyDescent="0.3">
      <c r="B84" s="109"/>
      <c r="C84" s="109"/>
      <c r="D84" s="109"/>
      <c r="E84" s="109"/>
      <c r="F84" s="109"/>
      <c r="G84" s="109"/>
    </row>
    <row r="85" spans="2:7" x14ac:dyDescent="0.3">
      <c r="B85" s="109" t="s">
        <v>89</v>
      </c>
      <c r="C85" s="109"/>
      <c r="D85" s="145">
        <v>0.43939696077133034</v>
      </c>
      <c r="E85" s="145">
        <v>9.2697585625348772E-2</v>
      </c>
      <c r="F85" s="145">
        <v>0.25285207888477268</v>
      </c>
      <c r="G85" s="145">
        <v>0.21506308252114117</v>
      </c>
    </row>
    <row r="86" spans="2:7" x14ac:dyDescent="0.3">
      <c r="B86" s="109" t="s">
        <v>90</v>
      </c>
      <c r="C86" s="109"/>
      <c r="D86" s="145">
        <v>0.52691619996872485</v>
      </c>
      <c r="E86" s="145">
        <v>0.11116112291319068</v>
      </c>
      <c r="F86" s="145">
        <v>0.30321524374287334</v>
      </c>
      <c r="G86" s="145">
        <v>5.8707433375211129E-2</v>
      </c>
    </row>
    <row r="87" spans="2:7" x14ac:dyDescent="0.3">
      <c r="B87" s="109" t="s">
        <v>91</v>
      </c>
      <c r="C87" s="109"/>
      <c r="D87" s="145">
        <v>0.43939300245552615</v>
      </c>
      <c r="E87" s="145">
        <v>9.2696750557401245E-2</v>
      </c>
      <c r="F87" s="145">
        <v>0.25284980106205335</v>
      </c>
      <c r="G87" s="145">
        <v>0.21506044592501908</v>
      </c>
    </row>
    <row r="88" spans="2:7" x14ac:dyDescent="0.3">
      <c r="B88" s="109" t="s">
        <v>92</v>
      </c>
      <c r="C88" s="109"/>
      <c r="D88" s="145">
        <v>0.43939300245552615</v>
      </c>
      <c r="E88" s="145">
        <v>9.2696750557401245E-2</v>
      </c>
      <c r="F88" s="145">
        <v>0.25284980106205335</v>
      </c>
      <c r="G88" s="145">
        <v>0.21506044592501908</v>
      </c>
    </row>
    <row r="89" spans="2:7" x14ac:dyDescent="0.3">
      <c r="B89" s="109" t="s">
        <v>93</v>
      </c>
      <c r="C89" s="109"/>
      <c r="D89" s="145">
        <v>0.43939300245552615</v>
      </c>
      <c r="E89" s="145">
        <v>9.2696750557401328E-2</v>
      </c>
      <c r="F89" s="145">
        <v>0.25284980106205335</v>
      </c>
      <c r="G89" s="145">
        <v>0.21506044592501908</v>
      </c>
    </row>
    <row r="90" spans="2:7" x14ac:dyDescent="0.3">
      <c r="B90" s="109" t="s">
        <v>94</v>
      </c>
      <c r="C90" s="109"/>
      <c r="D90" s="145">
        <v>0.43939300245552615</v>
      </c>
      <c r="E90" s="145">
        <v>9.2696750557401328E-2</v>
      </c>
      <c r="F90" s="145">
        <v>0.25284980106205335</v>
      </c>
      <c r="G90" s="145">
        <v>0.21506044592501908</v>
      </c>
    </row>
    <row r="91" spans="2:7" x14ac:dyDescent="0.3">
      <c r="B91" s="109" t="s">
        <v>95</v>
      </c>
      <c r="C91" s="109"/>
      <c r="D91" s="145">
        <v>0</v>
      </c>
      <c r="E91" s="145">
        <v>0</v>
      </c>
      <c r="F91" s="145">
        <v>0</v>
      </c>
      <c r="G91" s="145">
        <v>0</v>
      </c>
    </row>
    <row r="92" spans="2:7" x14ac:dyDescent="0.3">
      <c r="B92" s="109" t="s">
        <v>96</v>
      </c>
      <c r="C92" s="109"/>
      <c r="D92" s="145">
        <v>0.43938945729126549</v>
      </c>
      <c r="E92" s="145">
        <v>9.2697336752737058E-2</v>
      </c>
      <c r="F92" s="145">
        <v>0.25285140003260154</v>
      </c>
      <c r="G92" s="145">
        <v>0.21506180592339591</v>
      </c>
    </row>
    <row r="93" spans="2:7" x14ac:dyDescent="0.3">
      <c r="B93" s="109" t="s">
        <v>97</v>
      </c>
      <c r="C93" s="109"/>
      <c r="D93" s="145">
        <v>0.43938945729126527</v>
      </c>
      <c r="E93" s="145">
        <v>9.2697336752736934E-2</v>
      </c>
      <c r="F93" s="145">
        <v>0.25285140003260193</v>
      </c>
      <c r="G93" s="145">
        <v>0.21506180592339585</v>
      </c>
    </row>
    <row r="94" spans="2:7" x14ac:dyDescent="0.3">
      <c r="B94" s="138"/>
      <c r="C94" s="138"/>
      <c r="D94" s="138"/>
      <c r="E94" s="138"/>
      <c r="F94" s="138"/>
      <c r="G94" s="138"/>
    </row>
    <row r="95" spans="2:7" x14ac:dyDescent="0.3">
      <c r="B95" s="146" t="s">
        <v>98</v>
      </c>
      <c r="C95" s="138"/>
      <c r="D95" s="138"/>
      <c r="E95" s="138"/>
      <c r="F95" s="138"/>
      <c r="G95" s="138"/>
    </row>
    <row r="96" spans="2:7" x14ac:dyDescent="0.3">
      <c r="B96" s="109"/>
      <c r="C96" s="109"/>
      <c r="D96" s="109" t="s">
        <v>80</v>
      </c>
      <c r="E96" s="109" t="s">
        <v>82</v>
      </c>
      <c r="F96" s="109" t="s">
        <v>81</v>
      </c>
      <c r="G96" s="109" t="s">
        <v>86</v>
      </c>
    </row>
    <row r="97" spans="2:7" x14ac:dyDescent="0.3">
      <c r="B97" s="109" t="s">
        <v>87</v>
      </c>
      <c r="C97" s="109"/>
      <c r="D97" s="145" t="s">
        <v>88</v>
      </c>
      <c r="E97" s="145" t="s">
        <v>88</v>
      </c>
      <c r="F97" s="145" t="s">
        <v>88</v>
      </c>
      <c r="G97" s="145" t="s">
        <v>88</v>
      </c>
    </row>
    <row r="98" spans="2:7" x14ac:dyDescent="0.3">
      <c r="B98" s="109"/>
      <c r="C98" s="109"/>
      <c r="D98" s="145"/>
      <c r="E98" s="145"/>
      <c r="F98" s="145"/>
      <c r="G98" s="145"/>
    </row>
    <row r="99" spans="2:7" x14ac:dyDescent="0.3">
      <c r="B99" s="109" t="s">
        <v>89</v>
      </c>
      <c r="C99" s="109"/>
      <c r="D99" s="145">
        <f t="shared" ref="D99:G107" si="9">((D85*$C$13)+(D71*$D$13))/($C$13+$D$13)</f>
        <v>0.45246416638672077</v>
      </c>
      <c r="E99" s="145">
        <f t="shared" si="9"/>
        <v>7.39594111182032E-2</v>
      </c>
      <c r="F99" s="145">
        <f t="shared" si="9"/>
        <v>0.27500913257019954</v>
      </c>
      <c r="G99" s="145">
        <f t="shared" si="9"/>
        <v>0.19856728992487654</v>
      </c>
    </row>
    <row r="100" spans="2:7" x14ac:dyDescent="0.3">
      <c r="B100" s="109" t="s">
        <v>90</v>
      </c>
      <c r="C100" s="109"/>
      <c r="D100" s="145">
        <f t="shared" si="9"/>
        <v>0.53149575868436638</v>
      </c>
      <c r="E100" s="145">
        <f t="shared" si="9"/>
        <v>8.6877848555460851E-2</v>
      </c>
      <c r="F100" s="145">
        <f t="shared" si="9"/>
        <v>0.32304478104372042</v>
      </c>
      <c r="G100" s="145">
        <f t="shared" si="9"/>
        <v>5.8581611716452382E-2</v>
      </c>
    </row>
    <row r="101" spans="2:7" x14ac:dyDescent="0.3">
      <c r="B101" s="109" t="s">
        <v>91</v>
      </c>
      <c r="C101" s="109"/>
      <c r="D101" s="145">
        <f t="shared" si="9"/>
        <v>0.45246416638672077</v>
      </c>
      <c r="E101" s="145">
        <f t="shared" si="9"/>
        <v>7.39594111182032E-2</v>
      </c>
      <c r="F101" s="145">
        <f t="shared" si="9"/>
        <v>0.27500913257019954</v>
      </c>
      <c r="G101" s="145">
        <f t="shared" si="9"/>
        <v>0.19856728992487654</v>
      </c>
    </row>
    <row r="102" spans="2:7" x14ac:dyDescent="0.3">
      <c r="B102" s="109" t="s">
        <v>92</v>
      </c>
      <c r="C102" s="109"/>
      <c r="D102" s="145">
        <f t="shared" si="9"/>
        <v>0.45246416638672077</v>
      </c>
      <c r="E102" s="145">
        <f t="shared" si="9"/>
        <v>7.39594111182032E-2</v>
      </c>
      <c r="F102" s="145">
        <f t="shared" si="9"/>
        <v>0.27500913257019954</v>
      </c>
      <c r="G102" s="145">
        <f t="shared" si="9"/>
        <v>0.19856728992487654</v>
      </c>
    </row>
    <row r="103" spans="2:7" x14ac:dyDescent="0.3">
      <c r="B103" s="109" t="s">
        <v>93</v>
      </c>
      <c r="C103" s="109"/>
      <c r="D103" s="145">
        <f t="shared" si="9"/>
        <v>0.45246416638672077</v>
      </c>
      <c r="E103" s="145">
        <f t="shared" si="9"/>
        <v>7.39594111182032E-2</v>
      </c>
      <c r="F103" s="145">
        <f t="shared" si="9"/>
        <v>0.27500913257019954</v>
      </c>
      <c r="G103" s="145">
        <f t="shared" si="9"/>
        <v>0.19856728992487654</v>
      </c>
    </row>
    <row r="104" spans="2:7" x14ac:dyDescent="0.3">
      <c r="B104" s="109" t="s">
        <v>94</v>
      </c>
      <c r="C104" s="109"/>
      <c r="D104" s="145">
        <f t="shared" si="9"/>
        <v>0.45246416638672077</v>
      </c>
      <c r="E104" s="145">
        <f t="shared" si="9"/>
        <v>7.39594111182032E-2</v>
      </c>
      <c r="F104" s="145">
        <f t="shared" si="9"/>
        <v>0.27500913257019954</v>
      </c>
      <c r="G104" s="145">
        <f t="shared" si="9"/>
        <v>0.19856728992487654</v>
      </c>
    </row>
    <row r="105" spans="2:7" x14ac:dyDescent="0.3">
      <c r="B105" s="109" t="s">
        <v>95</v>
      </c>
      <c r="C105" s="109"/>
      <c r="D105" s="145">
        <f t="shared" si="9"/>
        <v>0.45246416638672071</v>
      </c>
      <c r="E105" s="145">
        <f t="shared" si="9"/>
        <v>7.3959411118203186E-2</v>
      </c>
      <c r="F105" s="145">
        <f t="shared" si="9"/>
        <v>0.27500913257019949</v>
      </c>
      <c r="G105" s="145">
        <f t="shared" si="9"/>
        <v>0.19856728992487654</v>
      </c>
    </row>
    <row r="106" spans="2:7" x14ac:dyDescent="0.3">
      <c r="B106" s="109" t="s">
        <v>96</v>
      </c>
      <c r="C106" s="109"/>
      <c r="D106" s="145">
        <f t="shared" si="9"/>
        <v>0.45246416638672071</v>
      </c>
      <c r="E106" s="145">
        <f t="shared" si="9"/>
        <v>7.3959411118203186E-2</v>
      </c>
      <c r="F106" s="145">
        <f t="shared" si="9"/>
        <v>0.27500913257019949</v>
      </c>
      <c r="G106" s="145">
        <f t="shared" si="9"/>
        <v>0.19856728992487654</v>
      </c>
    </row>
    <row r="107" spans="2:7" x14ac:dyDescent="0.3">
      <c r="B107" s="109" t="s">
        <v>97</v>
      </c>
      <c r="C107" s="109"/>
      <c r="D107" s="145">
        <f t="shared" si="9"/>
        <v>0.45246416638672071</v>
      </c>
      <c r="E107" s="145">
        <f t="shared" si="9"/>
        <v>7.39594111182032E-2</v>
      </c>
      <c r="F107" s="145">
        <f t="shared" si="9"/>
        <v>0.27500913257019954</v>
      </c>
      <c r="G107" s="145">
        <f t="shared" si="9"/>
        <v>0.19856728992487657</v>
      </c>
    </row>
  </sheetData>
  <customSheetViews>
    <customSheetView guid="{D812A0C8-60A1-4775-A604-FC65C9DC40BF}" scale="60" showGridLines="0">
      <selection activeCell="I6" sqref="I6:K7"/>
      <pageMargins left="0" right="0" top="0" bottom="0" header="0" footer="0"/>
      <pageSetup orientation="portrait" r:id="rId1"/>
    </customSheetView>
    <customSheetView guid="{8D3CE498-0ABB-4BB0-92D1-93DA2BDD5EDF}" scale="80" showGridLines="0">
      <selection activeCell="H56" sqref="H56"/>
      <pageMargins left="0" right="0" top="0" bottom="0" header="0" footer="0"/>
      <pageSetup orientation="portrait" r:id="rId2"/>
    </customSheetView>
    <customSheetView guid="{455EF305-F4BF-4162-9D3A-67B1D57A792B}" scale="80" showGridLines="0" topLeftCell="A3">
      <selection activeCell="J21" sqref="J21"/>
      <pageMargins left="0" right="0" top="0" bottom="0" header="0" footer="0"/>
      <pageSetup orientation="portrait" r:id="rId3"/>
    </customSheetView>
    <customSheetView guid="{AED82DA2-4B0E-4368-BF7F-A78E16192BBB}" scale="80" showGridLines="0" topLeftCell="A3">
      <selection activeCell="P13" sqref="P13:R13"/>
      <pageMargins left="0" right="0" top="0" bottom="0" header="0" footer="0"/>
      <pageSetup orientation="portrait" r:id="rId4"/>
    </customSheetView>
    <customSheetView guid="{8AD5A21B-3743-481B-8B5E-3FEE10EB7B2F}" scale="80" showGridLines="0">
      <selection activeCell="C7" sqref="C7:K7"/>
      <pageMargins left="0" right="0" top="0" bottom="0" header="0" footer="0"/>
      <pageSetup orientation="portrait" r:id="rId5"/>
    </customSheetView>
  </customSheetViews>
  <mergeCells count="10">
    <mergeCell ref="K10:L10"/>
    <mergeCell ref="Q4:Q5"/>
    <mergeCell ref="R4:T4"/>
    <mergeCell ref="U4:W4"/>
    <mergeCell ref="B37:H37"/>
    <mergeCell ref="X4:Z4"/>
    <mergeCell ref="C4:E4"/>
    <mergeCell ref="F4:H4"/>
    <mergeCell ref="I4:K4"/>
    <mergeCell ref="B4:B5"/>
  </mergeCells>
  <conditionalFormatting sqref="K11:L11">
    <cfRule type="cellIs" dxfId="181" priority="1" operator="equal">
      <formula>"Escassez Hídrica"</formula>
    </cfRule>
    <cfRule type="cellIs" dxfId="180" priority="2" operator="equal">
      <formula>"VERDE"</formula>
    </cfRule>
    <cfRule type="cellIs" dxfId="179" priority="3" operator="equal">
      <formula>"BVM2"</formula>
    </cfRule>
    <cfRule type="cellIs" dxfId="178" priority="4" operator="equal">
      <formula>"BVM1"</formula>
    </cfRule>
    <cfRule type="cellIs" dxfId="177" priority="5" operator="equal">
      <formula>"BAM"</formula>
    </cfRule>
  </conditionalFormatting>
  <conditionalFormatting sqref="M3">
    <cfRule type="cellIs" dxfId="176" priority="25" operator="equal">
      <formula>"VERDE"</formula>
    </cfRule>
    <cfRule type="cellIs" dxfId="175" priority="26" operator="equal">
      <formula>"BVM2"</formula>
    </cfRule>
    <cfRule type="cellIs" dxfId="174" priority="27" operator="equal">
      <formula>"BVM1"</formula>
    </cfRule>
    <cfRule type="cellIs" dxfId="173" priority="28" operator="equal">
      <formula>"BAM"</formula>
    </cfRule>
  </conditionalFormatting>
  <conditionalFormatting sqref="M7:M8">
    <cfRule type="containsText" dxfId="172" priority="12" operator="containsText" text="Escassez Hídrica">
      <formula>NOT(ISERROR(SEARCH("Escassez Hídrica",M7)))</formula>
    </cfRule>
    <cfRule type="cellIs" dxfId="171" priority="13" operator="equal">
      <formula>"VERDE"</formula>
    </cfRule>
    <cfRule type="cellIs" dxfId="170" priority="14" operator="equal">
      <formula>"BVM2"</formula>
    </cfRule>
    <cfRule type="cellIs" dxfId="169" priority="15" operator="equal">
      <formula>"BVM1"</formula>
    </cfRule>
    <cfRule type="cellIs" dxfId="168" priority="16" operator="equal">
      <formula>"BAM"</formula>
    </cfRule>
  </conditionalFormatting>
  <dataValidations count="1">
    <dataValidation type="list" allowBlank="1" showInputMessage="1" showErrorMessage="1" sqref="K11:L11" xr:uid="{00000000-0002-0000-0300-000000000000}">
      <formula1>$M$3:$M$7</formula1>
    </dataValidation>
  </dataValidations>
  <pageMargins left="0.511811024" right="0.511811024" top="0.78740157499999996" bottom="0.78740157499999996" header="0.31496062000000002" footer="0.31496062000000002"/>
  <pageSetup orientation="portrait" r:id="rId6"/>
  <drawing r:id="rId7"/>
  <legacy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92D050"/>
  </sheetPr>
  <dimension ref="A1:Z128"/>
  <sheetViews>
    <sheetView showGridLines="0" zoomScale="80" zoomScaleNormal="80" workbookViewId="0">
      <selection activeCell="W14" sqref="W14"/>
    </sheetView>
  </sheetViews>
  <sheetFormatPr defaultColWidth="9.109375" defaultRowHeight="14.4" x14ac:dyDescent="0.3"/>
  <cols>
    <col min="1" max="1" width="5.44140625" style="99" customWidth="1"/>
    <col min="2" max="2" width="18.6640625" style="99" customWidth="1"/>
    <col min="3" max="3" width="11.6640625" style="99" customWidth="1"/>
    <col min="4" max="4" width="13.109375" style="99" customWidth="1"/>
    <col min="5" max="15" width="11.6640625" style="99" customWidth="1"/>
    <col min="16" max="16" width="12.6640625" style="99" customWidth="1"/>
    <col min="17" max="17" width="11" style="99" bestFit="1" customWidth="1"/>
    <col min="18" max="18" width="14" style="99" customWidth="1"/>
    <col min="19" max="19" width="15.44140625" style="99" bestFit="1" customWidth="1"/>
    <col min="20" max="20" width="11.33203125" style="99" bestFit="1" customWidth="1"/>
    <col min="21" max="21" width="12.109375" style="99" bestFit="1" customWidth="1"/>
    <col min="22" max="22" width="13.109375" style="99" bestFit="1" customWidth="1"/>
    <col min="23" max="23" width="11.33203125" style="99" bestFit="1" customWidth="1"/>
    <col min="24" max="24" width="12.109375" style="99" bestFit="1" customWidth="1"/>
    <col min="25" max="25" width="13.109375" style="99" bestFit="1" customWidth="1"/>
    <col min="26" max="26" width="11.33203125" style="99" bestFit="1" customWidth="1"/>
    <col min="27" max="16384" width="9.109375" style="99"/>
  </cols>
  <sheetData>
    <row r="1" spans="1:26" x14ac:dyDescent="0.3">
      <c r="A1" s="99" t="s">
        <v>0</v>
      </c>
      <c r="B1" s="99" t="s">
        <v>0</v>
      </c>
      <c r="G1" s="97"/>
      <c r="H1" s="97"/>
      <c r="I1" s="97"/>
      <c r="J1" s="97"/>
      <c r="K1" s="97"/>
    </row>
    <row r="2" spans="1:26" ht="18" x14ac:dyDescent="0.3">
      <c r="B2" s="43" t="s">
        <v>99</v>
      </c>
      <c r="E2" s="102" t="s">
        <v>2</v>
      </c>
      <c r="F2" s="104">
        <f>'Fatura B1 (Res) OK'!$F$2</f>
        <v>45876</v>
      </c>
      <c r="G2" s="97"/>
      <c r="H2" s="97"/>
      <c r="I2" s="97"/>
      <c r="J2" s="97"/>
      <c r="K2" s="97"/>
      <c r="M2" s="47" t="s">
        <v>3</v>
      </c>
      <c r="N2" s="47" t="s">
        <v>4</v>
      </c>
      <c r="Q2" s="308" t="s">
        <v>6</v>
      </c>
      <c r="R2" s="326"/>
    </row>
    <row r="3" spans="1:26" customFormat="1" x14ac:dyDescent="0.3">
      <c r="M3" s="93" t="s">
        <v>7</v>
      </c>
      <c r="N3" s="48">
        <v>0</v>
      </c>
      <c r="Q3" s="99"/>
      <c r="R3" s="99"/>
      <c r="S3" s="99"/>
      <c r="T3" s="99"/>
      <c r="U3" s="99"/>
      <c r="V3" s="99"/>
      <c r="W3" s="99"/>
      <c r="X3" s="99"/>
      <c r="Y3" s="99"/>
      <c r="Z3" s="99"/>
    </row>
    <row r="4" spans="1:26" customFormat="1" x14ac:dyDescent="0.3">
      <c r="B4" s="483" t="s">
        <v>8</v>
      </c>
      <c r="C4" s="481" t="str">
        <f>'Fatura B1 (Res) OK'!C4:E4</f>
        <v>TARIFA ANTIGA - REH 3370/2024</v>
      </c>
      <c r="D4" s="481"/>
      <c r="E4" s="481"/>
      <c r="F4" s="481" t="str">
        <f>'Fatura B1 (Res) OK'!F4:H4</f>
        <v>TARIFA NOVA - REH xxxx/2025</v>
      </c>
      <c r="G4" s="481"/>
      <c r="H4" s="481"/>
      <c r="I4" s="482" t="s">
        <v>11</v>
      </c>
      <c r="J4" s="482"/>
      <c r="K4" s="482"/>
      <c r="M4" s="229" t="str">
        <f>'Fatura B1 (Res) OK'!M4</f>
        <v>BAM</v>
      </c>
      <c r="N4" s="230">
        <f>'Fatura B1 (Res) OK'!$N$4</f>
        <v>1.8849999999999999E-2</v>
      </c>
      <c r="Q4" s="483" t="s">
        <v>8</v>
      </c>
      <c r="R4" s="478" t="str">
        <f>C4</f>
        <v>TARIFA ANTIGA - REH 3370/2024</v>
      </c>
      <c r="S4" s="479"/>
      <c r="T4" s="480"/>
      <c r="U4" s="478" t="str">
        <f>F4</f>
        <v>TARIFA NOVA - REH xxxx/2025</v>
      </c>
      <c r="V4" s="479"/>
      <c r="W4" s="480"/>
      <c r="X4" s="478" t="s">
        <v>11</v>
      </c>
      <c r="Y4" s="479"/>
      <c r="Z4" s="480"/>
    </row>
    <row r="5" spans="1:26" customFormat="1" x14ac:dyDescent="0.3">
      <c r="B5" s="484"/>
      <c r="C5" s="204" t="s">
        <v>13</v>
      </c>
      <c r="D5" s="204" t="s">
        <v>14</v>
      </c>
      <c r="E5" s="204" t="s">
        <v>15</v>
      </c>
      <c r="F5" s="204" t="s">
        <v>13</v>
      </c>
      <c r="G5" s="204" t="s">
        <v>14</v>
      </c>
      <c r="H5" s="204" t="s">
        <v>15</v>
      </c>
      <c r="I5" s="205" t="s">
        <v>13</v>
      </c>
      <c r="J5" s="205" t="s">
        <v>14</v>
      </c>
      <c r="K5" s="205" t="s">
        <v>15</v>
      </c>
      <c r="M5" s="231" t="str">
        <f>'Fatura B1 (Res) OK'!M5</f>
        <v>BVM1</v>
      </c>
      <c r="N5" s="232">
        <f>'Fatura B1 (Res) OK'!$N$5</f>
        <v>4.4630000000000003E-2</v>
      </c>
      <c r="Q5" s="484"/>
      <c r="R5" s="204" t="s">
        <v>17</v>
      </c>
      <c r="U5" s="204" t="s">
        <v>17</v>
      </c>
      <c r="X5" s="204" t="s">
        <v>17</v>
      </c>
    </row>
    <row r="6" spans="1:26" customFormat="1" x14ac:dyDescent="0.3">
      <c r="B6" s="207" t="s">
        <v>100</v>
      </c>
      <c r="C6" s="203">
        <f>'TABELA DE TARIFAS ANTIGAS'!G76/1000</f>
        <v>0.38351000000000002</v>
      </c>
      <c r="D6" s="203">
        <f>'TABELA DE TARIFAS ANTIGAS'!H76/1000</f>
        <v>0.30096000000000001</v>
      </c>
      <c r="E6" s="203">
        <f t="shared" ref="E6:E7" si="0">C6+D6</f>
        <v>0.68447000000000002</v>
      </c>
      <c r="F6" s="203">
        <f>'TABELA DE TARIFAS NOVAS'!G76/1000</f>
        <v>0.46862999999999999</v>
      </c>
      <c r="G6" s="203">
        <f>'TABELA DE TARIFAS NOVAS'!H76/1000</f>
        <v>0.32068000000000002</v>
      </c>
      <c r="H6" s="203">
        <f t="shared" ref="H6:H8" si="1">F6+G6</f>
        <v>0.78930999999999996</v>
      </c>
      <c r="I6" s="203">
        <f t="shared" ref="I6:J7" si="2">((C6*$C$14)+(F6*$D$14))/($D$14+$C$14)</f>
        <v>0.46862999999999999</v>
      </c>
      <c r="J6" s="203">
        <f t="shared" si="2"/>
        <v>0.32068000000000002</v>
      </c>
      <c r="K6" s="206">
        <f t="shared" ref="K6:K8" si="3">I6+J6</f>
        <v>0.78930999999999996</v>
      </c>
      <c r="M6" s="39" t="str">
        <f>'Fatura B1 (Res) OK'!M6</f>
        <v>BVM2</v>
      </c>
      <c r="N6" s="40">
        <f>'Fatura B1 (Res) OK'!$N$6</f>
        <v>7.8770000000000007E-2</v>
      </c>
      <c r="P6" s="325"/>
      <c r="Q6" s="207" t="str">
        <f>B6</f>
        <v>B2</v>
      </c>
      <c r="R6" s="203">
        <f>'FIO B'!H18/1000</f>
        <v>0.18823431351264014</v>
      </c>
      <c r="U6" s="203">
        <f>'FIO B'!K18/1000</f>
        <v>0.20383072193179136</v>
      </c>
      <c r="X6" s="203">
        <f>((R6*$C$14)+(U6*$D$14))/($D$14+$C$14)</f>
        <v>0.20383072193179136</v>
      </c>
    </row>
    <row r="7" spans="1:26" customFormat="1" x14ac:dyDescent="0.3">
      <c r="B7" s="207" t="s">
        <v>18</v>
      </c>
      <c r="C7" s="203">
        <f>'TABELA DE TARIFAS ANTIGAS'!G71/1000</f>
        <v>0.38351000000000002</v>
      </c>
      <c r="D7" s="203">
        <f>'TABELA DE TARIFAS ANTIGAS'!H71/1000</f>
        <v>0.30096000000000001</v>
      </c>
      <c r="E7" s="203">
        <f t="shared" si="0"/>
        <v>0.68447000000000002</v>
      </c>
      <c r="F7" s="203">
        <f>'TABELA DE TARIFAS NOVAS'!G71/1000</f>
        <v>0.46862999999999999</v>
      </c>
      <c r="G7" s="203">
        <f>'TABELA DE TARIFAS NOVAS'!H71/1000</f>
        <v>0.32068000000000002</v>
      </c>
      <c r="H7" s="203">
        <f t="shared" si="1"/>
        <v>0.78930999999999996</v>
      </c>
      <c r="I7" s="203">
        <f t="shared" si="2"/>
        <v>0.46862999999999999</v>
      </c>
      <c r="J7" s="203">
        <f t="shared" si="2"/>
        <v>0.32068000000000002</v>
      </c>
      <c r="K7" s="206">
        <f t="shared" si="3"/>
        <v>0.78930999999999996</v>
      </c>
      <c r="M7" s="93" t="str">
        <f>'Fatura B1 (Res) OK'!M7</f>
        <v>Escassez Hídrica</v>
      </c>
      <c r="N7" s="305">
        <f>'Fatura B1 (Res) OK'!$N$7</f>
        <v>0.14199999999999999</v>
      </c>
    </row>
    <row r="8" spans="1:26" customFormat="1" x14ac:dyDescent="0.3">
      <c r="B8" s="370" t="s">
        <v>20</v>
      </c>
      <c r="C8" s="387">
        <v>1.7567285996534902E-4</v>
      </c>
      <c r="D8" s="393">
        <v>3.42973552660492E-3</v>
      </c>
      <c r="E8" s="206">
        <v>3.6054083865702689E-3</v>
      </c>
      <c r="F8" s="206">
        <f>T11</f>
        <v>1.8774721494831901E-4</v>
      </c>
      <c r="G8" s="206">
        <f>U11</f>
        <v>-4.4031307414479802E-3</v>
      </c>
      <c r="H8" s="206">
        <f t="shared" si="1"/>
        <v>-4.2153835264996612E-3</v>
      </c>
      <c r="I8" s="203">
        <f t="shared" ref="I8" si="4">((C8*$C$14)+(F8*$D$14))/($D$14+$C$14)</f>
        <v>1.8774721494831901E-4</v>
      </c>
      <c r="J8" s="203">
        <f t="shared" ref="J8" si="5">((D8*$C$14)+(G8*$D$14))/($D$14+$C$14)</f>
        <v>-4.4031307414479802E-3</v>
      </c>
      <c r="K8" s="206">
        <f t="shared" si="3"/>
        <v>-4.2153835264996612E-3</v>
      </c>
      <c r="M8" s="223"/>
      <c r="P8" s="99"/>
      <c r="Q8" s="99"/>
      <c r="R8" s="99"/>
      <c r="S8" s="99"/>
      <c r="T8" s="99"/>
      <c r="U8" s="99"/>
    </row>
    <row r="9" spans="1:26" customFormat="1" x14ac:dyDescent="0.3">
      <c r="B9" s="99"/>
      <c r="C9" s="99"/>
      <c r="D9" s="99"/>
      <c r="E9" s="99"/>
      <c r="F9" s="99"/>
      <c r="G9" s="99"/>
      <c r="H9" s="99"/>
    </row>
    <row r="10" spans="1:26" customFormat="1" x14ac:dyDescent="0.3">
      <c r="B10" s="131"/>
      <c r="C10" s="132"/>
      <c r="D10" s="209"/>
      <c r="E10" s="132"/>
      <c r="F10" s="132"/>
      <c r="G10" s="132"/>
      <c r="H10" s="210" t="s">
        <v>22</v>
      </c>
      <c r="K10" s="99"/>
      <c r="L10" s="102" t="s">
        <v>23</v>
      </c>
      <c r="M10" s="104">
        <f>EOMONTH(B14,0)+1</f>
        <v>46143</v>
      </c>
      <c r="N10" s="99"/>
      <c r="O10" s="99"/>
      <c r="P10" s="374" t="s">
        <v>26</v>
      </c>
      <c r="Q10" s="375"/>
      <c r="R10" s="371" t="s">
        <v>27</v>
      </c>
      <c r="S10" s="371" t="s">
        <v>28</v>
      </c>
      <c r="T10" s="371" t="s">
        <v>17</v>
      </c>
      <c r="U10" s="371" t="s">
        <v>29</v>
      </c>
    </row>
    <row r="11" spans="1:26" x14ac:dyDescent="0.3">
      <c r="B11" s="211" t="s">
        <v>24</v>
      </c>
      <c r="C11" s="342">
        <v>223988</v>
      </c>
      <c r="E11" s="97"/>
      <c r="F11" s="97"/>
      <c r="G11" s="97"/>
      <c r="H11" s="212">
        <f>E14</f>
        <v>46148</v>
      </c>
      <c r="I11"/>
      <c r="K11" s="485" t="s">
        <v>25</v>
      </c>
      <c r="L11" s="485"/>
      <c r="P11" s="376" t="s">
        <v>30</v>
      </c>
      <c r="Q11" s="377"/>
      <c r="R11" s="373"/>
      <c r="S11" s="373"/>
      <c r="T11" s="387">
        <f>0.187747214948319/1000</f>
        <v>1.8774721494831901E-4</v>
      </c>
      <c r="U11" s="393">
        <f>-4.40313074144798/1000</f>
        <v>-4.4031307414479802E-3</v>
      </c>
      <c r="V11" s="97"/>
      <c r="W11" s="97"/>
      <c r="X11" s="97"/>
      <c r="Y11" s="97"/>
      <c r="Z11" s="97"/>
    </row>
    <row r="12" spans="1:26" x14ac:dyDescent="0.3">
      <c r="B12" s="112"/>
      <c r="H12" s="213"/>
      <c r="I12"/>
      <c r="K12" s="93" t="str">
        <f>'Fatura B1 (Res) OK'!K11</f>
        <v>VERDE</v>
      </c>
      <c r="L12" s="93" t="str">
        <f>'Fatura B1 (Res) OK'!L11</f>
        <v>BAM</v>
      </c>
    </row>
    <row r="13" spans="1:26" ht="41.4" x14ac:dyDescent="0.3">
      <c r="B13" s="94" t="s">
        <v>31</v>
      </c>
      <c r="C13" s="94" t="s">
        <v>32</v>
      </c>
      <c r="D13" s="94" t="s">
        <v>33</v>
      </c>
      <c r="E13" s="94" t="s">
        <v>34</v>
      </c>
      <c r="F13" s="97"/>
      <c r="G13" s="97"/>
      <c r="H13" s="214"/>
      <c r="I13" s="97"/>
      <c r="J13" s="94" t="s">
        <v>31</v>
      </c>
      <c r="K13" s="94" t="s">
        <v>32</v>
      </c>
      <c r="L13" s="94" t="s">
        <v>33</v>
      </c>
      <c r="M13" s="94" t="s">
        <v>34</v>
      </c>
    </row>
    <row r="14" spans="1:26" x14ac:dyDescent="0.3">
      <c r="A14" s="99" t="s">
        <v>0</v>
      </c>
      <c r="B14" s="227">
        <f>'Fatura B1 (Res) OK'!B13</f>
        <v>46119</v>
      </c>
      <c r="C14" s="106">
        <f>IF((F2-B14-1)&lt;0,0,(F2-B14-1))</f>
        <v>0</v>
      </c>
      <c r="D14" s="106">
        <f>E14-F2+1</f>
        <v>273</v>
      </c>
      <c r="E14" s="227">
        <f>'Fatura B1 (Res) OK'!E13</f>
        <v>46148</v>
      </c>
      <c r="F14" s="215"/>
      <c r="G14" s="215"/>
      <c r="H14" s="216"/>
      <c r="I14" s="97"/>
      <c r="J14" s="107">
        <f>B14</f>
        <v>46119</v>
      </c>
      <c r="K14" s="108">
        <f>IF((M10-J14-1)&lt;0,0,(M10-J14-1))</f>
        <v>23</v>
      </c>
      <c r="L14" s="108">
        <f>M14-M10+1</f>
        <v>6</v>
      </c>
      <c r="M14" s="107">
        <f>E14</f>
        <v>46148</v>
      </c>
      <c r="P14" s="462" t="s">
        <v>35</v>
      </c>
      <c r="Q14" s="464"/>
      <c r="R14" s="465">
        <v>276002607768</v>
      </c>
    </row>
    <row r="15" spans="1:26" s="97" customFormat="1" x14ac:dyDescent="0.3">
      <c r="B15" s="109"/>
      <c r="C15" s="109"/>
      <c r="D15" s="110"/>
      <c r="E15" s="109"/>
      <c r="Q15" s="99"/>
      <c r="R15" s="99"/>
      <c r="S15" s="99"/>
      <c r="T15" s="99"/>
      <c r="U15" s="99"/>
      <c r="V15" s="99"/>
      <c r="W15" s="99"/>
      <c r="X15" s="99"/>
      <c r="Y15" s="99"/>
      <c r="Z15" s="99"/>
    </row>
    <row r="16" spans="1:26" ht="42" customHeight="1" x14ac:dyDescent="0.3">
      <c r="B16" s="394" t="s">
        <v>36</v>
      </c>
      <c r="C16" s="394" t="s">
        <v>37</v>
      </c>
      <c r="D16" s="394" t="s">
        <v>38</v>
      </c>
      <c r="E16" s="395" t="s">
        <v>39</v>
      </c>
      <c r="F16" s="395" t="s">
        <v>40</v>
      </c>
      <c r="G16" s="395" t="s">
        <v>41</v>
      </c>
      <c r="H16" s="395" t="s">
        <v>42</v>
      </c>
      <c r="I16" s="395" t="s">
        <v>43</v>
      </c>
      <c r="J16" s="395" t="s">
        <v>44</v>
      </c>
      <c r="K16" s="396" t="s">
        <v>45</v>
      </c>
      <c r="L16" s="394" t="s">
        <v>46</v>
      </c>
      <c r="M16" s="395" t="s">
        <v>47</v>
      </c>
      <c r="N16" s="395" t="s">
        <v>48</v>
      </c>
      <c r="O16" s="395" t="s">
        <v>49</v>
      </c>
    </row>
    <row r="17" spans="2:19" x14ac:dyDescent="0.3">
      <c r="B17" s="401"/>
      <c r="C17" s="401"/>
      <c r="D17" s="401"/>
      <c r="E17" s="401"/>
      <c r="F17" s="401"/>
      <c r="G17" s="401"/>
      <c r="H17" s="401"/>
      <c r="I17" s="401"/>
      <c r="J17" s="401"/>
      <c r="K17" s="401"/>
      <c r="L17" s="120"/>
      <c r="M17" s="397"/>
      <c r="N17" s="397"/>
      <c r="O17" s="397"/>
      <c r="R17" s="308" t="s">
        <v>50</v>
      </c>
      <c r="S17" s="308" t="s">
        <v>51</v>
      </c>
    </row>
    <row r="18" spans="2:19" x14ac:dyDescent="0.3">
      <c r="B18" s="397" t="s">
        <v>52</v>
      </c>
      <c r="C18" s="398" t="s">
        <v>53</v>
      </c>
      <c r="D18" s="437">
        <v>853</v>
      </c>
      <c r="E18" s="406">
        <f>(ROUND(D18*K18,2)+ROUND(G18,2)+ROUND(J18,2))/ROUND(D18,4)</f>
        <v>0.58520515826494723</v>
      </c>
      <c r="F18" s="404">
        <f>ROUND(D18*E18,2)</f>
        <v>499.18</v>
      </c>
      <c r="G18" s="404">
        <f>((D18*K18)/(1-$N$18-$N$19))*($N$18+$N$19)</f>
        <v>14.584262985074623</v>
      </c>
      <c r="H18" s="411">
        <f t="shared" ref="H18:H23" si="6">(IF($I$18=12%,(D18*K18)/(1-$N$18-$N$19)/(1-$C$39)/$F$39*$C$39,(D18*K18)/(1-$N$18-$N$19)/(1-$I$18)))</f>
        <v>499.18753371695738</v>
      </c>
      <c r="I18" s="476">
        <v>0.17</v>
      </c>
      <c r="J18" s="411">
        <f>H18*$I$18</f>
        <v>84.861880731882763</v>
      </c>
      <c r="K18" s="406">
        <f>IF(AND($B$14&lt;$F$2,$E$14&lt;$F$2),C6,IF($B$14&lt;$F$2,I6,F6))</f>
        <v>0.46862999999999999</v>
      </c>
      <c r="L18" s="169" t="s">
        <v>54</v>
      </c>
      <c r="M18" s="404">
        <f>D62</f>
        <v>701.2956053067993</v>
      </c>
      <c r="N18" s="399">
        <f>'Fatura B1 (Res) OK'!N18</f>
        <v>6.3E-3</v>
      </c>
      <c r="O18" s="413">
        <f>ROUND(M18*N18,2)</f>
        <v>4.42</v>
      </c>
      <c r="R18" s="327">
        <f>IF(AND($B$14&lt;$F$2,$E$14&lt;$F$2),R6,IF($B$14&lt;$F$2,X6,U6))</f>
        <v>0.20383072193179136</v>
      </c>
      <c r="S18" s="328">
        <f>D18*R18</f>
        <v>173.86760580781802</v>
      </c>
    </row>
    <row r="19" spans="2:19" x14ac:dyDescent="0.3">
      <c r="B19" s="397" t="s">
        <v>55</v>
      </c>
      <c r="C19" s="398" t="s">
        <v>53</v>
      </c>
      <c r="D19" s="438">
        <f>D18</f>
        <v>853</v>
      </c>
      <c r="E19" s="406">
        <f t="shared" ref="E19" si="7">(ROUND(D19*K19,2)+ROUND(G19,2)+ROUND(J19,2))/ROUND(D19,4)</f>
        <v>0.40045720984759675</v>
      </c>
      <c r="F19" s="404">
        <f t="shared" ref="F19:F23" si="8">ROUND(D19*E19,2)</f>
        <v>341.59</v>
      </c>
      <c r="G19" s="404">
        <f>((D19*K19)/(1-$N$18-$N$19))*($N$18+$N$19)</f>
        <v>9.9799019568822551</v>
      </c>
      <c r="H19" s="411">
        <f t="shared" si="6"/>
        <v>341.59029151431605</v>
      </c>
      <c r="I19" s="397"/>
      <c r="J19" s="411">
        <f t="shared" ref="J19:J22" si="9">H19*$I$18</f>
        <v>58.07034955743373</v>
      </c>
      <c r="K19" s="406">
        <f>IF(AND($B$14&lt;$F$2,$E$14&lt;$F$2),D6,IF($B$14&lt;$F$2,J6,G6))</f>
        <v>0.32068000000000002</v>
      </c>
      <c r="L19" s="169" t="s">
        <v>56</v>
      </c>
      <c r="M19" s="404">
        <f>M18</f>
        <v>701.2956053067993</v>
      </c>
      <c r="N19" s="399">
        <f>'Fatura B1 (Res) OK'!N19</f>
        <v>2.8899999999999999E-2</v>
      </c>
      <c r="O19" s="413">
        <f>ROUND(M19*N19,2)</f>
        <v>20.27</v>
      </c>
      <c r="R19" s="99" t="s">
        <v>0</v>
      </c>
    </row>
    <row r="20" spans="2:19" x14ac:dyDescent="0.3">
      <c r="B20" s="397" t="s">
        <v>57</v>
      </c>
      <c r="C20" s="398" t="s">
        <v>53</v>
      </c>
      <c r="D20" s="438">
        <f>IF($K$12=M4,(D18*(K14)/(K14+L14)),0)+IF($L$12=M4,(D18*(L14)/(K14+L14)),0)</f>
        <v>176.48275862068965</v>
      </c>
      <c r="E20" s="406">
        <f>IF($I$18=12%,(K20)/(1-$N$18-$N$19)/(1-$C$39),K20/(1-$N$18-$N$19)/(1-$I$18))</f>
        <v>2.3539431357269873E-2</v>
      </c>
      <c r="F20" s="404">
        <f t="shared" si="8"/>
        <v>4.1500000000000004</v>
      </c>
      <c r="G20" s="404">
        <f t="shared" ref="G20:G23" si="10">((D20*K20)/(1-$N$18-$N$19))*($N$18+$N$19)</f>
        <v>0.12137213930348256</v>
      </c>
      <c r="H20" s="411">
        <f t="shared" si="6"/>
        <v>4.1543037822933524</v>
      </c>
      <c r="I20" s="397"/>
      <c r="J20" s="411">
        <f t="shared" si="9"/>
        <v>0.70623164298986996</v>
      </c>
      <c r="K20" s="406">
        <f>N4</f>
        <v>1.8849999999999999E-2</v>
      </c>
      <c r="L20" s="137"/>
      <c r="M20" s="400"/>
      <c r="N20" s="400"/>
      <c r="O20" s="400"/>
      <c r="R20" s="408"/>
    </row>
    <row r="21" spans="2:19" x14ac:dyDescent="0.3">
      <c r="B21" s="397" t="s">
        <v>58</v>
      </c>
      <c r="C21" s="398" t="s">
        <v>53</v>
      </c>
      <c r="D21" s="438">
        <f>IF($K$12=M5,(D18*(K14)/(K14+L14)),0)+IF($L$12=M5,(D18*(L14)/(K14+L14)),0)</f>
        <v>0</v>
      </c>
      <c r="E21" s="406">
        <f>IF($I$18=12%,(K21)/(1-$N$18-$N$19)/(1-$C$39),K21/(1-$N$18-$N$19)/(1-$I$18))</f>
        <v>5.5732881775859666E-2</v>
      </c>
      <c r="F21" s="404">
        <f t="shared" si="8"/>
        <v>0</v>
      </c>
      <c r="G21" s="404">
        <f t="shared" si="10"/>
        <v>0</v>
      </c>
      <c r="H21" s="411">
        <f t="shared" si="6"/>
        <v>0</v>
      </c>
      <c r="I21" s="397"/>
      <c r="J21" s="411">
        <f t="shared" si="9"/>
        <v>0</v>
      </c>
      <c r="K21" s="406">
        <f>N5</f>
        <v>4.4630000000000003E-2</v>
      </c>
      <c r="O21" s="120"/>
      <c r="Q21" s="136">
        <v>3208.15</v>
      </c>
      <c r="R21" s="99">
        <f>ROUND((Q21+Q22+Q23+Q24)/Q25,8)</f>
        <v>0.48386393999999999</v>
      </c>
      <c r="S21" s="378">
        <f>ROUND(D18*K18,2)</f>
        <v>399.74</v>
      </c>
    </row>
    <row r="22" spans="2:19" x14ac:dyDescent="0.3">
      <c r="B22" s="397" t="s">
        <v>59</v>
      </c>
      <c r="C22" s="398" t="s">
        <v>53</v>
      </c>
      <c r="D22" s="438">
        <f>IF($K$12=M6,(D18*(K14)/(K14+L14)),0)+IF($L$12=M6,(D18*(L14)/(K14+L14)),0)</f>
        <v>0</v>
      </c>
      <c r="E22" s="406">
        <f>IF($I$18=12%,(K22)/(1-$N$18-$N$19)/(1-$C$39),K22/(1-$N$18-$N$19)/(1-$I$18))</f>
        <v>9.8366101220803637E-2</v>
      </c>
      <c r="F22" s="404">
        <f t="shared" si="8"/>
        <v>0</v>
      </c>
      <c r="G22" s="404">
        <f t="shared" si="10"/>
        <v>0</v>
      </c>
      <c r="H22" s="411">
        <f t="shared" si="6"/>
        <v>0</v>
      </c>
      <c r="I22" s="397"/>
      <c r="J22" s="411">
        <f t="shared" si="9"/>
        <v>0</v>
      </c>
      <c r="K22" s="406">
        <f>N6</f>
        <v>7.8770000000000007E-2</v>
      </c>
      <c r="O22" s="120"/>
      <c r="Q22" s="99">
        <v>672.29</v>
      </c>
      <c r="R22" s="409"/>
      <c r="S22" s="309">
        <f>(ROUND(D18*K18,2)/ROUND(1-N18-N19,2)/ROUND(1-I18,2))*I18</f>
        <v>85.285893574297205</v>
      </c>
    </row>
    <row r="23" spans="2:19" x14ac:dyDescent="0.3">
      <c r="B23" s="397" t="s">
        <v>60</v>
      </c>
      <c r="C23" s="398" t="s">
        <v>53</v>
      </c>
      <c r="D23" s="438">
        <f>IF($K$12=M7,(D18*(K14)/(K14+L14)),0)+IF($L$12=M7,(D18*(L14)/(K14+L14)),0)</f>
        <v>0</v>
      </c>
      <c r="E23" s="406">
        <f>IF($I$18=12%,(K23)/(1-$N$18-$N$19)/(1-$C$39),K23/(1-$N$18-$N$19)/(1-$I$18))</f>
        <v>0.17732622030410197</v>
      </c>
      <c r="F23" s="404">
        <f t="shared" si="8"/>
        <v>0</v>
      </c>
      <c r="G23" s="404">
        <f t="shared" si="10"/>
        <v>0</v>
      </c>
      <c r="H23" s="411">
        <f t="shared" si="6"/>
        <v>0</v>
      </c>
      <c r="I23" s="397"/>
      <c r="J23" s="411">
        <f>H23*$I$18</f>
        <v>0</v>
      </c>
      <c r="K23" s="406">
        <f>N7</f>
        <v>0.14199999999999999</v>
      </c>
      <c r="O23" s="120"/>
      <c r="Q23" s="99">
        <v>61.05</v>
      </c>
    </row>
    <row r="24" spans="2:19" x14ac:dyDescent="0.3">
      <c r="B24" s="397" t="s">
        <v>61</v>
      </c>
      <c r="C24" s="397"/>
      <c r="D24" s="438"/>
      <c r="E24" s="397"/>
      <c r="F24" s="402"/>
      <c r="G24" s="397"/>
      <c r="H24" s="397"/>
      <c r="I24" s="397"/>
      <c r="J24" s="397"/>
      <c r="K24" s="397"/>
      <c r="O24" s="120"/>
      <c r="Q24" s="99">
        <v>13.13</v>
      </c>
    </row>
    <row r="25" spans="2:19" x14ac:dyDescent="0.3">
      <c r="B25" s="397" t="s">
        <v>62</v>
      </c>
      <c r="C25" s="397"/>
      <c r="D25" s="438"/>
      <c r="E25" s="397"/>
      <c r="F25" s="402"/>
      <c r="G25" s="397"/>
      <c r="H25" s="397"/>
      <c r="I25" s="397"/>
      <c r="J25" s="397"/>
      <c r="K25" s="397"/>
      <c r="O25" s="120"/>
      <c r="Q25" s="136">
        <v>8173</v>
      </c>
    </row>
    <row r="26" spans="2:19" x14ac:dyDescent="0.3">
      <c r="B26" s="397" t="s">
        <v>63</v>
      </c>
      <c r="C26" s="397"/>
      <c r="D26" s="438"/>
      <c r="E26" s="397"/>
      <c r="F26" s="402"/>
      <c r="G26" s="397"/>
      <c r="H26" s="397"/>
      <c r="I26" s="397"/>
      <c r="J26" s="397"/>
      <c r="K26" s="397"/>
      <c r="O26" s="120"/>
      <c r="S26" s="441"/>
    </row>
    <row r="27" spans="2:19" x14ac:dyDescent="0.3">
      <c r="B27" s="397" t="s">
        <v>64</v>
      </c>
      <c r="C27" s="397"/>
      <c r="D27" s="438"/>
      <c r="E27" s="397"/>
      <c r="F27" s="402"/>
      <c r="G27" s="397"/>
      <c r="H27" s="397"/>
      <c r="I27" s="397"/>
      <c r="J27" s="397"/>
      <c r="K27" s="397"/>
      <c r="O27" s="120"/>
    </row>
    <row r="28" spans="2:19" x14ac:dyDescent="0.3">
      <c r="B28" s="397" t="s">
        <v>65</v>
      </c>
      <c r="C28" s="397"/>
      <c r="D28" s="438"/>
      <c r="E28" s="397"/>
      <c r="F28" s="402"/>
      <c r="G28" s="397"/>
      <c r="H28" s="397"/>
      <c r="I28" s="397"/>
      <c r="J28" s="397"/>
      <c r="K28" s="397"/>
      <c r="O28" s="120"/>
    </row>
    <row r="29" spans="2:19" x14ac:dyDescent="0.3">
      <c r="B29" s="397"/>
      <c r="C29" s="397"/>
      <c r="D29" s="438"/>
      <c r="E29" s="397"/>
      <c r="F29" s="397"/>
      <c r="G29" s="397"/>
      <c r="H29" s="397"/>
      <c r="I29" s="397"/>
      <c r="J29" s="397"/>
      <c r="K29" s="397"/>
      <c r="O29" s="120"/>
    </row>
    <row r="30" spans="2:19" x14ac:dyDescent="0.3">
      <c r="B30" s="397"/>
      <c r="C30" s="397"/>
      <c r="D30" s="438"/>
      <c r="E30" s="397"/>
      <c r="F30" s="397"/>
      <c r="G30" s="397"/>
      <c r="H30" s="397"/>
      <c r="I30" s="397"/>
      <c r="J30" s="397"/>
      <c r="K30" s="397"/>
      <c r="O30" s="120"/>
      <c r="Q30" s="378"/>
    </row>
    <row r="31" spans="2:19" x14ac:dyDescent="0.3">
      <c r="B31" s="405" t="s">
        <v>66</v>
      </c>
      <c r="C31" s="400"/>
      <c r="D31" s="439"/>
      <c r="E31" s="400"/>
      <c r="F31" s="407">
        <f>SUM(F18:F30)</f>
        <v>844.92</v>
      </c>
      <c r="G31" s="410">
        <f>SUM(G18:G30)</f>
        <v>24.68553708126036</v>
      </c>
      <c r="H31" s="412">
        <f>SUM(H18:H30)</f>
        <v>844.93212901356685</v>
      </c>
      <c r="I31" s="400"/>
      <c r="J31" s="412">
        <f>SUM(J18:J30)</f>
        <v>143.63846193230637</v>
      </c>
      <c r="K31" s="400"/>
      <c r="L31" s="127"/>
      <c r="M31" s="127"/>
      <c r="N31" s="127"/>
      <c r="O31" s="137"/>
    </row>
    <row r="33" spans="1:26" s="97" customFormat="1" x14ac:dyDescent="0.3">
      <c r="B33" s="415" t="s">
        <v>67</v>
      </c>
      <c r="C33" s="416">
        <f>D18</f>
        <v>853</v>
      </c>
      <c r="D33" s="417">
        <f>IF(AND($B$14&lt;$F$2,$E$14&lt;$F$2),C8,IF($B$14&lt;$F$2,I8,F8))</f>
        <v>1.8774721494831901E-4</v>
      </c>
      <c r="E33" s="417">
        <f>IF(AND($B$14&lt;$F$2,$E$14&lt;$F$2),D8,IF($B$14&lt;$F$2,J8,G8))</f>
        <v>-4.4031307414479802E-3</v>
      </c>
      <c r="F33" s="415">
        <f>C33*(D33+E33)</f>
        <v>-3.595722148104211</v>
      </c>
      <c r="Q33" s="99"/>
      <c r="R33" s="99"/>
      <c r="S33" s="99"/>
      <c r="T33" s="99"/>
      <c r="U33" s="99"/>
      <c r="V33" s="99"/>
      <c r="W33" s="99"/>
      <c r="X33" s="99"/>
      <c r="Y33" s="99"/>
      <c r="Z33" s="99"/>
    </row>
    <row r="34" spans="1:26" s="97" customFormat="1" x14ac:dyDescent="0.3">
      <c r="B34" s="109"/>
      <c r="C34" s="109"/>
      <c r="D34" s="110"/>
      <c r="E34" s="109"/>
      <c r="Q34" s="99"/>
      <c r="R34" s="99"/>
      <c r="S34" s="99"/>
      <c r="T34" s="99"/>
      <c r="U34" s="99"/>
      <c r="V34" s="99"/>
      <c r="W34" s="99"/>
      <c r="X34" s="99"/>
      <c r="Y34" s="99"/>
      <c r="Z34" s="99"/>
    </row>
    <row r="35" spans="1:26" x14ac:dyDescent="0.3">
      <c r="B35" s="99" t="s">
        <v>101</v>
      </c>
    </row>
    <row r="36" spans="1:26" x14ac:dyDescent="0.3">
      <c r="B36" s="155"/>
      <c r="C36" s="155"/>
      <c r="D36" s="158" t="s">
        <v>102</v>
      </c>
      <c r="F36" s="158"/>
    </row>
    <row r="37" spans="1:26" x14ac:dyDescent="0.3">
      <c r="B37" s="159" t="s">
        <v>54</v>
      </c>
      <c r="C37" s="24">
        <f>N18</f>
        <v>6.3E-3</v>
      </c>
      <c r="D37" s="160">
        <f>((D18*K18)+(D19*K19)+(D20*K20)+(D21*K21)+(D22*K22)+(D23*K23))/(1-$N$18-$N$19)</f>
        <v>701.29366708126031</v>
      </c>
      <c r="E37" s="100" t="s">
        <v>103</v>
      </c>
      <c r="F37" s="24">
        <f>C37</f>
        <v>6.3E-3</v>
      </c>
      <c r="G37" s="161">
        <f>D37*F37</f>
        <v>4.4181501026119401</v>
      </c>
    </row>
    <row r="38" spans="1:26" x14ac:dyDescent="0.3">
      <c r="B38" s="159" t="s">
        <v>56</v>
      </c>
      <c r="C38" s="24">
        <f>N19</f>
        <v>2.8899999999999999E-2</v>
      </c>
      <c r="D38" s="160">
        <f>D37</f>
        <v>701.29366708126031</v>
      </c>
      <c r="E38" s="100" t="s">
        <v>103</v>
      </c>
      <c r="F38" s="24">
        <f>C38</f>
        <v>2.8899999999999999E-2</v>
      </c>
      <c r="G38" s="161">
        <f>D38*F38</f>
        <v>20.267386978648421</v>
      </c>
    </row>
    <row r="39" spans="1:26" x14ac:dyDescent="0.3">
      <c r="A39" s="221" t="s">
        <v>104</v>
      </c>
      <c r="B39" s="159" t="s">
        <v>77</v>
      </c>
      <c r="C39" s="25">
        <v>0.04</v>
      </c>
      <c r="D39" s="162">
        <f>H39/F39*C39</f>
        <v>243.50474551432649</v>
      </c>
      <c r="E39" s="100" t="s">
        <v>103</v>
      </c>
      <c r="F39" s="414">
        <v>0.12</v>
      </c>
      <c r="G39" s="161">
        <f>D39*F39</f>
        <v>29.220569461719176</v>
      </c>
      <c r="H39" s="161">
        <f>((D18*K18)+(D19*K19)+(D20*K20)+(D21*K21)+(D22*K22)+(D23*K23))/(1-F37-F38)/(1-(C39))</f>
        <v>730.51423654297946</v>
      </c>
      <c r="I39" s="309"/>
    </row>
    <row r="40" spans="1:26" x14ac:dyDescent="0.3">
      <c r="B40" s="155"/>
      <c r="C40" s="155"/>
      <c r="D40" s="155"/>
      <c r="E40" s="161">
        <f>(O29)/(1-C37-C38-C39)</f>
        <v>0</v>
      </c>
      <c r="F40" s="156"/>
      <c r="G40" s="156"/>
      <c r="H40" s="155"/>
      <c r="I40" s="155"/>
      <c r="J40" s="157"/>
      <c r="K40" s="157"/>
      <c r="L40" s="157"/>
      <c r="M40" s="158"/>
      <c r="N40" s="158"/>
      <c r="O40" s="163"/>
    </row>
    <row r="41" spans="1:26" x14ac:dyDescent="0.3">
      <c r="C41" s="164" t="s">
        <v>105</v>
      </c>
      <c r="D41" s="165" t="s">
        <v>106</v>
      </c>
      <c r="F41"/>
      <c r="G41"/>
      <c r="H41"/>
    </row>
    <row r="42" spans="1:26" x14ac:dyDescent="0.3">
      <c r="C42" s="97"/>
      <c r="D42" s="97" t="s">
        <v>107</v>
      </c>
      <c r="F42" s="97"/>
      <c r="G42" s="97"/>
      <c r="H42" s="97"/>
      <c r="J42" s="97"/>
    </row>
    <row r="43" spans="1:26" s="97" customFormat="1" x14ac:dyDescent="0.3">
      <c r="B43" s="109"/>
      <c r="C43" s="109"/>
      <c r="D43" s="110"/>
      <c r="E43" s="109"/>
      <c r="Q43" s="99"/>
      <c r="R43" s="99"/>
      <c r="S43" s="99"/>
      <c r="T43" s="99"/>
      <c r="U43" s="99"/>
      <c r="V43" s="99"/>
      <c r="W43" s="99"/>
      <c r="X43" s="99"/>
      <c r="Y43" s="99"/>
      <c r="Z43" s="99"/>
    </row>
    <row r="44" spans="1:26" s="97" customFormat="1" x14ac:dyDescent="0.3">
      <c r="B44" s="109"/>
      <c r="C44" s="109"/>
      <c r="D44" s="110"/>
      <c r="E44" s="109"/>
      <c r="Q44" s="99"/>
      <c r="R44" s="99"/>
      <c r="S44" s="99"/>
      <c r="T44" s="99"/>
      <c r="U44" s="99"/>
      <c r="V44" s="99"/>
      <c r="W44" s="99"/>
      <c r="X44" s="99"/>
      <c r="Y44" s="99"/>
      <c r="Z44" s="99"/>
    </row>
    <row r="45" spans="1:26" s="97" customFormat="1" x14ac:dyDescent="0.3">
      <c r="B45" s="109"/>
      <c r="C45" s="109"/>
      <c r="D45" s="110"/>
      <c r="E45" s="109"/>
      <c r="Q45" s="99"/>
      <c r="R45" s="99"/>
      <c r="S45" s="99"/>
      <c r="T45" s="99"/>
      <c r="U45" s="99"/>
      <c r="V45" s="99"/>
      <c r="W45" s="99"/>
      <c r="X45" s="99"/>
      <c r="Y45" s="99"/>
      <c r="Z45" s="99"/>
    </row>
    <row r="46" spans="1:26" x14ac:dyDescent="0.3">
      <c r="A46" s="99" t="s">
        <v>0</v>
      </c>
      <c r="B46" s="486" t="s">
        <v>108</v>
      </c>
      <c r="C46" s="487"/>
      <c r="D46" s="487"/>
      <c r="E46" s="487"/>
      <c r="F46" s="487"/>
      <c r="G46" s="487"/>
      <c r="H46" s="488"/>
      <c r="I46" s="97"/>
      <c r="P46" s="97"/>
    </row>
    <row r="47" spans="1:26" x14ac:dyDescent="0.3">
      <c r="A47" s="99" t="s">
        <v>0</v>
      </c>
      <c r="B47" s="112"/>
      <c r="D47" s="98" t="s">
        <v>69</v>
      </c>
      <c r="E47" s="98" t="s">
        <v>70</v>
      </c>
      <c r="F47" s="98" t="s">
        <v>14</v>
      </c>
      <c r="G47" s="98" t="s">
        <v>15</v>
      </c>
      <c r="H47" s="169" t="s">
        <v>71</v>
      </c>
      <c r="I47" s="97"/>
      <c r="J47" s="222" t="s">
        <v>109</v>
      </c>
      <c r="K47" s="41"/>
      <c r="L47" s="208" t="s">
        <v>110</v>
      </c>
      <c r="P47" s="97"/>
    </row>
    <row r="48" spans="1:26" x14ac:dyDescent="0.3">
      <c r="B48" s="217" t="s">
        <v>72</v>
      </c>
      <c r="C48" s="218"/>
      <c r="D48" s="219"/>
      <c r="E48" s="219"/>
      <c r="F48" s="219"/>
      <c r="G48" s="219"/>
      <c r="H48" s="220">
        <f>H50+SUM(H53:H56)+SUM(H62:H64)</f>
        <v>844.9344642250594</v>
      </c>
      <c r="I48" s="97"/>
      <c r="J48" s="223" t="s">
        <v>15</v>
      </c>
      <c r="K48" s="223" t="s">
        <v>71</v>
      </c>
      <c r="L48" s="223" t="s">
        <v>71</v>
      </c>
      <c r="P48" s="97"/>
    </row>
    <row r="49" spans="2:19" x14ac:dyDescent="0.3">
      <c r="B49" s="112"/>
      <c r="D49" s="98"/>
      <c r="E49" s="98"/>
      <c r="F49" s="98"/>
      <c r="G49" s="98"/>
      <c r="H49" s="113"/>
      <c r="I49" s="97"/>
      <c r="J49" s="223"/>
      <c r="K49" s="224"/>
      <c r="L49" s="138"/>
      <c r="P49" s="97"/>
      <c r="R49" s="308" t="s">
        <v>50</v>
      </c>
      <c r="S49" s="308" t="s">
        <v>51</v>
      </c>
    </row>
    <row r="50" spans="2:19" x14ac:dyDescent="0.3">
      <c r="B50" s="112" t="s">
        <v>73</v>
      </c>
      <c r="D50" s="228">
        <f>D18</f>
        <v>853</v>
      </c>
      <c r="E50" s="115">
        <f>IF(AND($B$14&lt;$F$2,$E$14&lt;$F$2),C6,IF($B$14&lt;$F$2,I6,F6))</f>
        <v>0.46862999999999999</v>
      </c>
      <c r="F50" s="115">
        <f>IF(AND($B$14&lt;$F$2,$E$14&lt;$F$2),D6,IF($B$14&lt;$F$2,J6,G6))</f>
        <v>0.32068000000000002</v>
      </c>
      <c r="G50" s="115">
        <f>E50+F50</f>
        <v>0.78930999999999996</v>
      </c>
      <c r="H50" s="116">
        <f>ROUND((D50*E50),2)+ROUND((D50*F50),2)</f>
        <v>673.28</v>
      </c>
      <c r="I50" s="97"/>
      <c r="J50" s="225">
        <f>IF(AND($B$14&lt;$F$2,$E$14&lt;$F$2),E7,IF($B$14&lt;$F$2,K7,H7))</f>
        <v>0.78930999999999996</v>
      </c>
      <c r="K50" s="226">
        <f>D50*J50</f>
        <v>673.28143</v>
      </c>
      <c r="L50" s="226">
        <f>K50-H50</f>
        <v>1.4300000000275759E-3</v>
      </c>
      <c r="P50" s="97"/>
      <c r="R50" s="327">
        <f>IF(AND($B$14&lt;$F$2,$E$14&lt;$F$2),R6,IF($B$14&lt;$F$2,X6,U6))</f>
        <v>0.20383072193179136</v>
      </c>
      <c r="S50" s="307">
        <f>D50*R50</f>
        <v>173.86760580781802</v>
      </c>
    </row>
    <row r="51" spans="2:19" x14ac:dyDescent="0.3">
      <c r="B51" s="112"/>
      <c r="D51" s="119"/>
      <c r="H51" s="120"/>
      <c r="I51" s="97"/>
      <c r="J51" s="97"/>
      <c r="K51" s="97"/>
      <c r="L51" s="97"/>
      <c r="M51" s="97"/>
      <c r="N51" s="97"/>
      <c r="O51" s="97"/>
      <c r="P51" s="97"/>
    </row>
    <row r="52" spans="2:19" x14ac:dyDescent="0.3">
      <c r="B52" s="112"/>
      <c r="D52" s="121"/>
      <c r="F52" s="122"/>
      <c r="G52" s="122"/>
      <c r="H52" s="116"/>
      <c r="I52" s="97"/>
      <c r="J52" s="302"/>
      <c r="K52" s="97"/>
      <c r="L52" s="97"/>
      <c r="M52" s="97"/>
      <c r="N52" s="97"/>
      <c r="O52" s="97"/>
      <c r="P52" s="97"/>
    </row>
    <row r="53" spans="2:19" x14ac:dyDescent="0.3">
      <c r="B53" s="112" t="s">
        <v>57</v>
      </c>
      <c r="D53" s="121">
        <f>IF($K$12=$M$4,(D50*(K14)/(K14+L14)),0)+IF($L$12=$M$4,(D50*(L14)/(K14+L14)),0)</f>
        <v>176.48275862068965</v>
      </c>
      <c r="F53" s="122">
        <f>N4</f>
        <v>1.8849999999999999E-2</v>
      </c>
      <c r="G53" s="122"/>
      <c r="H53" s="116">
        <f>ROUND(D53*(E53+F53),2)</f>
        <v>3.33</v>
      </c>
      <c r="I53" s="97"/>
      <c r="J53"/>
      <c r="K53"/>
      <c r="L53"/>
      <c r="M53"/>
      <c r="N53" s="97"/>
      <c r="O53" s="97"/>
      <c r="P53" s="97"/>
    </row>
    <row r="54" spans="2:19" x14ac:dyDescent="0.3">
      <c r="B54" s="112" t="s">
        <v>111</v>
      </c>
      <c r="D54" s="121">
        <f>IF($K$12=$M$5,(D50*(K14)/(K14+L14)),0)+IF($L$12=$M$5,(D50*(L14)/(K14+L14)),0)</f>
        <v>0</v>
      </c>
      <c r="F54" s="122">
        <f>N5</f>
        <v>4.4630000000000003E-2</v>
      </c>
      <c r="G54" s="122"/>
      <c r="H54" s="116">
        <f>ROUND(D54*(E54+F54),2)</f>
        <v>0</v>
      </c>
      <c r="I54" s="97"/>
      <c r="J54" s="97"/>
      <c r="K54" s="97"/>
      <c r="L54" s="97"/>
      <c r="M54" s="97"/>
      <c r="N54" s="97"/>
      <c r="O54" s="97"/>
      <c r="P54" s="97"/>
    </row>
    <row r="55" spans="2:19" x14ac:dyDescent="0.3">
      <c r="B55" s="112" t="s">
        <v>112</v>
      </c>
      <c r="D55" s="121">
        <f>IF($K$12=$M$6,(D50*(K14)/(K14+L14)),0)+IF($L$12=$M$6,(D50*(L14)/(K14+L14)),0)</f>
        <v>0</v>
      </c>
      <c r="F55" s="122">
        <f>N6</f>
        <v>7.8770000000000007E-2</v>
      </c>
      <c r="G55" s="122"/>
      <c r="H55" s="116">
        <f>ROUND(D55*(E55+F55),2)</f>
        <v>0</v>
      </c>
      <c r="I55" s="97"/>
      <c r="J55"/>
      <c r="K55"/>
      <c r="L55"/>
      <c r="M55"/>
      <c r="N55" s="97"/>
      <c r="O55" s="97"/>
      <c r="P55" s="97"/>
    </row>
    <row r="56" spans="2:19" x14ac:dyDescent="0.3">
      <c r="B56" s="112" t="s">
        <v>74</v>
      </c>
      <c r="D56" s="121">
        <f>IF($K$12=M7,(D50*(K14)/(K14+L14)),0)+IF($L$12=M7,(D50*(L14)/(K14+L14)),0)</f>
        <v>0</v>
      </c>
      <c r="F56" s="122">
        <f>N7</f>
        <v>0.14199999999999999</v>
      </c>
      <c r="G56" s="122"/>
      <c r="H56" s="116">
        <f>ROUND(D56*(E56+F56),2)</f>
        <v>0</v>
      </c>
      <c r="I56" s="97"/>
      <c r="J56"/>
      <c r="K56"/>
      <c r="L56"/>
      <c r="M56"/>
      <c r="N56" s="97"/>
      <c r="O56" s="97"/>
      <c r="P56" s="97"/>
    </row>
    <row r="57" spans="2:19" x14ac:dyDescent="0.3">
      <c r="B57" s="124"/>
      <c r="C57" s="103"/>
      <c r="D57" s="103"/>
      <c r="E57" s="103"/>
      <c r="F57" s="103"/>
      <c r="G57" s="103"/>
      <c r="H57" s="125"/>
      <c r="I57" s="97"/>
      <c r="J57" s="97"/>
      <c r="K57" s="97"/>
      <c r="L57" s="97"/>
      <c r="M57" s="97"/>
      <c r="N57" s="97"/>
      <c r="O57" s="97"/>
      <c r="P57" s="97"/>
    </row>
    <row r="58" spans="2:19" x14ac:dyDescent="0.3">
      <c r="B58" s="126"/>
      <c r="C58" s="127"/>
      <c r="D58" s="128"/>
      <c r="E58" s="129"/>
      <c r="F58" s="127"/>
      <c r="G58" s="127"/>
      <c r="H58" s="130"/>
      <c r="I58" s="97"/>
      <c r="J58" s="97"/>
      <c r="K58" s="97"/>
      <c r="L58" s="97"/>
      <c r="M58" s="97"/>
      <c r="N58" s="97"/>
      <c r="O58" s="97"/>
      <c r="P58" s="97"/>
    </row>
    <row r="59" spans="2:19" x14ac:dyDescent="0.3">
      <c r="B59" s="97"/>
      <c r="D59" s="114"/>
      <c r="E59" s="147"/>
      <c r="H59" s="136"/>
      <c r="I59" s="97"/>
      <c r="J59" s="97"/>
      <c r="K59" s="97"/>
      <c r="L59" s="97"/>
      <c r="M59" s="97"/>
      <c r="N59" s="97"/>
      <c r="O59" s="97"/>
      <c r="P59" s="97"/>
    </row>
    <row r="60" spans="2:19" x14ac:dyDescent="0.3">
      <c r="B60" s="148"/>
      <c r="C60" s="132"/>
      <c r="D60" s="132"/>
      <c r="E60" s="132"/>
      <c r="F60" s="132"/>
      <c r="G60" s="132"/>
      <c r="H60" s="149"/>
      <c r="I60" s="51"/>
      <c r="K60" s="97"/>
      <c r="L60" s="97"/>
      <c r="M60" s="97"/>
      <c r="N60" s="97"/>
      <c r="O60" s="97"/>
      <c r="P60" s="97"/>
    </row>
    <row r="61" spans="2:19" x14ac:dyDescent="0.3">
      <c r="B61" s="112"/>
      <c r="D61" s="95" t="s">
        <v>113</v>
      </c>
      <c r="E61" s="111"/>
      <c r="F61" s="111"/>
      <c r="G61" s="111"/>
      <c r="H61" s="134"/>
      <c r="I61" s="135"/>
      <c r="K61" s="97"/>
      <c r="L61" s="97"/>
      <c r="M61" s="97"/>
      <c r="N61" s="97"/>
      <c r="O61" s="97"/>
      <c r="P61" s="97"/>
    </row>
    <row r="62" spans="2:19" x14ac:dyDescent="0.3">
      <c r="B62" s="112" t="s">
        <v>76</v>
      </c>
      <c r="D62" s="136">
        <f>(H50+H53+H54+H55+H56)/(1-E62-E63)</f>
        <v>701.2956053067993</v>
      </c>
      <c r="E62" s="352">
        <f>N18</f>
        <v>6.3E-3</v>
      </c>
      <c r="H62" s="116">
        <f>D62*E62</f>
        <v>4.4181623134328358</v>
      </c>
      <c r="I62" s="136"/>
      <c r="L62" s="97"/>
      <c r="M62" s="97"/>
      <c r="N62" s="97"/>
      <c r="O62" s="97"/>
      <c r="P62" s="97"/>
    </row>
    <row r="63" spans="2:19" x14ac:dyDescent="0.3">
      <c r="B63" s="112" t="s">
        <v>56</v>
      </c>
      <c r="D63" s="136">
        <f>D62</f>
        <v>701.2956053067993</v>
      </c>
      <c r="E63" s="352">
        <f>N19</f>
        <v>2.8899999999999999E-2</v>
      </c>
      <c r="H63" s="116">
        <f>D63*E63</f>
        <v>20.267442993366497</v>
      </c>
      <c r="I63" s="136"/>
      <c r="L63" s="97"/>
      <c r="M63" s="97"/>
      <c r="N63" s="97"/>
      <c r="O63" s="97"/>
      <c r="P63" s="97"/>
    </row>
    <row r="64" spans="2:19" x14ac:dyDescent="0.3">
      <c r="B64" s="112" t="s">
        <v>77</v>
      </c>
      <c r="D64" s="136">
        <f>IF((E64=17%),(D62/(1-(E64))),D74)</f>
        <v>844.9344642250594</v>
      </c>
      <c r="E64" s="150">
        <f>I18</f>
        <v>0.17</v>
      </c>
      <c r="H64" s="116">
        <f>D64*E64</f>
        <v>143.6388589182601</v>
      </c>
      <c r="I64" s="136"/>
      <c r="J64" s="99">
        <f>D64*4%</f>
        <v>33.797378569002376</v>
      </c>
      <c r="L64" s="97"/>
      <c r="M64" s="97"/>
      <c r="N64" s="97"/>
      <c r="O64" s="97"/>
      <c r="P64" s="97"/>
    </row>
    <row r="65" spans="1:16" x14ac:dyDescent="0.3">
      <c r="B65" s="126"/>
      <c r="C65" s="127"/>
      <c r="D65" s="127"/>
      <c r="E65" s="127"/>
      <c r="F65" s="127"/>
      <c r="G65" s="127"/>
      <c r="H65" s="137"/>
    </row>
    <row r="66" spans="1:16" x14ac:dyDescent="0.3">
      <c r="B66" s="366" t="s">
        <v>78</v>
      </c>
      <c r="C66" s="367"/>
      <c r="D66" s="368">
        <f>D50</f>
        <v>853</v>
      </c>
      <c r="E66" s="369">
        <f>IF(AND($B$14&lt;$F$2,$E$14&lt;$F$2),C8,IF($B$14&lt;$F$2,I8,F8))</f>
        <v>1.8774721494831901E-4</v>
      </c>
      <c r="F66" s="369">
        <f>IF(AND($B$14&lt;$F$2,$E$14&lt;$F$2),D8,IF($B$14&lt;$F$2,J8,G8))</f>
        <v>-4.4031307414479802E-3</v>
      </c>
      <c r="G66" s="367"/>
      <c r="H66" s="366">
        <f>D66*(E66+F66)</f>
        <v>-3.595722148104211</v>
      </c>
    </row>
    <row r="67" spans="1:16" x14ac:dyDescent="0.3">
      <c r="B67" s="151" t="s">
        <v>114</v>
      </c>
      <c r="C67" s="152"/>
      <c r="D67" s="152"/>
      <c r="E67" s="152"/>
      <c r="F67" s="152"/>
      <c r="G67" s="152"/>
      <c r="H67" s="153">
        <f>L50</f>
        <v>1.4300000000275759E-3</v>
      </c>
      <c r="I67" s="96" t="s">
        <v>115</v>
      </c>
      <c r="J67" s="154"/>
    </row>
    <row r="70" spans="1:16" x14ac:dyDescent="0.3">
      <c r="B70" s="99" t="s">
        <v>116</v>
      </c>
    </row>
    <row r="71" spans="1:16" x14ac:dyDescent="0.3">
      <c r="B71" s="155"/>
      <c r="C71" s="155"/>
      <c r="D71" s="158" t="s">
        <v>102</v>
      </c>
      <c r="F71" s="158"/>
    </row>
    <row r="72" spans="1:16" x14ac:dyDescent="0.3">
      <c r="B72" s="159" t="s">
        <v>54</v>
      </c>
      <c r="C72" s="24">
        <f>E62</f>
        <v>6.3E-3</v>
      </c>
      <c r="D72" s="160">
        <f>SUM(H50:H56)/(1-C72-C73)</f>
        <v>701.2956053067993</v>
      </c>
      <c r="E72" s="100" t="s">
        <v>103</v>
      </c>
      <c r="F72" s="24">
        <f>C72</f>
        <v>6.3E-3</v>
      </c>
      <c r="G72" s="161">
        <f>D72*F72</f>
        <v>4.4181623134328358</v>
      </c>
    </row>
    <row r="73" spans="1:16" x14ac:dyDescent="0.3">
      <c r="B73" s="159" t="s">
        <v>56</v>
      </c>
      <c r="C73" s="24">
        <f>E63</f>
        <v>2.8899999999999999E-2</v>
      </c>
      <c r="D73" s="160">
        <f>D72</f>
        <v>701.2956053067993</v>
      </c>
      <c r="E73" s="100" t="s">
        <v>103</v>
      </c>
      <c r="F73" s="24">
        <f>C73</f>
        <v>2.8899999999999999E-2</v>
      </c>
      <c r="G73" s="161">
        <f>D73*F73</f>
        <v>20.267442993366497</v>
      </c>
    </row>
    <row r="74" spans="1:16" x14ac:dyDescent="0.3">
      <c r="A74" s="221" t="s">
        <v>104</v>
      </c>
      <c r="B74" s="159" t="s">
        <v>77</v>
      </c>
      <c r="C74" s="25">
        <v>0.04</v>
      </c>
      <c r="D74" s="162">
        <f>H74/F74*C74</f>
        <v>243.50541850930534</v>
      </c>
      <c r="E74" s="100" t="s">
        <v>103</v>
      </c>
      <c r="F74" s="26">
        <v>0.12</v>
      </c>
      <c r="G74" s="161">
        <f>D74*F74</f>
        <v>29.220650221116639</v>
      </c>
      <c r="H74" s="161">
        <f>((SUM(H50:H56))/(1-F72-F73)/(1-(C74)))</f>
        <v>730.51625552791597</v>
      </c>
      <c r="I74" s="309">
        <f>H74*C74</f>
        <v>29.220650221116639</v>
      </c>
    </row>
    <row r="75" spans="1:16" x14ac:dyDescent="0.3">
      <c r="B75" s="155"/>
      <c r="C75" s="155"/>
      <c r="D75" s="155"/>
      <c r="E75" s="161">
        <f>(O64)/(1-C72-C73-C74)</f>
        <v>0</v>
      </c>
      <c r="F75" s="156"/>
      <c r="G75" s="156"/>
      <c r="H75" s="155"/>
      <c r="I75" s="155"/>
      <c r="J75" s="157"/>
      <c r="K75" s="157"/>
      <c r="L75" s="157"/>
      <c r="M75" s="158"/>
      <c r="N75" s="158"/>
      <c r="O75" s="163"/>
    </row>
    <row r="77" spans="1:16" x14ac:dyDescent="0.3">
      <c r="C77" s="97"/>
      <c r="D77" s="164" t="s">
        <v>105</v>
      </c>
      <c r="E77" s="165" t="s">
        <v>106</v>
      </c>
      <c r="F77" s="166"/>
      <c r="G77" s="97" t="s">
        <v>117</v>
      </c>
      <c r="H77" s="167">
        <f>H74/F74*C74</f>
        <v>243.50541850930534</v>
      </c>
    </row>
    <row r="78" spans="1:16" x14ac:dyDescent="0.3">
      <c r="C78" s="97"/>
      <c r="D78" s="97"/>
      <c r="E78" s="97" t="s">
        <v>107</v>
      </c>
      <c r="F78" s="97"/>
      <c r="G78" s="97"/>
      <c r="H78" s="97"/>
      <c r="J78" s="97"/>
    </row>
    <row r="79" spans="1:16" x14ac:dyDescent="0.3">
      <c r="L79" s="97"/>
      <c r="M79" s="97"/>
      <c r="N79" s="97"/>
      <c r="O79" s="97"/>
      <c r="P79" s="97"/>
    </row>
    <row r="80" spans="1:16" x14ac:dyDescent="0.3">
      <c r="B80" s="138" t="s">
        <v>79</v>
      </c>
      <c r="D80" s="111"/>
      <c r="E80" s="111"/>
      <c r="F80" s="111"/>
      <c r="G80" s="111"/>
    </row>
    <row r="81" spans="2:12" x14ac:dyDescent="0.3">
      <c r="B81" s="139"/>
      <c r="C81" s="140" t="s">
        <v>71</v>
      </c>
    </row>
    <row r="82" spans="2:12" x14ac:dyDescent="0.3">
      <c r="B82" s="139" t="s">
        <v>80</v>
      </c>
      <c r="C82" s="141">
        <f>SUM(H50:H56)*IF($B$14&lt;$F$2,D122,D94)</f>
        <v>306.14177961891914</v>
      </c>
    </row>
    <row r="83" spans="2:12" x14ac:dyDescent="0.3">
      <c r="B83" s="139" t="s">
        <v>81</v>
      </c>
      <c r="C83" s="141">
        <f>SUM(H50:H56)*IF($B$14&lt;$F$2,F122,F94)</f>
        <v>186.07392918832272</v>
      </c>
    </row>
    <row r="84" spans="2:12" x14ac:dyDescent="0.3">
      <c r="B84" s="139" t="s">
        <v>82</v>
      </c>
      <c r="C84" s="141">
        <f>SUM(H50:H56)*IF($B$14&lt;$F$2,E122,E94)</f>
        <v>50.04167715668747</v>
      </c>
    </row>
    <row r="85" spans="2:12" x14ac:dyDescent="0.3">
      <c r="B85" s="139" t="s">
        <v>83</v>
      </c>
      <c r="C85" s="141">
        <f>SUM(H50:H56)*IF($B$14&lt;$F$2,G122,G94)</f>
        <v>134.35261403607072</v>
      </c>
    </row>
    <row r="86" spans="2:12" x14ac:dyDescent="0.3">
      <c r="B86" s="139" t="s">
        <v>84</v>
      </c>
      <c r="C86" s="142">
        <f>H62+H63+H64</f>
        <v>168.32446422505944</v>
      </c>
    </row>
    <row r="87" spans="2:12" x14ac:dyDescent="0.3">
      <c r="B87" s="143" t="s">
        <v>85</v>
      </c>
      <c r="C87" s="144">
        <f>SUM(C82:C86)</f>
        <v>844.9344642250594</v>
      </c>
    </row>
    <row r="89" spans="2:12" x14ac:dyDescent="0.3">
      <c r="B89" s="109">
        <f>'Fatura B1 (Res) OK'!$B$68</f>
        <v>2024</v>
      </c>
      <c r="C89" s="109"/>
      <c r="D89" s="109" t="str">
        <f>'Fatura B1 (Res) OK'!$D$68</f>
        <v>Energia</v>
      </c>
      <c r="E89" s="109" t="str">
        <f>'Fatura B1 (Res) OK'!$E$68</f>
        <v>Transmissão</v>
      </c>
      <c r="F89" s="109" t="str">
        <f>'Fatura B1 (Res) OK'!$F$68</f>
        <v>Distribuição</v>
      </c>
      <c r="G89" s="109" t="str">
        <f>'Fatura B1 (Res) OK'!$G$68</f>
        <v>Setoriais</v>
      </c>
    </row>
    <row r="90" spans="2:12" x14ac:dyDescent="0.3">
      <c r="B90" s="109" t="str">
        <f>'Fatura B1 (Res) OK'!$B$69</f>
        <v>Grupo B</v>
      </c>
      <c r="C90" s="109"/>
      <c r="D90" s="109" t="str">
        <f>'Fatura B1 (Res) OK'!$D$69</f>
        <v>%</v>
      </c>
      <c r="E90" s="109" t="str">
        <f>'Fatura B1 (Res) OK'!$E$69</f>
        <v>%</v>
      </c>
      <c r="F90" s="109" t="str">
        <f>'Fatura B1 (Res) OK'!$F$69</f>
        <v>%</v>
      </c>
      <c r="G90" s="109" t="str">
        <f>'Fatura B1 (Res) OK'!$G$69</f>
        <v>%</v>
      </c>
    </row>
    <row r="91" spans="2:12" x14ac:dyDescent="0.3">
      <c r="B91" s="109"/>
      <c r="C91" s="109"/>
      <c r="D91" s="109"/>
      <c r="E91" s="109"/>
      <c r="F91" s="109"/>
      <c r="G91" s="109"/>
      <c r="L91" s="103"/>
    </row>
    <row r="92" spans="2:12" x14ac:dyDescent="0.3">
      <c r="B92" s="109" t="str">
        <f>'Fatura B1 (Res) OK'!$B$71</f>
        <v>B1 - Residencial</v>
      </c>
      <c r="C92" s="109"/>
      <c r="D92" s="145">
        <f>'Fatura B1 (Res) OK'!$D$71</f>
        <v>0.45246416638672077</v>
      </c>
      <c r="E92" s="145">
        <f>'Fatura B1 (Res) OK'!$E$71</f>
        <v>7.39594111182032E-2</v>
      </c>
      <c r="F92" s="145">
        <f>'Fatura B1 (Res) OK'!$F$71</f>
        <v>0.27500913257019954</v>
      </c>
      <c r="G92" s="145">
        <f>'Fatura B1 (Res) OK'!$G$71</f>
        <v>0.19856728992487654</v>
      </c>
    </row>
    <row r="93" spans="2:12" x14ac:dyDescent="0.3">
      <c r="B93" s="109" t="str">
        <f>'Fatura B1 (Res) OK'!$B$72</f>
        <v>B1 - Residencial Baixa Renda</v>
      </c>
      <c r="C93" s="109"/>
      <c r="D93" s="145">
        <f>'Fatura B1 (Res) OK'!$D$72</f>
        <v>0.53149575868436638</v>
      </c>
      <c r="E93" s="145">
        <f>'Fatura B1 (Res) OK'!$E$72</f>
        <v>8.6877848555460851E-2</v>
      </c>
      <c r="F93" s="145">
        <f>'Fatura B1 (Res) OK'!$F$72</f>
        <v>0.32304478104372042</v>
      </c>
      <c r="G93" s="145">
        <f>'Fatura B1 (Res) OK'!$G$72</f>
        <v>5.8581611716452382E-2</v>
      </c>
    </row>
    <row r="94" spans="2:12" x14ac:dyDescent="0.3">
      <c r="B94" s="109" t="str">
        <f>'Fatura B1 (Res) OK'!$B$73</f>
        <v>B2 - Rural</v>
      </c>
      <c r="C94" s="109"/>
      <c r="D94" s="145">
        <f>'Fatura B1 (Res) OK'!$D$73</f>
        <v>0.45246416638672077</v>
      </c>
      <c r="E94" s="145">
        <f>'Fatura B1 (Res) OK'!$E$73</f>
        <v>7.39594111182032E-2</v>
      </c>
      <c r="F94" s="145">
        <f>'Fatura B1 (Res) OK'!$F$73</f>
        <v>0.27500913257019954</v>
      </c>
      <c r="G94" s="145">
        <f>'Fatura B1 (Res) OK'!$G$73</f>
        <v>0.19856728992487654</v>
      </c>
    </row>
    <row r="95" spans="2:12" x14ac:dyDescent="0.3">
      <c r="B95" s="109" t="str">
        <f>'Fatura B1 (Res) OK'!$B$74</f>
        <v>B2 - Cooperativa Eletrificação Rural</v>
      </c>
      <c r="C95" s="109"/>
      <c r="D95" s="145">
        <f>'Fatura B1 (Res) OK'!$D$74</f>
        <v>0.45246416638672077</v>
      </c>
      <c r="E95" s="145">
        <f>'Fatura B1 (Res) OK'!$E$74</f>
        <v>7.39594111182032E-2</v>
      </c>
      <c r="F95" s="145">
        <f>'Fatura B1 (Res) OK'!$F$74</f>
        <v>0.27500913257019954</v>
      </c>
      <c r="G95" s="145">
        <f>'Fatura B1 (Res) OK'!$G$74</f>
        <v>0.19856728992487654</v>
      </c>
    </row>
    <row r="96" spans="2:12" x14ac:dyDescent="0.3">
      <c r="B96" s="109" t="str">
        <f>'Fatura B1 (Res) OK'!$B$75</f>
        <v>B2 - Serviço de Irrigação</v>
      </c>
      <c r="C96" s="109"/>
      <c r="D96" s="145">
        <f>'Fatura B1 (Res) OK'!$D$75</f>
        <v>0.45246416638672077</v>
      </c>
      <c r="E96" s="145">
        <f>'Fatura B1 (Res) OK'!$E$75</f>
        <v>7.39594111182032E-2</v>
      </c>
      <c r="F96" s="145">
        <f>'Fatura B1 (Res) OK'!$F$75</f>
        <v>0.27500913257019954</v>
      </c>
      <c r="G96" s="145">
        <f>'Fatura B1 (Res) OK'!$G$75</f>
        <v>0.19856728992487654</v>
      </c>
    </row>
    <row r="97" spans="2:7" x14ac:dyDescent="0.3">
      <c r="B97" s="109" t="str">
        <f>'Fatura B1 (Res) OK'!$B$76</f>
        <v>B3 - Demais Classes</v>
      </c>
      <c r="C97" s="109"/>
      <c r="D97" s="145">
        <f>'Fatura B1 (Res) OK'!$D$76</f>
        <v>0.45246416638672077</v>
      </c>
      <c r="E97" s="145">
        <f>'Fatura B1 (Res) OK'!$E$76</f>
        <v>7.39594111182032E-2</v>
      </c>
      <c r="F97" s="145">
        <f>'Fatura B1 (Res) OK'!$F$76</f>
        <v>0.27500913257019954</v>
      </c>
      <c r="G97" s="145">
        <f>'Fatura B1 (Res) OK'!$G$76</f>
        <v>0.19856728992487654</v>
      </c>
    </row>
    <row r="98" spans="2:7" x14ac:dyDescent="0.3">
      <c r="B98" s="109" t="str">
        <f>'Fatura B1 (Res) OK'!$B$77</f>
        <v>B4 - Iluminação Pública</v>
      </c>
      <c r="C98" s="109"/>
      <c r="D98" s="145">
        <f>'Fatura B1 (Res) OK'!$D$77</f>
        <v>0.45246416638672071</v>
      </c>
      <c r="E98" s="145">
        <f>'Fatura B1 (Res) OK'!$E$77</f>
        <v>7.3959411118203186E-2</v>
      </c>
      <c r="F98" s="145">
        <f>'Fatura B1 (Res) OK'!$F$77</f>
        <v>0.27500913257019949</v>
      </c>
      <c r="G98" s="145">
        <f>'Fatura B1 (Res) OK'!$G$77</f>
        <v>0.19856728992487654</v>
      </c>
    </row>
    <row r="99" spans="2:7" x14ac:dyDescent="0.3">
      <c r="B99" s="109" t="str">
        <f>'Fatura B1 (Res) OK'!$B$78</f>
        <v>B4a - Rede de Distribuição</v>
      </c>
      <c r="C99" s="109"/>
      <c r="D99" s="145">
        <f>'Fatura B1 (Res) OK'!$D$78</f>
        <v>0.45246416638672071</v>
      </c>
      <c r="E99" s="145">
        <f>'Fatura B1 (Res) OK'!$E$78</f>
        <v>7.3959411118203186E-2</v>
      </c>
      <c r="F99" s="145">
        <f>'Fatura B1 (Res) OK'!$F$78</f>
        <v>0.27500913257019949</v>
      </c>
      <c r="G99" s="145">
        <f>'Fatura B1 (Res) OK'!$G$78</f>
        <v>0.19856728992487654</v>
      </c>
    </row>
    <row r="100" spans="2:7" x14ac:dyDescent="0.3">
      <c r="B100" s="109" t="str">
        <f>'Fatura B1 (Res) OK'!$B$79</f>
        <v>B4b - Bulbo de Lâmpada</v>
      </c>
      <c r="C100" s="109"/>
      <c r="D100" s="145">
        <f>'Fatura B1 (Res) OK'!$D$79</f>
        <v>0.45246416638672071</v>
      </c>
      <c r="E100" s="145">
        <f>'Fatura B1 (Res) OK'!$E$79</f>
        <v>7.39594111182032E-2</v>
      </c>
      <c r="F100" s="145">
        <f>'Fatura B1 (Res) OK'!$F$79</f>
        <v>0.27500913257019954</v>
      </c>
      <c r="G100" s="145">
        <f>'Fatura B1 (Res) OK'!$G$79</f>
        <v>0.19856728992487657</v>
      </c>
    </row>
    <row r="101" spans="2:7" x14ac:dyDescent="0.3">
      <c r="B101" s="138"/>
      <c r="C101" s="138"/>
      <c r="D101" s="138"/>
      <c r="E101" s="138"/>
      <c r="F101" s="138"/>
      <c r="G101" s="138"/>
    </row>
    <row r="102" spans="2:7" x14ac:dyDescent="0.3">
      <c r="B102" s="138"/>
      <c r="C102" s="138"/>
      <c r="D102" s="138"/>
      <c r="E102" s="138"/>
      <c r="F102" s="138"/>
      <c r="G102" s="138"/>
    </row>
    <row r="103" spans="2:7" x14ac:dyDescent="0.3">
      <c r="B103" s="138">
        <f>'Fatura B1 (Res) OK'!$B$82</f>
        <v>2023</v>
      </c>
      <c r="C103" s="138"/>
      <c r="D103" s="109" t="str">
        <f>'Fatura B1 (Res) OK'!$D$68</f>
        <v>Energia</v>
      </c>
      <c r="E103" s="109" t="str">
        <f>'Fatura B1 (Res) OK'!$E$68</f>
        <v>Transmissão</v>
      </c>
      <c r="F103" s="109" t="str">
        <f>'Fatura B1 (Res) OK'!$F$68</f>
        <v>Distribuição</v>
      </c>
      <c r="G103" s="109" t="str">
        <f>'Fatura B1 (Res) OK'!$G$68</f>
        <v>Setoriais</v>
      </c>
    </row>
    <row r="104" spans="2:7" x14ac:dyDescent="0.3">
      <c r="B104" s="138" t="str">
        <f>'Fatura B1 (Res) OK'!$B$83</f>
        <v>Grupo B</v>
      </c>
      <c r="C104" s="138"/>
      <c r="D104" s="109" t="str">
        <f>'Fatura B1 (Res) OK'!$D$69</f>
        <v>%</v>
      </c>
      <c r="E104" s="109" t="str">
        <f>'Fatura B1 (Res) OK'!$E$69</f>
        <v>%</v>
      </c>
      <c r="F104" s="109" t="str">
        <f>'Fatura B1 (Res) OK'!$F$69</f>
        <v>%</v>
      </c>
      <c r="G104" s="109" t="str">
        <f>'Fatura B1 (Res) OK'!$G$69</f>
        <v>%</v>
      </c>
    </row>
    <row r="105" spans="2:7" x14ac:dyDescent="0.3">
      <c r="B105" s="109"/>
      <c r="C105" s="109"/>
      <c r="D105" s="109"/>
      <c r="E105" s="109"/>
      <c r="F105" s="109"/>
      <c r="G105" s="109"/>
    </row>
    <row r="106" spans="2:7" x14ac:dyDescent="0.3">
      <c r="B106" s="109" t="str">
        <f>'Fatura B1 (Res) OK'!$B$85</f>
        <v>B1 - Residencial</v>
      </c>
      <c r="C106" s="109"/>
      <c r="D106" s="145">
        <f>'Fatura B1 (Res) OK'!$D$85</f>
        <v>0.43939696077133034</v>
      </c>
      <c r="E106" s="145">
        <f>'Fatura B1 (Res) OK'!$E$85</f>
        <v>9.2697585625348772E-2</v>
      </c>
      <c r="F106" s="145">
        <f>'Fatura B1 (Res) OK'!$F$85</f>
        <v>0.25285207888477268</v>
      </c>
      <c r="G106" s="145">
        <f>'Fatura B1 (Res) OK'!$G$85</f>
        <v>0.21506308252114117</v>
      </c>
    </row>
    <row r="107" spans="2:7" x14ac:dyDescent="0.3">
      <c r="B107" s="109" t="str">
        <f>'Fatura B1 (Res) OK'!$B$86</f>
        <v>B1 - Residencial Baixa Renda</v>
      </c>
      <c r="C107" s="109"/>
      <c r="D107" s="145">
        <f>'Fatura B1 (Res) OK'!$D$86</f>
        <v>0.52691619996872485</v>
      </c>
      <c r="E107" s="145">
        <f>'Fatura B1 (Res) OK'!$E$86</f>
        <v>0.11116112291319068</v>
      </c>
      <c r="F107" s="145">
        <f>'Fatura B1 (Res) OK'!$F$86</f>
        <v>0.30321524374287334</v>
      </c>
      <c r="G107" s="145">
        <f>'Fatura B1 (Res) OK'!$G$86</f>
        <v>5.8707433375211129E-2</v>
      </c>
    </row>
    <row r="108" spans="2:7" x14ac:dyDescent="0.3">
      <c r="B108" s="109" t="str">
        <f>'Fatura B1 (Res) OK'!$B$87</f>
        <v>B2 - Rural</v>
      </c>
      <c r="C108" s="109"/>
      <c r="D108" s="145">
        <f>'Fatura B1 (Res) OK'!$D$87</f>
        <v>0.43939300245552615</v>
      </c>
      <c r="E108" s="145">
        <f>'Fatura B1 (Res) OK'!$E$87</f>
        <v>9.2696750557401245E-2</v>
      </c>
      <c r="F108" s="145">
        <f>'Fatura B1 (Res) OK'!$F$87</f>
        <v>0.25284980106205335</v>
      </c>
      <c r="G108" s="145">
        <f>'Fatura B1 (Res) OK'!$G$87</f>
        <v>0.21506044592501908</v>
      </c>
    </row>
    <row r="109" spans="2:7" x14ac:dyDescent="0.3">
      <c r="B109" s="109" t="str">
        <f>'Fatura B1 (Res) OK'!$B$88</f>
        <v>B2 - Cooperativa Eletrificação Rural</v>
      </c>
      <c r="C109" s="109"/>
      <c r="D109" s="145">
        <f>'Fatura B1 (Res) OK'!$D$88</f>
        <v>0.43939300245552615</v>
      </c>
      <c r="E109" s="145">
        <f>'Fatura B1 (Res) OK'!$E$88</f>
        <v>9.2696750557401245E-2</v>
      </c>
      <c r="F109" s="145">
        <f>'Fatura B1 (Res) OK'!$F$88</f>
        <v>0.25284980106205335</v>
      </c>
      <c r="G109" s="145">
        <f>'Fatura B1 (Res) OK'!$G$88</f>
        <v>0.21506044592501908</v>
      </c>
    </row>
    <row r="110" spans="2:7" x14ac:dyDescent="0.3">
      <c r="B110" s="109" t="str">
        <f>'Fatura B1 (Res) OK'!$B$89</f>
        <v>B2 - Serviço de Irrigação</v>
      </c>
      <c r="C110" s="109"/>
      <c r="D110" s="145">
        <f>'Fatura B1 (Res) OK'!$D$89</f>
        <v>0.43939300245552615</v>
      </c>
      <c r="E110" s="145">
        <f>'Fatura B1 (Res) OK'!$E$89</f>
        <v>9.2696750557401328E-2</v>
      </c>
      <c r="F110" s="145">
        <f>'Fatura B1 (Res) OK'!$F$89</f>
        <v>0.25284980106205335</v>
      </c>
      <c r="G110" s="145">
        <f>'Fatura B1 (Res) OK'!$G$89</f>
        <v>0.21506044592501908</v>
      </c>
    </row>
    <row r="111" spans="2:7" x14ac:dyDescent="0.3">
      <c r="B111" s="109" t="str">
        <f>'Fatura B1 (Res) OK'!$B$90</f>
        <v>B3 - Demais Classes</v>
      </c>
      <c r="C111" s="109"/>
      <c r="D111" s="145">
        <f>'Fatura B1 (Res) OK'!$D$90</f>
        <v>0.43939300245552615</v>
      </c>
      <c r="E111" s="145">
        <f>'Fatura B1 (Res) OK'!$E$90</f>
        <v>9.2696750557401328E-2</v>
      </c>
      <c r="F111" s="145">
        <f>'Fatura B1 (Res) OK'!$F$90</f>
        <v>0.25284980106205335</v>
      </c>
      <c r="G111" s="145">
        <f>'Fatura B1 (Res) OK'!$G$90</f>
        <v>0.21506044592501908</v>
      </c>
    </row>
    <row r="112" spans="2:7" x14ac:dyDescent="0.3">
      <c r="B112" s="109" t="str">
        <f>'Fatura B1 (Res) OK'!$B$91</f>
        <v>B4 - Iluminação Pública</v>
      </c>
      <c r="C112" s="109"/>
      <c r="D112" s="145">
        <f>'Fatura B1 (Res) OK'!$D$91</f>
        <v>0</v>
      </c>
      <c r="E112" s="145">
        <f>'Fatura B1 (Res) OK'!$E$91</f>
        <v>0</v>
      </c>
      <c r="F112" s="145">
        <f>'Fatura B1 (Res) OK'!$F$91</f>
        <v>0</v>
      </c>
      <c r="G112" s="145">
        <f>'Fatura B1 (Res) OK'!$G$91</f>
        <v>0</v>
      </c>
    </row>
    <row r="113" spans="2:7" x14ac:dyDescent="0.3">
      <c r="B113" s="109" t="str">
        <f>'Fatura B1 (Res) OK'!$B$92</f>
        <v>B4a - Rede de Distribuição</v>
      </c>
      <c r="C113" s="109"/>
      <c r="D113" s="145">
        <f>'Fatura B1 (Res) OK'!$D$92</f>
        <v>0.43938945729126549</v>
      </c>
      <c r="E113" s="145">
        <f>'Fatura B1 (Res) OK'!$E$92</f>
        <v>9.2697336752737058E-2</v>
      </c>
      <c r="F113" s="145">
        <f>'Fatura B1 (Res) OK'!$F$92</f>
        <v>0.25285140003260154</v>
      </c>
      <c r="G113" s="145">
        <f>'Fatura B1 (Res) OK'!$G$92</f>
        <v>0.21506180592339591</v>
      </c>
    </row>
    <row r="114" spans="2:7" x14ac:dyDescent="0.3">
      <c r="B114" s="109" t="str">
        <f>'Fatura B1 (Res) OK'!$B$93</f>
        <v>B4b - Bulbo de Lâmpada</v>
      </c>
      <c r="C114" s="109"/>
      <c r="D114" s="145">
        <f>'Fatura B1 (Res) OK'!$D$93</f>
        <v>0.43938945729126527</v>
      </c>
      <c r="E114" s="145">
        <f>'Fatura B1 (Res) OK'!$E$93</f>
        <v>9.2697336752736934E-2</v>
      </c>
      <c r="F114" s="145">
        <f>'Fatura B1 (Res) OK'!$F$93</f>
        <v>0.25285140003260193</v>
      </c>
      <c r="G114" s="145">
        <f>'Fatura B1 (Res) OK'!$G$93</f>
        <v>0.21506180592339585</v>
      </c>
    </row>
    <row r="115" spans="2:7" x14ac:dyDescent="0.3">
      <c r="B115" s="138"/>
      <c r="C115" s="138"/>
      <c r="D115" s="138"/>
      <c r="E115" s="138"/>
      <c r="F115" s="138"/>
      <c r="G115" s="138"/>
    </row>
    <row r="116" spans="2:7" x14ac:dyDescent="0.3">
      <c r="B116" s="146" t="s">
        <v>98</v>
      </c>
      <c r="C116" s="138"/>
      <c r="D116" s="138"/>
      <c r="E116" s="138"/>
      <c r="F116" s="138"/>
      <c r="G116" s="138"/>
    </row>
    <row r="117" spans="2:7" x14ac:dyDescent="0.3">
      <c r="B117" s="109"/>
      <c r="C117" s="109"/>
      <c r="D117" s="109" t="s">
        <v>80</v>
      </c>
      <c r="E117" s="109" t="s">
        <v>82</v>
      </c>
      <c r="F117" s="109" t="s">
        <v>81</v>
      </c>
      <c r="G117" s="109" t="s">
        <v>86</v>
      </c>
    </row>
    <row r="118" spans="2:7" x14ac:dyDescent="0.3">
      <c r="B118" s="109" t="s">
        <v>87</v>
      </c>
      <c r="C118" s="109"/>
      <c r="D118" s="145" t="s">
        <v>88</v>
      </c>
      <c r="E118" s="145" t="s">
        <v>88</v>
      </c>
      <c r="F118" s="145" t="s">
        <v>88</v>
      </c>
      <c r="G118" s="145" t="s">
        <v>88</v>
      </c>
    </row>
    <row r="119" spans="2:7" x14ac:dyDescent="0.3">
      <c r="B119" s="109"/>
      <c r="C119" s="109"/>
      <c r="D119" s="145"/>
      <c r="E119" s="145"/>
      <c r="F119" s="145"/>
      <c r="G119" s="145"/>
    </row>
    <row r="120" spans="2:7" x14ac:dyDescent="0.3">
      <c r="B120" s="109" t="s">
        <v>89</v>
      </c>
      <c r="C120" s="109"/>
      <c r="D120" s="145">
        <f>((D106*$C$14)+(D92*$D$14))/($C$14+$D$14)</f>
        <v>0.45246416638672077</v>
      </c>
      <c r="E120" s="145">
        <f t="shared" ref="E120:G120" si="11">((E106*$C$14)+(E92*$D$14))/($C$14+$D$14)</f>
        <v>7.39594111182032E-2</v>
      </c>
      <c r="F120" s="145">
        <f t="shared" si="11"/>
        <v>0.27500913257019954</v>
      </c>
      <c r="G120" s="145">
        <f t="shared" si="11"/>
        <v>0.19856728992487654</v>
      </c>
    </row>
    <row r="121" spans="2:7" x14ac:dyDescent="0.3">
      <c r="B121" s="109" t="s">
        <v>90</v>
      </c>
      <c r="C121" s="109"/>
      <c r="D121" s="145">
        <f t="shared" ref="D121:G128" si="12">((D107*$C$14)+(D93*$D$14))/($C$14+$D$14)</f>
        <v>0.53149575868436638</v>
      </c>
      <c r="E121" s="145">
        <f t="shared" si="12"/>
        <v>8.6877848555460851E-2</v>
      </c>
      <c r="F121" s="145">
        <f t="shared" si="12"/>
        <v>0.32304478104372042</v>
      </c>
      <c r="G121" s="145">
        <f t="shared" si="12"/>
        <v>5.8581611716452382E-2</v>
      </c>
    </row>
    <row r="122" spans="2:7" x14ac:dyDescent="0.3">
      <c r="B122" s="109" t="s">
        <v>91</v>
      </c>
      <c r="C122" s="109"/>
      <c r="D122" s="145">
        <f t="shared" si="12"/>
        <v>0.45246416638672077</v>
      </c>
      <c r="E122" s="145">
        <f t="shared" si="12"/>
        <v>7.39594111182032E-2</v>
      </c>
      <c r="F122" s="145">
        <f t="shared" si="12"/>
        <v>0.27500913257019954</v>
      </c>
      <c r="G122" s="145">
        <f t="shared" si="12"/>
        <v>0.19856728992487654</v>
      </c>
    </row>
    <row r="123" spans="2:7" x14ac:dyDescent="0.3">
      <c r="B123" s="109" t="s">
        <v>92</v>
      </c>
      <c r="C123" s="109"/>
      <c r="D123" s="145">
        <f t="shared" si="12"/>
        <v>0.45246416638672077</v>
      </c>
      <c r="E123" s="145">
        <f t="shared" si="12"/>
        <v>7.39594111182032E-2</v>
      </c>
      <c r="F123" s="145">
        <f t="shared" si="12"/>
        <v>0.27500913257019954</v>
      </c>
      <c r="G123" s="145">
        <f t="shared" si="12"/>
        <v>0.19856728992487654</v>
      </c>
    </row>
    <row r="124" spans="2:7" x14ac:dyDescent="0.3">
      <c r="B124" s="109" t="s">
        <v>93</v>
      </c>
      <c r="C124" s="109"/>
      <c r="D124" s="145">
        <f t="shared" si="12"/>
        <v>0.45246416638672077</v>
      </c>
      <c r="E124" s="145">
        <f t="shared" si="12"/>
        <v>7.39594111182032E-2</v>
      </c>
      <c r="F124" s="145">
        <f t="shared" si="12"/>
        <v>0.27500913257019954</v>
      </c>
      <c r="G124" s="145">
        <f t="shared" si="12"/>
        <v>0.19856728992487654</v>
      </c>
    </row>
    <row r="125" spans="2:7" x14ac:dyDescent="0.3">
      <c r="B125" s="109" t="s">
        <v>94</v>
      </c>
      <c r="C125" s="109"/>
      <c r="D125" s="145">
        <f t="shared" si="12"/>
        <v>0.45246416638672077</v>
      </c>
      <c r="E125" s="145">
        <f t="shared" si="12"/>
        <v>7.39594111182032E-2</v>
      </c>
      <c r="F125" s="145">
        <f t="shared" si="12"/>
        <v>0.27500913257019954</v>
      </c>
      <c r="G125" s="145">
        <f t="shared" si="12"/>
        <v>0.19856728992487654</v>
      </c>
    </row>
    <row r="126" spans="2:7" x14ac:dyDescent="0.3">
      <c r="B126" s="109" t="s">
        <v>95</v>
      </c>
      <c r="C126" s="109"/>
      <c r="D126" s="145">
        <f t="shared" si="12"/>
        <v>0.45246416638672071</v>
      </c>
      <c r="E126" s="145">
        <f t="shared" si="12"/>
        <v>7.3959411118203186E-2</v>
      </c>
      <c r="F126" s="145">
        <f t="shared" si="12"/>
        <v>0.27500913257019949</v>
      </c>
      <c r="G126" s="145">
        <f t="shared" si="12"/>
        <v>0.19856728992487654</v>
      </c>
    </row>
    <row r="127" spans="2:7" x14ac:dyDescent="0.3">
      <c r="B127" s="109" t="s">
        <v>96</v>
      </c>
      <c r="C127" s="109"/>
      <c r="D127" s="145">
        <f t="shared" si="12"/>
        <v>0.45246416638672071</v>
      </c>
      <c r="E127" s="145">
        <f t="shared" si="12"/>
        <v>7.3959411118203186E-2</v>
      </c>
      <c r="F127" s="145">
        <f t="shared" si="12"/>
        <v>0.27500913257019949</v>
      </c>
      <c r="G127" s="145">
        <f t="shared" si="12"/>
        <v>0.19856728992487654</v>
      </c>
    </row>
    <row r="128" spans="2:7" x14ac:dyDescent="0.3">
      <c r="B128" s="109" t="s">
        <v>97</v>
      </c>
      <c r="C128" s="109"/>
      <c r="D128" s="145">
        <f t="shared" si="12"/>
        <v>0.45246416638672071</v>
      </c>
      <c r="E128" s="145">
        <f t="shared" si="12"/>
        <v>7.39594111182032E-2</v>
      </c>
      <c r="F128" s="145">
        <f t="shared" si="12"/>
        <v>0.27500913257019954</v>
      </c>
      <c r="G128" s="145">
        <f t="shared" si="12"/>
        <v>0.19856728992487657</v>
      </c>
    </row>
  </sheetData>
  <customSheetViews>
    <customSheetView guid="{D812A0C8-60A1-4775-A604-FC65C9DC40BF}" scale="60" showGridLines="0" topLeftCell="A2">
      <selection activeCell="P14" sqref="P14"/>
      <pageMargins left="0" right="0" top="0" bottom="0" header="0" footer="0"/>
      <pageSetup orientation="portrait" r:id="rId1"/>
    </customSheetView>
    <customSheetView guid="{8D3CE498-0ABB-4BB0-92D1-93DA2BDD5EDF}" scale="80" showGridLines="0">
      <selection activeCell="C8" sqref="C8:D8"/>
      <pageMargins left="0" right="0" top="0" bottom="0" header="0" footer="0"/>
      <pageSetup orientation="portrait" r:id="rId2"/>
    </customSheetView>
    <customSheetView guid="{455EF305-F4BF-4162-9D3A-67B1D57A792B}" scale="80" showGridLines="0" topLeftCell="A21">
      <selection activeCell="H43" sqref="H43"/>
      <pageMargins left="0" right="0" top="0" bottom="0" header="0" footer="0"/>
      <pageSetup orientation="portrait" r:id="rId3"/>
    </customSheetView>
    <customSheetView guid="{AED82DA2-4B0E-4368-BF7F-A78E16192BBB}" scale="80" showGridLines="0" topLeftCell="A6">
      <selection activeCell="P14" sqref="P14:R14"/>
      <pageMargins left="0" right="0" top="0" bottom="0" header="0" footer="0"/>
      <pageSetup orientation="portrait" r:id="rId4"/>
    </customSheetView>
    <customSheetView guid="{8AD5A21B-3743-481B-8B5E-3FEE10EB7B2F}" scale="80" showGridLines="0">
      <selection activeCell="J17" sqref="J17"/>
      <pageMargins left="0" right="0" top="0" bottom="0" header="0" footer="0"/>
      <pageSetup orientation="portrait" r:id="rId5"/>
    </customSheetView>
  </customSheetViews>
  <mergeCells count="10">
    <mergeCell ref="X4:Z4"/>
    <mergeCell ref="B4:B5"/>
    <mergeCell ref="C4:E4"/>
    <mergeCell ref="F4:H4"/>
    <mergeCell ref="I4:K4"/>
    <mergeCell ref="B46:H46"/>
    <mergeCell ref="K11:L11"/>
    <mergeCell ref="Q4:Q5"/>
    <mergeCell ref="R4:T4"/>
    <mergeCell ref="U4:W4"/>
  </mergeCells>
  <conditionalFormatting sqref="K12:L12">
    <cfRule type="cellIs" dxfId="167" priority="1" operator="equal">
      <formula>"Escassez Hídrica"</formula>
    </cfRule>
    <cfRule type="cellIs" dxfId="166" priority="2" operator="equal">
      <formula>"VERDE"</formula>
    </cfRule>
    <cfRule type="cellIs" dxfId="165" priority="3" operator="equal">
      <formula>"BVM2"</formula>
    </cfRule>
    <cfRule type="cellIs" dxfId="164" priority="4" operator="equal">
      <formula>"BVM1"</formula>
    </cfRule>
    <cfRule type="cellIs" dxfId="163" priority="5" operator="equal">
      <formula>"BAM"</formula>
    </cfRule>
  </conditionalFormatting>
  <conditionalFormatting sqref="M3">
    <cfRule type="cellIs" dxfId="162" priority="24" operator="equal">
      <formula>"VERDE"</formula>
    </cfRule>
    <cfRule type="cellIs" dxfId="161" priority="25" operator="equal">
      <formula>"BVM2"</formula>
    </cfRule>
    <cfRule type="cellIs" dxfId="160" priority="26" operator="equal">
      <formula>"BVM1"</formula>
    </cfRule>
    <cfRule type="cellIs" dxfId="159" priority="27" operator="equal">
      <formula>"BAM"</formula>
    </cfRule>
  </conditionalFormatting>
  <conditionalFormatting sqref="M7:M8">
    <cfRule type="containsText" dxfId="158" priority="11" operator="containsText" text="Escassez Hídrica">
      <formula>NOT(ISERROR(SEARCH("Escassez Hídrica",M7)))</formula>
    </cfRule>
    <cfRule type="cellIs" dxfId="157" priority="12" operator="equal">
      <formula>"VERDE"</formula>
    </cfRule>
    <cfRule type="cellIs" dxfId="156" priority="13" operator="equal">
      <formula>"BVM2"</formula>
    </cfRule>
    <cfRule type="cellIs" dxfId="155" priority="14" operator="equal">
      <formula>"BVM1"</formula>
    </cfRule>
    <cfRule type="cellIs" dxfId="154" priority="15" operator="equal">
      <formula>"BAM"</formula>
    </cfRule>
  </conditionalFormatting>
  <dataValidations count="1">
    <dataValidation type="list" allowBlank="1" showInputMessage="1" showErrorMessage="1" sqref="K12:L12" xr:uid="{00000000-0002-0000-0400-000000000000}">
      <formula1>$M$3:$M$7</formula1>
    </dataValidation>
  </dataValidations>
  <pageMargins left="0.511811024" right="0.511811024" top="0.78740157499999996" bottom="0.78740157499999996" header="0.31496062000000002" footer="0.31496062000000002"/>
  <pageSetup orientation="portrait" r:id="rId6"/>
  <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tabColor rgb="FF92D050"/>
  </sheetPr>
  <dimension ref="A1:Z140"/>
  <sheetViews>
    <sheetView showGridLines="0" topLeftCell="B13" zoomScale="80" zoomScaleNormal="80" workbookViewId="0">
      <selection activeCell="D49" sqref="D49"/>
    </sheetView>
  </sheetViews>
  <sheetFormatPr defaultColWidth="9.109375" defaultRowHeight="14.4" x14ac:dyDescent="0.3"/>
  <cols>
    <col min="1" max="1" width="5.44140625" style="99" customWidth="1"/>
    <col min="2" max="2" width="23.6640625" style="99" customWidth="1"/>
    <col min="3" max="3" width="11.6640625" style="99" customWidth="1"/>
    <col min="4" max="4" width="13.33203125" style="99" customWidth="1"/>
    <col min="5" max="9" width="11.6640625" style="99" customWidth="1"/>
    <col min="10" max="10" width="12.6640625" style="99" customWidth="1"/>
    <col min="11" max="15" width="11.6640625" style="99" customWidth="1"/>
    <col min="16" max="16" width="13.88671875" style="99" customWidth="1"/>
    <col min="17" max="17" width="12.6640625" style="99" bestFit="1" customWidth="1"/>
    <col min="18" max="18" width="15.5546875" style="99" bestFit="1" customWidth="1"/>
    <col min="19" max="19" width="14.33203125" style="99" bestFit="1" customWidth="1"/>
    <col min="20" max="20" width="11.33203125" style="99" bestFit="1" customWidth="1"/>
    <col min="21" max="21" width="12.109375" style="99" bestFit="1" customWidth="1"/>
    <col min="22" max="22" width="13.109375" style="99" bestFit="1" customWidth="1"/>
    <col min="23" max="23" width="11.33203125" style="99" bestFit="1" customWidth="1"/>
    <col min="24" max="24" width="12.109375" style="99" bestFit="1" customWidth="1"/>
    <col min="25" max="25" width="13.109375" style="99" bestFit="1" customWidth="1"/>
    <col min="26" max="26" width="11.33203125" style="99" bestFit="1" customWidth="1"/>
    <col min="27" max="16384" width="9.109375" style="99"/>
  </cols>
  <sheetData>
    <row r="1" spans="1:26" x14ac:dyDescent="0.3">
      <c r="A1" s="99" t="s">
        <v>0</v>
      </c>
      <c r="G1" s="97"/>
      <c r="H1" s="97"/>
      <c r="I1" s="97"/>
      <c r="J1" s="97"/>
      <c r="K1" s="97"/>
    </row>
    <row r="2" spans="1:26" ht="18" x14ac:dyDescent="0.3">
      <c r="B2" s="43" t="s">
        <v>99</v>
      </c>
      <c r="C2" s="43" t="s">
        <v>118</v>
      </c>
      <c r="E2" s="102" t="s">
        <v>2</v>
      </c>
      <c r="F2" s="104">
        <f>'Fatura B2 (Rur) OK'!F2</f>
        <v>45876</v>
      </c>
      <c r="G2" s="97"/>
      <c r="H2" s="97"/>
      <c r="I2" s="97"/>
      <c r="J2" s="97"/>
      <c r="K2" s="97"/>
      <c r="M2" s="47" t="s">
        <v>3</v>
      </c>
      <c r="N2" s="47" t="s">
        <v>4</v>
      </c>
      <c r="Q2" s="308" t="s">
        <v>6</v>
      </c>
      <c r="R2" s="326"/>
    </row>
    <row r="3" spans="1:26" customFormat="1" x14ac:dyDescent="0.3">
      <c r="M3" s="93" t="s">
        <v>7</v>
      </c>
      <c r="N3" s="48">
        <v>0</v>
      </c>
      <c r="Q3" s="99"/>
      <c r="R3" s="99"/>
      <c r="S3" s="99"/>
      <c r="T3" s="99"/>
      <c r="U3" s="99"/>
      <c r="V3" s="99"/>
      <c r="W3" s="99"/>
      <c r="X3" s="99"/>
      <c r="Y3" s="99"/>
      <c r="Z3" s="99"/>
    </row>
    <row r="4" spans="1:26" customFormat="1" ht="15" customHeight="1" x14ac:dyDescent="0.3">
      <c r="B4" s="483" t="s">
        <v>8</v>
      </c>
      <c r="C4" s="481" t="str">
        <f>'Fatura B1 (Res) OK'!C4:E4</f>
        <v>TARIFA ANTIGA - REH 3370/2024</v>
      </c>
      <c r="D4" s="481"/>
      <c r="E4" s="481"/>
      <c r="F4" s="481" t="str">
        <f>'Fatura B1 (Res) OK'!F4:H4</f>
        <v>TARIFA NOVA - REH xxxx/2025</v>
      </c>
      <c r="G4" s="481"/>
      <c r="H4" s="481"/>
      <c r="I4" s="482" t="s">
        <v>11</v>
      </c>
      <c r="J4" s="482"/>
      <c r="K4" s="482"/>
      <c r="M4" s="229" t="str">
        <f>'Fatura B1 (Res) OK'!M4</f>
        <v>BAM</v>
      </c>
      <c r="N4" s="230">
        <f>'Fatura B1 (Res) OK'!$N$4</f>
        <v>1.8849999999999999E-2</v>
      </c>
      <c r="Q4" s="483" t="s">
        <v>8</v>
      </c>
      <c r="R4" s="478" t="str">
        <f>C4</f>
        <v>TARIFA ANTIGA - REH 3370/2024</v>
      </c>
      <c r="S4" s="479"/>
      <c r="T4" s="480"/>
      <c r="U4" s="478" t="str">
        <f>F4</f>
        <v>TARIFA NOVA - REH xxxx/2025</v>
      </c>
      <c r="V4" s="479"/>
      <c r="W4" s="480"/>
      <c r="X4" s="478" t="s">
        <v>11</v>
      </c>
      <c r="Y4" s="479"/>
      <c r="Z4" s="480"/>
    </row>
    <row r="5" spans="1:26" customFormat="1" x14ac:dyDescent="0.3">
      <c r="B5" s="484"/>
      <c r="C5" s="204" t="s">
        <v>13</v>
      </c>
      <c r="D5" s="204" t="s">
        <v>14</v>
      </c>
      <c r="E5" s="204" t="s">
        <v>15</v>
      </c>
      <c r="F5" s="204" t="s">
        <v>13</v>
      </c>
      <c r="G5" s="204" t="s">
        <v>14</v>
      </c>
      <c r="H5" s="204" t="s">
        <v>15</v>
      </c>
      <c r="I5" s="205" t="s">
        <v>13</v>
      </c>
      <c r="J5" s="205" t="s">
        <v>14</v>
      </c>
      <c r="K5" s="205" t="s">
        <v>15</v>
      </c>
      <c r="M5" s="231" t="str">
        <f>'Fatura B1 (Res) OK'!M5</f>
        <v>BVM1</v>
      </c>
      <c r="N5" s="232">
        <f>'Fatura B1 (Res) OK'!$N$5</f>
        <v>4.4630000000000003E-2</v>
      </c>
      <c r="Q5" s="484"/>
      <c r="R5" s="204" t="s">
        <v>17</v>
      </c>
      <c r="U5" s="204" t="s">
        <v>17</v>
      </c>
      <c r="X5" s="204" t="s">
        <v>17</v>
      </c>
    </row>
    <row r="6" spans="1:26" customFormat="1" x14ac:dyDescent="0.3">
      <c r="B6" s="207" t="s">
        <v>100</v>
      </c>
      <c r="C6" s="203">
        <f>'TABELA DE TARIFAS ANTIGAS'!G76/1000</f>
        <v>0.38351000000000002</v>
      </c>
      <c r="D6" s="203">
        <f>'TABELA DE TARIFAS ANTIGAS'!H76/1000</f>
        <v>0.30096000000000001</v>
      </c>
      <c r="E6" s="203">
        <f t="shared" ref="E6:E7" si="0">C6+D6</f>
        <v>0.68447000000000002</v>
      </c>
      <c r="F6" s="203">
        <f>'TABELA DE TARIFAS NOVAS'!G76/1000</f>
        <v>0.46862999999999999</v>
      </c>
      <c r="G6" s="203">
        <f>'TABELA DE TARIFAS NOVAS'!H76/1000</f>
        <v>0.32068000000000002</v>
      </c>
      <c r="H6" s="203">
        <f t="shared" ref="H6:H8" si="1">F6+G6</f>
        <v>0.78930999999999996</v>
      </c>
      <c r="I6" s="203">
        <f t="shared" ref="I6:J8" si="2">((C6*$C$14)+(F6*$D$14))/($D$14+$C$14)</f>
        <v>0.46862999999999999</v>
      </c>
      <c r="J6" s="203">
        <f t="shared" si="2"/>
        <v>0.32068000000000002</v>
      </c>
      <c r="K6" s="206">
        <f t="shared" ref="K6:K8" si="3">I6+J6</f>
        <v>0.78930999999999996</v>
      </c>
      <c r="M6" s="39" t="str">
        <f>'Fatura B1 (Res) OK'!M6</f>
        <v>BVM2</v>
      </c>
      <c r="N6" s="40">
        <f>'Fatura B1 (Res) OK'!$N$6</f>
        <v>7.8770000000000007E-2</v>
      </c>
      <c r="Q6" s="207" t="str">
        <f>B6</f>
        <v>B2</v>
      </c>
      <c r="R6" s="203">
        <f>'Fatura B2 (Rur) OK'!R6</f>
        <v>0.18823431351264014</v>
      </c>
      <c r="U6" s="203">
        <f>'Fatura B2 (Rur) OK'!U6</f>
        <v>0.20383072193179136</v>
      </c>
      <c r="X6" s="203">
        <f>((R6*$C$14)+(U6*$D$14))/($D$14+$C$14)</f>
        <v>0.20383072193179136</v>
      </c>
    </row>
    <row r="7" spans="1:26" customFormat="1" x14ac:dyDescent="0.3">
      <c r="B7" s="207" t="s">
        <v>18</v>
      </c>
      <c r="C7" s="203">
        <f>'TABELA DE TARIFAS ANTIGAS'!G71/1000</f>
        <v>0.38351000000000002</v>
      </c>
      <c r="D7" s="203">
        <f>'TABELA DE TARIFAS ANTIGAS'!H71/1000</f>
        <v>0.30096000000000001</v>
      </c>
      <c r="E7" s="203">
        <f t="shared" si="0"/>
        <v>0.68447000000000002</v>
      </c>
      <c r="F7" s="203">
        <f>'TABELA DE TARIFAS NOVAS'!G71/1000</f>
        <v>0.46862999999999999</v>
      </c>
      <c r="G7" s="203">
        <f>'TABELA DE TARIFAS NOVAS'!H71/1000</f>
        <v>0.32068000000000002</v>
      </c>
      <c r="H7" s="203">
        <f t="shared" si="1"/>
        <v>0.78930999999999996</v>
      </c>
      <c r="I7" s="203">
        <f t="shared" si="2"/>
        <v>0.46862999999999999</v>
      </c>
      <c r="J7" s="203">
        <f t="shared" si="2"/>
        <v>0.32068000000000002</v>
      </c>
      <c r="K7" s="206">
        <f t="shared" si="3"/>
        <v>0.78930999999999996</v>
      </c>
      <c r="M7" s="93" t="str">
        <f>'Fatura B1 (Res) OK'!M7</f>
        <v>Escassez Hídrica</v>
      </c>
      <c r="N7" s="305">
        <f>'Fatura B1 (Res) OK'!$N$7</f>
        <v>0.14199999999999999</v>
      </c>
    </row>
    <row r="8" spans="1:26" customFormat="1" x14ac:dyDescent="0.3">
      <c r="B8" s="370" t="s">
        <v>20</v>
      </c>
      <c r="C8" s="387">
        <v>1.7567285996534902E-4</v>
      </c>
      <c r="D8" s="393">
        <v>3.42973552660492E-3</v>
      </c>
      <c r="E8" s="206">
        <v>3.6054083865702689E-3</v>
      </c>
      <c r="F8" s="206">
        <f>T11</f>
        <v>1.8774721494831901E-4</v>
      </c>
      <c r="G8" s="206">
        <f>U11</f>
        <v>-4.4031307414479802E-3</v>
      </c>
      <c r="H8" s="206">
        <f t="shared" si="1"/>
        <v>-4.2153835264996612E-3</v>
      </c>
      <c r="I8" s="203">
        <f t="shared" si="2"/>
        <v>1.8774721494831901E-4</v>
      </c>
      <c r="J8" s="203">
        <f t="shared" si="2"/>
        <v>-4.4031307414479802E-3</v>
      </c>
      <c r="K8" s="206">
        <f t="shared" si="3"/>
        <v>-4.2153835264996612E-3</v>
      </c>
      <c r="M8" s="223"/>
      <c r="P8" s="99"/>
      <c r="Q8" s="99"/>
      <c r="R8" s="99"/>
      <c r="S8" s="99"/>
      <c r="T8" s="99"/>
      <c r="U8" s="99"/>
    </row>
    <row r="9" spans="1:26" customFormat="1" x14ac:dyDescent="0.3">
      <c r="B9" s="99"/>
      <c r="C9" s="99"/>
      <c r="D9" s="99"/>
      <c r="E9" s="99"/>
      <c r="F9" s="99"/>
      <c r="G9" s="99"/>
      <c r="H9" s="99"/>
    </row>
    <row r="10" spans="1:26" x14ac:dyDescent="0.3">
      <c r="B10" s="131"/>
      <c r="C10" s="132"/>
      <c r="D10" s="209"/>
      <c r="E10" s="132"/>
      <c r="F10" s="132"/>
      <c r="G10" s="132"/>
      <c r="H10" s="210" t="s">
        <v>22</v>
      </c>
      <c r="I10" s="97"/>
      <c r="L10" s="102" t="s">
        <v>23</v>
      </c>
      <c r="M10" s="104">
        <f>EOMONTH(B14,0)+1</f>
        <v>46143</v>
      </c>
      <c r="P10" s="374" t="s">
        <v>26</v>
      </c>
      <c r="Q10" s="375"/>
      <c r="R10" s="371" t="s">
        <v>27</v>
      </c>
      <c r="S10" s="371" t="s">
        <v>28</v>
      </c>
      <c r="T10" s="371" t="s">
        <v>17</v>
      </c>
      <c r="U10" s="371" t="s">
        <v>29</v>
      </c>
      <c r="V10"/>
      <c r="W10"/>
      <c r="X10"/>
      <c r="Y10"/>
      <c r="Z10"/>
    </row>
    <row r="11" spans="1:26" x14ac:dyDescent="0.3">
      <c r="B11" s="211" t="s">
        <v>24</v>
      </c>
      <c r="C11" s="105">
        <v>160699048</v>
      </c>
      <c r="E11" s="97"/>
      <c r="F11" s="97"/>
      <c r="G11" s="97"/>
      <c r="H11" s="212">
        <f>E14</f>
        <v>46148</v>
      </c>
      <c r="K11" s="485" t="s">
        <v>25</v>
      </c>
      <c r="L11" s="485"/>
      <c r="P11" s="376" t="s">
        <v>30</v>
      </c>
      <c r="Q11" s="377"/>
      <c r="R11" s="373"/>
      <c r="S11" s="373"/>
      <c r="T11" s="387">
        <f>0.187747214948319/1000</f>
        <v>1.8774721494831901E-4</v>
      </c>
      <c r="U11" s="393">
        <f>-4.40313074144798/1000</f>
        <v>-4.4031307414479802E-3</v>
      </c>
      <c r="V11" s="97"/>
      <c r="W11" s="97"/>
      <c r="X11" s="97"/>
      <c r="Y11" s="97"/>
      <c r="Z11" s="97"/>
    </row>
    <row r="12" spans="1:26" x14ac:dyDescent="0.3">
      <c r="B12" s="112"/>
      <c r="H12" s="213"/>
      <c r="K12" s="93" t="str">
        <f>'Fatura B1 (Res) OK'!K11</f>
        <v>VERDE</v>
      </c>
      <c r="L12" s="93" t="str">
        <f>'Fatura B1 (Res) OK'!L11</f>
        <v>BAM</v>
      </c>
    </row>
    <row r="13" spans="1:26" ht="41.4" x14ac:dyDescent="0.3">
      <c r="B13" s="94" t="s">
        <v>31</v>
      </c>
      <c r="C13" s="94" t="s">
        <v>32</v>
      </c>
      <c r="D13" s="94" t="s">
        <v>33</v>
      </c>
      <c r="E13" s="94" t="s">
        <v>34</v>
      </c>
      <c r="F13" s="97"/>
      <c r="G13" s="97"/>
      <c r="H13" s="214"/>
      <c r="I13" s="97"/>
      <c r="J13" s="94" t="s">
        <v>31</v>
      </c>
      <c r="K13" s="94" t="s">
        <v>32</v>
      </c>
      <c r="L13" s="94" t="s">
        <v>33</v>
      </c>
      <c r="M13" s="94" t="s">
        <v>34</v>
      </c>
    </row>
    <row r="14" spans="1:26" ht="19.2" x14ac:dyDescent="0.45">
      <c r="A14" s="99" t="s">
        <v>0</v>
      </c>
      <c r="B14" s="227">
        <f>'Fatura B1 (Res) OK'!B13</f>
        <v>46119</v>
      </c>
      <c r="C14" s="106">
        <f>IF((F2-B14-1)&lt;0,0,(F2-B14-1))</f>
        <v>0</v>
      </c>
      <c r="D14" s="106">
        <f>E14-F2+1</f>
        <v>273</v>
      </c>
      <c r="E14" s="227">
        <f>'Fatura B1 (Res) OK'!E13</f>
        <v>46148</v>
      </c>
      <c r="F14" s="215"/>
      <c r="G14" s="215"/>
      <c r="H14" s="216"/>
      <c r="I14" s="97"/>
      <c r="J14" s="107">
        <f>B14</f>
        <v>46119</v>
      </c>
      <c r="K14" s="108">
        <f>IF((M10-J14-1)&lt;0,0,(M10-J14-1))</f>
        <v>23</v>
      </c>
      <c r="L14" s="108">
        <f>M14-M10+1</f>
        <v>6</v>
      </c>
      <c r="M14" s="107">
        <f>E14</f>
        <v>46148</v>
      </c>
      <c r="Q14" s="462" t="s">
        <v>35</v>
      </c>
      <c r="R14" s="463"/>
      <c r="S14" s="465">
        <v>1025061256</v>
      </c>
    </row>
    <row r="15" spans="1:26" customFormat="1" x14ac:dyDescent="0.3">
      <c r="N15" s="234" t="s">
        <v>119</v>
      </c>
      <c r="O15" s="170">
        <v>0.6</v>
      </c>
    </row>
    <row r="16" spans="1:26" ht="42" customHeight="1" x14ac:dyDescent="0.3">
      <c r="B16" s="394" t="s">
        <v>36</v>
      </c>
      <c r="C16" s="394" t="s">
        <v>37</v>
      </c>
      <c r="D16" s="394" t="s">
        <v>38</v>
      </c>
      <c r="E16" s="395" t="s">
        <v>39</v>
      </c>
      <c r="F16" s="395" t="s">
        <v>40</v>
      </c>
      <c r="G16" s="395" t="s">
        <v>41</v>
      </c>
      <c r="H16" s="395" t="s">
        <v>42</v>
      </c>
      <c r="I16" s="395" t="s">
        <v>43</v>
      </c>
      <c r="J16" s="395" t="s">
        <v>44</v>
      </c>
      <c r="K16" s="396" t="s">
        <v>45</v>
      </c>
      <c r="L16" s="394" t="s">
        <v>46</v>
      </c>
      <c r="M16" s="395" t="s">
        <v>47</v>
      </c>
      <c r="N16" s="395" t="s">
        <v>48</v>
      </c>
      <c r="O16" s="395" t="s">
        <v>49</v>
      </c>
    </row>
    <row r="17" spans="2:19" x14ac:dyDescent="0.3">
      <c r="B17" s="401"/>
      <c r="C17" s="401"/>
      <c r="D17" s="401"/>
      <c r="E17" s="401"/>
      <c r="F17" s="401"/>
      <c r="G17" s="401"/>
      <c r="H17" s="401"/>
      <c r="I17" s="401"/>
      <c r="J17" s="401"/>
      <c r="K17" s="401"/>
      <c r="L17" s="120"/>
      <c r="M17" s="397"/>
      <c r="N17" s="397"/>
      <c r="O17" s="397"/>
      <c r="R17" s="308" t="s">
        <v>50</v>
      </c>
      <c r="S17" s="308" t="s">
        <v>51</v>
      </c>
    </row>
    <row r="18" spans="2:19" x14ac:dyDescent="0.3">
      <c r="B18" s="397" t="s">
        <v>120</v>
      </c>
      <c r="C18" s="398" t="s">
        <v>53</v>
      </c>
      <c r="D18" s="437">
        <v>4265</v>
      </c>
      <c r="E18" s="406">
        <f>(ROUND(D18*K18,2)+ROUND(G18,2)+ROUND(J18,2))/ROUND(D18,4)</f>
        <v>0.50596717467760854</v>
      </c>
      <c r="F18" s="404">
        <f t="shared" ref="F18:F25" si="4">ROUND(D18*E18,2)</f>
        <v>2157.9499999999998</v>
      </c>
      <c r="G18" s="404">
        <f t="shared" ref="G18:G25" si="5">((D18*K18)/(1-$N$18-$N$19))*($N$18+$N$19)</f>
        <v>72.921314925373125</v>
      </c>
      <c r="H18" s="411">
        <f t="shared" ref="H18:H25" si="6">(IF($I$18=12%,(D18*K18)/(1-$N$18-$N$19)/(1-$C$41)/$F$41*$C$41,(D18*K18)/(1-$N$18-$N$19)/(1-$I$18)))</f>
        <v>719.31536976575455</v>
      </c>
      <c r="I18" s="476">
        <v>0.12</v>
      </c>
      <c r="J18" s="404">
        <f>ROUND(H18*$I$18,2)</f>
        <v>86.32</v>
      </c>
      <c r="K18" s="406">
        <f>IF(AND($B$14&lt;$F$2,$E$14&lt;$F$2),C6,IF($B$14&lt;$F$2,I6,F6))</f>
        <v>0.46862999999999999</v>
      </c>
      <c r="L18" s="169" t="s">
        <v>54</v>
      </c>
      <c r="M18" s="404">
        <f>D73</f>
        <v>5510.5431177446117</v>
      </c>
      <c r="N18" s="399">
        <f>'Fatura B1 (Res) OK'!N18</f>
        <v>6.3E-3</v>
      </c>
      <c r="O18" s="413">
        <f>ROUND(M18*N18,2)</f>
        <v>34.72</v>
      </c>
      <c r="R18" s="327">
        <f>IF(AND($B$14&lt;$F$2,$E$14&lt;$F$2),R6,IF($B$14&lt;$F$2,X6,U6))</f>
        <v>0.20383072193179136</v>
      </c>
      <c r="S18" s="328">
        <f>D18*R18</f>
        <v>869.3380290390902</v>
      </c>
    </row>
    <row r="19" spans="2:19" x14ac:dyDescent="0.3">
      <c r="B19" s="397" t="s">
        <v>121</v>
      </c>
      <c r="C19" s="398" t="s">
        <v>53</v>
      </c>
      <c r="D19" s="437">
        <v>6094</v>
      </c>
      <c r="E19" s="406">
        <f>(ROUND(D19*K19,2)+ROUND(G19,2)+ROUND(J19,2))/ROUND(D19,4)</f>
        <v>0.2023859533967837</v>
      </c>
      <c r="F19" s="404">
        <f t="shared" si="4"/>
        <v>1233.3399999999999</v>
      </c>
      <c r="G19" s="404">
        <f t="shared" si="5"/>
        <v>41.677138865671637</v>
      </c>
      <c r="H19" s="411">
        <f t="shared" si="6"/>
        <v>411.11445377280268</v>
      </c>
      <c r="I19" s="397"/>
      <c r="J19" s="404">
        <f t="shared" ref="J19" si="7">H19*$I$18</f>
        <v>49.333734452736323</v>
      </c>
      <c r="K19" s="406">
        <f>ROUND(K18+(K18*(-$O$15)),8)</f>
        <v>0.18745200000000001</v>
      </c>
      <c r="L19" s="169" t="s">
        <v>56</v>
      </c>
      <c r="M19" s="404">
        <f>M18</f>
        <v>5510.5431177446117</v>
      </c>
      <c r="N19" s="399">
        <f>'Fatura B1 (Res) OK'!N19</f>
        <v>2.8899999999999999E-2</v>
      </c>
      <c r="O19" s="413">
        <f>ROUND(M19*N19,2)</f>
        <v>159.25</v>
      </c>
      <c r="R19" s="327">
        <f>R18</f>
        <v>0.20383072193179136</v>
      </c>
      <c r="S19" s="328">
        <f>D19*R19</f>
        <v>1242.1444194523365</v>
      </c>
    </row>
    <row r="20" spans="2:19" x14ac:dyDescent="0.3">
      <c r="B20" s="397" t="s">
        <v>55</v>
      </c>
      <c r="C20" s="398" t="s">
        <v>53</v>
      </c>
      <c r="D20" s="438">
        <f>D18</f>
        <v>4265</v>
      </c>
      <c r="E20" s="406">
        <f t="shared" ref="E20:E21" si="8">(ROUND(D20*K20,2)+ROUND(G20,2)+ROUND(J20,2))/ROUND(D20,4)</f>
        <v>0.34622977725674092</v>
      </c>
      <c r="F20" s="404">
        <f t="shared" si="4"/>
        <v>1476.67</v>
      </c>
      <c r="G20" s="404">
        <f t="shared" si="5"/>
        <v>49.899509784411272</v>
      </c>
      <c r="H20" s="411">
        <f t="shared" si="6"/>
        <v>492.22212145292065</v>
      </c>
      <c r="I20" s="397"/>
      <c r="J20" s="404">
        <f t="shared" ref="J20:J25" si="9">H20*$I$18</f>
        <v>59.066654574350473</v>
      </c>
      <c r="K20" s="406">
        <f>IF(AND($B$14&lt;$F$2,$E$14&lt;$F$2),D6,IF($B$14&lt;$F$2,J6,G6))</f>
        <v>0.32068000000000002</v>
      </c>
      <c r="L20" s="137"/>
      <c r="M20" s="400"/>
      <c r="N20" s="400"/>
      <c r="O20" s="400"/>
      <c r="R20" s="327"/>
      <c r="S20" s="307">
        <f>-S19*$O$15</f>
        <v>-745.28665167140184</v>
      </c>
    </row>
    <row r="21" spans="2:19" x14ac:dyDescent="0.3">
      <c r="B21" s="397" t="s">
        <v>122</v>
      </c>
      <c r="C21" s="398" t="s">
        <v>53</v>
      </c>
      <c r="D21" s="438">
        <f>D19</f>
        <v>6094</v>
      </c>
      <c r="E21" s="406">
        <f t="shared" si="8"/>
        <v>0.13849195930423366</v>
      </c>
      <c r="F21" s="404">
        <f t="shared" si="4"/>
        <v>843.97</v>
      </c>
      <c r="G21" s="404">
        <f t="shared" si="5"/>
        <v>28.519354056384742</v>
      </c>
      <c r="H21" s="411">
        <f t="shared" si="6"/>
        <v>281.32254238068924</v>
      </c>
      <c r="I21" s="397"/>
      <c r="J21" s="404">
        <f t="shared" si="9"/>
        <v>33.758705085682706</v>
      </c>
      <c r="K21" s="406">
        <f>K20+(K20*(-$O$15))</f>
        <v>0.12827200000000002</v>
      </c>
      <c r="O21" s="120"/>
      <c r="S21" s="309">
        <f>SUM(S18:S20)</f>
        <v>1366.1957968200247</v>
      </c>
    </row>
    <row r="22" spans="2:19" x14ac:dyDescent="0.3">
      <c r="B22" s="397" t="s">
        <v>57</v>
      </c>
      <c r="C22" s="398" t="s">
        <v>53</v>
      </c>
      <c r="D22" s="438">
        <f>IF($K$12=M4,(D18*(K14)/(K14+L14)),0)+IF($L$12=M4,(D18*(L14)/(K14+L14)),0)+IF($K$12=M4,(D19*(K14)/(K14+L14)),0)+IF($L$12=M4,(D19*(L14)/(K14+L14)),0)</f>
        <v>2143.2413793103447</v>
      </c>
      <c r="E22" s="406">
        <f>IF($I$18=12%,(K22)/(1-$N$18-$N$19)/(1-$C$41),K22/(1-$N$18-$N$19)/(1-$I$18))</f>
        <v>1.316825705813853E-2</v>
      </c>
      <c r="F22" s="404">
        <f>ROUND(D22*E22,2)</f>
        <v>28.22</v>
      </c>
      <c r="G22" s="404">
        <f t="shared" si="5"/>
        <v>0.95370328358208933</v>
      </c>
      <c r="H22" s="411">
        <f t="shared" si="6"/>
        <v>9.4075844734660024</v>
      </c>
      <c r="I22" s="397"/>
      <c r="J22" s="404">
        <f t="shared" si="9"/>
        <v>1.1289101368159202</v>
      </c>
      <c r="K22" s="406">
        <f>J67</f>
        <v>1.2196545033304371E-2</v>
      </c>
      <c r="L22" s="117"/>
      <c r="N22" s="440"/>
      <c r="O22" s="120"/>
    </row>
    <row r="23" spans="2:19" x14ac:dyDescent="0.3">
      <c r="B23" s="397" t="s">
        <v>58</v>
      </c>
      <c r="C23" s="398" t="s">
        <v>53</v>
      </c>
      <c r="D23" s="438">
        <f>IF($K$12=M5,(D18*(K14)/(K14+L14)),0)+IF($L$12=M5,(D18*(L14)/(K14+L14)),0)+IF($K$12=M5,(D19*(K14)/(K14+L14)),0)+IF($L$12=M5,(D19*(L14)/(K14+L14)),0)</f>
        <v>0</v>
      </c>
      <c r="E23" s="406">
        <f>IF($I$18=12%,(K23)/(1-$N$18-$N$19)/(1-$C$41),K23/(1-$N$18-$N$19)/(1-$I$18))</f>
        <v>4.8185720702045333E-2</v>
      </c>
      <c r="F23" s="404">
        <f t="shared" si="4"/>
        <v>0</v>
      </c>
      <c r="G23" s="404">
        <f t="shared" si="5"/>
        <v>0</v>
      </c>
      <c r="H23" s="411">
        <f t="shared" si="6"/>
        <v>0</v>
      </c>
      <c r="I23" s="397"/>
      <c r="J23" s="404">
        <f t="shared" si="9"/>
        <v>0</v>
      </c>
      <c r="K23" s="406">
        <f t="shared" ref="K23:K25" si="10">J68</f>
        <v>4.4630000000000003E-2</v>
      </c>
      <c r="O23" s="120"/>
    </row>
    <row r="24" spans="2:19" x14ac:dyDescent="0.3">
      <c r="B24" s="397" t="s">
        <v>59</v>
      </c>
      <c r="C24" s="398" t="s">
        <v>53</v>
      </c>
      <c r="D24" s="438">
        <f>IF($K$12=M6,(D18*(K14)/(K14+L14)),0)+IF($L$12=M6,(D18*(L14)/(K14+L14)),0)+IF($K$12=M6,(D19*(K14)/(K14+L14)),0)+IF($L$12=M6,(D19*(L14)/(K14+L14)),0)</f>
        <v>0</v>
      </c>
      <c r="E24" s="406">
        <f>IF($I$18=12%,(K24)/(1-$N$18-$N$19)/(1-$C$41),K24/(1-$N$18-$N$19)/(1-$I$18))</f>
        <v>8.5045691680486465E-2</v>
      </c>
      <c r="F24" s="404">
        <f t="shared" si="4"/>
        <v>0</v>
      </c>
      <c r="G24" s="404">
        <f t="shared" si="5"/>
        <v>0</v>
      </c>
      <c r="H24" s="411">
        <f t="shared" si="6"/>
        <v>0</v>
      </c>
      <c r="I24" s="397"/>
      <c r="J24" s="404">
        <f t="shared" si="9"/>
        <v>0</v>
      </c>
      <c r="K24" s="406">
        <f t="shared" si="10"/>
        <v>7.8770000000000007E-2</v>
      </c>
      <c r="O24" s="120"/>
      <c r="R24" s="408"/>
    </row>
    <row r="25" spans="2:19" x14ac:dyDescent="0.3">
      <c r="B25" s="397" t="s">
        <v>60</v>
      </c>
      <c r="C25" s="398" t="s">
        <v>53</v>
      </c>
      <c r="D25" s="438">
        <f>IF($K$12=M7,(D18*(K14)/(K14+L14)),0)+IF($L$12=M7,(D18*(L14)/(K14+L14)),0)+IF($K$12=M7,(D19*(K14)/(K14+L14)),0)+IF($L$12=M7,(D19*(L14)/(K14+L14)),0)</f>
        <v>0</v>
      </c>
      <c r="E25" s="406">
        <f>IF($I$18=12%,(K25)/(1-$N$18-$N$19)/(1-$C$41),K25/(1-$N$18-$N$19)/(1-$I$18))</f>
        <v>0.15331329463792151</v>
      </c>
      <c r="F25" s="404">
        <f t="shared" si="4"/>
        <v>0</v>
      </c>
      <c r="G25" s="404">
        <f t="shared" si="5"/>
        <v>0</v>
      </c>
      <c r="H25" s="411">
        <f t="shared" si="6"/>
        <v>0</v>
      </c>
      <c r="I25" s="397"/>
      <c r="J25" s="404">
        <f t="shared" si="9"/>
        <v>0</v>
      </c>
      <c r="K25" s="406">
        <f t="shared" si="10"/>
        <v>0.14199999999999999</v>
      </c>
      <c r="N25" s="136"/>
      <c r="O25" s="120"/>
      <c r="R25" s="408"/>
    </row>
    <row r="26" spans="2:19" x14ac:dyDescent="0.3">
      <c r="B26" s="397" t="s">
        <v>61</v>
      </c>
      <c r="C26" s="397"/>
      <c r="D26" s="438"/>
      <c r="E26" s="397"/>
      <c r="F26" s="402">
        <v>1274.04</v>
      </c>
      <c r="G26" s="397"/>
      <c r="H26" s="397"/>
      <c r="I26" s="397"/>
      <c r="J26" s="397"/>
      <c r="K26" s="397"/>
      <c r="O26" s="120"/>
      <c r="S26" s="441">
        <v>0.01</v>
      </c>
    </row>
    <row r="27" spans="2:19" x14ac:dyDescent="0.3">
      <c r="B27" s="397" t="s">
        <v>62</v>
      </c>
      <c r="C27" s="397"/>
      <c r="D27" s="438"/>
      <c r="E27" s="397"/>
      <c r="F27" s="402"/>
      <c r="G27" s="397"/>
      <c r="H27" s="397"/>
      <c r="I27" s="397"/>
      <c r="J27" s="397"/>
      <c r="K27" s="397"/>
      <c r="O27" s="120"/>
      <c r="S27" s="441">
        <v>23.1724</v>
      </c>
    </row>
    <row r="28" spans="2:19" x14ac:dyDescent="0.3">
      <c r="B28" s="397" t="s">
        <v>63</v>
      </c>
      <c r="C28" s="397"/>
      <c r="D28" s="438"/>
      <c r="E28" s="397"/>
      <c r="F28" s="402"/>
      <c r="G28" s="397"/>
      <c r="H28" s="397"/>
      <c r="I28" s="397"/>
      <c r="J28" s="397"/>
      <c r="K28" s="397"/>
      <c r="O28" s="120"/>
      <c r="S28" s="441"/>
    </row>
    <row r="29" spans="2:19" x14ac:dyDescent="0.3">
      <c r="B29" s="397" t="s">
        <v>64</v>
      </c>
      <c r="C29" s="397"/>
      <c r="D29" s="438"/>
      <c r="E29" s="397"/>
      <c r="F29" s="402"/>
      <c r="G29" s="397"/>
      <c r="H29" s="397"/>
      <c r="I29" s="397"/>
      <c r="J29" s="397"/>
      <c r="K29" s="397"/>
      <c r="O29" s="120"/>
      <c r="S29" s="441"/>
    </row>
    <row r="30" spans="2:19" x14ac:dyDescent="0.3">
      <c r="B30" s="397" t="s">
        <v>65</v>
      </c>
      <c r="C30" s="397"/>
      <c r="D30" s="438"/>
      <c r="E30" s="397"/>
      <c r="F30" s="402"/>
      <c r="G30" s="397"/>
      <c r="H30" s="397"/>
      <c r="I30" s="397"/>
      <c r="J30" s="397"/>
      <c r="K30" s="397"/>
      <c r="O30" s="120"/>
    </row>
    <row r="31" spans="2:19" x14ac:dyDescent="0.3">
      <c r="B31" s="397"/>
      <c r="C31" s="397"/>
      <c r="D31" s="438"/>
      <c r="E31" s="397"/>
      <c r="F31" s="397"/>
      <c r="G31" s="397"/>
      <c r="H31" s="397"/>
      <c r="I31" s="397"/>
      <c r="J31" s="397"/>
      <c r="K31" s="397"/>
      <c r="O31" s="120"/>
    </row>
    <row r="32" spans="2:19" x14ac:dyDescent="0.3">
      <c r="B32" s="405" t="s">
        <v>66</v>
      </c>
      <c r="C32" s="400"/>
      <c r="D32" s="439"/>
      <c r="E32" s="400"/>
      <c r="F32" s="407">
        <f>SUM(F18:F30)</f>
        <v>7014.1900000000005</v>
      </c>
      <c r="G32" s="410">
        <f>SUM(G18:G31)</f>
        <v>193.97102091542286</v>
      </c>
      <c r="H32" s="412">
        <f>SUM(H18:H31)</f>
        <v>1913.3820718456329</v>
      </c>
      <c r="I32" s="400"/>
      <c r="J32" s="412">
        <f>SUM(J18:J31)</f>
        <v>229.60800424958546</v>
      </c>
      <c r="K32" s="400"/>
      <c r="L32" s="127"/>
      <c r="M32" s="127"/>
      <c r="N32" s="127"/>
      <c r="O32" s="137"/>
    </row>
    <row r="33" spans="1:26" customFormat="1" ht="15" thickBot="1" x14ac:dyDescent="0.35"/>
    <row r="34" spans="1:26" ht="15" thickBot="1" x14ac:dyDescent="0.35">
      <c r="B34" s="456" t="s">
        <v>67</v>
      </c>
      <c r="C34" s="457">
        <f>(D18+D19)</f>
        <v>10359</v>
      </c>
      <c r="D34" s="458">
        <f>IF(AND($B$14&lt;$F$2,$E$14&lt;$F$2),C8,IF($B$14&lt;$F$2,I8,F8))</f>
        <v>1.8774721494831901E-4</v>
      </c>
      <c r="E34" s="458">
        <f>IF(AND($B$14&lt;$F$2,$E$14&lt;$F$2),D8,IF($B$14&lt;$F$2,J8,G8))</f>
        <v>-4.4031307414479802E-3</v>
      </c>
      <c r="F34" s="459">
        <f>C34*(D34+E34)+((D19*(D34+E34))*(-$O$15))</f>
        <v>-28.25402962471663</v>
      </c>
    </row>
    <row r="35" spans="1:26" s="97" customFormat="1" ht="15" thickBot="1" x14ac:dyDescent="0.35">
      <c r="B35" s="109"/>
      <c r="C35" s="109"/>
      <c r="D35" s="110"/>
      <c r="E35" s="109"/>
      <c r="J35" s="166"/>
      <c r="Q35" s="99"/>
      <c r="R35" s="99"/>
      <c r="S35" s="99"/>
      <c r="T35" s="99"/>
      <c r="U35" s="99"/>
      <c r="V35" s="99"/>
      <c r="W35" s="99"/>
      <c r="X35" s="99"/>
      <c r="Y35" s="99"/>
      <c r="Z35" s="99"/>
    </row>
    <row r="36" spans="1:26" s="97" customFormat="1" ht="15" thickBot="1" x14ac:dyDescent="0.35">
      <c r="B36" s="456" t="s">
        <v>123</v>
      </c>
      <c r="C36" s="457"/>
      <c r="D36" s="458"/>
      <c r="E36" s="458"/>
      <c r="F36" s="460">
        <f>SUM(H53+H65)</f>
        <v>-2900.2980000000002</v>
      </c>
      <c r="J36" s="179"/>
      <c r="Q36" s="99"/>
      <c r="R36" s="99"/>
      <c r="S36" s="99"/>
      <c r="T36" s="99"/>
      <c r="U36" s="99"/>
      <c r="V36" s="99"/>
      <c r="W36" s="99"/>
      <c r="X36" s="99"/>
      <c r="Y36" s="99"/>
      <c r="Z36" s="99"/>
    </row>
    <row r="37" spans="1:26" x14ac:dyDescent="0.3">
      <c r="B37" s="99" t="s">
        <v>101</v>
      </c>
    </row>
    <row r="38" spans="1:26" x14ac:dyDescent="0.3">
      <c r="B38" s="155"/>
      <c r="C38" s="155"/>
      <c r="D38" s="158" t="s">
        <v>102</v>
      </c>
      <c r="F38" s="158"/>
    </row>
    <row r="39" spans="1:26" x14ac:dyDescent="0.3">
      <c r="B39" s="159" t="s">
        <v>54</v>
      </c>
      <c r="C39" s="24">
        <f>N18</f>
        <v>6.3E-3</v>
      </c>
      <c r="D39" s="160">
        <f>((D18*K18)+(D19*K19)+(D19*K19)*(-$O$15)+(D20*K20)+(D21*K21)+(D21*K21)*(-$O$15)+(D22*K22)+(D23*K23)+(D24*K24)+(D25*K25))/(1-F39-F40)</f>
        <v>4314.0092375621889</v>
      </c>
      <c r="E39" s="100" t="s">
        <v>103</v>
      </c>
      <c r="F39" s="24">
        <f>C39</f>
        <v>6.3E-3</v>
      </c>
      <c r="G39" s="161">
        <f>D39*F39</f>
        <v>27.178258196641789</v>
      </c>
    </row>
    <row r="40" spans="1:26" x14ac:dyDescent="0.3">
      <c r="B40" s="159" t="s">
        <v>56</v>
      </c>
      <c r="C40" s="24">
        <f>N19</f>
        <v>2.8899999999999999E-2</v>
      </c>
      <c r="D40" s="160">
        <f>D39</f>
        <v>4314.0092375621889</v>
      </c>
      <c r="E40" s="100" t="s">
        <v>103</v>
      </c>
      <c r="F40" s="24">
        <f>C40</f>
        <v>2.8899999999999999E-2</v>
      </c>
      <c r="G40" s="161">
        <f>D40*F40</f>
        <v>124.67486696554725</v>
      </c>
    </row>
    <row r="41" spans="1:26" x14ac:dyDescent="0.3">
      <c r="A41" s="221" t="s">
        <v>104</v>
      </c>
      <c r="B41" s="159" t="s">
        <v>77</v>
      </c>
      <c r="C41" s="25">
        <v>0.04</v>
      </c>
      <c r="D41" s="162">
        <f>H41/F41*C41</f>
        <v>1497.9198741535376</v>
      </c>
      <c r="E41" s="100" t="s">
        <v>103</v>
      </c>
      <c r="F41" s="414">
        <v>0.12</v>
      </c>
      <c r="G41" s="161">
        <f>D41*F41</f>
        <v>179.7503848984245</v>
      </c>
      <c r="H41" s="161">
        <f>((D18*K18)+(D19*K19)+(D19*K19)*(-$O$15)+(D20*K20)+(D21*K21)+(D21*K21)*(-$O$15)+(D22*K22)+(D23*K23)+(D24*K24)+(D25*K25))/(1-F39-F40)/(1-(C41))</f>
        <v>4493.7596224606132</v>
      </c>
      <c r="I41" s="309"/>
    </row>
    <row r="42" spans="1:26" x14ac:dyDescent="0.3">
      <c r="B42" s="155"/>
      <c r="C42" s="155"/>
      <c r="D42" s="155"/>
      <c r="E42" s="161"/>
      <c r="F42" s="156"/>
      <c r="G42" s="156"/>
      <c r="H42" s="155"/>
      <c r="I42" s="155"/>
      <c r="J42" s="157"/>
      <c r="K42" s="157"/>
      <c r="L42" s="157"/>
      <c r="M42" s="158"/>
      <c r="N42" s="158"/>
      <c r="O42" s="163"/>
    </row>
    <row r="43" spans="1:26" x14ac:dyDescent="0.3">
      <c r="C43" s="164" t="s">
        <v>105</v>
      </c>
      <c r="D43" s="165" t="s">
        <v>106</v>
      </c>
      <c r="F43"/>
      <c r="G43"/>
      <c r="H43"/>
    </row>
    <row r="44" spans="1:26" x14ac:dyDescent="0.3">
      <c r="C44" s="97"/>
      <c r="D44" s="97" t="s">
        <v>107</v>
      </c>
      <c r="F44" s="97"/>
      <c r="G44" s="97"/>
      <c r="H44" s="97"/>
      <c r="J44" s="97"/>
    </row>
    <row r="45" spans="1:26" customFormat="1" x14ac:dyDescent="0.3"/>
    <row r="46" spans="1:26" x14ac:dyDescent="0.3">
      <c r="B46" s="138"/>
      <c r="C46" s="138"/>
      <c r="D46" s="168"/>
      <c r="E46" s="138"/>
      <c r="F46" s="138"/>
      <c r="G46" s="234" t="s">
        <v>119</v>
      </c>
      <c r="H46" s="170">
        <f>O15</f>
        <v>0.6</v>
      </c>
      <c r="I46"/>
    </row>
    <row r="47" spans="1:26" x14ac:dyDescent="0.3">
      <c r="B47" s="486" t="s">
        <v>124</v>
      </c>
      <c r="C47" s="487"/>
      <c r="D47" s="487"/>
      <c r="E47" s="487"/>
      <c r="F47" s="487"/>
      <c r="G47" s="487"/>
      <c r="H47" s="488"/>
      <c r="I47"/>
      <c r="J47" s="97"/>
      <c r="K47" s="97"/>
      <c r="L47" s="97"/>
      <c r="M47" s="97"/>
      <c r="N47" s="302"/>
    </row>
    <row r="48" spans="1:26" x14ac:dyDescent="0.3">
      <c r="B48" s="112"/>
      <c r="D48" s="98" t="s">
        <v>69</v>
      </c>
      <c r="E48" s="98" t="s">
        <v>70</v>
      </c>
      <c r="F48" s="98" t="s">
        <v>14</v>
      </c>
      <c r="G48" s="98" t="s">
        <v>15</v>
      </c>
      <c r="H48" s="169" t="s">
        <v>71</v>
      </c>
      <c r="I48"/>
      <c r="J48" s="222" t="s">
        <v>109</v>
      </c>
      <c r="K48" s="41"/>
      <c r="L48" s="208" t="s">
        <v>110</v>
      </c>
      <c r="M48"/>
      <c r="N48"/>
      <c r="O48"/>
      <c r="P48"/>
    </row>
    <row r="49" spans="1:20" x14ac:dyDescent="0.3">
      <c r="A49" s="99" t="s">
        <v>0</v>
      </c>
      <c r="B49" s="217" t="s">
        <v>72</v>
      </c>
      <c r="C49" s="218"/>
      <c r="D49" s="219"/>
      <c r="E49" s="219"/>
      <c r="F49" s="219"/>
      <c r="G49" s="219"/>
      <c r="H49" s="220">
        <f>SUM(H51:H68)+SUM(H73:H75)</f>
        <v>5740.1490809839706</v>
      </c>
      <c r="I49"/>
      <c r="J49" s="223" t="s">
        <v>15</v>
      </c>
      <c r="K49" s="223" t="s">
        <v>71</v>
      </c>
      <c r="L49" s="223" t="s">
        <v>71</v>
      </c>
      <c r="M49" s="97"/>
    </row>
    <row r="50" spans="1:20" x14ac:dyDescent="0.3">
      <c r="B50" s="112"/>
      <c r="D50" s="98"/>
      <c r="E50" s="98"/>
      <c r="F50" s="98"/>
      <c r="G50" s="98"/>
      <c r="H50" s="120"/>
      <c r="I50"/>
      <c r="J50" s="223"/>
      <c r="K50" s="224"/>
      <c r="L50" s="138"/>
      <c r="M50" s="97"/>
      <c r="R50" s="308" t="s">
        <v>50</v>
      </c>
      <c r="S50" s="308" t="s">
        <v>51</v>
      </c>
    </row>
    <row r="51" spans="1:20" x14ac:dyDescent="0.3">
      <c r="B51" s="112" t="s">
        <v>125</v>
      </c>
      <c r="D51" s="228">
        <f>D18</f>
        <v>4265</v>
      </c>
      <c r="E51" s="115">
        <f>IF(AND($B$14&lt;$F$2,$E$14&lt;$F$2),C6,IF($B$14&lt;$F$2,I6,F6))</f>
        <v>0.46862999999999999</v>
      </c>
      <c r="F51" s="353">
        <f>IF(AND($B$14&lt;$F$2,$E$14&lt;$F$2),D6,IF($B$14&lt;$F$2,J6,G6))</f>
        <v>0.32068000000000002</v>
      </c>
      <c r="G51" s="115">
        <f>E51+F51</f>
        <v>0.78930999999999996</v>
      </c>
      <c r="H51" s="116">
        <f>ROUND(D51*(E51+F51),2)</f>
        <v>3366.41</v>
      </c>
      <c r="I51"/>
      <c r="J51" s="225">
        <f>IF(AND($B$14&lt;$F$2,$E$14&lt;$F$2),E7,IF($B$14&lt;$F$2,K7,H7))</f>
        <v>0.78930999999999996</v>
      </c>
      <c r="K51" s="226">
        <f>D51*J51</f>
        <v>3366.40715</v>
      </c>
      <c r="L51" s="226">
        <f>K51-H51</f>
        <v>-2.8499999998530257E-3</v>
      </c>
      <c r="M51" s="97"/>
      <c r="R51" s="327">
        <f>IF(AND($B$14&lt;$F$2,$E$14&lt;$F$2),R6,IF($B$14&lt;$F$2,X6,U6))</f>
        <v>0.20383072193179136</v>
      </c>
      <c r="S51" s="345">
        <f>D51*R51</f>
        <v>869.3380290390902</v>
      </c>
      <c r="T51" s="329">
        <f>SUM(S51:S53)</f>
        <v>1366.1957968200247</v>
      </c>
    </row>
    <row r="52" spans="1:20" x14ac:dyDescent="0.3">
      <c r="B52" s="112" t="s">
        <v>126</v>
      </c>
      <c r="D52" s="228">
        <f>D19</f>
        <v>6094</v>
      </c>
      <c r="E52" s="117">
        <f>E51</f>
        <v>0.46862999999999999</v>
      </c>
      <c r="F52" s="353">
        <f>F51</f>
        <v>0.32068000000000002</v>
      </c>
      <c r="G52" s="117">
        <f>E52+F52</f>
        <v>0.78930999999999996</v>
      </c>
      <c r="H52" s="116">
        <f>ROUND(D52*(E52+F52),2)</f>
        <v>4810.0600000000004</v>
      </c>
      <c r="I52"/>
      <c r="J52" s="225">
        <f>J51</f>
        <v>0.78930999999999996</v>
      </c>
      <c r="K52" s="226">
        <f>D52*J52</f>
        <v>4810.0551399999995</v>
      </c>
      <c r="L52" s="226">
        <f>K52-H52</f>
        <v>-4.8600000009173527E-3</v>
      </c>
      <c r="M52" s="97"/>
      <c r="R52" s="147">
        <f>R51</f>
        <v>0.20383072193179136</v>
      </c>
      <c r="S52" s="345">
        <f>D52*R52</f>
        <v>1242.1444194523365</v>
      </c>
    </row>
    <row r="53" spans="1:20" x14ac:dyDescent="0.3">
      <c r="B53" s="112" t="s">
        <v>127</v>
      </c>
      <c r="D53" s="121"/>
      <c r="E53" s="117"/>
      <c r="F53" s="117"/>
      <c r="G53" s="117"/>
      <c r="H53" s="116">
        <f>-H52*$H$46</f>
        <v>-2886.0360000000001</v>
      </c>
      <c r="I53"/>
      <c r="J53"/>
      <c r="K53" s="97"/>
      <c r="L53" s="97"/>
      <c r="M53" s="97"/>
      <c r="N53" s="97"/>
      <c r="O53" s="97"/>
      <c r="P53" s="97"/>
      <c r="S53" s="307">
        <f>-S52*$H$46</f>
        <v>-745.28665167140184</v>
      </c>
    </row>
    <row r="54" spans="1:20" x14ac:dyDescent="0.3">
      <c r="B54" s="112"/>
      <c r="D54" s="119"/>
      <c r="H54" s="120"/>
      <c r="I54"/>
      <c r="J54"/>
      <c r="K54" s="97"/>
      <c r="L54" s="97"/>
      <c r="M54" s="97"/>
      <c r="N54" s="97"/>
      <c r="O54" s="97"/>
      <c r="P54" s="97"/>
    </row>
    <row r="55" spans="1:20" x14ac:dyDescent="0.3">
      <c r="B55" s="112" t="s">
        <v>57</v>
      </c>
      <c r="D55" s="121">
        <f>IF($K$12=M4,((D51)*(K14)/(K14+L14)),0)+IF($L$12=M4,((D51)*(L14)/(K14+L14)),0)</f>
        <v>882.41379310344826</v>
      </c>
      <c r="F55" s="122">
        <f>N4</f>
        <v>1.8849999999999999E-2</v>
      </c>
      <c r="G55" s="122"/>
      <c r="H55" s="116">
        <f>ROUND(D55*(E55+F55),2)</f>
        <v>16.63</v>
      </c>
      <c r="I55"/>
      <c r="J55"/>
      <c r="K55"/>
      <c r="L55"/>
      <c r="M55"/>
      <c r="N55" s="97"/>
      <c r="O55" s="97"/>
      <c r="P55" s="97"/>
    </row>
    <row r="56" spans="1:20" x14ac:dyDescent="0.3">
      <c r="B56" s="112" t="s">
        <v>58</v>
      </c>
      <c r="D56" s="121">
        <f>IF($K$12=M5,((D51)*(K14)/(K14+L14)),0)+IF($L$12=M5,((D51)*(L14)/(K14+L14)),0)</f>
        <v>0</v>
      </c>
      <c r="F56" s="122">
        <f>N5</f>
        <v>4.4630000000000003E-2</v>
      </c>
      <c r="G56" s="122"/>
      <c r="H56" s="116">
        <f>ROUND(D56*(E56+F56),2)</f>
        <v>0</v>
      </c>
      <c r="I56"/>
      <c r="J56"/>
      <c r="K56"/>
      <c r="L56"/>
      <c r="M56"/>
      <c r="N56" s="97"/>
      <c r="O56" s="97"/>
      <c r="P56" s="97"/>
    </row>
    <row r="57" spans="1:20" x14ac:dyDescent="0.3">
      <c r="B57" s="112" t="s">
        <v>59</v>
      </c>
      <c r="D57" s="121">
        <f>IF($K$12=M6,((D51)*(K14)/(K14+L14)),0)+IF($L$12=M6,((D51)*(L14)/(K14+L14)),0)</f>
        <v>0</v>
      </c>
      <c r="F57" s="122">
        <f>N6</f>
        <v>7.8770000000000007E-2</v>
      </c>
      <c r="G57" s="122"/>
      <c r="H57" s="116">
        <f>ROUND(D57*(E57+F57),2)</f>
        <v>0</v>
      </c>
      <c r="I57"/>
      <c r="J57"/>
      <c r="L57" s="97"/>
      <c r="M57" s="97"/>
      <c r="N57" s="100" t="s">
        <v>128</v>
      </c>
      <c r="O57" s="97"/>
      <c r="P57" s="97"/>
    </row>
    <row r="58" spans="1:20" x14ac:dyDescent="0.3">
      <c r="B58" s="112" t="s">
        <v>74</v>
      </c>
      <c r="D58" s="121">
        <f>IF($K$12=M7,((D51)*(K14)/(K14+L14)),0)+IF($L$12=M7,((D51)*(L14)/(K14+L14)),0)</f>
        <v>0</v>
      </c>
      <c r="F58" s="122">
        <f>N7</f>
        <v>0.14199999999999999</v>
      </c>
      <c r="G58" s="122"/>
      <c r="H58" s="116">
        <f>ROUND(D58*(E58+F58),2)</f>
        <v>0</v>
      </c>
      <c r="I58"/>
      <c r="J58"/>
      <c r="L58" s="97"/>
      <c r="M58" s="97"/>
      <c r="N58" s="100">
        <v>226889</v>
      </c>
      <c r="O58" s="97"/>
      <c r="P58" s="97"/>
    </row>
    <row r="59" spans="1:20" x14ac:dyDescent="0.3">
      <c r="B59" s="112"/>
      <c r="D59" s="123"/>
      <c r="H59" s="120"/>
      <c r="I59"/>
      <c r="J59"/>
      <c r="L59" s="97"/>
      <c r="M59" s="97"/>
      <c r="N59" s="97"/>
      <c r="O59" s="97"/>
      <c r="P59" s="97"/>
    </row>
    <row r="60" spans="1:20" x14ac:dyDescent="0.3">
      <c r="B60" s="112" t="s">
        <v>129</v>
      </c>
      <c r="D60" s="121">
        <f>IF($K$12=M4,((D52)*(K14)/(K14+L14)),0)+IF($L$12=M4,((D52)*(L14)/(K14+L14)),0)</f>
        <v>1260.8275862068965</v>
      </c>
      <c r="F60" s="122">
        <f>F55</f>
        <v>1.8849999999999999E-2</v>
      </c>
      <c r="G60" s="122"/>
      <c r="H60" s="116">
        <f>ROUND(D60*(E60+F60),2)</f>
        <v>23.77</v>
      </c>
      <c r="I60" s="306">
        <f t="shared" ref="I60:I62" si="11">H55+H60</f>
        <v>40.4</v>
      </c>
      <c r="J60"/>
    </row>
    <row r="61" spans="1:20" x14ac:dyDescent="0.3">
      <c r="B61" s="112" t="s">
        <v>130</v>
      </c>
      <c r="D61" s="121">
        <f>IF($K$12=M5,((D52)*(K14)/(K14+L14)),0)+IF($L$12=M5,((D52)*(L14)/(K14+L14)),0)</f>
        <v>0</v>
      </c>
      <c r="F61" s="122">
        <f>F56</f>
        <v>4.4630000000000003E-2</v>
      </c>
      <c r="G61" s="122"/>
      <c r="H61" s="116">
        <f>ROUND(D61*(E61+F61),2)</f>
        <v>0</v>
      </c>
      <c r="I61" s="306">
        <f t="shared" si="11"/>
        <v>0</v>
      </c>
      <c r="J61"/>
      <c r="K61" s="99">
        <f>I61/(1-E73-E74)/(1-C85)</f>
        <v>0</v>
      </c>
    </row>
    <row r="62" spans="1:20" x14ac:dyDescent="0.3">
      <c r="B62" s="112" t="s">
        <v>131</v>
      </c>
      <c r="D62" s="121">
        <f>IF($K$12=M6,((D52)*(K14)/(K14+L14)),0)+IF($L$12=M6,((D52)*(L14)/(K14+L14)),0)</f>
        <v>0</v>
      </c>
      <c r="F62" s="122">
        <f>F57</f>
        <v>7.8770000000000007E-2</v>
      </c>
      <c r="G62" s="122"/>
      <c r="H62" s="116">
        <f>ROUND(D62*(E62+F62),2)</f>
        <v>0</v>
      </c>
      <c r="I62" s="306">
        <f t="shared" si="11"/>
        <v>0</v>
      </c>
      <c r="J62"/>
    </row>
    <row r="63" spans="1:20" x14ac:dyDescent="0.3">
      <c r="B63" s="112" t="s">
        <v>132</v>
      </c>
      <c r="D63" s="121">
        <f>IF($K$12=M7,((D52)*(K14)/(K14+L14)),0)+IF($L$12=M7,((D52)*(L14)/(K14+L14)),0)</f>
        <v>0</v>
      </c>
      <c r="F63" s="122">
        <f>F58</f>
        <v>0.14199999999999999</v>
      </c>
      <c r="G63" s="122"/>
      <c r="H63" s="116">
        <f>ROUND(D63*(E63+F63),2)</f>
        <v>0</v>
      </c>
      <c r="I63" s="306">
        <f>H58+H63</f>
        <v>0</v>
      </c>
      <c r="J63"/>
    </row>
    <row r="64" spans="1:20" x14ac:dyDescent="0.3">
      <c r="B64" s="112"/>
      <c r="D64" s="121"/>
      <c r="F64" s="122"/>
      <c r="G64" s="122"/>
      <c r="H64" s="116"/>
      <c r="I64"/>
      <c r="J64"/>
    </row>
    <row r="65" spans="2:16" x14ac:dyDescent="0.3">
      <c r="B65" s="112" t="s">
        <v>133</v>
      </c>
      <c r="D65" s="121"/>
      <c r="F65" s="122"/>
      <c r="G65" s="122"/>
      <c r="H65" s="116">
        <f>-H60*$H$46</f>
        <v>-14.261999999999999</v>
      </c>
      <c r="I65"/>
      <c r="J65"/>
      <c r="L65" s="97"/>
      <c r="M65" s="97"/>
      <c r="N65" s="97"/>
      <c r="O65" s="97"/>
      <c r="P65" s="97"/>
    </row>
    <row r="66" spans="2:16" x14ac:dyDescent="0.3">
      <c r="B66" s="112" t="s">
        <v>134</v>
      </c>
      <c r="D66" s="121"/>
      <c r="F66" s="122"/>
      <c r="G66" s="122"/>
      <c r="H66" s="116">
        <f>-H61*$H$46</f>
        <v>0</v>
      </c>
      <c r="I66"/>
      <c r="J66" s="308" t="s">
        <v>135</v>
      </c>
      <c r="L66" s="97"/>
      <c r="M66" s="97"/>
      <c r="N66" s="97"/>
      <c r="O66" s="97"/>
      <c r="P66" s="97"/>
    </row>
    <row r="67" spans="2:16" x14ac:dyDescent="0.3">
      <c r="B67" s="112" t="s">
        <v>136</v>
      </c>
      <c r="D67" s="121"/>
      <c r="F67" s="122"/>
      <c r="G67" s="122"/>
      <c r="H67" s="116">
        <f>-H62*$H$46</f>
        <v>0</v>
      </c>
      <c r="I67"/>
      <c r="J67" s="445">
        <f>IFERROR((((D55*F55)+(D60*F60))-(D60*F60*$H$46))/(D55+D60), N4)</f>
        <v>1.2196545033304371E-2</v>
      </c>
      <c r="L67" s="97"/>
      <c r="M67" s="97"/>
      <c r="N67" s="97"/>
      <c r="O67" s="97"/>
      <c r="P67" s="97"/>
    </row>
    <row r="68" spans="2:16" x14ac:dyDescent="0.3">
      <c r="B68" s="112" t="s">
        <v>137</v>
      </c>
      <c r="D68" s="123"/>
      <c r="H68" s="116">
        <f>-H63*$H$46</f>
        <v>0</v>
      </c>
      <c r="I68"/>
      <c r="J68" s="445">
        <f t="shared" ref="J68:J69" si="12">IFERROR((((D56*F56)+(D61*F61))-(D61*F61*$H$46))/(D56+D61), N5)</f>
        <v>4.4630000000000003E-2</v>
      </c>
      <c r="L68" s="97"/>
      <c r="M68" s="97"/>
      <c r="N68" s="97"/>
      <c r="O68" s="97"/>
      <c r="P68" s="97"/>
    </row>
    <row r="69" spans="2:16" x14ac:dyDescent="0.3">
      <c r="B69" s="126"/>
      <c r="C69" s="127"/>
      <c r="D69" s="128"/>
      <c r="E69" s="129"/>
      <c r="F69" s="127"/>
      <c r="G69" s="127"/>
      <c r="H69" s="130"/>
      <c r="I69"/>
      <c r="J69" s="445">
        <f t="shared" si="12"/>
        <v>7.8770000000000007E-2</v>
      </c>
      <c r="L69" s="97"/>
      <c r="M69" s="97"/>
      <c r="N69" s="97"/>
      <c r="O69" s="97"/>
      <c r="P69" s="97"/>
    </row>
    <row r="70" spans="2:16" x14ac:dyDescent="0.3">
      <c r="J70" s="445">
        <f>IFERROR((((D58*F58)+(D63*F63))-(D63*F63*$H$46))/(D58+D63), N7)</f>
        <v>0.14199999999999999</v>
      </c>
      <c r="K70" s="378"/>
      <c r="L70" s="97"/>
      <c r="M70" s="97"/>
      <c r="N70" s="97"/>
      <c r="O70" s="97"/>
      <c r="P70" s="97"/>
    </row>
    <row r="71" spans="2:16" x14ac:dyDescent="0.3">
      <c r="B71" s="148"/>
      <c r="C71" s="132"/>
      <c r="D71" s="132"/>
      <c r="E71" s="132"/>
      <c r="F71" s="132"/>
      <c r="G71" s="132"/>
      <c r="H71" s="149"/>
      <c r="I71" s="97"/>
      <c r="K71" s="378"/>
      <c r="L71" s="97"/>
      <c r="M71" s="97"/>
      <c r="N71" s="97"/>
      <c r="O71" s="97"/>
      <c r="P71" s="97"/>
    </row>
    <row r="72" spans="2:16" x14ac:dyDescent="0.3">
      <c r="B72" s="112"/>
      <c r="D72" s="95" t="s">
        <v>113</v>
      </c>
      <c r="E72" s="111"/>
      <c r="F72" s="111"/>
      <c r="G72" s="111"/>
      <c r="H72" s="134"/>
      <c r="I72" s="135"/>
      <c r="K72" s="136"/>
      <c r="L72" s="97"/>
      <c r="M72" s="97"/>
      <c r="N72" s="97"/>
      <c r="O72" s="97"/>
      <c r="P72" s="97"/>
    </row>
    <row r="73" spans="2:16" x14ac:dyDescent="0.3">
      <c r="B73" s="112" t="s">
        <v>76</v>
      </c>
      <c r="D73" s="136">
        <f>(SUM(H51:H68))/(1-E73-E74)</f>
        <v>5510.5431177446117</v>
      </c>
      <c r="E73" s="352">
        <f>N18</f>
        <v>6.3E-3</v>
      </c>
      <c r="H73" s="116">
        <f>D73*E73</f>
        <v>34.716421641791051</v>
      </c>
      <c r="I73" s="136"/>
      <c r="K73" s="378"/>
      <c r="L73" s="97"/>
      <c r="M73" s="97"/>
      <c r="N73" s="97"/>
      <c r="O73" s="97"/>
      <c r="P73" s="97"/>
    </row>
    <row r="74" spans="2:16" x14ac:dyDescent="0.3">
      <c r="B74" s="112" t="s">
        <v>56</v>
      </c>
      <c r="D74" s="136">
        <f>D73</f>
        <v>5510.5431177446117</v>
      </c>
      <c r="E74" s="352">
        <f>N19</f>
        <v>2.8899999999999999E-2</v>
      </c>
      <c r="H74" s="116">
        <f>D74*E74</f>
        <v>159.25469610281928</v>
      </c>
      <c r="I74" s="136"/>
      <c r="L74" s="97"/>
      <c r="M74" s="97"/>
      <c r="N74" s="97"/>
      <c r="O74" s="97"/>
      <c r="P74" s="97"/>
    </row>
    <row r="75" spans="2:16" x14ac:dyDescent="0.3">
      <c r="B75" s="112" t="s">
        <v>77</v>
      </c>
      <c r="D75" s="307">
        <f>IF((E75=17%),(D73/(1-E75)),D85)</f>
        <v>1913.3830269946568</v>
      </c>
      <c r="E75" s="150">
        <f>I18</f>
        <v>0.12</v>
      </c>
      <c r="H75" s="116">
        <f>D75*E75</f>
        <v>229.6059632393588</v>
      </c>
      <c r="I75" s="136"/>
      <c r="L75" s="97"/>
      <c r="M75" s="97"/>
      <c r="N75" s="97"/>
      <c r="O75" s="97"/>
      <c r="P75" s="97"/>
    </row>
    <row r="76" spans="2:16" x14ac:dyDescent="0.3">
      <c r="B76" s="126"/>
      <c r="C76" s="127"/>
      <c r="D76" s="127"/>
      <c r="E76" s="127"/>
      <c r="F76" s="127"/>
      <c r="G76" s="127"/>
      <c r="H76" s="137"/>
    </row>
    <row r="77" spans="2:16" x14ac:dyDescent="0.3">
      <c r="B77" s="366" t="s">
        <v>78</v>
      </c>
      <c r="C77" s="367"/>
      <c r="D77" s="368">
        <f>D51+D52</f>
        <v>10359</v>
      </c>
      <c r="E77" s="369">
        <f>IF(AND($B$14&lt;$F$2,$E$14&lt;$F$2),C8,IF($B$14&lt;$F$2,I8,F8))</f>
        <v>1.8774721494831901E-4</v>
      </c>
      <c r="F77" s="369">
        <f>IF(AND($B$14&lt;$F$2,$E$14&lt;$F$2),D8,IF($B$14&lt;$F$2,J8,G8))</f>
        <v>-4.4031307414479802E-3</v>
      </c>
      <c r="G77" s="367"/>
      <c r="H77" s="366">
        <f>D77*(E77+F77)+((D52*(E77+F77))*(-H46))</f>
        <v>-28.25402962471663</v>
      </c>
    </row>
    <row r="78" spans="2:16" x14ac:dyDescent="0.3">
      <c r="B78" s="151" t="s">
        <v>123</v>
      </c>
      <c r="C78" s="152"/>
      <c r="D78" s="152"/>
      <c r="E78" s="152"/>
      <c r="F78" s="152"/>
      <c r="G78" s="152"/>
      <c r="H78" s="153">
        <f>H53+H65</f>
        <v>-2900.2980000000002</v>
      </c>
      <c r="I78" s="96" t="s">
        <v>115</v>
      </c>
      <c r="J78" s="154"/>
    </row>
    <row r="81" spans="1:16" x14ac:dyDescent="0.3">
      <c r="B81" s="99" t="s">
        <v>138</v>
      </c>
      <c r="M81" s="103"/>
    </row>
    <row r="82" spans="1:16" x14ac:dyDescent="0.3">
      <c r="B82" s="155"/>
      <c r="C82" s="155"/>
      <c r="D82" s="158" t="s">
        <v>102</v>
      </c>
      <c r="F82" s="158"/>
    </row>
    <row r="83" spans="1:16" x14ac:dyDescent="0.3">
      <c r="B83" s="159" t="s">
        <v>54</v>
      </c>
      <c r="C83" s="24">
        <f>E73</f>
        <v>6.3E-3</v>
      </c>
      <c r="D83" s="160">
        <f>SUM(H51:H68)/(1-C83-C84)</f>
        <v>5510.5431177446117</v>
      </c>
      <c r="E83" s="100" t="s">
        <v>103</v>
      </c>
      <c r="F83" s="24">
        <f>C83</f>
        <v>6.3E-3</v>
      </c>
      <c r="G83" s="161">
        <f>D83*F83</f>
        <v>34.716421641791051</v>
      </c>
    </row>
    <row r="84" spans="1:16" x14ac:dyDescent="0.3">
      <c r="B84" s="159" t="s">
        <v>56</v>
      </c>
      <c r="C84" s="24">
        <f>E74</f>
        <v>2.8899999999999999E-2</v>
      </c>
      <c r="D84" s="160">
        <f>D83</f>
        <v>5510.5431177446117</v>
      </c>
      <c r="E84" s="100" t="s">
        <v>103</v>
      </c>
      <c r="F84" s="24">
        <f>C84</f>
        <v>2.8899999999999999E-2</v>
      </c>
      <c r="G84" s="161">
        <f>D84*F84</f>
        <v>159.25469610281928</v>
      </c>
    </row>
    <row r="85" spans="1:16" x14ac:dyDescent="0.3">
      <c r="A85" s="221" t="s">
        <v>104</v>
      </c>
      <c r="B85" s="159" t="s">
        <v>77</v>
      </c>
      <c r="C85" s="25">
        <v>0.04</v>
      </c>
      <c r="D85" s="162">
        <f>H85/F85*C85</f>
        <v>1913.3830269946568</v>
      </c>
      <c r="E85" s="100" t="s">
        <v>103</v>
      </c>
      <c r="F85" s="26">
        <v>0.12</v>
      </c>
      <c r="G85" s="161">
        <f>D85*F85</f>
        <v>229.6059632393588</v>
      </c>
      <c r="H85" s="161">
        <f>((SUM(H51:H68))/(1-F83-F84)/(1-(C85)))</f>
        <v>5740.1490809839706</v>
      </c>
      <c r="I85" s="309">
        <f>H85*C85</f>
        <v>229.60596323935883</v>
      </c>
    </row>
    <row r="86" spans="1:16" x14ac:dyDescent="0.3">
      <c r="B86" s="155"/>
      <c r="C86" s="155"/>
      <c r="D86" s="155"/>
      <c r="E86" s="161">
        <f>(O75)/(1-C83-C84-C85)</f>
        <v>0</v>
      </c>
      <c r="F86" s="156"/>
      <c r="G86" s="156"/>
      <c r="H86" s="155"/>
      <c r="I86" s="155"/>
      <c r="J86" s="157"/>
      <c r="K86" s="157"/>
      <c r="L86" s="157"/>
      <c r="M86" s="158"/>
      <c r="N86" s="158"/>
      <c r="O86" s="163"/>
    </row>
    <row r="88" spans="1:16" x14ac:dyDescent="0.3">
      <c r="C88" s="97"/>
      <c r="D88" s="164" t="s">
        <v>105</v>
      </c>
      <c r="E88" s="165" t="s">
        <v>106</v>
      </c>
      <c r="F88" s="166"/>
      <c r="G88" s="97" t="s">
        <v>117</v>
      </c>
      <c r="H88" s="167">
        <f>H85/F85*C85</f>
        <v>1913.3830269946568</v>
      </c>
    </row>
    <row r="89" spans="1:16" x14ac:dyDescent="0.3">
      <c r="C89" s="97"/>
      <c r="D89" s="97"/>
      <c r="E89" s="97" t="s">
        <v>107</v>
      </c>
      <c r="F89" s="97"/>
      <c r="G89" s="97"/>
      <c r="H89" s="97"/>
      <c r="J89" s="97"/>
    </row>
    <row r="90" spans="1:16" x14ac:dyDescent="0.3">
      <c r="L90" s="97"/>
      <c r="M90" s="97"/>
      <c r="N90" s="97"/>
      <c r="O90" s="97"/>
      <c r="P90" s="97"/>
    </row>
    <row r="92" spans="1:16" x14ac:dyDescent="0.3">
      <c r="B92" s="138" t="s">
        <v>79</v>
      </c>
      <c r="D92" s="111"/>
      <c r="E92" s="111"/>
      <c r="F92" s="111"/>
      <c r="G92" s="111"/>
    </row>
    <row r="93" spans="1:16" x14ac:dyDescent="0.3">
      <c r="B93" s="139"/>
      <c r="C93" s="140" t="s">
        <v>71</v>
      </c>
    </row>
    <row r="94" spans="1:16" x14ac:dyDescent="0.3">
      <c r="B94" s="139" t="s">
        <v>80</v>
      </c>
      <c r="C94" s="141">
        <f>(SUM(F18:F25)-O18-O19-J32)*IF($B$14&lt;$F$2,D134,D106)</f>
        <v>2405.558316092196</v>
      </c>
    </row>
    <row r="95" spans="1:16" x14ac:dyDescent="0.3">
      <c r="B95" s="139" t="s">
        <v>81</v>
      </c>
      <c r="C95" s="141">
        <f>(SUM(F18:F25)-O18-O19-J32)*IF($B$14&lt;$F$2,F134,F106)</f>
        <v>1462.1058527983364</v>
      </c>
      <c r="E95" s="309"/>
    </row>
    <row r="96" spans="1:16" x14ac:dyDescent="0.3">
      <c r="B96" s="139" t="s">
        <v>82</v>
      </c>
      <c r="C96" s="141">
        <f>(SUM(F18:F25)-O18-O19-J32)*IF($B$14&lt;$F$2,E134,E106)</f>
        <v>393.21053397323101</v>
      </c>
    </row>
    <row r="97" spans="2:7" x14ac:dyDescent="0.3">
      <c r="B97" s="139" t="s">
        <v>83</v>
      </c>
      <c r="C97" s="141">
        <f>(SUM(F18:F25)-O18-O19-J32)*IF($B$14&lt;$F$2,G134,G106)</f>
        <v>1055.6972928866521</v>
      </c>
    </row>
    <row r="98" spans="2:7" x14ac:dyDescent="0.3">
      <c r="B98" s="139" t="s">
        <v>84</v>
      </c>
      <c r="C98" s="141">
        <f>O18+O19+J32</f>
        <v>423.57800424958543</v>
      </c>
    </row>
    <row r="99" spans="2:7" x14ac:dyDescent="0.3">
      <c r="B99" s="143" t="s">
        <v>85</v>
      </c>
      <c r="C99" s="144">
        <f>SUM(C94:C98)</f>
        <v>5740.1500000000005</v>
      </c>
    </row>
    <row r="101" spans="2:7" x14ac:dyDescent="0.3">
      <c r="B101" s="109">
        <f>'Fatura B1 (Res) OK'!$B$68</f>
        <v>2024</v>
      </c>
      <c r="C101" s="109"/>
      <c r="D101" s="109" t="str">
        <f>'Fatura B1 (Res) OK'!$D$68</f>
        <v>Energia</v>
      </c>
      <c r="E101" s="109" t="str">
        <f>'Fatura B1 (Res) OK'!$E$68</f>
        <v>Transmissão</v>
      </c>
      <c r="F101" s="109" t="str">
        <f>'Fatura B1 (Res) OK'!$F$68</f>
        <v>Distribuição</v>
      </c>
      <c r="G101" s="109" t="str">
        <f>'Fatura B1 (Res) OK'!$G$68</f>
        <v>Setoriais</v>
      </c>
    </row>
    <row r="102" spans="2:7" x14ac:dyDescent="0.3">
      <c r="B102" s="109" t="str">
        <f>'Fatura B1 (Res) OK'!$B$69</f>
        <v>Grupo B</v>
      </c>
      <c r="C102" s="109"/>
      <c r="D102" s="109" t="str">
        <f>'Fatura B1 (Res) OK'!$D$69</f>
        <v>%</v>
      </c>
      <c r="E102" s="109" t="str">
        <f>'Fatura B1 (Res) OK'!$E$69</f>
        <v>%</v>
      </c>
      <c r="F102" s="109" t="str">
        <f>'Fatura B1 (Res) OK'!$F$69</f>
        <v>%</v>
      </c>
      <c r="G102" s="109" t="str">
        <f>'Fatura B1 (Res) OK'!$G$69</f>
        <v>%</v>
      </c>
    </row>
    <row r="103" spans="2:7" x14ac:dyDescent="0.3">
      <c r="B103" s="109"/>
      <c r="C103" s="109"/>
      <c r="D103" s="109"/>
      <c r="E103" s="109"/>
      <c r="F103" s="109"/>
      <c r="G103" s="109"/>
    </row>
    <row r="104" spans="2:7" x14ac:dyDescent="0.3">
      <c r="B104" s="109" t="str">
        <f>'Fatura B1 (Res) OK'!$B$71</f>
        <v>B1 - Residencial</v>
      </c>
      <c r="C104" s="109"/>
      <c r="D104" s="145">
        <f>'Fatura B1 (Res) OK'!$D$71</f>
        <v>0.45246416638672077</v>
      </c>
      <c r="E104" s="145">
        <f>'Fatura B1 (Res) OK'!$E$71</f>
        <v>7.39594111182032E-2</v>
      </c>
      <c r="F104" s="145">
        <f>'Fatura B1 (Res) OK'!$F$71</f>
        <v>0.27500913257019954</v>
      </c>
      <c r="G104" s="145">
        <f>'Fatura B1 (Res) OK'!$G$71</f>
        <v>0.19856728992487654</v>
      </c>
    </row>
    <row r="105" spans="2:7" x14ac:dyDescent="0.3">
      <c r="B105" s="109" t="str">
        <f>'Fatura B1 (Res) OK'!$B$72</f>
        <v>B1 - Residencial Baixa Renda</v>
      </c>
      <c r="C105" s="109"/>
      <c r="D105" s="145">
        <f>'Fatura B1 (Res) OK'!$D$72</f>
        <v>0.53149575868436638</v>
      </c>
      <c r="E105" s="145">
        <f>'Fatura B1 (Res) OK'!$E$72</f>
        <v>8.6877848555460851E-2</v>
      </c>
      <c r="F105" s="145">
        <f>'Fatura B1 (Res) OK'!$F$72</f>
        <v>0.32304478104372042</v>
      </c>
      <c r="G105" s="145">
        <f>'Fatura B1 (Res) OK'!$G$72</f>
        <v>5.8581611716452382E-2</v>
      </c>
    </row>
    <row r="106" spans="2:7" x14ac:dyDescent="0.3">
      <c r="B106" s="109" t="str">
        <f>'Fatura B1 (Res) OK'!$B$73</f>
        <v>B2 - Rural</v>
      </c>
      <c r="C106" s="109"/>
      <c r="D106" s="145">
        <f>'Fatura B1 (Res) OK'!$D$73</f>
        <v>0.45246416638672077</v>
      </c>
      <c r="E106" s="145">
        <f>'Fatura B1 (Res) OK'!$E$73</f>
        <v>7.39594111182032E-2</v>
      </c>
      <c r="F106" s="145">
        <f>'Fatura B1 (Res) OK'!$F$73</f>
        <v>0.27500913257019954</v>
      </c>
      <c r="G106" s="145">
        <f>'Fatura B1 (Res) OK'!$G$73</f>
        <v>0.19856728992487654</v>
      </c>
    </row>
    <row r="107" spans="2:7" x14ac:dyDescent="0.3">
      <c r="B107" s="109" t="str">
        <f>'Fatura B1 (Res) OK'!$B$74</f>
        <v>B2 - Cooperativa Eletrificação Rural</v>
      </c>
      <c r="C107" s="109"/>
      <c r="D107" s="145">
        <f>'Fatura B1 (Res) OK'!$D$74</f>
        <v>0.45246416638672077</v>
      </c>
      <c r="E107" s="145">
        <f>'Fatura B1 (Res) OK'!$E$74</f>
        <v>7.39594111182032E-2</v>
      </c>
      <c r="F107" s="145">
        <f>'Fatura B1 (Res) OK'!$F$74</f>
        <v>0.27500913257019954</v>
      </c>
      <c r="G107" s="145">
        <f>'Fatura B1 (Res) OK'!$G$74</f>
        <v>0.19856728992487654</v>
      </c>
    </row>
    <row r="108" spans="2:7" x14ac:dyDescent="0.3">
      <c r="B108" s="109" t="str">
        <f>'Fatura B1 (Res) OK'!$B$75</f>
        <v>B2 - Serviço de Irrigação</v>
      </c>
      <c r="C108" s="109"/>
      <c r="D108" s="145">
        <f>'Fatura B1 (Res) OK'!$D$75</f>
        <v>0.45246416638672077</v>
      </c>
      <c r="E108" s="145">
        <f>'Fatura B1 (Res) OK'!$E$75</f>
        <v>7.39594111182032E-2</v>
      </c>
      <c r="F108" s="145">
        <f>'Fatura B1 (Res) OK'!$F$75</f>
        <v>0.27500913257019954</v>
      </c>
      <c r="G108" s="145">
        <f>'Fatura B1 (Res) OK'!$G$75</f>
        <v>0.19856728992487654</v>
      </c>
    </row>
    <row r="109" spans="2:7" x14ac:dyDescent="0.3">
      <c r="B109" s="109" t="str">
        <f>'Fatura B1 (Res) OK'!$B$76</f>
        <v>B3 - Demais Classes</v>
      </c>
      <c r="C109" s="109"/>
      <c r="D109" s="145">
        <f>'Fatura B1 (Res) OK'!$D$76</f>
        <v>0.45246416638672077</v>
      </c>
      <c r="E109" s="145">
        <f>'Fatura B1 (Res) OK'!$E$76</f>
        <v>7.39594111182032E-2</v>
      </c>
      <c r="F109" s="145">
        <f>'Fatura B1 (Res) OK'!$F$76</f>
        <v>0.27500913257019954</v>
      </c>
      <c r="G109" s="145">
        <f>'Fatura B1 (Res) OK'!$G$76</f>
        <v>0.19856728992487654</v>
      </c>
    </row>
    <row r="110" spans="2:7" x14ac:dyDescent="0.3">
      <c r="B110" s="109" t="str">
        <f>'Fatura B1 (Res) OK'!$B$77</f>
        <v>B4 - Iluminação Pública</v>
      </c>
      <c r="C110" s="109"/>
      <c r="D110" s="145">
        <f>'Fatura B1 (Res) OK'!$D$77</f>
        <v>0.45246416638672071</v>
      </c>
      <c r="E110" s="145">
        <f>'Fatura B1 (Res) OK'!$E$77</f>
        <v>7.3959411118203186E-2</v>
      </c>
      <c r="F110" s="145">
        <f>'Fatura B1 (Res) OK'!$F$77</f>
        <v>0.27500913257019949</v>
      </c>
      <c r="G110" s="145">
        <f>'Fatura B1 (Res) OK'!$G$77</f>
        <v>0.19856728992487654</v>
      </c>
    </row>
    <row r="111" spans="2:7" x14ac:dyDescent="0.3">
      <c r="B111" s="109" t="str">
        <f>'Fatura B1 (Res) OK'!$B$78</f>
        <v>B4a - Rede de Distribuição</v>
      </c>
      <c r="C111" s="109"/>
      <c r="D111" s="145">
        <f>'Fatura B1 (Res) OK'!$D$78</f>
        <v>0.45246416638672071</v>
      </c>
      <c r="E111" s="145">
        <f>'Fatura B1 (Res) OK'!$E$78</f>
        <v>7.3959411118203186E-2</v>
      </c>
      <c r="F111" s="145">
        <f>'Fatura B1 (Res) OK'!$F$78</f>
        <v>0.27500913257019949</v>
      </c>
      <c r="G111" s="145">
        <f>'Fatura B1 (Res) OK'!$G$78</f>
        <v>0.19856728992487654</v>
      </c>
    </row>
    <row r="112" spans="2:7" x14ac:dyDescent="0.3">
      <c r="B112" s="109" t="str">
        <f>'Fatura B1 (Res) OK'!$B$79</f>
        <v>B4b - Bulbo de Lâmpada</v>
      </c>
      <c r="C112" s="109"/>
      <c r="D112" s="145">
        <f>'Fatura B1 (Res) OK'!$D$79</f>
        <v>0.45246416638672071</v>
      </c>
      <c r="E112" s="145">
        <f>'Fatura B1 (Res) OK'!$E$79</f>
        <v>7.39594111182032E-2</v>
      </c>
      <c r="F112" s="145">
        <f>'Fatura B1 (Res) OK'!$F$79</f>
        <v>0.27500913257019954</v>
      </c>
      <c r="G112" s="145">
        <f>'Fatura B1 (Res) OK'!$G$79</f>
        <v>0.19856728992487657</v>
      </c>
    </row>
    <row r="113" spans="2:7" x14ac:dyDescent="0.3">
      <c r="B113" s="138"/>
      <c r="C113" s="138"/>
      <c r="D113" s="138"/>
      <c r="E113" s="138"/>
      <c r="F113" s="138"/>
      <c r="G113" s="138"/>
    </row>
    <row r="114" spans="2:7" x14ac:dyDescent="0.3">
      <c r="B114" s="138"/>
      <c r="C114" s="138"/>
      <c r="D114" s="138"/>
      <c r="E114" s="138"/>
      <c r="F114" s="138"/>
      <c r="G114" s="138"/>
    </row>
    <row r="115" spans="2:7" x14ac:dyDescent="0.3">
      <c r="B115" s="138">
        <f>'Fatura B1 (Res) OK'!$B$82</f>
        <v>2023</v>
      </c>
      <c r="C115" s="138"/>
      <c r="D115" s="109" t="str">
        <f>'Fatura B1 (Res) OK'!$D$68</f>
        <v>Energia</v>
      </c>
      <c r="E115" s="109" t="str">
        <f>'Fatura B1 (Res) OK'!$E$68</f>
        <v>Transmissão</v>
      </c>
      <c r="F115" s="109" t="str">
        <f>'Fatura B1 (Res) OK'!$F$68</f>
        <v>Distribuição</v>
      </c>
      <c r="G115" s="109" t="str">
        <f>'Fatura B1 (Res) OK'!$G$68</f>
        <v>Setoriais</v>
      </c>
    </row>
    <row r="116" spans="2:7" x14ac:dyDescent="0.3">
      <c r="B116" s="138" t="str">
        <f>'Fatura B1 (Res) OK'!$B$83</f>
        <v>Grupo B</v>
      </c>
      <c r="C116" s="138"/>
      <c r="D116" s="109" t="str">
        <f>'Fatura B1 (Res) OK'!$D$69</f>
        <v>%</v>
      </c>
      <c r="E116" s="109" t="str">
        <f>'Fatura B1 (Res) OK'!$E$69</f>
        <v>%</v>
      </c>
      <c r="F116" s="109" t="str">
        <f>'Fatura B1 (Res) OK'!$F$69</f>
        <v>%</v>
      </c>
      <c r="G116" s="109" t="str">
        <f>'Fatura B1 (Res) OK'!$G$69</f>
        <v>%</v>
      </c>
    </row>
    <row r="117" spans="2:7" x14ac:dyDescent="0.3">
      <c r="B117" s="109"/>
      <c r="C117" s="109"/>
      <c r="D117" s="109"/>
      <c r="E117" s="109"/>
      <c r="F117" s="109"/>
      <c r="G117" s="109"/>
    </row>
    <row r="118" spans="2:7" x14ac:dyDescent="0.3">
      <c r="B118" s="109" t="str">
        <f>'Fatura B1 (Res) OK'!$B$85</f>
        <v>B1 - Residencial</v>
      </c>
      <c r="C118" s="109"/>
      <c r="D118" s="145">
        <f>'Fatura B1 (Res) OK'!$D$85</f>
        <v>0.43939696077133034</v>
      </c>
      <c r="E118" s="145">
        <f>'Fatura B1 (Res) OK'!$E$85</f>
        <v>9.2697585625348772E-2</v>
      </c>
      <c r="F118" s="145">
        <f>'Fatura B1 (Res) OK'!$F$85</f>
        <v>0.25285207888477268</v>
      </c>
      <c r="G118" s="145">
        <f>'Fatura B1 (Res) OK'!$G$85</f>
        <v>0.21506308252114117</v>
      </c>
    </row>
    <row r="119" spans="2:7" x14ac:dyDescent="0.3">
      <c r="B119" s="109" t="str">
        <f>'Fatura B1 (Res) OK'!$B$86</f>
        <v>B1 - Residencial Baixa Renda</v>
      </c>
      <c r="C119" s="109"/>
      <c r="D119" s="145">
        <f>'Fatura B1 (Res) OK'!$D$86</f>
        <v>0.52691619996872485</v>
      </c>
      <c r="E119" s="145">
        <f>'Fatura B1 (Res) OK'!$E$86</f>
        <v>0.11116112291319068</v>
      </c>
      <c r="F119" s="145">
        <f>'Fatura B1 (Res) OK'!$F$86</f>
        <v>0.30321524374287334</v>
      </c>
      <c r="G119" s="145">
        <f>'Fatura B1 (Res) OK'!$G$86</f>
        <v>5.8707433375211129E-2</v>
      </c>
    </row>
    <row r="120" spans="2:7" x14ac:dyDescent="0.3">
      <c r="B120" s="109" t="str">
        <f>'Fatura B1 (Res) OK'!$B$87</f>
        <v>B2 - Rural</v>
      </c>
      <c r="C120" s="109"/>
      <c r="D120" s="145">
        <f>'Fatura B1 (Res) OK'!$D$87</f>
        <v>0.43939300245552615</v>
      </c>
      <c r="E120" s="145">
        <f>'Fatura B1 (Res) OK'!$E$87</f>
        <v>9.2696750557401245E-2</v>
      </c>
      <c r="F120" s="145">
        <f>'Fatura B1 (Res) OK'!$F$87</f>
        <v>0.25284980106205335</v>
      </c>
      <c r="G120" s="145">
        <f>'Fatura B1 (Res) OK'!$G$87</f>
        <v>0.21506044592501908</v>
      </c>
    </row>
    <row r="121" spans="2:7" x14ac:dyDescent="0.3">
      <c r="B121" s="109" t="str">
        <f>'Fatura B1 (Res) OK'!$B$88</f>
        <v>B2 - Cooperativa Eletrificação Rural</v>
      </c>
      <c r="C121" s="109"/>
      <c r="D121" s="145">
        <f>'Fatura B1 (Res) OK'!$D$88</f>
        <v>0.43939300245552615</v>
      </c>
      <c r="E121" s="145">
        <f>'Fatura B1 (Res) OK'!$E$88</f>
        <v>9.2696750557401245E-2</v>
      </c>
      <c r="F121" s="145">
        <f>'Fatura B1 (Res) OK'!$F$88</f>
        <v>0.25284980106205335</v>
      </c>
      <c r="G121" s="145">
        <f>'Fatura B1 (Res) OK'!$G$88</f>
        <v>0.21506044592501908</v>
      </c>
    </row>
    <row r="122" spans="2:7" x14ac:dyDescent="0.3">
      <c r="B122" s="109" t="str">
        <f>'Fatura B1 (Res) OK'!$B$89</f>
        <v>B2 - Serviço de Irrigação</v>
      </c>
      <c r="C122" s="109"/>
      <c r="D122" s="145">
        <f>'Fatura B1 (Res) OK'!$D$89</f>
        <v>0.43939300245552615</v>
      </c>
      <c r="E122" s="145">
        <f>'Fatura B1 (Res) OK'!$E$89</f>
        <v>9.2696750557401328E-2</v>
      </c>
      <c r="F122" s="145">
        <f>'Fatura B1 (Res) OK'!$F$89</f>
        <v>0.25284980106205335</v>
      </c>
      <c r="G122" s="145">
        <f>'Fatura B1 (Res) OK'!$G$89</f>
        <v>0.21506044592501908</v>
      </c>
    </row>
    <row r="123" spans="2:7" x14ac:dyDescent="0.3">
      <c r="B123" s="109" t="str">
        <f>'Fatura B1 (Res) OK'!$B$90</f>
        <v>B3 - Demais Classes</v>
      </c>
      <c r="C123" s="109"/>
      <c r="D123" s="145">
        <f>'Fatura B1 (Res) OK'!$D$90</f>
        <v>0.43939300245552615</v>
      </c>
      <c r="E123" s="145">
        <f>'Fatura B1 (Res) OK'!$E$90</f>
        <v>9.2696750557401328E-2</v>
      </c>
      <c r="F123" s="145">
        <f>'Fatura B1 (Res) OK'!$F$90</f>
        <v>0.25284980106205335</v>
      </c>
      <c r="G123" s="145">
        <f>'Fatura B1 (Res) OK'!$G$90</f>
        <v>0.21506044592501908</v>
      </c>
    </row>
    <row r="124" spans="2:7" x14ac:dyDescent="0.3">
      <c r="B124" s="109" t="str">
        <f>'Fatura B1 (Res) OK'!$B$91</f>
        <v>B4 - Iluminação Pública</v>
      </c>
      <c r="C124" s="109"/>
      <c r="D124" s="145">
        <f>'Fatura B1 (Res) OK'!$D$91</f>
        <v>0</v>
      </c>
      <c r="E124" s="145">
        <f>'Fatura B1 (Res) OK'!$E$91</f>
        <v>0</v>
      </c>
      <c r="F124" s="145">
        <f>'Fatura B1 (Res) OK'!$F$91</f>
        <v>0</v>
      </c>
      <c r="G124" s="145">
        <f>'Fatura B1 (Res) OK'!$G$91</f>
        <v>0</v>
      </c>
    </row>
    <row r="125" spans="2:7" x14ac:dyDescent="0.3">
      <c r="B125" s="109" t="str">
        <f>'Fatura B1 (Res) OK'!$B$92</f>
        <v>B4a - Rede de Distribuição</v>
      </c>
      <c r="C125" s="109"/>
      <c r="D125" s="145">
        <f>'Fatura B1 (Res) OK'!$D$92</f>
        <v>0.43938945729126549</v>
      </c>
      <c r="E125" s="145">
        <f>'Fatura B1 (Res) OK'!$E$92</f>
        <v>9.2697336752737058E-2</v>
      </c>
      <c r="F125" s="145">
        <f>'Fatura B1 (Res) OK'!$F$92</f>
        <v>0.25285140003260154</v>
      </c>
      <c r="G125" s="145">
        <f>'Fatura B1 (Res) OK'!$G$92</f>
        <v>0.21506180592339591</v>
      </c>
    </row>
    <row r="126" spans="2:7" x14ac:dyDescent="0.3">
      <c r="B126" s="109" t="str">
        <f>'Fatura B1 (Res) OK'!$B$93</f>
        <v>B4b - Bulbo de Lâmpada</v>
      </c>
      <c r="C126" s="109"/>
      <c r="D126" s="145">
        <f>'Fatura B1 (Res) OK'!$D$93</f>
        <v>0.43938945729126527</v>
      </c>
      <c r="E126" s="145">
        <f>'Fatura B1 (Res) OK'!$E$93</f>
        <v>9.2697336752736934E-2</v>
      </c>
      <c r="F126" s="145">
        <f>'Fatura B1 (Res) OK'!$F$93</f>
        <v>0.25285140003260193</v>
      </c>
      <c r="G126" s="145">
        <f>'Fatura B1 (Res) OK'!$G$93</f>
        <v>0.21506180592339585</v>
      </c>
    </row>
    <row r="127" spans="2:7" x14ac:dyDescent="0.3">
      <c r="B127" s="138"/>
      <c r="C127" s="138"/>
      <c r="D127" s="138"/>
      <c r="E127" s="138"/>
      <c r="F127" s="138"/>
      <c r="G127" s="138"/>
    </row>
    <row r="128" spans="2:7" x14ac:dyDescent="0.3">
      <c r="B128" s="146" t="s">
        <v>98</v>
      </c>
      <c r="C128" s="138"/>
      <c r="D128" s="138"/>
      <c r="E128" s="138"/>
      <c r="F128" s="138"/>
      <c r="G128" s="138"/>
    </row>
    <row r="129" spans="2:7" x14ac:dyDescent="0.3">
      <c r="B129" s="109"/>
      <c r="C129" s="109"/>
      <c r="D129" s="109" t="s">
        <v>80</v>
      </c>
      <c r="E129" s="109" t="s">
        <v>82</v>
      </c>
      <c r="F129" s="109" t="s">
        <v>81</v>
      </c>
      <c r="G129" s="109" t="s">
        <v>86</v>
      </c>
    </row>
    <row r="130" spans="2:7" x14ac:dyDescent="0.3">
      <c r="B130" s="109" t="s">
        <v>87</v>
      </c>
      <c r="C130" s="109"/>
      <c r="D130" s="145" t="s">
        <v>88</v>
      </c>
      <c r="E130" s="145" t="s">
        <v>88</v>
      </c>
      <c r="F130" s="145" t="s">
        <v>88</v>
      </c>
      <c r="G130" s="145" t="s">
        <v>88</v>
      </c>
    </row>
    <row r="131" spans="2:7" x14ac:dyDescent="0.3">
      <c r="B131" s="109"/>
      <c r="C131" s="109"/>
      <c r="D131" s="145"/>
      <c r="E131" s="145"/>
      <c r="F131" s="145"/>
      <c r="G131" s="145"/>
    </row>
    <row r="132" spans="2:7" x14ac:dyDescent="0.3">
      <c r="B132" s="109" t="s">
        <v>89</v>
      </c>
      <c r="C132" s="109"/>
      <c r="D132" s="145">
        <f>((D118*$C$14)+(D104*$D$14))/($C$14+$D$14)</f>
        <v>0.45246416638672077</v>
      </c>
      <c r="E132" s="145">
        <f t="shared" ref="E132:G132" si="13">((E118*$C$14)+(E104*$D$14))/($C$14+$D$14)</f>
        <v>7.39594111182032E-2</v>
      </c>
      <c r="F132" s="145">
        <f t="shared" si="13"/>
        <v>0.27500913257019954</v>
      </c>
      <c r="G132" s="145">
        <f t="shared" si="13"/>
        <v>0.19856728992487654</v>
      </c>
    </row>
    <row r="133" spans="2:7" x14ac:dyDescent="0.3">
      <c r="B133" s="109" t="s">
        <v>90</v>
      </c>
      <c r="C133" s="109"/>
      <c r="D133" s="145">
        <f t="shared" ref="D133:G140" si="14">((D119*$C$14)+(D105*$D$14))/($C$14+$D$14)</f>
        <v>0.53149575868436638</v>
      </c>
      <c r="E133" s="145">
        <f t="shared" si="14"/>
        <v>8.6877848555460851E-2</v>
      </c>
      <c r="F133" s="145">
        <f t="shared" si="14"/>
        <v>0.32304478104372042</v>
      </c>
      <c r="G133" s="145">
        <f t="shared" si="14"/>
        <v>5.8581611716452382E-2</v>
      </c>
    </row>
    <row r="134" spans="2:7" x14ac:dyDescent="0.3">
      <c r="B134" s="109" t="s">
        <v>91</v>
      </c>
      <c r="C134" s="109"/>
      <c r="D134" s="145">
        <f t="shared" si="14"/>
        <v>0.45246416638672077</v>
      </c>
      <c r="E134" s="145">
        <f t="shared" si="14"/>
        <v>7.39594111182032E-2</v>
      </c>
      <c r="F134" s="145">
        <f t="shared" si="14"/>
        <v>0.27500913257019954</v>
      </c>
      <c r="G134" s="145">
        <f t="shared" si="14"/>
        <v>0.19856728992487654</v>
      </c>
    </row>
    <row r="135" spans="2:7" x14ac:dyDescent="0.3">
      <c r="B135" s="109" t="s">
        <v>92</v>
      </c>
      <c r="C135" s="109"/>
      <c r="D135" s="145">
        <f t="shared" si="14"/>
        <v>0.45246416638672077</v>
      </c>
      <c r="E135" s="145">
        <f t="shared" si="14"/>
        <v>7.39594111182032E-2</v>
      </c>
      <c r="F135" s="145">
        <f t="shared" si="14"/>
        <v>0.27500913257019954</v>
      </c>
      <c r="G135" s="145">
        <f t="shared" si="14"/>
        <v>0.19856728992487654</v>
      </c>
    </row>
    <row r="136" spans="2:7" x14ac:dyDescent="0.3">
      <c r="B136" s="109" t="s">
        <v>93</v>
      </c>
      <c r="C136" s="109"/>
      <c r="D136" s="145">
        <f t="shared" si="14"/>
        <v>0.45246416638672077</v>
      </c>
      <c r="E136" s="145">
        <f t="shared" si="14"/>
        <v>7.39594111182032E-2</v>
      </c>
      <c r="F136" s="145">
        <f t="shared" si="14"/>
        <v>0.27500913257019954</v>
      </c>
      <c r="G136" s="145">
        <f t="shared" si="14"/>
        <v>0.19856728992487654</v>
      </c>
    </row>
    <row r="137" spans="2:7" x14ac:dyDescent="0.3">
      <c r="B137" s="109" t="s">
        <v>94</v>
      </c>
      <c r="C137" s="109"/>
      <c r="D137" s="145">
        <f t="shared" si="14"/>
        <v>0.45246416638672077</v>
      </c>
      <c r="E137" s="145">
        <f t="shared" si="14"/>
        <v>7.39594111182032E-2</v>
      </c>
      <c r="F137" s="145">
        <f t="shared" si="14"/>
        <v>0.27500913257019954</v>
      </c>
      <c r="G137" s="145">
        <f t="shared" si="14"/>
        <v>0.19856728992487654</v>
      </c>
    </row>
    <row r="138" spans="2:7" x14ac:dyDescent="0.3">
      <c r="B138" s="109" t="s">
        <v>95</v>
      </c>
      <c r="C138" s="109"/>
      <c r="D138" s="145">
        <f t="shared" si="14"/>
        <v>0.45246416638672071</v>
      </c>
      <c r="E138" s="145">
        <f t="shared" si="14"/>
        <v>7.3959411118203186E-2</v>
      </c>
      <c r="F138" s="145">
        <f t="shared" si="14"/>
        <v>0.27500913257019949</v>
      </c>
      <c r="G138" s="145">
        <f t="shared" si="14"/>
        <v>0.19856728992487654</v>
      </c>
    </row>
    <row r="139" spans="2:7" x14ac:dyDescent="0.3">
      <c r="B139" s="109" t="s">
        <v>96</v>
      </c>
      <c r="C139" s="109"/>
      <c r="D139" s="145">
        <f t="shared" si="14"/>
        <v>0.45246416638672071</v>
      </c>
      <c r="E139" s="145">
        <f t="shared" si="14"/>
        <v>7.3959411118203186E-2</v>
      </c>
      <c r="F139" s="145">
        <f t="shared" si="14"/>
        <v>0.27500913257019949</v>
      </c>
      <c r="G139" s="145">
        <f t="shared" si="14"/>
        <v>0.19856728992487654</v>
      </c>
    </row>
    <row r="140" spans="2:7" x14ac:dyDescent="0.3">
      <c r="B140" s="109" t="s">
        <v>97</v>
      </c>
      <c r="C140" s="109"/>
      <c r="D140" s="145">
        <f t="shared" si="14"/>
        <v>0.45246416638672071</v>
      </c>
      <c r="E140" s="145">
        <f t="shared" si="14"/>
        <v>7.39594111182032E-2</v>
      </c>
      <c r="F140" s="145">
        <f t="shared" si="14"/>
        <v>0.27500913257019954</v>
      </c>
      <c r="G140" s="145">
        <f t="shared" si="14"/>
        <v>0.19856728992487657</v>
      </c>
    </row>
  </sheetData>
  <customSheetViews>
    <customSheetView guid="{D812A0C8-60A1-4775-A604-FC65C9DC40BF}" scale="60" showGridLines="0" topLeftCell="A2">
      <selection activeCell="G39" sqref="G39"/>
      <pageMargins left="0" right="0" top="0" bottom="0" header="0" footer="0"/>
      <pageSetup orientation="portrait" r:id="rId1"/>
    </customSheetView>
    <customSheetView guid="{8D3CE498-0ABB-4BB0-92D1-93DA2BDD5EDF}" scale="80" showGridLines="0" topLeftCell="A3">
      <selection activeCell="C8" sqref="C8:D8"/>
      <pageMargins left="0" right="0" top="0" bottom="0" header="0" footer="0"/>
      <pageSetup orientation="portrait" r:id="rId2"/>
    </customSheetView>
    <customSheetView guid="{455EF305-F4BF-4162-9D3A-67B1D57A792B}" scale="80" showGridLines="0" topLeftCell="A29">
      <selection activeCell="H53" sqref="H53"/>
      <pageMargins left="0" right="0" top="0" bottom="0" header="0" footer="0"/>
      <pageSetup orientation="portrait" r:id="rId3"/>
    </customSheetView>
    <customSheetView guid="{AED82DA2-4B0E-4368-BF7F-A78E16192BBB}" scale="80" showGridLines="0" topLeftCell="A15">
      <selection activeCell="B29" sqref="B29"/>
      <pageMargins left="0" right="0" top="0" bottom="0" header="0" footer="0"/>
      <pageSetup orientation="portrait" r:id="rId4"/>
    </customSheetView>
    <customSheetView guid="{8AD5A21B-3743-481B-8B5E-3FEE10EB7B2F}" scale="80" showGridLines="0">
      <selection activeCell="I36" sqref="I36"/>
      <pageMargins left="0" right="0" top="0" bottom="0" header="0" footer="0"/>
      <pageSetup orientation="portrait" r:id="rId5"/>
    </customSheetView>
  </customSheetViews>
  <mergeCells count="10">
    <mergeCell ref="Q4:Q5"/>
    <mergeCell ref="R4:T4"/>
    <mergeCell ref="U4:W4"/>
    <mergeCell ref="X4:Z4"/>
    <mergeCell ref="K11:L11"/>
    <mergeCell ref="B47:H47"/>
    <mergeCell ref="B4:B5"/>
    <mergeCell ref="C4:E4"/>
    <mergeCell ref="F4:H4"/>
    <mergeCell ref="I4:K4"/>
  </mergeCells>
  <conditionalFormatting sqref="K12:L12">
    <cfRule type="cellIs" dxfId="153" priority="1" operator="equal">
      <formula>"Escassez Hídrica"</formula>
    </cfRule>
    <cfRule type="cellIs" dxfId="152" priority="2" operator="equal">
      <formula>"VERDE"</formula>
    </cfRule>
    <cfRule type="cellIs" dxfId="151" priority="3" operator="equal">
      <formula>"BVM2"</formula>
    </cfRule>
    <cfRule type="cellIs" dxfId="150" priority="4" operator="equal">
      <formula>"BVM1"</formula>
    </cfRule>
    <cfRule type="cellIs" dxfId="149" priority="5" operator="equal">
      <formula>"BAM"</formula>
    </cfRule>
  </conditionalFormatting>
  <conditionalFormatting sqref="M3">
    <cfRule type="cellIs" dxfId="148" priority="24" operator="equal">
      <formula>"VERDE"</formula>
    </cfRule>
    <cfRule type="cellIs" dxfId="147" priority="25" operator="equal">
      <formula>"BVM2"</formula>
    </cfRule>
    <cfRule type="cellIs" dxfId="146" priority="26" operator="equal">
      <formula>"BVM1"</formula>
    </cfRule>
    <cfRule type="cellIs" dxfId="145" priority="27" operator="equal">
      <formula>"BAM"</formula>
    </cfRule>
  </conditionalFormatting>
  <conditionalFormatting sqref="M7:M8">
    <cfRule type="containsText" dxfId="144" priority="11" operator="containsText" text="Escassez Hídrica">
      <formula>NOT(ISERROR(SEARCH("Escassez Hídrica",M7)))</formula>
    </cfRule>
    <cfRule type="cellIs" dxfId="143" priority="12" operator="equal">
      <formula>"VERDE"</formula>
    </cfRule>
    <cfRule type="cellIs" dxfId="142" priority="13" operator="equal">
      <formula>"BVM2"</formula>
    </cfRule>
    <cfRule type="cellIs" dxfId="141" priority="14" operator="equal">
      <formula>"BVM1"</formula>
    </cfRule>
    <cfRule type="cellIs" dxfId="140" priority="15" operator="equal">
      <formula>"BAM"</formula>
    </cfRule>
  </conditionalFormatting>
  <dataValidations count="1">
    <dataValidation type="list" allowBlank="1" showInputMessage="1" showErrorMessage="1" sqref="K12:L12" xr:uid="{00000000-0002-0000-0500-000000000000}">
      <formula1>$M$3:$M$7</formula1>
    </dataValidation>
  </dataValidations>
  <pageMargins left="0.511811024" right="0.511811024" top="0.78740157499999996" bottom="0.78740157499999996" header="0.31496062000000002" footer="0.31496062000000002"/>
  <pageSetup orientation="portrait" r:id="rId6"/>
  <ignoredErrors>
    <ignoredError sqref="K20" formula="1"/>
  </ignoredErrors>
  <drawing r:id="rId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>
    <tabColor rgb="FF92D050"/>
  </sheetPr>
  <dimension ref="A1:Z147"/>
  <sheetViews>
    <sheetView showGridLines="0" zoomScale="80" zoomScaleNormal="80" workbookViewId="0">
      <selection activeCell="R13" sqref="R13"/>
    </sheetView>
  </sheetViews>
  <sheetFormatPr defaultColWidth="9.109375" defaultRowHeight="14.4" x14ac:dyDescent="0.3"/>
  <cols>
    <col min="1" max="1" width="5.44140625" style="1" customWidth="1"/>
    <col min="2" max="2" width="18.88671875" style="1" customWidth="1"/>
    <col min="3" max="3" width="11.6640625" style="1" customWidth="1"/>
    <col min="4" max="4" width="13.109375" style="1" customWidth="1"/>
    <col min="5" max="15" width="11.6640625" style="1" customWidth="1"/>
    <col min="16" max="16" width="12.6640625" style="1" customWidth="1"/>
    <col min="17" max="17" width="9.44140625" style="99" bestFit="1" customWidth="1"/>
    <col min="18" max="18" width="14.33203125" style="99" bestFit="1" customWidth="1"/>
    <col min="19" max="19" width="13.109375" style="99" bestFit="1" customWidth="1"/>
    <col min="20" max="20" width="11.33203125" style="99" bestFit="1" customWidth="1"/>
    <col min="21" max="21" width="12.109375" style="99" bestFit="1" customWidth="1"/>
    <col min="22" max="22" width="13.109375" style="99" bestFit="1" customWidth="1"/>
    <col min="23" max="23" width="11.33203125" style="99" bestFit="1" customWidth="1"/>
    <col min="24" max="24" width="12.109375" style="99" bestFit="1" customWidth="1"/>
    <col min="25" max="25" width="13.109375" style="99" bestFit="1" customWidth="1"/>
    <col min="26" max="26" width="11.33203125" style="99" bestFit="1" customWidth="1"/>
    <col min="27" max="16384" width="9.109375" style="1"/>
  </cols>
  <sheetData>
    <row r="1" spans="1:26" x14ac:dyDescent="0.3">
      <c r="A1" s="1" t="s">
        <v>0</v>
      </c>
      <c r="G1"/>
      <c r="H1"/>
      <c r="I1"/>
      <c r="J1"/>
      <c r="K1"/>
    </row>
    <row r="2" spans="1:26" ht="18" x14ac:dyDescent="0.3">
      <c r="B2" s="43" t="s">
        <v>139</v>
      </c>
      <c r="C2" s="99"/>
      <c r="D2" s="99"/>
      <c r="E2" s="102" t="s">
        <v>2</v>
      </c>
      <c r="F2" s="104">
        <f>'Fatura B1 (Res) OK'!$F$2</f>
        <v>45876</v>
      </c>
      <c r="G2" s="97"/>
      <c r="H2" s="97"/>
      <c r="I2" s="97"/>
      <c r="J2" s="97"/>
      <c r="K2" s="97"/>
      <c r="L2" s="99"/>
      <c r="M2" s="47" t="s">
        <v>3</v>
      </c>
      <c r="N2" s="47" t="s">
        <v>4</v>
      </c>
      <c r="O2" s="99"/>
      <c r="P2" s="99"/>
      <c r="Q2" s="308" t="s">
        <v>6</v>
      </c>
      <c r="R2" s="326"/>
    </row>
    <row r="3" spans="1:26" customFormat="1" x14ac:dyDescent="0.3">
      <c r="M3" s="93" t="s">
        <v>7</v>
      </c>
      <c r="N3" s="48">
        <v>0</v>
      </c>
      <c r="Q3" s="99"/>
      <c r="R3" s="99"/>
      <c r="S3" s="99"/>
      <c r="T3" s="99"/>
      <c r="U3" s="99"/>
      <c r="V3" s="99"/>
      <c r="W3" s="99"/>
      <c r="X3" s="99"/>
      <c r="Y3" s="99"/>
      <c r="Z3" s="99"/>
    </row>
    <row r="4" spans="1:26" s="99" customFormat="1" ht="15" customHeight="1" x14ac:dyDescent="0.3">
      <c r="B4" s="489" t="s">
        <v>140</v>
      </c>
      <c r="C4" s="481" t="str">
        <f>'Fatura B1 (Res) OK'!C4:E4</f>
        <v>TARIFA ANTIGA - REH 3370/2024</v>
      </c>
      <c r="D4" s="481"/>
      <c r="E4" s="481"/>
      <c r="F4" s="481" t="str">
        <f>'Fatura B1 (Res) OK'!F4:H4</f>
        <v>TARIFA NOVA - REH xxxx/2025</v>
      </c>
      <c r="G4" s="481"/>
      <c r="H4" s="481"/>
      <c r="I4" s="482" t="s">
        <v>11</v>
      </c>
      <c r="J4" s="482"/>
      <c r="K4" s="482"/>
      <c r="M4" s="229" t="str">
        <f>'Fatura B1 (Res) OK'!M4</f>
        <v>BAM</v>
      </c>
      <c r="N4" s="230">
        <f>'Fatura B1 (Res) OK'!$N$4</f>
        <v>1.8849999999999999E-2</v>
      </c>
      <c r="Q4" s="483" t="s">
        <v>8</v>
      </c>
      <c r="R4" s="478" t="str">
        <f>C4</f>
        <v>TARIFA ANTIGA - REH 3370/2024</v>
      </c>
      <c r="S4" s="479"/>
      <c r="T4" s="480"/>
      <c r="U4" s="478" t="str">
        <f>F4</f>
        <v>TARIFA NOVA - REH xxxx/2025</v>
      </c>
      <c r="V4" s="479"/>
      <c r="W4" s="480"/>
      <c r="X4" s="478" t="s">
        <v>11</v>
      </c>
      <c r="Y4" s="479"/>
      <c r="Z4" s="480"/>
    </row>
    <row r="5" spans="1:26" s="99" customFormat="1" x14ac:dyDescent="0.3">
      <c r="B5" s="490"/>
      <c r="C5" s="204" t="s">
        <v>13</v>
      </c>
      <c r="D5" s="204" t="s">
        <v>14</v>
      </c>
      <c r="E5" s="204" t="s">
        <v>15</v>
      </c>
      <c r="F5" s="204" t="s">
        <v>13</v>
      </c>
      <c r="G5" s="204" t="s">
        <v>14</v>
      </c>
      <c r="H5" s="204" t="s">
        <v>15</v>
      </c>
      <c r="I5" s="205" t="s">
        <v>13</v>
      </c>
      <c r="J5" s="205" t="s">
        <v>14</v>
      </c>
      <c r="K5" s="205" t="s">
        <v>15</v>
      </c>
      <c r="M5" s="231" t="str">
        <f>'Fatura B1 (Res) OK'!M5</f>
        <v>BVM1</v>
      </c>
      <c r="N5" s="232">
        <f>'Fatura B1 (Res) OK'!$N$5</f>
        <v>4.4630000000000003E-2</v>
      </c>
      <c r="Q5" s="484"/>
      <c r="R5" s="204" t="s">
        <v>17</v>
      </c>
      <c r="S5"/>
      <c r="T5"/>
      <c r="U5" s="204" t="s">
        <v>17</v>
      </c>
      <c r="V5"/>
      <c r="W5"/>
      <c r="X5" s="204" t="s">
        <v>17</v>
      </c>
      <c r="Y5"/>
      <c r="Z5"/>
    </row>
    <row r="6" spans="1:26" s="99" customFormat="1" x14ac:dyDescent="0.3">
      <c r="B6" s="207" t="s">
        <v>141</v>
      </c>
      <c r="C6" s="203">
        <f>'TABELA DE TARIFAS ANTIGAS'!G88/1000</f>
        <v>0.38351000000000002</v>
      </c>
      <c r="D6" s="203">
        <f>'TABELA DE TARIFAS ANTIGAS'!H88/1000</f>
        <v>0.30096000000000001</v>
      </c>
      <c r="E6" s="203">
        <f t="shared" ref="E6" si="0">C6+D6</f>
        <v>0.68447000000000002</v>
      </c>
      <c r="F6" s="203">
        <f>'TABELA DE TARIFAS NOVAS'!G88/1000</f>
        <v>0.46862999999999999</v>
      </c>
      <c r="G6" s="203">
        <f>'TABELA DE TARIFAS NOVAS'!H88/1000</f>
        <v>0.32068000000000002</v>
      </c>
      <c r="H6" s="203">
        <f t="shared" ref="H6:H7" si="1">F6+G6</f>
        <v>0.78930999999999996</v>
      </c>
      <c r="I6" s="203">
        <f>((C6*$C$13)+(F6*$D$13))/($D$13+$C$13)</f>
        <v>0.46862999999999999</v>
      </c>
      <c r="J6" s="203">
        <f>((D6*$C$13)+(G6*$D$13))/($D$13+$C$13)</f>
        <v>0.32068000000000002</v>
      </c>
      <c r="K6" s="206">
        <f t="shared" ref="K6:K7" si="2">I6+J6</f>
        <v>0.78930999999999996</v>
      </c>
      <c r="M6" s="39" t="str">
        <f>'Fatura B1 (Res) OK'!M6</f>
        <v>BVM2</v>
      </c>
      <c r="N6" s="40">
        <f>'Fatura B1 (Res) OK'!$N$6</f>
        <v>7.8770000000000007E-2</v>
      </c>
      <c r="Q6" s="207" t="str">
        <f>B6</f>
        <v>B3</v>
      </c>
      <c r="R6" s="203">
        <f>'FIO B'!H33/1000</f>
        <v>0.18823431351264014</v>
      </c>
      <c r="S6"/>
      <c r="T6"/>
      <c r="U6" s="203">
        <f>'FIO B'!K33/1000</f>
        <v>0.20383072193179136</v>
      </c>
      <c r="V6"/>
      <c r="W6"/>
      <c r="X6" s="203">
        <f>((R6*$C$13)+(U6*$D$13))/($D$13+$C$13)</f>
        <v>0.20383072193179136</v>
      </c>
      <c r="Y6"/>
      <c r="Z6"/>
    </row>
    <row r="7" spans="1:26" customFormat="1" x14ac:dyDescent="0.3">
      <c r="B7" s="370" t="s">
        <v>20</v>
      </c>
      <c r="C7" s="387">
        <v>1.7567285996534902E-4</v>
      </c>
      <c r="D7" s="393">
        <v>3.42973552660492E-3</v>
      </c>
      <c r="E7" s="206">
        <v>3.6054083865702689E-3</v>
      </c>
      <c r="F7" s="206">
        <f>T11</f>
        <v>1.8774721494831901E-4</v>
      </c>
      <c r="G7" s="206">
        <f>U11</f>
        <v>-4.4031307414479802E-3</v>
      </c>
      <c r="H7" s="206">
        <f t="shared" si="1"/>
        <v>-4.2153835264996612E-3</v>
      </c>
      <c r="I7" s="203">
        <f>((C7*$C$13)+(F7*$D$13))/($D$13+$C$13)</f>
        <v>1.8774721494831901E-4</v>
      </c>
      <c r="J7" s="203">
        <f>((D7*$C$13)+(G7*$D$13))/($D$13+$C$13)</f>
        <v>-4.4031307414479802E-3</v>
      </c>
      <c r="K7" s="206">
        <f t="shared" si="2"/>
        <v>-4.2153835264996612E-3</v>
      </c>
      <c r="M7" s="93" t="s">
        <v>21</v>
      </c>
      <c r="N7" s="305">
        <f>'Fatura B1 (Res) OK'!$N$7</f>
        <v>0.14199999999999999</v>
      </c>
    </row>
    <row r="8" spans="1:26" customFormat="1" x14ac:dyDescent="0.3">
      <c r="P8" s="99"/>
      <c r="Q8" s="99"/>
      <c r="R8" s="99"/>
      <c r="S8" s="99"/>
      <c r="T8" s="99"/>
      <c r="U8" s="99"/>
    </row>
    <row r="9" spans="1:26" x14ac:dyDescent="0.3">
      <c r="B9" s="131"/>
      <c r="C9" s="132"/>
      <c r="D9" s="209"/>
      <c r="E9" s="132"/>
      <c r="F9" s="132"/>
      <c r="G9" s="132"/>
      <c r="H9" s="210" t="s">
        <v>22</v>
      </c>
      <c r="I9" s="97"/>
      <c r="J9" s="99"/>
      <c r="K9" s="99"/>
      <c r="L9" s="102" t="s">
        <v>23</v>
      </c>
      <c r="M9" s="104">
        <f>EOMONTH(B13,0)+1</f>
        <v>46143</v>
      </c>
      <c r="P9"/>
      <c r="Q9"/>
      <c r="R9"/>
      <c r="S9"/>
      <c r="T9"/>
      <c r="U9"/>
      <c r="V9"/>
      <c r="W9"/>
      <c r="X9"/>
      <c r="Y9"/>
      <c r="Z9"/>
    </row>
    <row r="10" spans="1:26" x14ac:dyDescent="0.3">
      <c r="B10" s="211" t="s">
        <v>24</v>
      </c>
      <c r="C10" s="105">
        <v>129605</v>
      </c>
      <c r="D10" s="99"/>
      <c r="E10" s="97"/>
      <c r="F10" s="97"/>
      <c r="G10" s="97"/>
      <c r="H10" s="212">
        <f>E13</f>
        <v>46148</v>
      </c>
      <c r="J10" s="99"/>
      <c r="K10" s="485" t="s">
        <v>25</v>
      </c>
      <c r="L10" s="485"/>
      <c r="M10" s="99"/>
      <c r="P10" s="374" t="s">
        <v>26</v>
      </c>
      <c r="Q10" s="375"/>
      <c r="R10" s="371" t="s">
        <v>27</v>
      </c>
      <c r="S10" s="371" t="s">
        <v>28</v>
      </c>
      <c r="T10" s="371" t="s">
        <v>17</v>
      </c>
      <c r="U10" s="371" t="s">
        <v>29</v>
      </c>
      <c r="V10"/>
      <c r="W10"/>
      <c r="X10"/>
      <c r="Y10"/>
      <c r="Z10"/>
    </row>
    <row r="11" spans="1:26" x14ac:dyDescent="0.3">
      <c r="B11" s="112"/>
      <c r="C11" s="99"/>
      <c r="D11" s="99"/>
      <c r="E11" s="99"/>
      <c r="F11" s="99"/>
      <c r="G11" s="99"/>
      <c r="H11" s="213"/>
      <c r="J11" s="99"/>
      <c r="K11" s="93" t="str">
        <f>'Fatura B1 (Res) OK'!K11</f>
        <v>VERDE</v>
      </c>
      <c r="L11" s="93" t="str">
        <f>'Fatura B1 (Res) OK'!L11</f>
        <v>BAM</v>
      </c>
      <c r="M11" s="99"/>
      <c r="P11" s="376" t="s">
        <v>30</v>
      </c>
      <c r="Q11" s="377"/>
      <c r="R11" s="373"/>
      <c r="S11" s="373"/>
      <c r="T11" s="387">
        <f>0.187747214948319/1000</f>
        <v>1.8774721494831901E-4</v>
      </c>
      <c r="U11" s="393">
        <f>-4.40313074144798/1000</f>
        <v>-4.4031307414479802E-3</v>
      </c>
      <c r="V11" s="97"/>
      <c r="W11" s="97"/>
      <c r="X11" s="97"/>
      <c r="Y11" s="97"/>
      <c r="Z11" s="97"/>
    </row>
    <row r="12" spans="1:26" ht="41.4" x14ac:dyDescent="0.3">
      <c r="B12" s="94" t="s">
        <v>31</v>
      </c>
      <c r="C12" s="94" t="s">
        <v>32</v>
      </c>
      <c r="D12" s="94" t="s">
        <v>33</v>
      </c>
      <c r="E12" s="94" t="s">
        <v>34</v>
      </c>
      <c r="F12" s="97"/>
      <c r="G12" s="97"/>
      <c r="H12" s="214"/>
      <c r="I12" s="97"/>
      <c r="J12" s="94" t="s">
        <v>31</v>
      </c>
      <c r="K12" s="94" t="s">
        <v>32</v>
      </c>
      <c r="L12" s="94" t="s">
        <v>33</v>
      </c>
      <c r="M12" s="94" t="s">
        <v>34</v>
      </c>
    </row>
    <row r="13" spans="1:26" x14ac:dyDescent="0.3">
      <c r="A13" s="1" t="s">
        <v>0</v>
      </c>
      <c r="B13" s="227">
        <f>'Fatura B1 (Res) OK'!B13</f>
        <v>46119</v>
      </c>
      <c r="C13" s="106">
        <f>IF((F2-B13-1)&lt;0,0,(F2-B13-1))</f>
        <v>0</v>
      </c>
      <c r="D13" s="106">
        <f>E13-F2+1</f>
        <v>273</v>
      </c>
      <c r="E13" s="227">
        <f>'Fatura B1 (Res) OK'!E13</f>
        <v>46148</v>
      </c>
      <c r="F13" s="215"/>
      <c r="G13" s="215"/>
      <c r="H13" s="216"/>
      <c r="I13" s="97"/>
      <c r="J13" s="107">
        <f>B13</f>
        <v>46119</v>
      </c>
      <c r="K13" s="108">
        <f>IF((M9-J13-1)&lt;0,0,(M9-J13-1))</f>
        <v>23</v>
      </c>
      <c r="L13" s="108">
        <f>M13-M9+1</f>
        <v>6</v>
      </c>
      <c r="M13" s="107">
        <f>E13</f>
        <v>46148</v>
      </c>
    </row>
    <row r="14" spans="1:26" customFormat="1" x14ac:dyDescent="0.3">
      <c r="B14" s="99"/>
      <c r="C14" s="99"/>
      <c r="D14" s="99"/>
      <c r="E14" s="99"/>
      <c r="F14" s="99"/>
      <c r="G14" s="99"/>
      <c r="H14" s="99"/>
      <c r="J14" s="302"/>
      <c r="P14" s="302" t="s">
        <v>35</v>
      </c>
      <c r="Q14" s="97"/>
      <c r="R14" s="461">
        <v>1025061258</v>
      </c>
      <c r="S14" s="99"/>
      <c r="T14" s="99"/>
      <c r="U14" s="99"/>
      <c r="V14" s="99"/>
      <c r="W14" s="99"/>
      <c r="X14" s="99"/>
      <c r="Y14" s="99"/>
      <c r="Z14" s="99"/>
    </row>
    <row r="15" spans="1:26" customFormat="1" x14ac:dyDescent="0.3">
      <c r="B15" s="99"/>
      <c r="C15" s="99"/>
      <c r="D15" s="99"/>
      <c r="E15" s="99"/>
      <c r="F15" s="99"/>
      <c r="G15" s="99"/>
      <c r="H15" s="99"/>
      <c r="J15" s="302"/>
      <c r="Q15" s="99"/>
      <c r="R15" s="99"/>
      <c r="S15" s="99"/>
      <c r="T15" s="99"/>
      <c r="U15" s="99"/>
      <c r="V15" s="99"/>
      <c r="W15" s="99"/>
      <c r="X15" s="99"/>
      <c r="Y15" s="99"/>
      <c r="Z15" s="99"/>
    </row>
    <row r="16" spans="1:26" s="99" customFormat="1" ht="42" customHeight="1" x14ac:dyDescent="0.3">
      <c r="B16" s="394" t="s">
        <v>36</v>
      </c>
      <c r="C16" s="394" t="s">
        <v>37</v>
      </c>
      <c r="D16" s="394" t="s">
        <v>38</v>
      </c>
      <c r="E16" s="395" t="s">
        <v>39</v>
      </c>
      <c r="F16" s="395" t="s">
        <v>40</v>
      </c>
      <c r="G16" s="395" t="s">
        <v>41</v>
      </c>
      <c r="H16" s="395" t="s">
        <v>42</v>
      </c>
      <c r="I16" s="395" t="s">
        <v>43</v>
      </c>
      <c r="J16" s="395" t="s">
        <v>44</v>
      </c>
      <c r="K16" s="396" t="s">
        <v>45</v>
      </c>
      <c r="L16" s="394" t="s">
        <v>46</v>
      </c>
      <c r="M16" s="395" t="s">
        <v>47</v>
      </c>
      <c r="N16" s="395" t="s">
        <v>48</v>
      </c>
      <c r="O16" s="395" t="s">
        <v>49</v>
      </c>
    </row>
    <row r="17" spans="2:19" s="99" customFormat="1" x14ac:dyDescent="0.3">
      <c r="B17" s="401"/>
      <c r="C17" s="401"/>
      <c r="D17" s="401"/>
      <c r="E17" s="401"/>
      <c r="F17" s="401"/>
      <c r="G17" s="401"/>
      <c r="H17" s="401"/>
      <c r="I17" s="401"/>
      <c r="J17" s="401"/>
      <c r="K17" s="401"/>
      <c r="L17" s="120"/>
      <c r="M17" s="397"/>
      <c r="N17" s="397"/>
      <c r="O17" s="397"/>
      <c r="R17" s="308" t="s">
        <v>50</v>
      </c>
      <c r="S17" s="308" t="s">
        <v>51</v>
      </c>
    </row>
    <row r="18" spans="2:19" s="99" customFormat="1" x14ac:dyDescent="0.3">
      <c r="B18" s="397" t="s">
        <v>52</v>
      </c>
      <c r="C18" s="398" t="s">
        <v>53</v>
      </c>
      <c r="D18" s="437">
        <v>592</v>
      </c>
      <c r="E18" s="406">
        <f>(ROUND(D18*K18,2)+ROUND(G18,2)+ROUND(J18,2))/ROUND(D18,4)</f>
        <v>0.58521959459459461</v>
      </c>
      <c r="F18" s="404">
        <f>ROUND(D18*E18,2)</f>
        <v>346.45</v>
      </c>
      <c r="G18" s="404">
        <f>((D18*K18)/(1-$N$18-$N$19))*($N$18+$N$19)</f>
        <v>10.121786268656715</v>
      </c>
      <c r="H18" s="411">
        <f>(IF($I$18=12%,(D18*K18)/(1-$N$18-$N$19)/(1-$C$39)/$F$39*$C$39,(D18*K18)/(1-$N$18-$N$19)/(1-$I$18)))</f>
        <v>346.44668225139367</v>
      </c>
      <c r="I18" s="403">
        <f>IF(D18&gt;50, 17%, 12%)</f>
        <v>0.17</v>
      </c>
      <c r="J18" s="411">
        <f>H18*$I$18</f>
        <v>58.89593598273693</v>
      </c>
      <c r="K18" s="406">
        <f>IF(AND($B$13&lt;$F$2,$E$13&lt;$F$2),C6,IF($B$13&lt;$F$2,I6,F6))</f>
        <v>0.46862999999999999</v>
      </c>
      <c r="L18" s="169" t="s">
        <v>54</v>
      </c>
      <c r="M18" s="404">
        <f>((D18*K18)+(D19*K19)+(D20*K20)+(D21*K21)+(D22*K22)+(D23*K23))/(1-$N$18-$N$19)</f>
        <v>486.71260364842459</v>
      </c>
      <c r="N18" s="399">
        <f>'Fatura B1 (Res) OK'!N18</f>
        <v>6.3E-3</v>
      </c>
      <c r="O18" s="413">
        <f>ROUND(M18*N18,2)</f>
        <v>3.07</v>
      </c>
      <c r="R18" s="327">
        <f>IF(AND($B$13&lt;$F$2,$E$13&lt;$F$2),R6,IF($B$13&lt;$F$2,X6,U6))</f>
        <v>0.20383072193179136</v>
      </c>
      <c r="S18" s="328">
        <f>D18*R18</f>
        <v>120.66778738362048</v>
      </c>
    </row>
    <row r="19" spans="2:19" s="99" customFormat="1" x14ac:dyDescent="0.3">
      <c r="B19" s="397" t="s">
        <v>55</v>
      </c>
      <c r="C19" s="398" t="s">
        <v>53</v>
      </c>
      <c r="D19" s="438">
        <f>D18</f>
        <v>592</v>
      </c>
      <c r="E19" s="406">
        <f>(ROUND(D19*K19,2)+ROUND(G19,2)+ROUND(J19,2))/ROUND(D19,4)</f>
        <v>0.40045608108108105</v>
      </c>
      <c r="F19" s="404">
        <f t="shared" ref="F19:F23" si="3">ROUND(D19*E19,2)</f>
        <v>237.07</v>
      </c>
      <c r="G19" s="404">
        <f>((D19*K19)/(1-$N$18-$N$19))*($N$18+$N$19)</f>
        <v>6.92626255389718</v>
      </c>
      <c r="H19" s="411">
        <f t="shared" ref="H19:H23" si="4">(IF($I$18=12%,(D19*K19)/(1-$N$18-$N$19)/(1-$C$39)/$F$39*$C$39,(D19*K19)/(1-$N$18-$N$19)/(1-$I$18)))</f>
        <v>237.07087054686411</v>
      </c>
      <c r="I19" s="397"/>
      <c r="J19" s="411">
        <f t="shared" ref="J19:J23" si="5">H19*$I$18</f>
        <v>40.302047992966905</v>
      </c>
      <c r="K19" s="406">
        <f>IF(AND($B$13&lt;$F$2,$E$13&lt;$F$2),D6,IF($B$13&lt;$F$2,J6,G6))</f>
        <v>0.32068000000000002</v>
      </c>
      <c r="L19" s="169" t="s">
        <v>56</v>
      </c>
      <c r="M19" s="404">
        <f>D62</f>
        <v>486.71227197346599</v>
      </c>
      <c r="N19" s="399">
        <f>'Fatura B1 (Res) OK'!N19</f>
        <v>2.8899999999999999E-2</v>
      </c>
      <c r="O19" s="413">
        <f>ROUND(M19*N19,2)</f>
        <v>14.07</v>
      </c>
    </row>
    <row r="20" spans="2:19" s="99" customFormat="1" x14ac:dyDescent="0.3">
      <c r="B20" s="397" t="s">
        <v>57</v>
      </c>
      <c r="C20" s="398" t="s">
        <v>53</v>
      </c>
      <c r="D20" s="438">
        <f>IF($K$11=M4,(D18*(K13)/(K13+L13)),0)+IF($L$11=M4,(D18*(L13)/(K13+L13)),0)</f>
        <v>122.48275862068965</v>
      </c>
      <c r="E20" s="406">
        <f>IFERROR((ROUND(D20*K20,2)+ROUND(G20,2)+ROUND(J20,2))/ROUND(D20,4), 0)</f>
        <v>2.3513505569761631E-2</v>
      </c>
      <c r="F20" s="404">
        <f t="shared" si="3"/>
        <v>2.88</v>
      </c>
      <c r="G20" s="404">
        <f t="shared" ref="G20:G23" si="6">((D20*K20)/(1-$N$18-$N$19))*($N$18+$N$19)</f>
        <v>8.4234825870646748E-2</v>
      </c>
      <c r="H20" s="411">
        <f t="shared" si="4"/>
        <v>2.8831744890007793</v>
      </c>
      <c r="I20" s="397"/>
      <c r="J20" s="411">
        <f t="shared" si="5"/>
        <v>0.49013966313013252</v>
      </c>
      <c r="K20" s="406">
        <f>N4</f>
        <v>1.8849999999999999E-2</v>
      </c>
      <c r="L20" s="137"/>
      <c r="M20" s="400"/>
      <c r="N20" s="400"/>
      <c r="O20" s="400"/>
      <c r="R20" s="408"/>
    </row>
    <row r="21" spans="2:19" s="99" customFormat="1" x14ac:dyDescent="0.3">
      <c r="B21" s="397" t="s">
        <v>58</v>
      </c>
      <c r="C21" s="398" t="s">
        <v>53</v>
      </c>
      <c r="D21" s="438">
        <f>IF($K$11=M5,(D18*(K13)/(K13+L13)),0)+IF($L$11=M5,(D18*(L13)/(K13+L13)),0)</f>
        <v>0</v>
      </c>
      <c r="E21" s="406">
        <f t="shared" ref="E21:E23" si="7">IFERROR((ROUND(D21*K21,2)+ROUND(G21,2)+ROUND(J21,2))/ROUND(D21,4), 0)</f>
        <v>0</v>
      </c>
      <c r="F21" s="404">
        <f t="shared" si="3"/>
        <v>0</v>
      </c>
      <c r="G21" s="404">
        <f t="shared" si="6"/>
        <v>0</v>
      </c>
      <c r="H21" s="411">
        <f t="shared" si="4"/>
        <v>0</v>
      </c>
      <c r="I21" s="397"/>
      <c r="J21" s="411">
        <f t="shared" si="5"/>
        <v>0</v>
      </c>
      <c r="K21" s="406">
        <f>N5</f>
        <v>4.4630000000000003E-2</v>
      </c>
      <c r="O21" s="120"/>
      <c r="R21" s="408"/>
    </row>
    <row r="22" spans="2:19" s="99" customFormat="1" x14ac:dyDescent="0.3">
      <c r="B22" s="397" t="s">
        <v>59</v>
      </c>
      <c r="C22" s="398" t="s">
        <v>53</v>
      </c>
      <c r="D22" s="438">
        <f>IF($K$11=M6,(D18*(K13)/(K13+L13)),0)+IF($L$11=M6,(D18*(L13)/(K13+L13)),0)</f>
        <v>0</v>
      </c>
      <c r="E22" s="406">
        <f t="shared" si="7"/>
        <v>0</v>
      </c>
      <c r="F22" s="404">
        <f t="shared" si="3"/>
        <v>0</v>
      </c>
      <c r="G22" s="404">
        <f t="shared" si="6"/>
        <v>0</v>
      </c>
      <c r="H22" s="411">
        <f t="shared" si="4"/>
        <v>0</v>
      </c>
      <c r="I22" s="397"/>
      <c r="J22" s="411">
        <f t="shared" si="5"/>
        <v>0</v>
      </c>
      <c r="K22" s="406">
        <f>N6</f>
        <v>7.8770000000000007E-2</v>
      </c>
      <c r="O22" s="120"/>
      <c r="R22" s="409"/>
    </row>
    <row r="23" spans="2:19" s="99" customFormat="1" x14ac:dyDescent="0.3">
      <c r="B23" s="397" t="s">
        <v>60</v>
      </c>
      <c r="C23" s="398" t="s">
        <v>53</v>
      </c>
      <c r="D23" s="438">
        <f>IF($K$11=M7,(D18*(K13)/(K13+L13)),0)+IF($L$11=M7,(D18*(L13)/(K13+L13)),0)</f>
        <v>0</v>
      </c>
      <c r="E23" s="406">
        <f t="shared" si="7"/>
        <v>0</v>
      </c>
      <c r="F23" s="404">
        <f t="shared" si="3"/>
        <v>0</v>
      </c>
      <c r="G23" s="404">
        <f t="shared" si="6"/>
        <v>0</v>
      </c>
      <c r="H23" s="411">
        <f t="shared" si="4"/>
        <v>0</v>
      </c>
      <c r="I23" s="397"/>
      <c r="J23" s="411">
        <f t="shared" si="5"/>
        <v>0</v>
      </c>
      <c r="K23" s="406">
        <f>N7</f>
        <v>0.14199999999999999</v>
      </c>
      <c r="O23" s="120"/>
    </row>
    <row r="24" spans="2:19" s="99" customFormat="1" x14ac:dyDescent="0.3">
      <c r="B24" s="397" t="s">
        <v>61</v>
      </c>
      <c r="C24" s="397"/>
      <c r="D24" s="438"/>
      <c r="E24" s="397"/>
      <c r="F24" s="402"/>
      <c r="G24" s="397"/>
      <c r="H24" s="397"/>
      <c r="I24" s="397"/>
      <c r="J24" s="397"/>
      <c r="K24" s="397"/>
      <c r="O24" s="120"/>
    </row>
    <row r="25" spans="2:19" s="99" customFormat="1" x14ac:dyDescent="0.3">
      <c r="B25" s="397" t="s">
        <v>62</v>
      </c>
      <c r="C25" s="397"/>
      <c r="D25" s="438"/>
      <c r="E25" s="397"/>
      <c r="F25" s="402">
        <v>13.99</v>
      </c>
      <c r="G25" s="397"/>
      <c r="H25" s="397"/>
      <c r="I25" s="397"/>
      <c r="J25" s="397"/>
      <c r="K25" s="397"/>
      <c r="O25" s="120"/>
    </row>
    <row r="26" spans="2:19" s="99" customFormat="1" x14ac:dyDescent="0.3">
      <c r="B26" s="397" t="s">
        <v>63</v>
      </c>
      <c r="C26" s="397"/>
      <c r="D26" s="438"/>
      <c r="E26" s="397"/>
      <c r="F26" s="402">
        <v>-724.39</v>
      </c>
      <c r="G26" s="397"/>
      <c r="H26" s="397"/>
      <c r="I26" s="397"/>
      <c r="J26" s="397"/>
      <c r="K26" s="397"/>
      <c r="O26" s="120"/>
      <c r="S26" s="441"/>
    </row>
    <row r="27" spans="2:19" s="99" customFormat="1" x14ac:dyDescent="0.3">
      <c r="B27" s="397" t="s">
        <v>142</v>
      </c>
      <c r="C27" s="397"/>
      <c r="D27" s="438"/>
      <c r="E27" s="397"/>
      <c r="F27" s="402"/>
      <c r="G27" s="397"/>
      <c r="H27" s="397"/>
      <c r="I27" s="397"/>
      <c r="J27" s="397"/>
      <c r="K27" s="397"/>
      <c r="O27" s="120"/>
    </row>
    <row r="28" spans="2:19" s="99" customFormat="1" x14ac:dyDescent="0.3">
      <c r="B28" s="397" t="s">
        <v>65</v>
      </c>
      <c r="C28" s="397"/>
      <c r="D28" s="438"/>
      <c r="E28" s="397"/>
      <c r="F28" s="402">
        <v>77.47</v>
      </c>
      <c r="G28" s="397"/>
      <c r="H28" s="397"/>
      <c r="I28" s="397"/>
      <c r="J28" s="397"/>
      <c r="K28" s="397"/>
      <c r="O28" s="120"/>
    </row>
    <row r="29" spans="2:19" s="99" customFormat="1" x14ac:dyDescent="0.3">
      <c r="B29" s="397"/>
      <c r="C29" s="397"/>
      <c r="D29" s="438"/>
      <c r="E29" s="397"/>
      <c r="F29" s="397"/>
      <c r="G29" s="397"/>
      <c r="H29" s="397"/>
      <c r="I29" s="397"/>
      <c r="J29" s="397"/>
      <c r="K29" s="397"/>
      <c r="O29" s="120"/>
    </row>
    <row r="30" spans="2:19" s="99" customFormat="1" x14ac:dyDescent="0.3">
      <c r="B30" s="397"/>
      <c r="C30" s="397"/>
      <c r="D30" s="438"/>
      <c r="E30" s="397"/>
      <c r="F30" s="397"/>
      <c r="G30" s="397"/>
      <c r="H30" s="397"/>
      <c r="I30" s="397"/>
      <c r="J30" s="397"/>
      <c r="K30" s="397"/>
      <c r="O30" s="120"/>
    </row>
    <row r="31" spans="2:19" s="99" customFormat="1" x14ac:dyDescent="0.3">
      <c r="B31" s="405" t="s">
        <v>66</v>
      </c>
      <c r="C31" s="400"/>
      <c r="D31" s="439"/>
      <c r="E31" s="400"/>
      <c r="F31" s="407">
        <f>SUM(F18:F30)</f>
        <v>-46.53</v>
      </c>
      <c r="G31" s="410">
        <f>SUM(G18:G30)</f>
        <v>17.13228364842454</v>
      </c>
      <c r="H31" s="412">
        <f>SUM(H18:H30)</f>
        <v>586.40072728725863</v>
      </c>
      <c r="I31" s="400"/>
      <c r="J31" s="412">
        <f>SUM(J18:J30)</f>
        <v>99.688123638833972</v>
      </c>
      <c r="K31" s="400"/>
      <c r="L31" s="127"/>
      <c r="M31" s="127"/>
      <c r="N31" s="127"/>
      <c r="O31" s="137"/>
    </row>
    <row r="32" spans="2:19" s="99" customFormat="1" x14ac:dyDescent="0.3"/>
    <row r="33" spans="1:26" s="99" customFormat="1" x14ac:dyDescent="0.3">
      <c r="B33" s="415" t="s">
        <v>67</v>
      </c>
      <c r="C33" s="416">
        <f>D18</f>
        <v>592</v>
      </c>
      <c r="D33" s="417">
        <f>IF(AND($B$13&lt;$F$2,$E$13&lt;$F$2),C7,IF($B$13&lt;$F$2,I7,F7))</f>
        <v>1.8774721494831901E-4</v>
      </c>
      <c r="E33" s="417">
        <f>IF(AND($B$13&lt;$F$2,$E$13&lt;$F$2),D7,IF($B$13&lt;$F$2,J7,G7))</f>
        <v>-4.4031307414479802E-3</v>
      </c>
      <c r="F33" s="415">
        <f>C33*(D33+E33)</f>
        <v>-2.4955070476877994</v>
      </c>
    </row>
    <row r="34" spans="1:26" customFormat="1" x14ac:dyDescent="0.3">
      <c r="B34" s="99"/>
      <c r="C34" s="99"/>
      <c r="D34" s="99"/>
      <c r="E34" s="99"/>
      <c r="F34" s="99"/>
      <c r="G34" s="99"/>
      <c r="H34" s="99"/>
      <c r="J34" s="302"/>
      <c r="Q34" s="99"/>
      <c r="R34" s="99"/>
      <c r="S34" s="99"/>
      <c r="T34" s="99"/>
      <c r="U34" s="99"/>
      <c r="V34" s="99"/>
      <c r="W34" s="99"/>
      <c r="X34" s="99"/>
      <c r="Y34" s="99"/>
      <c r="Z34" s="99"/>
    </row>
    <row r="35" spans="1:26" s="99" customFormat="1" x14ac:dyDescent="0.3">
      <c r="B35" s="99" t="s">
        <v>101</v>
      </c>
    </row>
    <row r="36" spans="1:26" s="99" customFormat="1" x14ac:dyDescent="0.3">
      <c r="B36" s="155"/>
      <c r="C36" s="155"/>
      <c r="D36" s="158" t="s">
        <v>102</v>
      </c>
      <c r="F36" s="158"/>
    </row>
    <row r="37" spans="1:26" s="99" customFormat="1" x14ac:dyDescent="0.3">
      <c r="B37" s="159" t="s">
        <v>54</v>
      </c>
      <c r="C37" s="24">
        <f>N18</f>
        <v>6.3E-3</v>
      </c>
      <c r="D37" s="160">
        <f>((D18*K18)+(D19*K19)+(D20*K20)+(D21*K21)+(D22*K22)+(D23*K23))/(1-$N$18-$N$19)</f>
        <v>486.71260364842459</v>
      </c>
      <c r="E37" s="100" t="s">
        <v>103</v>
      </c>
      <c r="F37" s="24">
        <f>C37</f>
        <v>6.3E-3</v>
      </c>
      <c r="G37" s="161">
        <f>D37*F37</f>
        <v>3.0662894029850749</v>
      </c>
    </row>
    <row r="38" spans="1:26" s="99" customFormat="1" x14ac:dyDescent="0.3">
      <c r="B38" s="159" t="s">
        <v>56</v>
      </c>
      <c r="C38" s="24">
        <f>N19</f>
        <v>2.8899999999999999E-2</v>
      </c>
      <c r="D38" s="160">
        <f>D37</f>
        <v>486.71260364842459</v>
      </c>
      <c r="E38" s="100" t="s">
        <v>103</v>
      </c>
      <c r="F38" s="24">
        <f>C38</f>
        <v>2.8899999999999999E-2</v>
      </c>
      <c r="G38" s="161">
        <f>D38*F38</f>
        <v>14.06599424543947</v>
      </c>
    </row>
    <row r="39" spans="1:26" s="99" customFormat="1" x14ac:dyDescent="0.3">
      <c r="A39" s="221"/>
      <c r="B39" s="159" t="s">
        <v>77</v>
      </c>
      <c r="C39" s="25">
        <v>7.0000000000000007E-2</v>
      </c>
      <c r="D39" s="162">
        <f>H39/F39*C39</f>
        <v>305.28568329202261</v>
      </c>
      <c r="E39" s="100" t="s">
        <v>103</v>
      </c>
      <c r="F39" s="414">
        <v>0.12</v>
      </c>
      <c r="G39" s="161">
        <f>D39*F39</f>
        <v>36.634281995042713</v>
      </c>
      <c r="H39" s="161">
        <f>((D18*K18)+(D19*K19)+(D20*K20)+(D21*K21)+(D22*K22)+(D23*K23))/(1-F37-F38)/(1-(C39))</f>
        <v>523.34688564346732</v>
      </c>
      <c r="I39" s="309"/>
    </row>
    <row r="40" spans="1:26" s="99" customFormat="1" x14ac:dyDescent="0.3">
      <c r="B40" s="155"/>
      <c r="C40" s="155"/>
      <c r="D40" s="155"/>
      <c r="E40" s="161">
        <f>(O29)/(1-C37-C38-C39)</f>
        <v>0</v>
      </c>
      <c r="F40" s="156"/>
      <c r="G40" s="156"/>
      <c r="H40" s="155"/>
      <c r="I40" s="155"/>
      <c r="J40" s="157"/>
      <c r="K40" s="157"/>
      <c r="L40" s="157"/>
      <c r="M40" s="158"/>
      <c r="N40" s="158"/>
      <c r="O40" s="163"/>
    </row>
    <row r="41" spans="1:26" s="99" customFormat="1" x14ac:dyDescent="0.3">
      <c r="C41" s="164" t="s">
        <v>105</v>
      </c>
      <c r="D41" s="165" t="s">
        <v>106</v>
      </c>
      <c r="F41"/>
      <c r="G41"/>
      <c r="H41"/>
    </row>
    <row r="42" spans="1:26" s="99" customFormat="1" x14ac:dyDescent="0.3">
      <c r="C42" s="97"/>
      <c r="D42" s="97" t="s">
        <v>143</v>
      </c>
      <c r="F42" s="97"/>
      <c r="G42" s="97"/>
      <c r="H42" s="97"/>
      <c r="J42" s="97"/>
    </row>
    <row r="43" spans="1:26" s="99" customFormat="1" x14ac:dyDescent="0.3">
      <c r="C43" s="97"/>
      <c r="D43" s="97"/>
      <c r="F43" s="97"/>
      <c r="G43" s="97"/>
      <c r="H43" s="97"/>
      <c r="J43" s="97"/>
    </row>
    <row r="44" spans="1:26" customFormat="1" x14ac:dyDescent="0.3">
      <c r="B44" s="99"/>
      <c r="C44" s="99"/>
      <c r="D44" s="99"/>
      <c r="E44" s="99"/>
      <c r="F44" s="99"/>
      <c r="G44" s="99"/>
      <c r="H44" s="99"/>
      <c r="J44" s="302"/>
      <c r="Q44" s="99"/>
      <c r="R44" s="99"/>
      <c r="S44" s="99"/>
      <c r="T44" s="99"/>
      <c r="U44" s="99"/>
      <c r="V44" s="99"/>
      <c r="W44" s="99"/>
      <c r="X44" s="99"/>
      <c r="Y44" s="99"/>
      <c r="Z44" s="99"/>
    </row>
    <row r="45" spans="1:26" customFormat="1" x14ac:dyDescent="0.3">
      <c r="B45" s="99"/>
      <c r="C45" s="99"/>
      <c r="D45" s="99"/>
      <c r="E45" s="99"/>
      <c r="F45" s="99"/>
      <c r="G45" s="99"/>
      <c r="H45" s="99"/>
      <c r="J45" s="302"/>
      <c r="Q45" s="99"/>
      <c r="R45" s="99"/>
      <c r="S45" s="99"/>
      <c r="T45" s="99"/>
      <c r="U45" s="99"/>
      <c r="V45" s="99"/>
      <c r="W45" s="99"/>
      <c r="X45" s="99"/>
      <c r="Y45" s="99"/>
      <c r="Z45" s="99"/>
    </row>
    <row r="46" spans="1:26" x14ac:dyDescent="0.3">
      <c r="A46" s="1" t="s">
        <v>0</v>
      </c>
      <c r="B46" s="486" t="s">
        <v>144</v>
      </c>
      <c r="C46" s="487"/>
      <c r="D46" s="487"/>
      <c r="E46" s="487"/>
      <c r="F46" s="487"/>
      <c r="G46" s="487"/>
      <c r="H46" s="488"/>
      <c r="I46"/>
    </row>
    <row r="47" spans="1:26" x14ac:dyDescent="0.3">
      <c r="B47" s="112"/>
      <c r="C47" s="99"/>
      <c r="D47" s="98" t="s">
        <v>69</v>
      </c>
      <c r="E47" s="98" t="s">
        <v>70</v>
      </c>
      <c r="F47" s="98" t="s">
        <v>14</v>
      </c>
      <c r="G47" s="98" t="s">
        <v>15</v>
      </c>
      <c r="H47" s="169" t="s">
        <v>71</v>
      </c>
      <c r="I47"/>
      <c r="J47"/>
      <c r="K47"/>
      <c r="L47"/>
      <c r="M47"/>
    </row>
    <row r="48" spans="1:26" x14ac:dyDescent="0.3">
      <c r="B48" s="217" t="s">
        <v>72</v>
      </c>
      <c r="C48" s="218"/>
      <c r="D48" s="219"/>
      <c r="E48" s="219"/>
      <c r="F48" s="219"/>
      <c r="G48" s="219"/>
      <c r="H48" s="220">
        <f>H50+SUM(H53:H56)+SUM(H62:H64)</f>
        <v>586.40032767887465</v>
      </c>
      <c r="I48"/>
    </row>
    <row r="49" spans="2:19" x14ac:dyDescent="0.3">
      <c r="B49" s="112"/>
      <c r="C49" s="99"/>
      <c r="D49" s="98"/>
      <c r="E49" s="98"/>
      <c r="F49" s="98"/>
      <c r="G49" s="98"/>
      <c r="H49" s="113"/>
      <c r="I49"/>
      <c r="R49" s="308" t="s">
        <v>50</v>
      </c>
      <c r="S49" s="308" t="s">
        <v>51</v>
      </c>
    </row>
    <row r="50" spans="2:19" x14ac:dyDescent="0.3">
      <c r="B50" s="112" t="s">
        <v>73</v>
      </c>
      <c r="C50" s="99"/>
      <c r="D50" s="228">
        <f>D18</f>
        <v>592</v>
      </c>
      <c r="E50" s="115">
        <f>IF(AND($B$13&lt;$F$2,$E$13&lt;$F$2),C6,IF($B$13&lt;$F$2,I6,F6))</f>
        <v>0.46862999999999999</v>
      </c>
      <c r="F50" s="115">
        <f>IF(AND($B$13&lt;$F$2,$E$13&lt;$F$2),D6,IF($B$13&lt;$F$2,J6,G6))</f>
        <v>0.32068000000000002</v>
      </c>
      <c r="G50" s="115">
        <f>E50+F50</f>
        <v>0.78930999999999996</v>
      </c>
      <c r="H50" s="116">
        <f>ROUND((D50*E50),2)+ROUND((D50*F50),2)</f>
        <v>467.27</v>
      </c>
      <c r="I50"/>
      <c r="R50" s="327">
        <f>IF(AND($B$13&lt;$F$2,$E$13&lt;$F$2),R6,IF($B$13&lt;$F$2,X6,U6))</f>
        <v>0.20383072193179136</v>
      </c>
      <c r="S50" s="328">
        <f>D50*R50</f>
        <v>120.66778738362048</v>
      </c>
    </row>
    <row r="51" spans="2:19" x14ac:dyDescent="0.3">
      <c r="B51" s="112"/>
      <c r="C51" s="99"/>
      <c r="D51" s="114"/>
      <c r="E51" s="117"/>
      <c r="F51" s="118"/>
      <c r="G51" s="118"/>
      <c r="H51" s="116"/>
      <c r="I51"/>
      <c r="J51"/>
      <c r="K51"/>
      <c r="L51"/>
      <c r="M51"/>
      <c r="N51"/>
      <c r="O51"/>
      <c r="P51"/>
    </row>
    <row r="52" spans="2:19" x14ac:dyDescent="0.3">
      <c r="B52" s="112"/>
      <c r="C52" s="99"/>
      <c r="D52" s="119"/>
      <c r="E52" s="99"/>
      <c r="F52" s="99"/>
      <c r="G52" s="99"/>
      <c r="H52" s="120"/>
      <c r="I52"/>
      <c r="J52"/>
      <c r="K52"/>
      <c r="L52"/>
      <c r="M52"/>
      <c r="N52"/>
      <c r="O52"/>
      <c r="P52"/>
    </row>
    <row r="53" spans="2:19" x14ac:dyDescent="0.3">
      <c r="B53" s="112" t="s">
        <v>57</v>
      </c>
      <c r="C53" s="99"/>
      <c r="D53" s="121">
        <f>IF($K$11=$M$4,(D50*(K13)/(K13+L13)),0)+IF($L$11=$M$4,(D50*(L13)/(K13+L13)),0)</f>
        <v>122.48275862068965</v>
      </c>
      <c r="E53" s="99"/>
      <c r="F53" s="122">
        <f>N4</f>
        <v>1.8849999999999999E-2</v>
      </c>
      <c r="G53" s="122"/>
      <c r="H53" s="116">
        <f>ROUND(D53*(E53+F53),2)</f>
        <v>2.31</v>
      </c>
      <c r="I53"/>
      <c r="J53"/>
      <c r="L53"/>
      <c r="M53"/>
      <c r="N53"/>
      <c r="O53"/>
      <c r="P53"/>
    </row>
    <row r="54" spans="2:19" x14ac:dyDescent="0.3">
      <c r="B54" s="112" t="s">
        <v>58</v>
      </c>
      <c r="C54" s="99"/>
      <c r="D54" s="121">
        <f>IF($K$11=$M$5,(D50*(K13)/(K13+L13)),0)+IF($L$11=$M$5,(D50*(L13)/(K13+L13)),0)</f>
        <v>0</v>
      </c>
      <c r="E54" s="99"/>
      <c r="F54" s="122">
        <f>N5</f>
        <v>4.4630000000000003E-2</v>
      </c>
      <c r="G54" s="122"/>
      <c r="H54" s="116">
        <f>ROUND(D54*(E54+F54),2)</f>
        <v>0</v>
      </c>
      <c r="I54"/>
      <c r="J54"/>
      <c r="L54"/>
      <c r="M54"/>
      <c r="N54"/>
      <c r="O54"/>
      <c r="P54"/>
    </row>
    <row r="55" spans="2:19" x14ac:dyDescent="0.3">
      <c r="B55" s="112" t="s">
        <v>59</v>
      </c>
      <c r="C55" s="99"/>
      <c r="D55" s="121">
        <f>IF($K$11=$M$6,(D50*(K13)/(K13+L13)),0)+IF($L$11=$M$6,(D50*(L13)/(K13+L13)),0)</f>
        <v>0</v>
      </c>
      <c r="E55" s="99"/>
      <c r="F55" s="122">
        <f>N6</f>
        <v>7.8770000000000007E-2</v>
      </c>
      <c r="G55" s="122"/>
      <c r="H55" s="116">
        <f>ROUND(D55*(E55+F55),2)</f>
        <v>0</v>
      </c>
      <c r="I55"/>
      <c r="J55"/>
      <c r="L55"/>
      <c r="M55"/>
      <c r="N55"/>
      <c r="O55"/>
      <c r="P55"/>
    </row>
    <row r="56" spans="2:19" x14ac:dyDescent="0.3">
      <c r="B56" s="112" t="s">
        <v>74</v>
      </c>
      <c r="C56" s="99"/>
      <c r="D56" s="121">
        <f>IF($K$11=$M$7,(D50*(K13)/(K13+L13)),0)+IF($L$11=$M$7,(D50*(L13)/(K13+L13)),0)</f>
        <v>0</v>
      </c>
      <c r="E56" s="99"/>
      <c r="F56" s="122">
        <f>N7</f>
        <v>0.14199999999999999</v>
      </c>
      <c r="G56" s="122"/>
      <c r="H56" s="116">
        <f>ROUND(D56*(E56+F56),2)</f>
        <v>0</v>
      </c>
      <c r="I56"/>
      <c r="J56"/>
      <c r="L56"/>
      <c r="M56"/>
      <c r="N56"/>
      <c r="O56"/>
      <c r="P56"/>
    </row>
    <row r="57" spans="2:19" x14ac:dyDescent="0.3">
      <c r="B57" s="112"/>
      <c r="C57" s="99"/>
      <c r="D57" s="119"/>
      <c r="E57" s="99"/>
      <c r="F57" s="99"/>
      <c r="G57" s="99"/>
      <c r="H57" s="116"/>
      <c r="I57"/>
      <c r="J57"/>
      <c r="L57"/>
      <c r="M57"/>
      <c r="N57"/>
      <c r="O57"/>
      <c r="P57"/>
    </row>
    <row r="58" spans="2:19" x14ac:dyDescent="0.3">
      <c r="B58" s="124"/>
      <c r="C58" s="103"/>
      <c r="D58" s="103"/>
      <c r="E58" s="103"/>
      <c r="F58" s="103"/>
      <c r="G58" s="103"/>
      <c r="H58" s="125"/>
      <c r="I58"/>
      <c r="J58"/>
      <c r="L58"/>
      <c r="M58"/>
      <c r="N58"/>
      <c r="O58"/>
      <c r="P58"/>
    </row>
    <row r="59" spans="2:19" x14ac:dyDescent="0.3">
      <c r="B59" s="126"/>
      <c r="C59" s="127"/>
      <c r="D59" s="128"/>
      <c r="E59" s="129"/>
      <c r="F59" s="127"/>
      <c r="G59" s="127"/>
      <c r="H59" s="130"/>
      <c r="I59"/>
      <c r="J59"/>
      <c r="L59"/>
      <c r="M59"/>
      <c r="N59"/>
      <c r="O59"/>
      <c r="P59"/>
    </row>
    <row r="60" spans="2:19" x14ac:dyDescent="0.3">
      <c r="B60" s="131"/>
      <c r="C60" s="132"/>
      <c r="D60" s="132"/>
      <c r="E60" s="132"/>
      <c r="F60" s="132"/>
      <c r="G60" s="132"/>
      <c r="H60" s="133"/>
      <c r="I60"/>
      <c r="J60"/>
      <c r="L60"/>
      <c r="M60"/>
      <c r="N60"/>
      <c r="O60"/>
      <c r="P60"/>
    </row>
    <row r="61" spans="2:19" x14ac:dyDescent="0.3">
      <c r="B61" s="112"/>
      <c r="C61" s="99"/>
      <c r="D61" s="95" t="s">
        <v>75</v>
      </c>
      <c r="E61" s="111"/>
      <c r="F61" s="111"/>
      <c r="G61" s="111"/>
      <c r="H61" s="134"/>
      <c r="I61"/>
      <c r="J61"/>
      <c r="K61" s="14"/>
      <c r="L61"/>
      <c r="M61"/>
      <c r="N61"/>
      <c r="O61"/>
      <c r="P61"/>
    </row>
    <row r="62" spans="2:19" x14ac:dyDescent="0.3">
      <c r="B62" s="112" t="s">
        <v>76</v>
      </c>
      <c r="C62" s="99"/>
      <c r="D62" s="136">
        <f>(H50+H53+H54+H55+H56)/(1-(E62+E63))</f>
        <v>486.71227197346599</v>
      </c>
      <c r="E62" s="352">
        <f>N18</f>
        <v>6.3E-3</v>
      </c>
      <c r="F62" s="99"/>
      <c r="G62" s="99"/>
      <c r="H62" s="116">
        <f>D62*E62</f>
        <v>3.0662873134328357</v>
      </c>
      <c r="I62"/>
      <c r="J62"/>
      <c r="L62"/>
      <c r="M62"/>
      <c r="N62"/>
      <c r="O62"/>
      <c r="P62"/>
    </row>
    <row r="63" spans="2:19" x14ac:dyDescent="0.3">
      <c r="B63" s="112" t="s">
        <v>56</v>
      </c>
      <c r="C63" s="99"/>
      <c r="D63" s="136">
        <f>D62</f>
        <v>486.71227197346599</v>
      </c>
      <c r="E63" s="352">
        <f>N19</f>
        <v>2.8899999999999999E-2</v>
      </c>
      <c r="F63" s="99"/>
      <c r="G63" s="99"/>
      <c r="H63" s="116">
        <f>D63*E63</f>
        <v>14.065984660033166</v>
      </c>
      <c r="I63"/>
      <c r="J63"/>
      <c r="L63"/>
      <c r="M63"/>
      <c r="N63"/>
      <c r="O63"/>
      <c r="P63"/>
    </row>
    <row r="64" spans="2:19" x14ac:dyDescent="0.3">
      <c r="B64" s="112" t="s">
        <v>77</v>
      </c>
      <c r="C64" s="99"/>
      <c r="D64" s="307">
        <f>IF((E64=17%),(D62/(1-(E64))),D72)</f>
        <v>586.40032767887476</v>
      </c>
      <c r="E64" s="150">
        <f>I18</f>
        <v>0.17</v>
      </c>
      <c r="F64" s="99"/>
      <c r="G64" s="99"/>
      <c r="H64" s="116">
        <f>D64*E64</f>
        <v>99.688055705408715</v>
      </c>
      <c r="I64"/>
      <c r="J64"/>
      <c r="L64"/>
      <c r="M64"/>
      <c r="N64"/>
      <c r="O64"/>
      <c r="P64"/>
    </row>
    <row r="65" spans="2:16" x14ac:dyDescent="0.3">
      <c r="B65" s="126"/>
      <c r="C65" s="127"/>
      <c r="D65" s="127"/>
      <c r="E65" s="127"/>
      <c r="F65" s="127"/>
      <c r="G65" s="127"/>
      <c r="H65" s="137"/>
      <c r="I65"/>
      <c r="J65"/>
      <c r="L65"/>
      <c r="M65"/>
      <c r="N65"/>
      <c r="O65"/>
      <c r="P65"/>
    </row>
    <row r="66" spans="2:16" x14ac:dyDescent="0.3">
      <c r="B66" s="366" t="s">
        <v>78</v>
      </c>
      <c r="C66" s="367"/>
      <c r="D66" s="368">
        <f>D50</f>
        <v>592</v>
      </c>
      <c r="E66" s="369">
        <f>IF(AND($B$13&lt;$F$2,$E$13&lt;$F$2),C7,IF($B$13&lt;$F$2,I7,F7))</f>
        <v>1.8774721494831901E-4</v>
      </c>
      <c r="F66" s="369">
        <f>IF(AND($B$13&lt;$F$2,$E$13&lt;$F$2),D7,IF($B$13&lt;$F$2,J7,G7))</f>
        <v>-4.4031307414479802E-3</v>
      </c>
      <c r="G66" s="367"/>
      <c r="H66" s="366">
        <f>D66*(E66+F66)</f>
        <v>-2.4955070476877994</v>
      </c>
      <c r="I66"/>
      <c r="J66"/>
      <c r="L66"/>
      <c r="M66"/>
      <c r="N66"/>
      <c r="O66"/>
      <c r="P66"/>
    </row>
    <row r="67" spans="2:16" x14ac:dyDescent="0.3">
      <c r="B67" s="99"/>
      <c r="C67" s="99"/>
      <c r="D67" s="99"/>
      <c r="E67" s="99"/>
      <c r="F67" s="99"/>
      <c r="G67" s="99"/>
      <c r="H67" s="99"/>
      <c r="I67"/>
      <c r="J67"/>
      <c r="L67"/>
      <c r="M67"/>
      <c r="N67"/>
      <c r="O67"/>
      <c r="P67"/>
    </row>
    <row r="68" spans="2:16" x14ac:dyDescent="0.3">
      <c r="B68" s="99" t="s">
        <v>145</v>
      </c>
      <c r="C68" s="99"/>
      <c r="D68" s="99"/>
      <c r="E68" s="99"/>
      <c r="F68" s="99"/>
      <c r="G68" s="99"/>
      <c r="H68" s="99"/>
      <c r="I68"/>
      <c r="J68"/>
      <c r="L68"/>
      <c r="M68"/>
      <c r="N68"/>
      <c r="O68"/>
      <c r="P68"/>
    </row>
    <row r="69" spans="2:16" x14ac:dyDescent="0.3">
      <c r="B69" s="3"/>
      <c r="C69" s="3"/>
      <c r="D69" s="6" t="s">
        <v>102</v>
      </c>
      <c r="F69" s="6"/>
    </row>
    <row r="70" spans="2:16" x14ac:dyDescent="0.3">
      <c r="B70" s="23" t="s">
        <v>54</v>
      </c>
      <c r="C70" s="24">
        <f>E62</f>
        <v>6.3E-3</v>
      </c>
      <c r="D70" s="33">
        <f>SUM(H50:H56)/(1-(C70+C71))</f>
        <v>486.71227197346599</v>
      </c>
      <c r="E70" s="38" t="s">
        <v>103</v>
      </c>
      <c r="F70" s="24">
        <f>C70</f>
        <v>6.3E-3</v>
      </c>
      <c r="G70" s="22">
        <f>D70*F70</f>
        <v>3.0662873134328357</v>
      </c>
    </row>
    <row r="71" spans="2:16" x14ac:dyDescent="0.3">
      <c r="B71" s="23" t="s">
        <v>56</v>
      </c>
      <c r="C71" s="24">
        <f>E63</f>
        <v>2.8899999999999999E-2</v>
      </c>
      <c r="D71" s="33">
        <f>D70</f>
        <v>486.71227197346599</v>
      </c>
      <c r="E71" s="38" t="s">
        <v>103</v>
      </c>
      <c r="F71" s="24">
        <f>C71</f>
        <v>2.8899999999999999E-2</v>
      </c>
      <c r="G71" s="22">
        <f>D71*F71</f>
        <v>14.065984660033166</v>
      </c>
    </row>
    <row r="72" spans="2:16" x14ac:dyDescent="0.3">
      <c r="B72" s="23" t="s">
        <v>77</v>
      </c>
      <c r="C72" s="25">
        <v>7.0000000000000007E-2</v>
      </c>
      <c r="D72" s="42">
        <f>H72/F72*C72</f>
        <v>305.28547525217408</v>
      </c>
      <c r="E72" s="38" t="s">
        <v>103</v>
      </c>
      <c r="F72" s="25">
        <v>0.12</v>
      </c>
      <c r="G72" s="22">
        <f>D72*F72</f>
        <v>36.634257030260891</v>
      </c>
      <c r="H72" s="161">
        <f>((SUM(H50:H56))/(1-F70-F71)/(1-(C72)))</f>
        <v>523.34652900372691</v>
      </c>
      <c r="I72" s="172"/>
    </row>
    <row r="73" spans="2:16" x14ac:dyDescent="0.3">
      <c r="B73" s="3"/>
      <c r="C73" s="3"/>
      <c r="D73" s="22">
        <f>(O64)/(1-C70-C71-C72)</f>
        <v>0</v>
      </c>
      <c r="E73" s="8"/>
      <c r="F73" s="8"/>
      <c r="G73" s="3"/>
      <c r="H73" s="3"/>
      <c r="I73" s="9"/>
      <c r="K73" s="9"/>
      <c r="L73" s="9"/>
      <c r="M73" s="6"/>
      <c r="N73" s="6"/>
      <c r="O73" s="11"/>
    </row>
    <row r="74" spans="2:16" x14ac:dyDescent="0.3">
      <c r="B74"/>
      <c r="C74"/>
      <c r="D74" s="27" t="s">
        <v>105</v>
      </c>
      <c r="E74" s="28" t="s">
        <v>106</v>
      </c>
      <c r="F74" s="49"/>
      <c r="G74" t="s">
        <v>117</v>
      </c>
      <c r="H74" s="29">
        <f>H72/F72*C72</f>
        <v>305.28547525217408</v>
      </c>
    </row>
    <row r="75" spans="2:16" x14ac:dyDescent="0.3">
      <c r="B75"/>
      <c r="C75"/>
      <c r="D75"/>
      <c r="E75" t="s">
        <v>143</v>
      </c>
      <c r="F75"/>
      <c r="G75"/>
      <c r="H75"/>
      <c r="I75"/>
    </row>
    <row r="77" spans="2:16" x14ac:dyDescent="0.3">
      <c r="B77" s="63" t="s">
        <v>79</v>
      </c>
      <c r="D77" s="13"/>
      <c r="E77" s="13"/>
      <c r="F77" s="13"/>
      <c r="G77" s="13"/>
    </row>
    <row r="78" spans="2:16" x14ac:dyDescent="0.3">
      <c r="B78" s="56"/>
      <c r="C78" s="57" t="s">
        <v>71</v>
      </c>
    </row>
    <row r="79" spans="2:16" x14ac:dyDescent="0.3">
      <c r="B79" s="56" t="s">
        <v>80</v>
      </c>
      <c r="C79" s="58">
        <f>SUM(H50:H56)*IF($B$13&lt;$F$2,D122,D94)</f>
        <v>212.46812325187634</v>
      </c>
    </row>
    <row r="80" spans="2:16" x14ac:dyDescent="0.3">
      <c r="B80" s="56" t="s">
        <v>81</v>
      </c>
      <c r="C80" s="58">
        <f>SUM(H50:H56)*IF($B$13&lt;$F$2,F122,F94)</f>
        <v>129.1387884723143</v>
      </c>
    </row>
    <row r="81" spans="2:10" x14ac:dyDescent="0.3">
      <c r="B81" s="56" t="s">
        <v>82</v>
      </c>
      <c r="C81" s="58">
        <f>SUM(H50:H56)*IF($B$13&lt;$F$2,E122,E94)</f>
        <v>34.729860272885858</v>
      </c>
    </row>
    <row r="82" spans="2:10" x14ac:dyDescent="0.3">
      <c r="B82" s="56" t="s">
        <v>83</v>
      </c>
      <c r="C82" s="58">
        <f>SUM(H50:H56)*IF($B$13&lt;$F$2,G122,G94)</f>
        <v>93.24322800292353</v>
      </c>
    </row>
    <row r="83" spans="2:10" x14ac:dyDescent="0.3">
      <c r="B83" s="56" t="s">
        <v>84</v>
      </c>
      <c r="C83" s="59">
        <f>H62+H63+H64</f>
        <v>116.82032767887472</v>
      </c>
    </row>
    <row r="84" spans="2:10" x14ac:dyDescent="0.3">
      <c r="B84" s="60" t="s">
        <v>85</v>
      </c>
      <c r="C84" s="61">
        <f>SUM(C79:C83)</f>
        <v>586.40032767887476</v>
      </c>
    </row>
    <row r="85" spans="2:10" x14ac:dyDescent="0.3">
      <c r="J85" s="103"/>
    </row>
    <row r="86" spans="2:10" x14ac:dyDescent="0.3">
      <c r="B86" s="15">
        <f>'Fatura B1 (Res) OK'!$B$68</f>
        <v>2024</v>
      </c>
      <c r="C86" s="15"/>
      <c r="D86" s="15" t="str">
        <f>'Fatura B1 (Res) OK'!$D$68</f>
        <v>Energia</v>
      </c>
      <c r="E86" s="15" t="str">
        <f>'Fatura B1 (Res) OK'!$E$68</f>
        <v>Transmissão</v>
      </c>
      <c r="F86" s="15" t="str">
        <f>'Fatura B1 (Res) OK'!$F$68</f>
        <v>Distribuição</v>
      </c>
      <c r="G86" s="15" t="str">
        <f>'Fatura B1 (Res) OK'!$G$68</f>
        <v>Setoriais</v>
      </c>
    </row>
    <row r="87" spans="2:10" x14ac:dyDescent="0.3">
      <c r="B87" s="15" t="str">
        <f>'Fatura B1 (Res) OK'!$B$69</f>
        <v>Grupo B</v>
      </c>
      <c r="C87" s="15"/>
      <c r="D87" s="15" t="str">
        <f>'Fatura B1 (Res) OK'!$D$69</f>
        <v>%</v>
      </c>
      <c r="E87" s="15" t="str">
        <f>'Fatura B1 (Res) OK'!$E$69</f>
        <v>%</v>
      </c>
      <c r="F87" s="15" t="str">
        <f>'Fatura B1 (Res) OK'!$F$69</f>
        <v>%</v>
      </c>
      <c r="G87" s="15" t="str">
        <f>'Fatura B1 (Res) OK'!$G$69</f>
        <v>%</v>
      </c>
    </row>
    <row r="88" spans="2:10" x14ac:dyDescent="0.3">
      <c r="B88" s="15"/>
      <c r="C88" s="15"/>
      <c r="D88" s="15"/>
      <c r="E88" s="15"/>
      <c r="F88" s="15"/>
      <c r="G88" s="15"/>
    </row>
    <row r="89" spans="2:10" x14ac:dyDescent="0.3">
      <c r="B89" s="15" t="str">
        <f>'Fatura B1 (Res) OK'!$B$71</f>
        <v>B1 - Residencial</v>
      </c>
      <c r="C89" s="15"/>
      <c r="D89" s="62">
        <f>'Fatura B1 (Res) OK'!$D$71</f>
        <v>0.45246416638672077</v>
      </c>
      <c r="E89" s="62">
        <f>'Fatura B1 (Res) OK'!$E$71</f>
        <v>7.39594111182032E-2</v>
      </c>
      <c r="F89" s="62">
        <f>'Fatura B1 (Res) OK'!$F$71</f>
        <v>0.27500913257019954</v>
      </c>
      <c r="G89" s="62">
        <f>'Fatura B1 (Res) OK'!$G$71</f>
        <v>0.19856728992487654</v>
      </c>
    </row>
    <row r="90" spans="2:10" x14ac:dyDescent="0.3">
      <c r="B90" s="15" t="str">
        <f>'Fatura B1 (Res) OK'!$B$72</f>
        <v>B1 - Residencial Baixa Renda</v>
      </c>
      <c r="C90" s="15"/>
      <c r="D90" s="62">
        <f>'Fatura B1 (Res) OK'!$D$72</f>
        <v>0.53149575868436638</v>
      </c>
      <c r="E90" s="62">
        <f>'Fatura B1 (Res) OK'!$E$72</f>
        <v>8.6877848555460851E-2</v>
      </c>
      <c r="F90" s="62">
        <f>'Fatura B1 (Res) OK'!$F$72</f>
        <v>0.32304478104372042</v>
      </c>
      <c r="G90" s="62">
        <f>'Fatura B1 (Res) OK'!$G$72</f>
        <v>5.8581611716452382E-2</v>
      </c>
    </row>
    <row r="91" spans="2:10" x14ac:dyDescent="0.3">
      <c r="B91" s="15" t="str">
        <f>'Fatura B1 (Res) OK'!$B$73</f>
        <v>B2 - Rural</v>
      </c>
      <c r="C91" s="15"/>
      <c r="D91" s="62">
        <f>'Fatura B1 (Res) OK'!$D$73</f>
        <v>0.45246416638672077</v>
      </c>
      <c r="E91" s="62">
        <f>'Fatura B1 (Res) OK'!$E$73</f>
        <v>7.39594111182032E-2</v>
      </c>
      <c r="F91" s="62">
        <f>'Fatura B1 (Res) OK'!$F$73</f>
        <v>0.27500913257019954</v>
      </c>
      <c r="G91" s="62">
        <f>'Fatura B1 (Res) OK'!$G$73</f>
        <v>0.19856728992487654</v>
      </c>
    </row>
    <row r="92" spans="2:10" x14ac:dyDescent="0.3">
      <c r="B92" s="15" t="str">
        <f>'Fatura B1 (Res) OK'!$B$74</f>
        <v>B2 - Cooperativa Eletrificação Rural</v>
      </c>
      <c r="C92" s="15"/>
      <c r="D92" s="62">
        <f>'Fatura B1 (Res) OK'!$D$74</f>
        <v>0.45246416638672077</v>
      </c>
      <c r="E92" s="62">
        <f>'Fatura B1 (Res) OK'!$E$74</f>
        <v>7.39594111182032E-2</v>
      </c>
      <c r="F92" s="62">
        <f>'Fatura B1 (Res) OK'!$F$74</f>
        <v>0.27500913257019954</v>
      </c>
      <c r="G92" s="62">
        <f>'Fatura B1 (Res) OK'!$G$74</f>
        <v>0.19856728992487654</v>
      </c>
    </row>
    <row r="93" spans="2:10" x14ac:dyDescent="0.3">
      <c r="B93" s="15" t="str">
        <f>'Fatura B1 (Res) OK'!$B$75</f>
        <v>B2 - Serviço de Irrigação</v>
      </c>
      <c r="C93" s="15"/>
      <c r="D93" s="62">
        <f>'Fatura B1 (Res) OK'!$D$75</f>
        <v>0.45246416638672077</v>
      </c>
      <c r="E93" s="62">
        <f>'Fatura B1 (Res) OK'!$E$75</f>
        <v>7.39594111182032E-2</v>
      </c>
      <c r="F93" s="62">
        <f>'Fatura B1 (Res) OK'!$F$75</f>
        <v>0.27500913257019954</v>
      </c>
      <c r="G93" s="62">
        <f>'Fatura B1 (Res) OK'!$G$75</f>
        <v>0.19856728992487654</v>
      </c>
    </row>
    <row r="94" spans="2:10" x14ac:dyDescent="0.3">
      <c r="B94" s="15" t="str">
        <f>'Fatura B1 (Res) OK'!$B$76</f>
        <v>B3 - Demais Classes</v>
      </c>
      <c r="C94" s="15"/>
      <c r="D94" s="62">
        <f>'Fatura B1 (Res) OK'!$D$76</f>
        <v>0.45246416638672077</v>
      </c>
      <c r="E94" s="62">
        <f>'Fatura B1 (Res) OK'!$E$76</f>
        <v>7.39594111182032E-2</v>
      </c>
      <c r="F94" s="62">
        <f>'Fatura B1 (Res) OK'!$F$76</f>
        <v>0.27500913257019954</v>
      </c>
      <c r="G94" s="62">
        <f>'Fatura B1 (Res) OK'!$G$76</f>
        <v>0.19856728992487654</v>
      </c>
    </row>
    <row r="95" spans="2:10" x14ac:dyDescent="0.3">
      <c r="B95" s="15" t="str">
        <f>'Fatura B1 (Res) OK'!$B$77</f>
        <v>B4 - Iluminação Pública</v>
      </c>
      <c r="C95" s="15"/>
      <c r="D95" s="62">
        <f>'Fatura B1 (Res) OK'!$D$77</f>
        <v>0.45246416638672071</v>
      </c>
      <c r="E95" s="62">
        <f>'Fatura B1 (Res) OK'!$E$77</f>
        <v>7.3959411118203186E-2</v>
      </c>
      <c r="F95" s="62">
        <f>'Fatura B1 (Res) OK'!$F$77</f>
        <v>0.27500913257019949</v>
      </c>
      <c r="G95" s="62">
        <f>'Fatura B1 (Res) OK'!$G$77</f>
        <v>0.19856728992487654</v>
      </c>
    </row>
    <row r="96" spans="2:10" x14ac:dyDescent="0.3">
      <c r="B96" s="15" t="str">
        <f>'Fatura B1 (Res) OK'!$B$78</f>
        <v>B4a - Rede de Distribuição</v>
      </c>
      <c r="C96" s="15"/>
      <c r="D96" s="62">
        <f>'Fatura B1 (Res) OK'!$D$78</f>
        <v>0.45246416638672071</v>
      </c>
      <c r="E96" s="62">
        <f>'Fatura B1 (Res) OK'!$E$78</f>
        <v>7.3959411118203186E-2</v>
      </c>
      <c r="F96" s="62">
        <f>'Fatura B1 (Res) OK'!$F$78</f>
        <v>0.27500913257019949</v>
      </c>
      <c r="G96" s="62">
        <f>'Fatura B1 (Res) OK'!$G$78</f>
        <v>0.19856728992487654</v>
      </c>
    </row>
    <row r="97" spans="2:7" x14ac:dyDescent="0.3">
      <c r="B97" s="15" t="str">
        <f>'Fatura B1 (Res) OK'!$B$79</f>
        <v>B4b - Bulbo de Lâmpada</v>
      </c>
      <c r="C97" s="15"/>
      <c r="D97" s="62">
        <f>'Fatura B1 (Res) OK'!$D$79</f>
        <v>0.45246416638672071</v>
      </c>
      <c r="E97" s="62">
        <f>'Fatura B1 (Res) OK'!$E$79</f>
        <v>7.39594111182032E-2</v>
      </c>
      <c r="F97" s="62">
        <f>'Fatura B1 (Res) OK'!$F$79</f>
        <v>0.27500913257019954</v>
      </c>
      <c r="G97" s="62">
        <f>'Fatura B1 (Res) OK'!$G$79</f>
        <v>0.19856728992487657</v>
      </c>
    </row>
    <row r="98" spans="2:7" x14ac:dyDescent="0.3">
      <c r="B98" s="63"/>
      <c r="C98" s="63"/>
      <c r="D98" s="63"/>
      <c r="E98" s="63"/>
      <c r="F98" s="63"/>
      <c r="G98" s="63"/>
    </row>
    <row r="99" spans="2:7" x14ac:dyDescent="0.3">
      <c r="B99" s="63"/>
      <c r="C99" s="63"/>
      <c r="D99" s="63"/>
      <c r="E99" s="63"/>
      <c r="F99" s="63"/>
      <c r="G99" s="63"/>
    </row>
    <row r="100" spans="2:7" x14ac:dyDescent="0.3">
      <c r="B100" s="63">
        <f>'Fatura B1 (Res) OK'!$B$82</f>
        <v>2023</v>
      </c>
      <c r="C100" s="63"/>
      <c r="D100" s="15" t="str">
        <f>'Fatura B1 (Res) OK'!$D$68</f>
        <v>Energia</v>
      </c>
      <c r="E100" s="15" t="str">
        <f>'Fatura B1 (Res) OK'!$E$68</f>
        <v>Transmissão</v>
      </c>
      <c r="F100" s="15" t="str">
        <f>'Fatura B1 (Res) OK'!$F$68</f>
        <v>Distribuição</v>
      </c>
      <c r="G100" s="15" t="str">
        <f>'Fatura B1 (Res) OK'!$G$68</f>
        <v>Setoriais</v>
      </c>
    </row>
    <row r="101" spans="2:7" x14ac:dyDescent="0.3">
      <c r="B101" s="63" t="str">
        <f>'Fatura B1 (Res) OK'!$B$83</f>
        <v>Grupo B</v>
      </c>
      <c r="C101" s="63"/>
      <c r="D101" s="15" t="str">
        <f>'Fatura B1 (Res) OK'!$D$69</f>
        <v>%</v>
      </c>
      <c r="E101" s="15" t="str">
        <f>'Fatura B1 (Res) OK'!$E$69</f>
        <v>%</v>
      </c>
      <c r="F101" s="15" t="str">
        <f>'Fatura B1 (Res) OK'!$F$69</f>
        <v>%</v>
      </c>
      <c r="G101" s="15" t="str">
        <f>'Fatura B1 (Res) OK'!$G$69</f>
        <v>%</v>
      </c>
    </row>
    <row r="102" spans="2:7" x14ac:dyDescent="0.3">
      <c r="B102" s="15"/>
      <c r="C102" s="15"/>
      <c r="D102" s="15"/>
      <c r="E102" s="15"/>
      <c r="F102" s="15"/>
      <c r="G102" s="15"/>
    </row>
    <row r="103" spans="2:7" x14ac:dyDescent="0.3">
      <c r="B103" s="15" t="str">
        <f>'Fatura B1 (Res) OK'!$B$85</f>
        <v>B1 - Residencial</v>
      </c>
      <c r="C103" s="15"/>
      <c r="D103" s="62">
        <f>'Fatura B1 (Res) OK'!$D$85</f>
        <v>0.43939696077133034</v>
      </c>
      <c r="E103" s="62">
        <f>'Fatura B1 (Res) OK'!$E$85</f>
        <v>9.2697585625348772E-2</v>
      </c>
      <c r="F103" s="62">
        <f>'Fatura B1 (Res) OK'!$F$85</f>
        <v>0.25285207888477268</v>
      </c>
      <c r="G103" s="62">
        <f>'Fatura B1 (Res) OK'!$G$85</f>
        <v>0.21506308252114117</v>
      </c>
    </row>
    <row r="104" spans="2:7" x14ac:dyDescent="0.3">
      <c r="B104" s="15" t="str">
        <f>'Fatura B1 (Res) OK'!$B$86</f>
        <v>B1 - Residencial Baixa Renda</v>
      </c>
      <c r="C104" s="15"/>
      <c r="D104" s="62">
        <f>'Fatura B1 (Res) OK'!$D$86</f>
        <v>0.52691619996872485</v>
      </c>
      <c r="E104" s="62">
        <f>'Fatura B1 (Res) OK'!$E$86</f>
        <v>0.11116112291319068</v>
      </c>
      <c r="F104" s="62">
        <f>'Fatura B1 (Res) OK'!$F$86</f>
        <v>0.30321524374287334</v>
      </c>
      <c r="G104" s="62">
        <f>'Fatura B1 (Res) OK'!$G$86</f>
        <v>5.8707433375211129E-2</v>
      </c>
    </row>
    <row r="105" spans="2:7" x14ac:dyDescent="0.3">
      <c r="B105" s="15" t="str">
        <f>'Fatura B1 (Res) OK'!$B$87</f>
        <v>B2 - Rural</v>
      </c>
      <c r="C105" s="15"/>
      <c r="D105" s="62">
        <f>'Fatura B1 (Res) OK'!$D$87</f>
        <v>0.43939300245552615</v>
      </c>
      <c r="E105" s="62">
        <f>'Fatura B1 (Res) OK'!$E$87</f>
        <v>9.2696750557401245E-2</v>
      </c>
      <c r="F105" s="62">
        <f>'Fatura B1 (Res) OK'!$F$87</f>
        <v>0.25284980106205335</v>
      </c>
      <c r="G105" s="62">
        <f>'Fatura B1 (Res) OK'!$G$87</f>
        <v>0.21506044592501908</v>
      </c>
    </row>
    <row r="106" spans="2:7" x14ac:dyDescent="0.3">
      <c r="B106" s="15" t="str">
        <f>'Fatura B1 (Res) OK'!$B$88</f>
        <v>B2 - Cooperativa Eletrificação Rural</v>
      </c>
      <c r="C106" s="15"/>
      <c r="D106" s="62">
        <f>'Fatura B1 (Res) OK'!$D$88</f>
        <v>0.43939300245552615</v>
      </c>
      <c r="E106" s="62">
        <f>'Fatura B1 (Res) OK'!$E$88</f>
        <v>9.2696750557401245E-2</v>
      </c>
      <c r="F106" s="62">
        <f>'Fatura B1 (Res) OK'!$F$88</f>
        <v>0.25284980106205335</v>
      </c>
      <c r="G106" s="62">
        <f>'Fatura B1 (Res) OK'!$G$88</f>
        <v>0.21506044592501908</v>
      </c>
    </row>
    <row r="107" spans="2:7" x14ac:dyDescent="0.3">
      <c r="B107" s="15" t="str">
        <f>'Fatura B1 (Res) OK'!$B$89</f>
        <v>B2 - Serviço de Irrigação</v>
      </c>
      <c r="C107" s="15"/>
      <c r="D107" s="62">
        <f>'Fatura B1 (Res) OK'!$D$89</f>
        <v>0.43939300245552615</v>
      </c>
      <c r="E107" s="62">
        <f>'Fatura B1 (Res) OK'!$E$89</f>
        <v>9.2696750557401328E-2</v>
      </c>
      <c r="F107" s="62">
        <f>'Fatura B1 (Res) OK'!$F$89</f>
        <v>0.25284980106205335</v>
      </c>
      <c r="G107" s="62">
        <f>'Fatura B1 (Res) OK'!$G$89</f>
        <v>0.21506044592501908</v>
      </c>
    </row>
    <row r="108" spans="2:7" x14ac:dyDescent="0.3">
      <c r="B108" s="15" t="str">
        <f>'Fatura B1 (Res) OK'!$B$90</f>
        <v>B3 - Demais Classes</v>
      </c>
      <c r="C108" s="15"/>
      <c r="D108" s="62">
        <f>'Fatura B1 (Res) OK'!$D$90</f>
        <v>0.43939300245552615</v>
      </c>
      <c r="E108" s="62">
        <f>'Fatura B1 (Res) OK'!$E$90</f>
        <v>9.2696750557401328E-2</v>
      </c>
      <c r="F108" s="62">
        <f>'Fatura B1 (Res) OK'!$F$90</f>
        <v>0.25284980106205335</v>
      </c>
      <c r="G108" s="62">
        <f>'Fatura B1 (Res) OK'!$G$90</f>
        <v>0.21506044592501908</v>
      </c>
    </row>
    <row r="109" spans="2:7" x14ac:dyDescent="0.3">
      <c r="B109" s="15" t="str">
        <f>'Fatura B1 (Res) OK'!$B$91</f>
        <v>B4 - Iluminação Pública</v>
      </c>
      <c r="C109" s="15"/>
      <c r="D109" s="62">
        <f>'Fatura B1 (Res) OK'!$D$91</f>
        <v>0</v>
      </c>
      <c r="E109" s="62">
        <f>'Fatura B1 (Res) OK'!$E$91</f>
        <v>0</v>
      </c>
      <c r="F109" s="62">
        <f>'Fatura B1 (Res) OK'!$F$91</f>
        <v>0</v>
      </c>
      <c r="G109" s="62">
        <f>'Fatura B1 (Res) OK'!$G$91</f>
        <v>0</v>
      </c>
    </row>
    <row r="110" spans="2:7" x14ac:dyDescent="0.3">
      <c r="B110" s="15" t="str">
        <f>'Fatura B1 (Res) OK'!$B$92</f>
        <v>B4a - Rede de Distribuição</v>
      </c>
      <c r="C110" s="15"/>
      <c r="D110" s="62">
        <f>'Fatura B1 (Res) OK'!$D$92</f>
        <v>0.43938945729126549</v>
      </c>
      <c r="E110" s="62">
        <f>'Fatura B1 (Res) OK'!$E$92</f>
        <v>9.2697336752737058E-2</v>
      </c>
      <c r="F110" s="62">
        <f>'Fatura B1 (Res) OK'!$F$92</f>
        <v>0.25285140003260154</v>
      </c>
      <c r="G110" s="62">
        <f>'Fatura B1 (Res) OK'!$G$92</f>
        <v>0.21506180592339591</v>
      </c>
    </row>
    <row r="111" spans="2:7" x14ac:dyDescent="0.3">
      <c r="B111" s="15" t="str">
        <f>'Fatura B1 (Res) OK'!$B$93</f>
        <v>B4b - Bulbo de Lâmpada</v>
      </c>
      <c r="C111" s="15"/>
      <c r="D111" s="62">
        <f>'Fatura B1 (Res) OK'!$D$93</f>
        <v>0.43938945729126527</v>
      </c>
      <c r="E111" s="62">
        <f>'Fatura B1 (Res) OK'!$E$93</f>
        <v>9.2697336752736934E-2</v>
      </c>
      <c r="F111" s="62">
        <f>'Fatura B1 (Res) OK'!$F$93</f>
        <v>0.25285140003260193</v>
      </c>
      <c r="G111" s="62">
        <f>'Fatura B1 (Res) OK'!$G$93</f>
        <v>0.21506180592339585</v>
      </c>
    </row>
    <row r="112" spans="2:7" x14ac:dyDescent="0.3">
      <c r="B112" s="63"/>
      <c r="C112" s="63"/>
      <c r="D112" s="63"/>
      <c r="E112" s="63"/>
      <c r="F112" s="63"/>
      <c r="G112" s="63"/>
    </row>
    <row r="113" spans="2:8" x14ac:dyDescent="0.3">
      <c r="B113" s="101" t="s">
        <v>98</v>
      </c>
      <c r="C113" s="63"/>
      <c r="D113" s="63"/>
      <c r="E113" s="63"/>
      <c r="F113" s="63"/>
      <c r="G113" s="63"/>
    </row>
    <row r="114" spans="2:8" x14ac:dyDescent="0.3">
      <c r="B114" s="15"/>
      <c r="C114" s="15"/>
      <c r="D114" s="15" t="s">
        <v>80</v>
      </c>
      <c r="E114" s="15" t="s">
        <v>82</v>
      </c>
      <c r="F114" s="15" t="s">
        <v>81</v>
      </c>
      <c r="G114" s="15" t="s">
        <v>86</v>
      </c>
    </row>
    <row r="115" spans="2:8" x14ac:dyDescent="0.3">
      <c r="B115" s="15" t="s">
        <v>87</v>
      </c>
      <c r="C115" s="15"/>
      <c r="D115" s="62" t="s">
        <v>88</v>
      </c>
      <c r="E115" s="62" t="s">
        <v>88</v>
      </c>
      <c r="F115" s="62" t="s">
        <v>88</v>
      </c>
      <c r="G115" s="62" t="s">
        <v>88</v>
      </c>
    </row>
    <row r="116" spans="2:8" x14ac:dyDescent="0.3">
      <c r="B116" s="15"/>
      <c r="C116" s="15"/>
      <c r="D116" s="62"/>
      <c r="E116" s="62"/>
      <c r="F116" s="62"/>
      <c r="G116" s="62"/>
    </row>
    <row r="117" spans="2:8" x14ac:dyDescent="0.3">
      <c r="B117" s="15" t="s">
        <v>89</v>
      </c>
      <c r="C117" s="15"/>
      <c r="D117" s="62">
        <f>((D103*$C$13)+(D89*$D$13))/($C$13+$D$13)</f>
        <v>0.45246416638672077</v>
      </c>
      <c r="E117" s="62">
        <f t="shared" ref="E117:F117" si="8">((E103*$C$13)+(E89*$D$13))/($C$13+$D$13)</f>
        <v>7.39594111182032E-2</v>
      </c>
      <c r="F117" s="62">
        <f t="shared" si="8"/>
        <v>0.27500913257019954</v>
      </c>
      <c r="G117" s="62">
        <f>((G103*$C$13)+(G89*$D$13))/($C$13+$D$13)</f>
        <v>0.19856728992487654</v>
      </c>
    </row>
    <row r="118" spans="2:8" x14ac:dyDescent="0.3">
      <c r="B118" s="15" t="s">
        <v>90</v>
      </c>
      <c r="C118" s="15"/>
      <c r="D118" s="62">
        <f t="shared" ref="D118:G125" si="9">((D104*$C$13)+(D90*$D$13))/($C$13+$D$13)</f>
        <v>0.53149575868436638</v>
      </c>
      <c r="E118" s="62">
        <f t="shared" si="9"/>
        <v>8.6877848555460851E-2</v>
      </c>
      <c r="F118" s="62">
        <f t="shared" si="9"/>
        <v>0.32304478104372042</v>
      </c>
      <c r="G118" s="62">
        <f t="shared" si="9"/>
        <v>5.8581611716452382E-2</v>
      </c>
    </row>
    <row r="119" spans="2:8" x14ac:dyDescent="0.3">
      <c r="B119" s="15" t="s">
        <v>91</v>
      </c>
      <c r="C119" s="15"/>
      <c r="D119" s="62">
        <f t="shared" si="9"/>
        <v>0.45246416638672077</v>
      </c>
      <c r="E119" s="62">
        <f t="shared" si="9"/>
        <v>7.39594111182032E-2</v>
      </c>
      <c r="F119" s="62">
        <f t="shared" si="9"/>
        <v>0.27500913257019954</v>
      </c>
      <c r="G119" s="62">
        <f t="shared" si="9"/>
        <v>0.19856728992487654</v>
      </c>
    </row>
    <row r="120" spans="2:8" x14ac:dyDescent="0.3">
      <c r="B120" s="15" t="s">
        <v>92</v>
      </c>
      <c r="C120" s="15"/>
      <c r="D120" s="62">
        <f t="shared" si="9"/>
        <v>0.45246416638672077</v>
      </c>
      <c r="E120" s="62">
        <f t="shared" si="9"/>
        <v>7.39594111182032E-2</v>
      </c>
      <c r="F120" s="62">
        <f t="shared" si="9"/>
        <v>0.27500913257019954</v>
      </c>
      <c r="G120" s="62">
        <f t="shared" si="9"/>
        <v>0.19856728992487654</v>
      </c>
    </row>
    <row r="121" spans="2:8" x14ac:dyDescent="0.3">
      <c r="B121" s="15" t="s">
        <v>93</v>
      </c>
      <c r="C121" s="15"/>
      <c r="D121" s="62">
        <f t="shared" si="9"/>
        <v>0.45246416638672077</v>
      </c>
      <c r="E121" s="62">
        <f t="shared" si="9"/>
        <v>7.39594111182032E-2</v>
      </c>
      <c r="F121" s="62">
        <f t="shared" si="9"/>
        <v>0.27500913257019954</v>
      </c>
      <c r="G121" s="62">
        <f t="shared" si="9"/>
        <v>0.19856728992487654</v>
      </c>
    </row>
    <row r="122" spans="2:8" x14ac:dyDescent="0.3">
      <c r="B122" s="15" t="s">
        <v>94</v>
      </c>
      <c r="C122" s="15"/>
      <c r="D122" s="62">
        <f t="shared" si="9"/>
        <v>0.45246416638672077</v>
      </c>
      <c r="E122" s="62">
        <f t="shared" si="9"/>
        <v>7.39594111182032E-2</v>
      </c>
      <c r="F122" s="62">
        <f t="shared" si="9"/>
        <v>0.27500913257019954</v>
      </c>
      <c r="G122" s="62">
        <f t="shared" si="9"/>
        <v>0.19856728992487654</v>
      </c>
    </row>
    <row r="123" spans="2:8" x14ac:dyDescent="0.3">
      <c r="B123" s="15" t="s">
        <v>95</v>
      </c>
      <c r="C123" s="15"/>
      <c r="D123" s="62">
        <f t="shared" si="9"/>
        <v>0.45246416638672071</v>
      </c>
      <c r="E123" s="62">
        <f t="shared" si="9"/>
        <v>7.3959411118203186E-2</v>
      </c>
      <c r="F123" s="62">
        <f t="shared" si="9"/>
        <v>0.27500913257019949</v>
      </c>
      <c r="G123" s="62">
        <f t="shared" si="9"/>
        <v>0.19856728992487654</v>
      </c>
    </row>
    <row r="124" spans="2:8" x14ac:dyDescent="0.3">
      <c r="B124" s="15" t="s">
        <v>96</v>
      </c>
      <c r="C124" s="15"/>
      <c r="D124" s="62">
        <f t="shared" si="9"/>
        <v>0.45246416638672071</v>
      </c>
      <c r="E124" s="62">
        <f t="shared" si="9"/>
        <v>7.3959411118203186E-2</v>
      </c>
      <c r="F124" s="62">
        <f t="shared" si="9"/>
        <v>0.27500913257019949</v>
      </c>
      <c r="G124" s="62">
        <f t="shared" si="9"/>
        <v>0.19856728992487654</v>
      </c>
    </row>
    <row r="125" spans="2:8" x14ac:dyDescent="0.3">
      <c r="B125" s="15" t="s">
        <v>97</v>
      </c>
      <c r="C125" s="15"/>
      <c r="D125" s="62">
        <f t="shared" si="9"/>
        <v>0.45246416638672071</v>
      </c>
      <c r="E125" s="62">
        <f t="shared" si="9"/>
        <v>7.39594111182032E-2</v>
      </c>
      <c r="F125" s="62">
        <f t="shared" si="9"/>
        <v>0.27500913257019954</v>
      </c>
      <c r="G125" s="62">
        <f t="shared" si="9"/>
        <v>0.19856728992487657</v>
      </c>
    </row>
    <row r="128" spans="2:8" s="99" customFormat="1" x14ac:dyDescent="0.3">
      <c r="B128" s="318" t="s">
        <v>146</v>
      </c>
      <c r="C128" s="109"/>
      <c r="D128" s="109"/>
      <c r="E128" s="109"/>
      <c r="F128" s="109"/>
      <c r="G128" s="138"/>
      <c r="H128" s="314"/>
    </row>
    <row r="129" spans="2:8" s="99" customFormat="1" x14ac:dyDescent="0.3">
      <c r="B129" s="138" t="s">
        <v>147</v>
      </c>
      <c r="C129" s="109"/>
      <c r="D129" s="314">
        <f>SUM(H50:H64)</f>
        <v>586.40032767887465</v>
      </c>
      <c r="E129" s="315">
        <v>1.2E-2</v>
      </c>
      <c r="F129" s="109"/>
      <c r="G129" s="138"/>
      <c r="H129" s="316">
        <f>-ROUND(D129*E129,2)</f>
        <v>-7.04</v>
      </c>
    </row>
    <row r="130" spans="2:8" s="99" customFormat="1" x14ac:dyDescent="0.3">
      <c r="B130" s="138" t="s">
        <v>148</v>
      </c>
      <c r="C130" s="109"/>
      <c r="D130" s="314">
        <f>D129</f>
        <v>586.40032767887465</v>
      </c>
      <c r="E130" s="317">
        <v>0.01</v>
      </c>
      <c r="F130" s="109"/>
      <c r="G130" s="138"/>
      <c r="H130" s="316">
        <f>-ROUND(D130*E130,2)</f>
        <v>-5.86</v>
      </c>
    </row>
    <row r="131" spans="2:8" s="99" customFormat="1" x14ac:dyDescent="0.3">
      <c r="B131" s="138" t="s">
        <v>149</v>
      </c>
      <c r="C131" s="109"/>
      <c r="D131" s="314">
        <f>D129</f>
        <v>586.40032767887465</v>
      </c>
      <c r="E131" s="317">
        <v>6.4999999999999997E-3</v>
      </c>
      <c r="F131" s="109"/>
      <c r="G131" s="138"/>
      <c r="H131" s="316">
        <f>-ROUND(D131*E131,2)</f>
        <v>-3.81</v>
      </c>
    </row>
    <row r="132" spans="2:8" s="99" customFormat="1" x14ac:dyDescent="0.3">
      <c r="B132" s="138" t="s">
        <v>56</v>
      </c>
      <c r="C132" s="109"/>
      <c r="D132" s="314">
        <f>D129</f>
        <v>586.40032767887465</v>
      </c>
      <c r="E132" s="317">
        <v>0.03</v>
      </c>
      <c r="F132" s="109"/>
      <c r="G132" s="138"/>
      <c r="H132" s="316">
        <f>-ROUND(D132*E132,2)</f>
        <v>-17.59</v>
      </c>
    </row>
    <row r="133" spans="2:8" s="99" customFormat="1" x14ac:dyDescent="0.3">
      <c r="B133" s="109"/>
      <c r="C133" s="109"/>
      <c r="D133" s="109"/>
      <c r="E133" s="109"/>
      <c r="F133" s="319"/>
      <c r="G133" s="138"/>
      <c r="H133" s="320"/>
    </row>
    <row r="134" spans="2:8" s="99" customFormat="1" x14ac:dyDescent="0.3">
      <c r="B134" s="321" t="s">
        <v>150</v>
      </c>
      <c r="C134" s="109"/>
      <c r="D134" s="109"/>
      <c r="E134" s="109"/>
      <c r="F134" s="319"/>
      <c r="G134" s="138"/>
      <c r="H134" s="320"/>
    </row>
    <row r="135" spans="2:8" s="99" customFormat="1" x14ac:dyDescent="0.3">
      <c r="B135" s="138" t="s">
        <v>147</v>
      </c>
      <c r="C135" s="109"/>
      <c r="D135" s="314">
        <f>H146+H147</f>
        <v>0</v>
      </c>
      <c r="E135" s="145">
        <f>E129</f>
        <v>1.2E-2</v>
      </c>
      <c r="F135" s="109"/>
      <c r="G135" s="138"/>
      <c r="H135" s="316">
        <f>-ROUND(D135*E135,2)</f>
        <v>0</v>
      </c>
    </row>
    <row r="136" spans="2:8" s="99" customFormat="1" x14ac:dyDescent="0.3">
      <c r="B136" s="138" t="s">
        <v>148</v>
      </c>
      <c r="C136" s="109"/>
      <c r="D136" s="314">
        <f>D135</f>
        <v>0</v>
      </c>
      <c r="E136" s="145">
        <f>E130</f>
        <v>0.01</v>
      </c>
      <c r="F136" s="109"/>
      <c r="G136" s="138"/>
      <c r="H136" s="316">
        <f>-ROUND(D136*E136,2)</f>
        <v>0</v>
      </c>
    </row>
    <row r="137" spans="2:8" s="99" customFormat="1" x14ac:dyDescent="0.3">
      <c r="B137" s="138" t="s">
        <v>149</v>
      </c>
      <c r="C137" s="109"/>
      <c r="D137" s="314">
        <f>D135</f>
        <v>0</v>
      </c>
      <c r="E137" s="145">
        <f>E131</f>
        <v>6.4999999999999997E-3</v>
      </c>
      <c r="F137" s="109"/>
      <c r="G137" s="138"/>
      <c r="H137" s="316">
        <f>-ROUND(D137*E137,2)</f>
        <v>0</v>
      </c>
    </row>
    <row r="138" spans="2:8" s="99" customFormat="1" x14ac:dyDescent="0.3">
      <c r="B138" s="138" t="s">
        <v>56</v>
      </c>
      <c r="C138" s="109"/>
      <c r="D138" s="314">
        <f>D135</f>
        <v>0</v>
      </c>
      <c r="E138" s="145">
        <f>E132</f>
        <v>0.03</v>
      </c>
      <c r="F138" s="109"/>
      <c r="G138" s="138"/>
      <c r="H138" s="316">
        <f>-ROUND(D138*E138,2)</f>
        <v>0</v>
      </c>
    </row>
    <row r="139" spans="2:8" s="99" customFormat="1" x14ac:dyDescent="0.3">
      <c r="B139" s="109"/>
      <c r="C139" s="109"/>
      <c r="D139" s="109"/>
      <c r="E139" s="109"/>
      <c r="F139" s="109"/>
      <c r="G139" s="138"/>
      <c r="H139" s="314"/>
    </row>
    <row r="140" spans="2:8" s="99" customFormat="1" x14ac:dyDescent="0.3">
      <c r="B140" s="321" t="s">
        <v>151</v>
      </c>
      <c r="C140" s="263"/>
      <c r="D140" s="263"/>
      <c r="E140" s="109"/>
      <c r="F140" s="319"/>
      <c r="G140" s="138"/>
      <c r="H140" s="320"/>
    </row>
    <row r="141" spans="2:8" s="99" customFormat="1" x14ac:dyDescent="0.3">
      <c r="B141" s="138" t="s">
        <v>147</v>
      </c>
      <c r="C141" s="109"/>
      <c r="D141" s="314">
        <f>D129+D135</f>
        <v>586.40032767887465</v>
      </c>
      <c r="E141" s="145">
        <f>E135</f>
        <v>1.2E-2</v>
      </c>
      <c r="F141" s="109"/>
      <c r="G141" s="138"/>
      <c r="H141" s="316">
        <f>-ROUND(D141*E141,2)</f>
        <v>-7.04</v>
      </c>
    </row>
    <row r="142" spans="2:8" s="99" customFormat="1" x14ac:dyDescent="0.3">
      <c r="B142" s="138" t="s">
        <v>148</v>
      </c>
      <c r="C142" s="109"/>
      <c r="D142" s="314">
        <f t="shared" ref="D142:D144" si="10">D130+D136</f>
        <v>586.40032767887465</v>
      </c>
      <c r="E142" s="145">
        <f>E136</f>
        <v>0.01</v>
      </c>
      <c r="F142" s="109"/>
      <c r="G142" s="138"/>
      <c r="H142" s="316">
        <f>-ROUND(D142*E142,2)</f>
        <v>-5.86</v>
      </c>
    </row>
    <row r="143" spans="2:8" s="99" customFormat="1" x14ac:dyDescent="0.3">
      <c r="B143" s="138" t="s">
        <v>149</v>
      </c>
      <c r="C143" s="109"/>
      <c r="D143" s="314">
        <f t="shared" si="10"/>
        <v>586.40032767887465</v>
      </c>
      <c r="E143" s="145">
        <f>E137</f>
        <v>6.4999999999999997E-3</v>
      </c>
      <c r="F143" s="109"/>
      <c r="G143" s="138"/>
      <c r="H143" s="316">
        <f>-ROUND(D143*E143,2)</f>
        <v>-3.81</v>
      </c>
    </row>
    <row r="144" spans="2:8" s="99" customFormat="1" x14ac:dyDescent="0.3">
      <c r="B144" s="138" t="s">
        <v>56</v>
      </c>
      <c r="C144" s="109"/>
      <c r="D144" s="314">
        <f t="shared" si="10"/>
        <v>586.40032767887465</v>
      </c>
      <c r="E144" s="145">
        <f>E138</f>
        <v>0.03</v>
      </c>
      <c r="F144" s="109"/>
      <c r="G144" s="138"/>
      <c r="H144" s="316">
        <f>-ROUND(D144*E144,2)</f>
        <v>-17.59</v>
      </c>
    </row>
    <row r="146" spans="2:8" x14ac:dyDescent="0.3">
      <c r="B146" s="1" t="s">
        <v>61</v>
      </c>
      <c r="H146" s="322"/>
    </row>
    <row r="147" spans="2:8" x14ac:dyDescent="0.3">
      <c r="B147" s="1" t="s">
        <v>62</v>
      </c>
      <c r="H147" s="322"/>
    </row>
  </sheetData>
  <customSheetViews>
    <customSheetView guid="{D812A0C8-60A1-4775-A604-FC65C9DC40BF}" scale="60" showGridLines="0">
      <selection activeCell="R14" sqref="R14"/>
      <pageMargins left="0" right="0" top="0" bottom="0" header="0" footer="0"/>
      <pageSetup orientation="portrait" r:id="rId1"/>
    </customSheetView>
    <customSheetView guid="{8D3CE498-0ABB-4BB0-92D1-93DA2BDD5EDF}" scale="80" showGridLines="0">
      <selection activeCell="C7" sqref="C7:D7"/>
      <pageMargins left="0" right="0" top="0" bottom="0" header="0" footer="0"/>
      <pageSetup orientation="portrait" r:id="rId2"/>
    </customSheetView>
    <customSheetView guid="{455EF305-F4BF-4162-9D3A-67B1D57A792B}" scale="80" showGridLines="0" topLeftCell="A18">
      <selection activeCell="H40" sqref="H40"/>
      <pageMargins left="0" right="0" top="0" bottom="0" header="0" footer="0"/>
      <pageSetup orientation="portrait" r:id="rId3"/>
    </customSheetView>
    <customSheetView guid="{AED82DA2-4B0E-4368-BF7F-A78E16192BBB}" scale="80" showGridLines="0">
      <selection activeCell="L16" sqref="L16"/>
      <pageMargins left="0" right="0" top="0" bottom="0" header="0" footer="0"/>
      <pageSetup orientation="portrait" r:id="rId4"/>
    </customSheetView>
    <customSheetView guid="{8AD5A21B-3743-481B-8B5E-3FEE10EB7B2F}" scale="80" showGridLines="0" topLeftCell="A3">
      <selection activeCell="R15" sqref="R15"/>
      <pageMargins left="0" right="0" top="0" bottom="0" header="0" footer="0"/>
      <pageSetup orientation="portrait" r:id="rId5"/>
    </customSheetView>
  </customSheetViews>
  <mergeCells count="10">
    <mergeCell ref="Q4:Q5"/>
    <mergeCell ref="R4:T4"/>
    <mergeCell ref="U4:W4"/>
    <mergeCell ref="X4:Z4"/>
    <mergeCell ref="B46:H46"/>
    <mergeCell ref="B4:B5"/>
    <mergeCell ref="C4:E4"/>
    <mergeCell ref="F4:H4"/>
    <mergeCell ref="I4:K4"/>
    <mergeCell ref="K10:L10"/>
  </mergeCells>
  <conditionalFormatting sqref="K11:L11">
    <cfRule type="cellIs" dxfId="139" priority="1" operator="equal">
      <formula>"Escassez Hídrica"</formula>
    </cfRule>
    <cfRule type="cellIs" dxfId="138" priority="2" operator="equal">
      <formula>"VERDE"</formula>
    </cfRule>
    <cfRule type="cellIs" dxfId="137" priority="3" operator="equal">
      <formula>"BVM2"</formula>
    </cfRule>
    <cfRule type="cellIs" dxfId="136" priority="4" operator="equal">
      <formula>"BVM1"</formula>
    </cfRule>
    <cfRule type="cellIs" dxfId="135" priority="5" operator="equal">
      <formula>"BAM"</formula>
    </cfRule>
  </conditionalFormatting>
  <conditionalFormatting sqref="M3">
    <cfRule type="cellIs" dxfId="134" priority="24" operator="equal">
      <formula>"VERDE"</formula>
    </cfRule>
    <cfRule type="cellIs" dxfId="133" priority="25" operator="equal">
      <formula>"BVM2"</formula>
    </cfRule>
    <cfRule type="cellIs" dxfId="132" priority="26" operator="equal">
      <formula>"BVM1"</formula>
    </cfRule>
    <cfRule type="cellIs" dxfId="131" priority="27" operator="equal">
      <formula>"BAM"</formula>
    </cfRule>
  </conditionalFormatting>
  <conditionalFormatting sqref="M7:M8">
    <cfRule type="containsText" dxfId="130" priority="11" operator="containsText" text="Escassez Hídrica">
      <formula>NOT(ISERROR(SEARCH("Escassez Hídrica",M7)))</formula>
    </cfRule>
    <cfRule type="cellIs" dxfId="129" priority="12" operator="equal">
      <formula>"VERDE"</formula>
    </cfRule>
    <cfRule type="cellIs" dxfId="128" priority="13" operator="equal">
      <formula>"BVM2"</formula>
    </cfRule>
    <cfRule type="cellIs" dxfId="127" priority="14" operator="equal">
      <formula>"BVM1"</formula>
    </cfRule>
    <cfRule type="cellIs" dxfId="126" priority="15" operator="equal">
      <formula>"BAM"</formula>
    </cfRule>
  </conditionalFormatting>
  <dataValidations count="1">
    <dataValidation type="list" allowBlank="1" showInputMessage="1" showErrorMessage="1" sqref="K11:L11" xr:uid="{00000000-0002-0000-0600-000000000000}">
      <formula1>$M$3:$M$7</formula1>
    </dataValidation>
  </dataValidations>
  <pageMargins left="0.511811024" right="0.511811024" top="0.78740157499999996" bottom="0.78740157499999996" header="0.31496062000000002" footer="0.31496062000000002"/>
  <pageSetup orientation="portrait" r:id="rId6"/>
  <drawing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X85"/>
  <sheetViews>
    <sheetView showGridLines="0" zoomScale="80" zoomScaleNormal="80" workbookViewId="0">
      <selection activeCell="C10" sqref="C10"/>
    </sheetView>
  </sheetViews>
  <sheetFormatPr defaultColWidth="9.109375" defaultRowHeight="14.4" x14ac:dyDescent="0.3"/>
  <cols>
    <col min="1" max="1" width="5.44140625" style="1" customWidth="1"/>
    <col min="2" max="2" width="12.6640625" style="1" customWidth="1"/>
    <col min="3" max="3" width="14.109375" style="1" customWidth="1"/>
    <col min="4" max="10" width="12.6640625" style="1" customWidth="1"/>
    <col min="11" max="12" width="14.33203125" style="1" customWidth="1"/>
    <col min="13" max="16" width="12.6640625" style="1" customWidth="1"/>
    <col min="17" max="17" width="9.44140625" style="99" bestFit="1" customWidth="1"/>
    <col min="18" max="18" width="12.109375" style="99" bestFit="1" customWidth="1"/>
    <col min="19" max="19" width="13.109375" style="99" bestFit="1" customWidth="1"/>
    <col min="20" max="20" width="11.33203125" style="99" bestFit="1" customWidth="1"/>
    <col min="21" max="21" width="12.109375" style="99" bestFit="1" customWidth="1"/>
    <col min="22" max="22" width="13.109375" style="99" bestFit="1" customWidth="1"/>
    <col min="23" max="23" width="11.33203125" style="99" bestFit="1" customWidth="1"/>
    <col min="24" max="24" width="12.109375" style="99" bestFit="1" customWidth="1"/>
    <col min="25" max="16384" width="9.109375" style="1"/>
  </cols>
  <sheetData>
    <row r="1" spans="1:24" x14ac:dyDescent="0.3">
      <c r="A1" s="1" t="s">
        <v>0</v>
      </c>
      <c r="G1"/>
      <c r="H1"/>
      <c r="I1"/>
      <c r="J1"/>
      <c r="K1"/>
    </row>
    <row r="2" spans="1:24" ht="18" x14ac:dyDescent="0.3">
      <c r="B2" s="43" t="s">
        <v>152</v>
      </c>
      <c r="C2" s="99"/>
      <c r="D2" s="99"/>
      <c r="E2" s="102" t="s">
        <v>2</v>
      </c>
      <c r="F2" s="104">
        <f>'Fatura B3 OK'!F2</f>
        <v>45876</v>
      </c>
      <c r="G2" s="97"/>
      <c r="H2" s="97"/>
      <c r="I2" s="97"/>
      <c r="J2" s="97"/>
      <c r="K2" s="97"/>
      <c r="L2" s="99"/>
      <c r="M2" s="47" t="s">
        <v>3</v>
      </c>
      <c r="N2" s="47" t="s">
        <v>4</v>
      </c>
      <c r="O2" s="99"/>
      <c r="P2" s="99"/>
      <c r="Q2" s="308" t="s">
        <v>6</v>
      </c>
      <c r="R2" s="326"/>
    </row>
    <row r="3" spans="1:24" customFormat="1" x14ac:dyDescent="0.3">
      <c r="M3" s="93" t="s">
        <v>7</v>
      </c>
      <c r="N3" s="48">
        <v>0</v>
      </c>
      <c r="Q3" s="99"/>
      <c r="R3" s="99"/>
      <c r="S3" s="99"/>
      <c r="T3" s="99"/>
      <c r="U3" s="99"/>
      <c r="V3" s="99"/>
      <c r="W3" s="99"/>
      <c r="X3" s="99"/>
    </row>
    <row r="4" spans="1:24" s="99" customFormat="1" ht="15" customHeight="1" x14ac:dyDescent="0.3">
      <c r="B4" s="489" t="s">
        <v>140</v>
      </c>
      <c r="C4" s="481" t="s">
        <v>153</v>
      </c>
      <c r="D4" s="481"/>
      <c r="E4" s="481"/>
      <c r="F4" s="481" t="e">
        <f>#REF!</f>
        <v>#REF!</v>
      </c>
      <c r="G4" s="481"/>
      <c r="H4" s="481"/>
      <c r="I4" s="482" t="s">
        <v>11</v>
      </c>
      <c r="J4" s="482"/>
      <c r="K4" s="482"/>
      <c r="M4" s="229" t="str">
        <f>'Fatura B1 (Res) OK'!M4</f>
        <v>BAM</v>
      </c>
      <c r="N4" s="230">
        <f>'Fatura B1 (Res) OK'!$N$4</f>
        <v>1.8849999999999999E-2</v>
      </c>
      <c r="Q4" s="483" t="s">
        <v>8</v>
      </c>
      <c r="R4" s="478" t="str">
        <f>C4</f>
        <v>TARIFA ANTIGA - REH 2749/2020</v>
      </c>
      <c r="S4" s="479"/>
      <c r="T4" s="480"/>
      <c r="U4" s="478" t="e">
        <f>F4</f>
        <v>#REF!</v>
      </c>
      <c r="V4" s="479"/>
      <c r="W4" s="480"/>
    </row>
    <row r="5" spans="1:24" s="99" customFormat="1" x14ac:dyDescent="0.3">
      <c r="B5" s="490"/>
      <c r="C5" s="204" t="s">
        <v>13</v>
      </c>
      <c r="D5" s="204" t="s">
        <v>14</v>
      </c>
      <c r="E5" s="204" t="s">
        <v>15</v>
      </c>
      <c r="F5" s="204" t="s">
        <v>13</v>
      </c>
      <c r="G5" s="204" t="s">
        <v>14</v>
      </c>
      <c r="H5" s="204" t="s">
        <v>15</v>
      </c>
      <c r="I5" s="205" t="s">
        <v>13</v>
      </c>
      <c r="J5" s="205" t="s">
        <v>14</v>
      </c>
      <c r="K5" s="205" t="s">
        <v>15</v>
      </c>
      <c r="M5" s="231" t="str">
        <f>'Fatura B1 (Res) OK'!M5</f>
        <v>BVM1</v>
      </c>
      <c r="N5" s="232">
        <f>'Fatura B1 (Res) OK'!$N$5</f>
        <v>4.4630000000000003E-2</v>
      </c>
      <c r="Q5" s="484"/>
      <c r="R5" s="204" t="s">
        <v>17</v>
      </c>
      <c r="S5"/>
      <c r="T5"/>
      <c r="U5" s="204" t="s">
        <v>17</v>
      </c>
      <c r="V5"/>
      <c r="W5"/>
      <c r="X5" s="204" t="s">
        <v>17</v>
      </c>
    </row>
    <row r="6" spans="1:24" s="99" customFormat="1" x14ac:dyDescent="0.3">
      <c r="B6" s="207" t="s">
        <v>141</v>
      </c>
      <c r="C6" s="203">
        <f>'Fatura B3 OK'!C6</f>
        <v>0.38351000000000002</v>
      </c>
      <c r="D6" s="203">
        <f>'Fatura B3 OK'!D6</f>
        <v>0.30096000000000001</v>
      </c>
      <c r="E6" s="203">
        <f t="shared" ref="E6" si="0">C6+D6</f>
        <v>0.68447000000000002</v>
      </c>
      <c r="F6" s="203">
        <f>'Fatura B3 OK'!F6</f>
        <v>0.46862999999999999</v>
      </c>
      <c r="G6" s="203">
        <f>'Fatura B3 OK'!G6</f>
        <v>0.32068000000000002</v>
      </c>
      <c r="H6" s="203">
        <f t="shared" ref="H6:H7" si="1">F6+G6</f>
        <v>0.78930999999999996</v>
      </c>
      <c r="I6" s="203">
        <f>((C6*$C$13)+(F6*$D$13))/($D$13+$C$13)</f>
        <v>-1.585233225806451</v>
      </c>
      <c r="J6" s="203">
        <f>((D6*$C$13)+(G6*$D$13))/($D$13+$C$13)</f>
        <v>-0.15514451612903343</v>
      </c>
      <c r="K6" s="206">
        <f t="shared" ref="K6:K7" si="2">I6+J6</f>
        <v>-1.7403777419354844</v>
      </c>
      <c r="M6" s="39" t="str">
        <f>'Fatura B1 (Res) OK'!M6</f>
        <v>BVM2</v>
      </c>
      <c r="N6" s="40">
        <f>'Fatura B1 (Res) OK'!$N$6</f>
        <v>7.8770000000000007E-2</v>
      </c>
      <c r="Q6" s="207" t="str">
        <f>B6</f>
        <v>B3</v>
      </c>
      <c r="R6" s="203">
        <f>'Fatura B3 OK'!R6</f>
        <v>0.18823431351264014</v>
      </c>
      <c r="S6"/>
      <c r="T6"/>
      <c r="U6" s="203">
        <f>'Fatura B3 OK'!U6</f>
        <v>0.20383072193179136</v>
      </c>
      <c r="V6"/>
      <c r="W6"/>
      <c r="X6" s="203">
        <f>((R6*$C$13)+(U6*$D$13))/($D$13+$C$13)</f>
        <v>-0.17249551992385695</v>
      </c>
    </row>
    <row r="7" spans="1:24" s="99" customFormat="1" x14ac:dyDescent="0.3">
      <c r="B7" s="370" t="s">
        <v>20</v>
      </c>
      <c r="C7" s="206"/>
      <c r="D7" s="206"/>
      <c r="E7" s="206"/>
      <c r="F7" s="206">
        <f>T11</f>
        <v>2.0783073765861601E-4</v>
      </c>
      <c r="G7" s="206">
        <f>U11</f>
        <v>4.0199999999999993E-3</v>
      </c>
      <c r="H7" s="206">
        <f t="shared" si="1"/>
        <v>4.2278307376586149E-3</v>
      </c>
      <c r="I7" s="203">
        <f>((C7*$C$13)+(F7*$D$13))/($D$13+$C$13)</f>
        <v>-4.8069238355234736E-3</v>
      </c>
      <c r="J7" s="203">
        <f>((D7*$C$13)+(G7*$D$13))/($D$13+$C$13)</f>
        <v>-9.2978709677419349E-2</v>
      </c>
      <c r="K7" s="206">
        <f t="shared" si="2"/>
        <v>-9.7785633512942824E-2</v>
      </c>
      <c r="M7" s="379"/>
      <c r="N7" s="40"/>
      <c r="Q7" s="237"/>
      <c r="R7" s="238"/>
      <c r="S7"/>
      <c r="T7"/>
      <c r="U7" s="238"/>
      <c r="V7"/>
      <c r="W7"/>
      <c r="X7" s="238"/>
    </row>
    <row r="8" spans="1:24" customFormat="1" x14ac:dyDescent="0.3">
      <c r="M8" s="93" t="s">
        <v>21</v>
      </c>
      <c r="N8" s="305">
        <f>'Fatura B1 (Res) OK'!$N$7</f>
        <v>0.14199999999999999</v>
      </c>
      <c r="P8" s="99"/>
      <c r="Q8" s="99"/>
      <c r="R8" s="99"/>
      <c r="S8" s="99"/>
      <c r="T8" s="99"/>
      <c r="U8" s="99"/>
    </row>
    <row r="9" spans="1:24" x14ac:dyDescent="0.3">
      <c r="B9" s="131"/>
      <c r="C9" s="132"/>
      <c r="D9" s="209"/>
      <c r="E9" s="132"/>
      <c r="F9" s="132"/>
      <c r="G9" s="132"/>
      <c r="H9" s="210" t="s">
        <v>22</v>
      </c>
      <c r="I9" s="97"/>
      <c r="J9" s="99"/>
      <c r="K9" s="99"/>
      <c r="L9" s="102" t="s">
        <v>23</v>
      </c>
      <c r="M9" s="104">
        <f>EOMONTH(B13,0)+1</f>
        <v>45139</v>
      </c>
      <c r="P9"/>
      <c r="Q9"/>
      <c r="R9"/>
      <c r="S9"/>
      <c r="T9"/>
      <c r="U9"/>
      <c r="V9"/>
      <c r="W9"/>
      <c r="X9"/>
    </row>
    <row r="10" spans="1:24" x14ac:dyDescent="0.3">
      <c r="B10" s="211" t="s">
        <v>24</v>
      </c>
      <c r="C10" s="346">
        <v>878492</v>
      </c>
      <c r="D10" s="99"/>
      <c r="E10" s="97"/>
      <c r="F10" s="97"/>
      <c r="G10" s="97"/>
      <c r="H10" s="212">
        <f>E13</f>
        <v>45158</v>
      </c>
      <c r="J10" s="99"/>
      <c r="K10" s="485" t="s">
        <v>25</v>
      </c>
      <c r="L10" s="485"/>
      <c r="M10" s="99"/>
      <c r="O10"/>
      <c r="P10" s="374" t="s">
        <v>26</v>
      </c>
      <c r="Q10" s="375"/>
      <c r="R10" s="371" t="s">
        <v>27</v>
      </c>
      <c r="S10" s="371" t="s">
        <v>28</v>
      </c>
      <c r="T10" s="371" t="s">
        <v>17</v>
      </c>
      <c r="U10" s="371" t="s">
        <v>29</v>
      </c>
      <c r="V10"/>
      <c r="W10"/>
      <c r="X10"/>
    </row>
    <row r="11" spans="1:24" x14ac:dyDescent="0.3">
      <c r="B11" s="112"/>
      <c r="C11" s="99"/>
      <c r="D11" s="99"/>
      <c r="E11" s="99"/>
      <c r="F11" s="99"/>
      <c r="G11" s="99"/>
      <c r="H11" s="213"/>
      <c r="J11" s="99"/>
      <c r="K11" s="93" t="s">
        <v>7</v>
      </c>
      <c r="L11" s="93" t="s">
        <v>7</v>
      </c>
      <c r="M11" s="99"/>
      <c r="O11"/>
      <c r="P11" s="376" t="s">
        <v>30</v>
      </c>
      <c r="Q11" s="377"/>
      <c r="R11" s="373"/>
      <c r="S11" s="373"/>
      <c r="T11" s="387">
        <f>0.207830737658616/1000</f>
        <v>2.0783073765861601E-4</v>
      </c>
      <c r="U11" s="393">
        <f>4.02/1000</f>
        <v>4.0199999999999993E-3</v>
      </c>
      <c r="V11" s="97"/>
      <c r="W11" s="97"/>
      <c r="X11" s="97"/>
    </row>
    <row r="12" spans="1:24" ht="27.6" x14ac:dyDescent="0.3">
      <c r="B12" s="94" t="s">
        <v>31</v>
      </c>
      <c r="C12" s="94" t="s">
        <v>32</v>
      </c>
      <c r="D12" s="94" t="s">
        <v>33</v>
      </c>
      <c r="E12" s="94" t="s">
        <v>34</v>
      </c>
      <c r="F12" s="97"/>
      <c r="G12" s="97"/>
      <c r="H12" s="214"/>
      <c r="I12" s="97"/>
      <c r="J12" s="94" t="s">
        <v>31</v>
      </c>
      <c r="K12" s="94" t="s">
        <v>32</v>
      </c>
      <c r="L12" s="94" t="s">
        <v>33</v>
      </c>
      <c r="M12" s="94" t="s">
        <v>34</v>
      </c>
      <c r="O12"/>
    </row>
    <row r="13" spans="1:24" x14ac:dyDescent="0.3">
      <c r="A13" s="1" t="s">
        <v>0</v>
      </c>
      <c r="B13" s="227">
        <v>45127</v>
      </c>
      <c r="C13" s="106">
        <f>IF((F2-B13-1)&lt;0,0,(F2-B13-1))</f>
        <v>748</v>
      </c>
      <c r="D13" s="106">
        <f>E13-F2+1</f>
        <v>-717</v>
      </c>
      <c r="E13" s="227">
        <v>45158</v>
      </c>
      <c r="F13" s="215"/>
      <c r="G13" s="236" t="s">
        <v>154</v>
      </c>
      <c r="H13" s="236" t="s">
        <v>155</v>
      </c>
      <c r="I13" s="97"/>
      <c r="J13" s="107">
        <f>B13</f>
        <v>45127</v>
      </c>
      <c r="K13" s="108">
        <f>IF((M9-J13-1)&lt;0,0,(M9-J13-1))</f>
        <v>11</v>
      </c>
      <c r="L13" s="108">
        <f>M13-M9+1</f>
        <v>20</v>
      </c>
      <c r="M13" s="107">
        <f>E13</f>
        <v>45158</v>
      </c>
      <c r="O13"/>
    </row>
    <row r="14" spans="1:24" x14ac:dyDescent="0.3">
      <c r="B14" s="99"/>
      <c r="C14" s="99"/>
      <c r="D14" s="99"/>
      <c r="E14" s="99"/>
      <c r="F14" s="235" t="s">
        <v>119</v>
      </c>
      <c r="G14" s="233">
        <v>0.03</v>
      </c>
      <c r="H14" s="233">
        <v>0</v>
      </c>
      <c r="K14" s="55"/>
    </row>
    <row r="15" spans="1:24" x14ac:dyDescent="0.3">
      <c r="B15" s="486" t="s">
        <v>156</v>
      </c>
      <c r="C15" s="487"/>
      <c r="D15" s="487"/>
      <c r="E15" s="487"/>
      <c r="F15" s="487"/>
      <c r="G15" s="487"/>
      <c r="H15" s="488"/>
      <c r="I15"/>
      <c r="J15" s="302"/>
      <c r="K15"/>
      <c r="M15"/>
      <c r="N15"/>
      <c r="O15"/>
      <c r="P15"/>
    </row>
    <row r="16" spans="1:24" x14ac:dyDescent="0.3">
      <c r="A16" s="1" t="s">
        <v>0</v>
      </c>
      <c r="B16" s="112"/>
      <c r="C16" s="99"/>
      <c r="D16" s="98" t="s">
        <v>69</v>
      </c>
      <c r="E16" s="98" t="s">
        <v>70</v>
      </c>
      <c r="F16" s="98" t="s">
        <v>14</v>
      </c>
      <c r="G16" s="98" t="s">
        <v>15</v>
      </c>
      <c r="H16" s="169" t="s">
        <v>71</v>
      </c>
      <c r="I16"/>
      <c r="J16" s="302" t="s">
        <v>35</v>
      </c>
      <c r="K16" s="97"/>
      <c r="L16" s="350"/>
      <c r="M16"/>
      <c r="N16"/>
      <c r="O16"/>
      <c r="P16"/>
    </row>
    <row r="17" spans="2:20" x14ac:dyDescent="0.3">
      <c r="B17" s="217" t="s">
        <v>72</v>
      </c>
      <c r="C17" s="218"/>
      <c r="D17" s="219"/>
      <c r="E17" s="219"/>
      <c r="F17" s="219"/>
      <c r="G17" s="219"/>
      <c r="H17" s="220">
        <f>SUM(H19:H25)+SUM(H31:H33)</f>
        <v>255.93329952462912</v>
      </c>
      <c r="I17"/>
      <c r="J17"/>
      <c r="K17"/>
      <c r="M17"/>
      <c r="N17"/>
      <c r="O17"/>
      <c r="P17"/>
    </row>
    <row r="18" spans="2:20" x14ac:dyDescent="0.3">
      <c r="B18" s="112"/>
      <c r="C18" s="99"/>
      <c r="D18" s="98"/>
      <c r="E18" s="98"/>
      <c r="F18" s="98"/>
      <c r="G18" s="98"/>
      <c r="H18" s="113"/>
      <c r="I18"/>
      <c r="J18"/>
      <c r="K18"/>
      <c r="L18" s="172"/>
      <c r="M18"/>
      <c r="N18"/>
      <c r="O18" s="310"/>
      <c r="P18" s="310"/>
      <c r="R18" s="308" t="s">
        <v>50</v>
      </c>
      <c r="S18" s="308" t="s">
        <v>51</v>
      </c>
    </row>
    <row r="19" spans="2:20" x14ac:dyDescent="0.3">
      <c r="B19" s="112" t="s">
        <v>73</v>
      </c>
      <c r="C19" s="99"/>
      <c r="D19" s="228">
        <v>301</v>
      </c>
      <c r="E19" s="115">
        <f>IF(AND($B$13&lt;$F$2,$E$13&lt;$F$2),C6,IF($B$13&lt;$F$2,I6,F6))</f>
        <v>0.38351000000000002</v>
      </c>
      <c r="F19" s="115">
        <f>IF(AND($B$13&lt;$F$2,$E$13&lt;$F$2),D6,IF($B$13&lt;$F$2,J6,G6))</f>
        <v>0.30096000000000001</v>
      </c>
      <c r="G19" s="115">
        <f>E19+F19</f>
        <v>0.68447000000000002</v>
      </c>
      <c r="H19" s="116">
        <f>ROUND((D19*E19),2)+ROUND((D19*F19),2)</f>
        <v>206.03</v>
      </c>
      <c r="I19" s="112"/>
      <c r="J19" s="99"/>
      <c r="K19"/>
      <c r="M19"/>
      <c r="N19"/>
      <c r="O19"/>
      <c r="P19"/>
      <c r="R19" s="327">
        <f>IF(AND($B$13&lt;$F$2,$E$13&lt;$F$2),R6,IF($B$13&lt;$F$2,X6,U6))</f>
        <v>0.18823431351264014</v>
      </c>
      <c r="S19" s="328">
        <f>D19*R19</f>
        <v>56.658528367304683</v>
      </c>
      <c r="T19" s="329">
        <f>SUM(S19:S20)</f>
        <v>54.958772516285542</v>
      </c>
    </row>
    <row r="20" spans="2:20" x14ac:dyDescent="0.3">
      <c r="B20" s="112" t="s">
        <v>157</v>
      </c>
      <c r="C20" s="99"/>
      <c r="D20" s="114"/>
      <c r="E20" s="117"/>
      <c r="F20" s="118"/>
      <c r="G20" s="118"/>
      <c r="H20" s="116">
        <f>IF(AND($B$13&lt;$F$2,$E$13&lt;$F$2),-H19*$G$14,-IF($B$13&lt;$F$2,((((E6)*$G$14*$C$13)+((H6)*$H$14*$D$13))/($C$13+$D$13))*D19,H19*$H$14))</f>
        <v>-6.1808999999999994</v>
      </c>
      <c r="I20" s="171">
        <f>-H20/H19</f>
        <v>2.9999999999999995E-2</v>
      </c>
      <c r="K20"/>
      <c r="L20"/>
      <c r="M20"/>
      <c r="N20"/>
      <c r="O20" s="171"/>
      <c r="P20" s="171"/>
      <c r="S20" s="309">
        <f>-S19*I20</f>
        <v>-1.6997558510191402</v>
      </c>
    </row>
    <row r="21" spans="2:20" x14ac:dyDescent="0.3">
      <c r="B21" s="112"/>
      <c r="C21" s="99"/>
      <c r="D21" s="119"/>
      <c r="E21" s="99"/>
      <c r="F21" s="99"/>
      <c r="G21" s="99"/>
      <c r="H21" s="120"/>
      <c r="I21" s="112"/>
      <c r="J21" s="99"/>
      <c r="K21"/>
      <c r="L21"/>
      <c r="M21"/>
      <c r="N21"/>
      <c r="O21"/>
      <c r="P21"/>
    </row>
    <row r="22" spans="2:20" x14ac:dyDescent="0.3">
      <c r="B22" s="112" t="s">
        <v>57</v>
      </c>
      <c r="C22" s="99"/>
      <c r="D22" s="121">
        <f>IF($K$11=$M$4,(D19*(K13)/(K13+L13)),0)+IF($L$11=$M$4,(D19*(L13)/(K13+L13)),0)</f>
        <v>0</v>
      </c>
      <c r="E22" s="99"/>
      <c r="F22" s="122">
        <f>N4</f>
        <v>1.8849999999999999E-2</v>
      </c>
      <c r="G22" s="122"/>
      <c r="H22" s="116">
        <f>ROUND(D22*(E22+F22),2)</f>
        <v>0</v>
      </c>
      <c r="I22" s="112"/>
      <c r="J22" s="99"/>
      <c r="M22"/>
      <c r="N22"/>
      <c r="O22"/>
      <c r="P22"/>
    </row>
    <row r="23" spans="2:20" x14ac:dyDescent="0.3">
      <c r="B23" s="112" t="s">
        <v>58</v>
      </c>
      <c r="C23" s="99"/>
      <c r="D23" s="121">
        <f>IF($K$11=$M$5,(D19*(K13)/(K13+L13)),0)+IF($L$11=$M$5,(D19*(L13)/(K13+L13)),0)</f>
        <v>0</v>
      </c>
      <c r="E23" s="99"/>
      <c r="F23" s="122">
        <f>N5</f>
        <v>4.4630000000000003E-2</v>
      </c>
      <c r="G23" s="122"/>
      <c r="H23" s="116">
        <f>ROUND(D23*(E23+F23),2)</f>
        <v>0</v>
      </c>
      <c r="I23" s="112"/>
      <c r="J23" s="99"/>
      <c r="M23"/>
      <c r="N23"/>
      <c r="O23"/>
      <c r="P23"/>
    </row>
    <row r="24" spans="2:20" x14ac:dyDescent="0.3">
      <c r="B24" s="112" t="s">
        <v>59</v>
      </c>
      <c r="C24" s="99"/>
      <c r="D24" s="121">
        <f>IF($K$11=$M$6,(D19*(K13)/(K13+L13)),0)+IF($L$11=$M$6,(D19*(L13)/(K13+L13)),0)</f>
        <v>0</v>
      </c>
      <c r="E24" s="99"/>
      <c r="F24" s="122">
        <f>N6</f>
        <v>7.8770000000000007E-2</v>
      </c>
      <c r="G24" s="122"/>
      <c r="H24" s="116">
        <f>ROUND(D24*(E24+F24),2)</f>
        <v>0</v>
      </c>
      <c r="I24" s="112"/>
      <c r="J24" s="99"/>
      <c r="L24" s="172"/>
      <c r="M24"/>
      <c r="N24"/>
      <c r="O24"/>
      <c r="P24"/>
    </row>
    <row r="25" spans="2:20" x14ac:dyDescent="0.3">
      <c r="B25" s="112" t="s">
        <v>74</v>
      </c>
      <c r="C25" s="99"/>
      <c r="D25" s="121">
        <f>IF($K$11=M8,(D19*(K13)/(K13+L13)),0)+IF($L$11=M8,(D19*(L13)/(K13+L13)),0)</f>
        <v>0</v>
      </c>
      <c r="E25" s="99"/>
      <c r="F25" s="122">
        <f>N8</f>
        <v>0.14199999999999999</v>
      </c>
      <c r="G25" s="122"/>
      <c r="H25" s="116">
        <f>ROUND(D25*(E25+F25),2)</f>
        <v>0</v>
      </c>
      <c r="I25" s="112"/>
      <c r="J25" s="99"/>
      <c r="L25"/>
      <c r="M25"/>
      <c r="N25"/>
      <c r="O25"/>
      <c r="P25"/>
    </row>
    <row r="26" spans="2:20" x14ac:dyDescent="0.3">
      <c r="B26" s="112"/>
      <c r="C26" s="99"/>
      <c r="D26" s="119"/>
      <c r="E26" s="99"/>
      <c r="F26" s="99"/>
      <c r="G26" s="99"/>
      <c r="H26" s="116"/>
      <c r="I26" s="112"/>
      <c r="J26" s="99"/>
      <c r="L26"/>
      <c r="M26"/>
      <c r="N26"/>
      <c r="O26"/>
      <c r="P26"/>
    </row>
    <row r="27" spans="2:20" x14ac:dyDescent="0.3">
      <c r="B27" s="124"/>
      <c r="C27" s="103"/>
      <c r="D27" s="103"/>
      <c r="E27" s="103"/>
      <c r="F27" s="103"/>
      <c r="G27" s="103"/>
      <c r="H27" s="125"/>
      <c r="I27"/>
      <c r="J27" s="310"/>
      <c r="L27"/>
      <c r="M27"/>
      <c r="N27"/>
      <c r="O27"/>
      <c r="P27"/>
    </row>
    <row r="28" spans="2:20" x14ac:dyDescent="0.3">
      <c r="B28" s="126"/>
      <c r="C28" s="127"/>
      <c r="D28" s="128"/>
      <c r="E28" s="129"/>
      <c r="F28" s="127"/>
      <c r="G28" s="127"/>
      <c r="H28" s="130"/>
      <c r="I28"/>
      <c r="J28"/>
      <c r="L28"/>
      <c r="M28"/>
      <c r="N28"/>
      <c r="O28"/>
      <c r="P28"/>
    </row>
    <row r="29" spans="2:20" x14ac:dyDescent="0.3">
      <c r="B29" s="131"/>
      <c r="C29" s="132"/>
      <c r="D29" s="132"/>
      <c r="E29" s="132"/>
      <c r="F29" s="132"/>
      <c r="G29" s="132"/>
      <c r="H29" s="133"/>
      <c r="I29"/>
      <c r="J29"/>
      <c r="L29"/>
      <c r="M29"/>
      <c r="N29"/>
      <c r="O29"/>
      <c r="P29"/>
    </row>
    <row r="30" spans="2:20" x14ac:dyDescent="0.3">
      <c r="B30" s="112"/>
      <c r="C30" s="99"/>
      <c r="D30" s="95" t="s">
        <v>75</v>
      </c>
      <c r="E30" s="111"/>
      <c r="F30" s="111"/>
      <c r="G30" s="111"/>
      <c r="H30" s="134"/>
      <c r="I30"/>
      <c r="J30"/>
      <c r="K30" s="14"/>
      <c r="L30"/>
      <c r="M30"/>
      <c r="N30"/>
      <c r="O30"/>
      <c r="P30"/>
    </row>
    <row r="31" spans="2:20" x14ac:dyDescent="0.3">
      <c r="B31" s="112" t="s">
        <v>76</v>
      </c>
      <c r="C31" s="99"/>
      <c r="D31" s="136">
        <f>(H19+H20+H22+H23+H24+H25)/(1-(E31+E32))</f>
        <v>212.42463860544217</v>
      </c>
      <c r="E31" s="352">
        <v>1.06E-2</v>
      </c>
      <c r="F31" s="99"/>
      <c r="G31" s="99"/>
      <c r="H31" s="116">
        <f>D31*E31</f>
        <v>2.2517011692176871</v>
      </c>
      <c r="I31"/>
      <c r="J31"/>
      <c r="L31"/>
      <c r="M31"/>
      <c r="N31"/>
      <c r="O31"/>
      <c r="P31"/>
    </row>
    <row r="32" spans="2:20" x14ac:dyDescent="0.3">
      <c r="B32" s="112" t="s">
        <v>56</v>
      </c>
      <c r="C32" s="99"/>
      <c r="D32" s="136">
        <f>D31</f>
        <v>212.42463860544217</v>
      </c>
      <c r="E32" s="352">
        <v>4.8599999999999997E-2</v>
      </c>
      <c r="F32" s="99"/>
      <c r="G32" s="99"/>
      <c r="H32" s="116">
        <f>D32*E32</f>
        <v>10.323837436224489</v>
      </c>
      <c r="I32"/>
      <c r="J32"/>
      <c r="L32"/>
      <c r="M32"/>
      <c r="N32"/>
      <c r="O32"/>
      <c r="P32"/>
    </row>
    <row r="33" spans="2:16" x14ac:dyDescent="0.3">
      <c r="B33" s="112" t="s">
        <v>77</v>
      </c>
      <c r="C33" s="99"/>
      <c r="D33" s="307">
        <f>D31/(1-E33)</f>
        <v>255.93329952462912</v>
      </c>
      <c r="E33" s="311">
        <v>0.17</v>
      </c>
      <c r="F33" s="99"/>
      <c r="G33" s="99"/>
      <c r="H33" s="116">
        <f>D33*E33</f>
        <v>43.508660919186951</v>
      </c>
      <c r="I33"/>
      <c r="J33" s="12"/>
      <c r="L33"/>
      <c r="M33"/>
      <c r="N33"/>
      <c r="O33"/>
      <c r="P33"/>
    </row>
    <row r="34" spans="2:16" x14ac:dyDescent="0.3">
      <c r="B34" s="126"/>
      <c r="C34" s="127"/>
      <c r="D34" s="127"/>
      <c r="E34" s="127"/>
      <c r="F34" s="127"/>
      <c r="G34" s="127"/>
      <c r="H34" s="137"/>
      <c r="I34"/>
      <c r="J34"/>
      <c r="L34"/>
      <c r="M34"/>
      <c r="N34"/>
      <c r="O34"/>
      <c r="P34"/>
    </row>
    <row r="35" spans="2:16" x14ac:dyDescent="0.3">
      <c r="B35" s="366" t="s">
        <v>78</v>
      </c>
      <c r="C35" s="367"/>
      <c r="D35" s="368">
        <f>D19</f>
        <v>301</v>
      </c>
      <c r="E35" s="369">
        <f>IF(AND($B$13&lt;$F$2,$E$13&lt;$F$2),C7,IF($B$13&lt;$F$2,I7,F7))</f>
        <v>0</v>
      </c>
      <c r="F35" s="369">
        <f>IF(AND($B$13&lt;$F$2,$E$13&lt;$F$2),D7,IF($B$13&lt;$F$2,J7,G7))</f>
        <v>0</v>
      </c>
      <c r="G35" s="367"/>
      <c r="H35" s="366">
        <f>D35*(E35+F35)</f>
        <v>0</v>
      </c>
      <c r="I35"/>
      <c r="J35"/>
    </row>
    <row r="36" spans="2:16" x14ac:dyDescent="0.3">
      <c r="I36"/>
      <c r="J36"/>
    </row>
    <row r="37" spans="2:16" x14ac:dyDescent="0.3">
      <c r="B37" s="63" t="s">
        <v>79</v>
      </c>
      <c r="D37" s="13"/>
      <c r="E37" s="13"/>
      <c r="F37" s="13"/>
      <c r="G37" s="13"/>
    </row>
    <row r="38" spans="2:16" x14ac:dyDescent="0.3">
      <c r="B38" s="56"/>
      <c r="C38" s="57" t="s">
        <v>71</v>
      </c>
    </row>
    <row r="39" spans="2:16" x14ac:dyDescent="0.3">
      <c r="B39" s="56" t="s">
        <v>80</v>
      </c>
      <c r="C39" s="58">
        <f>SUM(H19:H25)*IF($B$13&lt;$F$2,D82,D54)</f>
        <v>27.39324224089204</v>
      </c>
    </row>
    <row r="40" spans="2:16" x14ac:dyDescent="0.3">
      <c r="B40" s="56" t="s">
        <v>81</v>
      </c>
      <c r="C40" s="58">
        <f>SUM(H19:H25)*IF($B$13&lt;$F$2,F82,F54)</f>
        <v>-51.895633620887146</v>
      </c>
      <c r="H40" s="347" t="s">
        <v>158</v>
      </c>
      <c r="I40" s="347"/>
      <c r="J40" s="347"/>
    </row>
    <row r="41" spans="2:16" x14ac:dyDescent="0.3">
      <c r="B41" s="56" t="s">
        <v>82</v>
      </c>
      <c r="C41" s="58">
        <f>SUM(H19:H25)*IF($B$13&lt;$F$2,E82,E54)</f>
        <v>105.13527131760132</v>
      </c>
    </row>
    <row r="42" spans="2:16" x14ac:dyDescent="0.3">
      <c r="B42" s="56" t="s">
        <v>83</v>
      </c>
      <c r="C42" s="58">
        <f>SUM(H19:H25)*IF($B$13&lt;$F$2,G82,G54)</f>
        <v>119.21622006239301</v>
      </c>
    </row>
    <row r="43" spans="2:16" x14ac:dyDescent="0.3">
      <c r="B43" s="56" t="s">
        <v>84</v>
      </c>
      <c r="C43" s="59">
        <f>H31+H32+H33</f>
        <v>56.084199524629128</v>
      </c>
    </row>
    <row r="44" spans="2:16" x14ac:dyDescent="0.3">
      <c r="B44" s="60" t="s">
        <v>85</v>
      </c>
      <c r="C44" s="61">
        <f>SUM(C39:C43)</f>
        <v>255.93329952462835</v>
      </c>
    </row>
    <row r="46" spans="2:16" x14ac:dyDescent="0.3">
      <c r="B46" s="15">
        <f>'Fatura B1 (Res) OK'!$B$68</f>
        <v>2024</v>
      </c>
      <c r="C46" s="15"/>
      <c r="D46" s="15" t="str">
        <f>'Fatura B1 (Res) OK'!$D$68</f>
        <v>Energia</v>
      </c>
      <c r="E46" s="15" t="str">
        <f>'Fatura B1 (Res) OK'!$E$68</f>
        <v>Transmissão</v>
      </c>
      <c r="F46" s="15" t="str">
        <f>'Fatura B1 (Res) OK'!$F$68</f>
        <v>Distribuição</v>
      </c>
      <c r="G46" s="15" t="str">
        <f>'Fatura B1 (Res) OK'!$G$68</f>
        <v>Setoriais</v>
      </c>
    </row>
    <row r="47" spans="2:16" x14ac:dyDescent="0.3">
      <c r="B47" s="15" t="str">
        <f>'Fatura B1 (Res) OK'!$B$69</f>
        <v>Grupo B</v>
      </c>
      <c r="C47" s="15"/>
      <c r="D47" s="15" t="str">
        <f>'Fatura B1 (Res) OK'!$D$69</f>
        <v>%</v>
      </c>
      <c r="E47" s="15" t="str">
        <f>'Fatura B1 (Res) OK'!$E$69</f>
        <v>%</v>
      </c>
      <c r="F47" s="15" t="str">
        <f>'Fatura B1 (Res) OK'!$F$69</f>
        <v>%</v>
      </c>
      <c r="G47" s="15" t="str">
        <f>'Fatura B1 (Res) OK'!$G$69</f>
        <v>%</v>
      </c>
    </row>
    <row r="48" spans="2:16" x14ac:dyDescent="0.3">
      <c r="B48" s="15"/>
      <c r="C48" s="15"/>
      <c r="D48" s="15"/>
      <c r="E48" s="15"/>
      <c r="F48" s="15"/>
      <c r="G48" s="15"/>
      <c r="K48" s="103"/>
    </row>
    <row r="49" spans="2:11" x14ac:dyDescent="0.3">
      <c r="B49" s="15" t="str">
        <f>'Fatura B1 (Res) OK'!$B$71</f>
        <v>B1 - Residencial</v>
      </c>
      <c r="C49" s="15"/>
      <c r="D49" s="62">
        <f>'Fatura B1 (Res) OK'!$D$71</f>
        <v>0.45246416638672077</v>
      </c>
      <c r="E49" s="62">
        <f>'Fatura B1 (Res) OK'!$E$71</f>
        <v>7.39594111182032E-2</v>
      </c>
      <c r="F49" s="62">
        <f>'Fatura B1 (Res) OK'!$F$71</f>
        <v>0.27500913257019954</v>
      </c>
      <c r="G49" s="62">
        <f>'Fatura B1 (Res) OK'!$G$71</f>
        <v>0.19856728992487654</v>
      </c>
    </row>
    <row r="50" spans="2:11" x14ac:dyDescent="0.3">
      <c r="B50" s="15" t="str">
        <f>'Fatura B1 (Res) OK'!$B$72</f>
        <v>B1 - Residencial Baixa Renda</v>
      </c>
      <c r="C50" s="15"/>
      <c r="D50" s="62">
        <f>'Fatura B1 (Res) OK'!$D$72</f>
        <v>0.53149575868436638</v>
      </c>
      <c r="E50" s="62">
        <f>'Fatura B1 (Res) OK'!$E$72</f>
        <v>8.6877848555460851E-2</v>
      </c>
      <c r="F50" s="62">
        <f>'Fatura B1 (Res) OK'!$F$72</f>
        <v>0.32304478104372042</v>
      </c>
      <c r="G50" s="62">
        <f>'Fatura B1 (Res) OK'!$G$72</f>
        <v>5.8581611716452382E-2</v>
      </c>
    </row>
    <row r="51" spans="2:11" x14ac:dyDescent="0.3">
      <c r="B51" s="15" t="str">
        <f>'Fatura B1 (Res) OK'!$B$73</f>
        <v>B2 - Rural</v>
      </c>
      <c r="C51" s="15"/>
      <c r="D51" s="62">
        <f>'Fatura B1 (Res) OK'!$D$73</f>
        <v>0.45246416638672077</v>
      </c>
      <c r="E51" s="62">
        <f>'Fatura B1 (Res) OK'!$E$73</f>
        <v>7.39594111182032E-2</v>
      </c>
      <c r="F51" s="62">
        <f>'Fatura B1 (Res) OK'!$F$73</f>
        <v>0.27500913257019954</v>
      </c>
      <c r="G51" s="62">
        <f>'Fatura B1 (Res) OK'!$G$73</f>
        <v>0.19856728992487654</v>
      </c>
    </row>
    <row r="52" spans="2:11" x14ac:dyDescent="0.3">
      <c r="B52" s="15" t="str">
        <f>'Fatura B1 (Res) OK'!$B$74</f>
        <v>B2 - Cooperativa Eletrificação Rural</v>
      </c>
      <c r="C52" s="15"/>
      <c r="D52" s="62">
        <f>'Fatura B1 (Res) OK'!$D$74</f>
        <v>0.45246416638672077</v>
      </c>
      <c r="E52" s="62">
        <f>'Fatura B1 (Res) OK'!$E$74</f>
        <v>7.39594111182032E-2</v>
      </c>
      <c r="F52" s="62">
        <f>'Fatura B1 (Res) OK'!$F$74</f>
        <v>0.27500913257019954</v>
      </c>
      <c r="G52" s="62">
        <f>'Fatura B1 (Res) OK'!$G$74</f>
        <v>0.19856728992487654</v>
      </c>
    </row>
    <row r="53" spans="2:11" x14ac:dyDescent="0.3">
      <c r="B53" s="15" t="str">
        <f>'Fatura B1 (Res) OK'!$B$75</f>
        <v>B2 - Serviço de Irrigação</v>
      </c>
      <c r="C53" s="15"/>
      <c r="D53" s="62">
        <f>'Fatura B1 (Res) OK'!$D$75</f>
        <v>0.45246416638672077</v>
      </c>
      <c r="E53" s="62">
        <f>'Fatura B1 (Res) OK'!$E$75</f>
        <v>7.39594111182032E-2</v>
      </c>
      <c r="F53" s="62">
        <f>'Fatura B1 (Res) OK'!$F$75</f>
        <v>0.27500913257019954</v>
      </c>
      <c r="G53" s="62">
        <f>'Fatura B1 (Res) OK'!$G$75</f>
        <v>0.19856728992487654</v>
      </c>
    </row>
    <row r="54" spans="2:11" x14ac:dyDescent="0.3">
      <c r="B54" s="15" t="str">
        <f>'Fatura B1 (Res) OK'!$B$76</f>
        <v>B3 - Demais Classes</v>
      </c>
      <c r="C54" s="15"/>
      <c r="D54" s="62">
        <f>'Fatura B1 (Res) OK'!$D$76</f>
        <v>0.45246416638672077</v>
      </c>
      <c r="E54" s="62">
        <f>'Fatura B1 (Res) OK'!$E$76</f>
        <v>7.39594111182032E-2</v>
      </c>
      <c r="F54" s="62">
        <f>'Fatura B1 (Res) OK'!$F$76</f>
        <v>0.27500913257019954</v>
      </c>
      <c r="G54" s="62">
        <f>'Fatura B1 (Res) OK'!$G$76</f>
        <v>0.19856728992487654</v>
      </c>
    </row>
    <row r="55" spans="2:11" x14ac:dyDescent="0.3">
      <c r="B55" s="15" t="str">
        <f>'Fatura B1 (Res) OK'!$B$77</f>
        <v>B4 - Iluminação Pública</v>
      </c>
      <c r="C55" s="15"/>
      <c r="D55" s="62">
        <f>'Fatura B1 (Res) OK'!$D$77</f>
        <v>0.45246416638672071</v>
      </c>
      <c r="E55" s="62">
        <f>'Fatura B1 (Res) OK'!$E$77</f>
        <v>7.3959411118203186E-2</v>
      </c>
      <c r="F55" s="62">
        <f>'Fatura B1 (Res) OK'!$F$77</f>
        <v>0.27500913257019949</v>
      </c>
      <c r="G55" s="62">
        <f>'Fatura B1 (Res) OK'!$G$77</f>
        <v>0.19856728992487654</v>
      </c>
    </row>
    <row r="56" spans="2:11" x14ac:dyDescent="0.3">
      <c r="B56" s="15" t="str">
        <f>'Fatura B1 (Res) OK'!$B$78</f>
        <v>B4a - Rede de Distribuição</v>
      </c>
      <c r="C56" s="15"/>
      <c r="D56" s="62">
        <f>'Fatura B1 (Res) OK'!$D$78</f>
        <v>0.45246416638672071</v>
      </c>
      <c r="E56" s="62">
        <f>'Fatura B1 (Res) OK'!$E$78</f>
        <v>7.3959411118203186E-2</v>
      </c>
      <c r="F56" s="62">
        <f>'Fatura B1 (Res) OK'!$F$78</f>
        <v>0.27500913257019949</v>
      </c>
      <c r="G56" s="62">
        <f>'Fatura B1 (Res) OK'!$G$78</f>
        <v>0.19856728992487654</v>
      </c>
    </row>
    <row r="57" spans="2:11" x14ac:dyDescent="0.3">
      <c r="B57" s="15" t="str">
        <f>'Fatura B1 (Res) OK'!$B$79</f>
        <v>B4b - Bulbo de Lâmpada</v>
      </c>
      <c r="C57" s="15"/>
      <c r="D57" s="62">
        <f>'Fatura B1 (Res) OK'!$D$79</f>
        <v>0.45246416638672071</v>
      </c>
      <c r="E57" s="62">
        <f>'Fatura B1 (Res) OK'!$E$79</f>
        <v>7.39594111182032E-2</v>
      </c>
      <c r="F57" s="62">
        <f>'Fatura B1 (Res) OK'!$F$79</f>
        <v>0.27500913257019954</v>
      </c>
      <c r="G57" s="62">
        <f>'Fatura B1 (Res) OK'!$G$79</f>
        <v>0.19856728992487657</v>
      </c>
      <c r="K57" s="304"/>
    </row>
    <row r="58" spans="2:11" x14ac:dyDescent="0.3">
      <c r="B58" s="63"/>
      <c r="C58" s="63"/>
      <c r="D58" s="63"/>
      <c r="E58" s="63"/>
      <c r="F58" s="63"/>
      <c r="G58" s="63"/>
    </row>
    <row r="59" spans="2:11" x14ac:dyDescent="0.3">
      <c r="B59" s="63"/>
      <c r="C59" s="63"/>
      <c r="D59" s="63"/>
      <c r="E59" s="63"/>
      <c r="F59" s="63"/>
      <c r="G59" s="63"/>
    </row>
    <row r="60" spans="2:11" x14ac:dyDescent="0.3">
      <c r="B60" s="63">
        <f>'Fatura B1 (Res) OK'!$B$82</f>
        <v>2023</v>
      </c>
      <c r="C60" s="63"/>
      <c r="D60" s="15" t="str">
        <f>'Fatura B1 (Res) OK'!$D$68</f>
        <v>Energia</v>
      </c>
      <c r="E60" s="15" t="str">
        <f>'Fatura B1 (Res) OK'!$E$68</f>
        <v>Transmissão</v>
      </c>
      <c r="F60" s="15" t="str">
        <f>'Fatura B1 (Res) OK'!$F$68</f>
        <v>Distribuição</v>
      </c>
      <c r="G60" s="15" t="str">
        <f>'Fatura B1 (Res) OK'!$G$68</f>
        <v>Setoriais</v>
      </c>
    </row>
    <row r="61" spans="2:11" x14ac:dyDescent="0.3">
      <c r="B61" s="63" t="str">
        <f>'Fatura B1 (Res) OK'!$B$83</f>
        <v>Grupo B</v>
      </c>
      <c r="C61" s="63"/>
      <c r="D61" s="15" t="str">
        <f>'Fatura B1 (Res) OK'!$D$69</f>
        <v>%</v>
      </c>
      <c r="E61" s="15" t="str">
        <f>'Fatura B1 (Res) OK'!$E$69</f>
        <v>%</v>
      </c>
      <c r="F61" s="15" t="str">
        <f>'Fatura B1 (Res) OK'!$F$69</f>
        <v>%</v>
      </c>
      <c r="G61" s="15" t="str">
        <f>'Fatura B1 (Res) OK'!$G$69</f>
        <v>%</v>
      </c>
    </row>
    <row r="62" spans="2:11" x14ac:dyDescent="0.3">
      <c r="B62" s="15"/>
      <c r="C62" s="15"/>
      <c r="D62" s="15"/>
      <c r="E62" s="15"/>
      <c r="F62" s="15"/>
      <c r="G62" s="15"/>
    </row>
    <row r="63" spans="2:11" x14ac:dyDescent="0.3">
      <c r="B63" s="15" t="str">
        <f>'Fatura B1 (Res) OK'!$B$85</f>
        <v>B1 - Residencial</v>
      </c>
      <c r="C63" s="15"/>
      <c r="D63" s="62">
        <f>'Fatura B1 (Res) OK'!$D$85</f>
        <v>0.43939696077133034</v>
      </c>
      <c r="E63" s="62">
        <f>'Fatura B1 (Res) OK'!$E$85</f>
        <v>9.2697585625348772E-2</v>
      </c>
      <c r="F63" s="62">
        <f>'Fatura B1 (Res) OK'!$F$85</f>
        <v>0.25285207888477268</v>
      </c>
      <c r="G63" s="62">
        <f>'Fatura B1 (Res) OK'!$G$85</f>
        <v>0.21506308252114117</v>
      </c>
    </row>
    <row r="64" spans="2:11" x14ac:dyDescent="0.3">
      <c r="B64" s="15" t="str">
        <f>'Fatura B1 (Res) OK'!$B$86</f>
        <v>B1 - Residencial Baixa Renda</v>
      </c>
      <c r="C64" s="15"/>
      <c r="D64" s="62">
        <f>'Fatura B1 (Res) OK'!$D$86</f>
        <v>0.52691619996872485</v>
      </c>
      <c r="E64" s="62">
        <f>'Fatura B1 (Res) OK'!$E$86</f>
        <v>0.11116112291319068</v>
      </c>
      <c r="F64" s="62">
        <f>'Fatura B1 (Res) OK'!$F$86</f>
        <v>0.30321524374287334</v>
      </c>
      <c r="G64" s="62">
        <f>'Fatura B1 (Res) OK'!$G$86</f>
        <v>5.8707433375211129E-2</v>
      </c>
    </row>
    <row r="65" spans="2:7" x14ac:dyDescent="0.3">
      <c r="B65" s="15" t="str">
        <f>'Fatura B1 (Res) OK'!$B$87</f>
        <v>B2 - Rural</v>
      </c>
      <c r="C65" s="15"/>
      <c r="D65" s="62">
        <f>'Fatura B1 (Res) OK'!$D$87</f>
        <v>0.43939300245552615</v>
      </c>
      <c r="E65" s="62">
        <f>'Fatura B1 (Res) OK'!$E$87</f>
        <v>9.2696750557401245E-2</v>
      </c>
      <c r="F65" s="62">
        <f>'Fatura B1 (Res) OK'!$F$87</f>
        <v>0.25284980106205335</v>
      </c>
      <c r="G65" s="62">
        <f>'Fatura B1 (Res) OK'!$G$87</f>
        <v>0.21506044592501908</v>
      </c>
    </row>
    <row r="66" spans="2:7" x14ac:dyDescent="0.3">
      <c r="B66" s="15" t="str">
        <f>'Fatura B1 (Res) OK'!$B$88</f>
        <v>B2 - Cooperativa Eletrificação Rural</v>
      </c>
      <c r="C66" s="15"/>
      <c r="D66" s="62">
        <f>'Fatura B1 (Res) OK'!$D$88</f>
        <v>0.43939300245552615</v>
      </c>
      <c r="E66" s="62">
        <f>'Fatura B1 (Res) OK'!$E$88</f>
        <v>9.2696750557401245E-2</v>
      </c>
      <c r="F66" s="62">
        <f>'Fatura B1 (Res) OK'!$F$88</f>
        <v>0.25284980106205335</v>
      </c>
      <c r="G66" s="62">
        <f>'Fatura B1 (Res) OK'!$G$88</f>
        <v>0.21506044592501908</v>
      </c>
    </row>
    <row r="67" spans="2:7" x14ac:dyDescent="0.3">
      <c r="B67" s="15" t="str">
        <f>'Fatura B1 (Res) OK'!$B$89</f>
        <v>B2 - Serviço de Irrigação</v>
      </c>
      <c r="C67" s="15"/>
      <c r="D67" s="62">
        <f>'Fatura B1 (Res) OK'!$D$89</f>
        <v>0.43939300245552615</v>
      </c>
      <c r="E67" s="62">
        <f>'Fatura B1 (Res) OK'!$E$89</f>
        <v>9.2696750557401328E-2</v>
      </c>
      <c r="F67" s="62">
        <f>'Fatura B1 (Res) OK'!$F$89</f>
        <v>0.25284980106205335</v>
      </c>
      <c r="G67" s="62">
        <f>'Fatura B1 (Res) OK'!$G$89</f>
        <v>0.21506044592501908</v>
      </c>
    </row>
    <row r="68" spans="2:7" x14ac:dyDescent="0.3">
      <c r="B68" s="15" t="str">
        <f>'Fatura B1 (Res) OK'!$B$90</f>
        <v>B3 - Demais Classes</v>
      </c>
      <c r="C68" s="15"/>
      <c r="D68" s="62">
        <f>'Fatura B1 (Res) OK'!$D$90</f>
        <v>0.43939300245552615</v>
      </c>
      <c r="E68" s="62">
        <f>'Fatura B1 (Res) OK'!$E$90</f>
        <v>9.2696750557401328E-2</v>
      </c>
      <c r="F68" s="62">
        <f>'Fatura B1 (Res) OK'!$F$90</f>
        <v>0.25284980106205335</v>
      </c>
      <c r="G68" s="62">
        <f>'Fatura B1 (Res) OK'!$G$90</f>
        <v>0.21506044592501908</v>
      </c>
    </row>
    <row r="69" spans="2:7" x14ac:dyDescent="0.3">
      <c r="B69" s="15" t="str">
        <f>'Fatura B1 (Res) OK'!$B$91</f>
        <v>B4 - Iluminação Pública</v>
      </c>
      <c r="C69" s="15"/>
      <c r="D69" s="62">
        <f>'Fatura B1 (Res) OK'!$D$91</f>
        <v>0</v>
      </c>
      <c r="E69" s="62">
        <f>'Fatura B1 (Res) OK'!$E$91</f>
        <v>0</v>
      </c>
      <c r="F69" s="62">
        <f>'Fatura B1 (Res) OK'!$F$91</f>
        <v>0</v>
      </c>
      <c r="G69" s="62">
        <f>'Fatura B1 (Res) OK'!$G$91</f>
        <v>0</v>
      </c>
    </row>
    <row r="70" spans="2:7" x14ac:dyDescent="0.3">
      <c r="B70" s="15" t="str">
        <f>'Fatura B1 (Res) OK'!$B$92</f>
        <v>B4a - Rede de Distribuição</v>
      </c>
      <c r="C70" s="15"/>
      <c r="D70" s="62">
        <f>'Fatura B1 (Res) OK'!$D$92</f>
        <v>0.43938945729126549</v>
      </c>
      <c r="E70" s="62">
        <f>'Fatura B1 (Res) OK'!$E$92</f>
        <v>9.2697336752737058E-2</v>
      </c>
      <c r="F70" s="62">
        <f>'Fatura B1 (Res) OK'!$F$92</f>
        <v>0.25285140003260154</v>
      </c>
      <c r="G70" s="62">
        <f>'Fatura B1 (Res) OK'!$G$92</f>
        <v>0.21506180592339591</v>
      </c>
    </row>
    <row r="71" spans="2:7" x14ac:dyDescent="0.3">
      <c r="B71" s="15" t="str">
        <f>'Fatura B1 (Res) OK'!$B$93</f>
        <v>B4b - Bulbo de Lâmpada</v>
      </c>
      <c r="C71" s="15"/>
      <c r="D71" s="62">
        <f>'Fatura B1 (Res) OK'!$D$93</f>
        <v>0.43938945729126527</v>
      </c>
      <c r="E71" s="62">
        <f>'Fatura B1 (Res) OK'!$E$93</f>
        <v>9.2697336752736934E-2</v>
      </c>
      <c r="F71" s="62">
        <f>'Fatura B1 (Res) OK'!$F$93</f>
        <v>0.25285140003260193</v>
      </c>
      <c r="G71" s="62">
        <f>'Fatura B1 (Res) OK'!$G$93</f>
        <v>0.21506180592339585</v>
      </c>
    </row>
    <row r="72" spans="2:7" x14ac:dyDescent="0.3">
      <c r="B72" s="63"/>
      <c r="C72" s="63"/>
      <c r="D72" s="63"/>
      <c r="E72" s="63"/>
      <c r="F72" s="63"/>
      <c r="G72" s="63"/>
    </row>
    <row r="73" spans="2:7" x14ac:dyDescent="0.3">
      <c r="B73" s="101" t="s">
        <v>98</v>
      </c>
      <c r="C73" s="63"/>
      <c r="D73" s="63"/>
      <c r="E73" s="63"/>
      <c r="F73" s="63"/>
      <c r="G73" s="63"/>
    </row>
    <row r="74" spans="2:7" x14ac:dyDescent="0.3">
      <c r="B74" s="15"/>
      <c r="C74" s="15"/>
      <c r="D74" s="15" t="s">
        <v>80</v>
      </c>
      <c r="E74" s="15" t="s">
        <v>82</v>
      </c>
      <c r="F74" s="15" t="s">
        <v>81</v>
      </c>
      <c r="G74" s="15" t="s">
        <v>86</v>
      </c>
    </row>
    <row r="75" spans="2:7" x14ac:dyDescent="0.3">
      <c r="B75" s="15" t="s">
        <v>87</v>
      </c>
      <c r="C75" s="15"/>
      <c r="D75" s="62" t="s">
        <v>88</v>
      </c>
      <c r="E75" s="62" t="s">
        <v>88</v>
      </c>
      <c r="F75" s="62" t="s">
        <v>88</v>
      </c>
      <c r="G75" s="62" t="s">
        <v>88</v>
      </c>
    </row>
    <row r="76" spans="2:7" x14ac:dyDescent="0.3">
      <c r="B76" s="15"/>
      <c r="C76" s="15"/>
      <c r="D76" s="62"/>
      <c r="E76" s="62"/>
      <c r="F76" s="62"/>
      <c r="G76" s="62"/>
    </row>
    <row r="77" spans="2:7" x14ac:dyDescent="0.3">
      <c r="B77" s="15" t="s">
        <v>89</v>
      </c>
      <c r="C77" s="15"/>
      <c r="D77" s="62">
        <f>((D63*$C$13)+(D49*$D$13))/($C$13+$D$13)</f>
        <v>0.13716514057020299</v>
      </c>
      <c r="E77" s="62">
        <f t="shared" ref="E77:G77" si="3">((E63*$C$13)+(E49*$D$13))/($C$13+$D$13)</f>
        <v>0.52609342825836081</v>
      </c>
      <c r="F77" s="62">
        <f t="shared" si="3"/>
        <v>-0.25961913054913288</v>
      </c>
      <c r="G77" s="62">
        <f t="shared" si="3"/>
        <v>0.5965948016024869</v>
      </c>
    </row>
    <row r="78" spans="2:7" x14ac:dyDescent="0.3">
      <c r="B78" s="15" t="s">
        <v>90</v>
      </c>
      <c r="C78" s="15"/>
      <c r="D78" s="62">
        <f t="shared" ref="D78:G85" si="4">((D64*$C$13)+(D50*$D$13))/($C$13+$D$13)</f>
        <v>0.42099543870695161</v>
      </c>
      <c r="E78" s="62">
        <f t="shared" si="4"/>
        <v>0.67280975886455485</v>
      </c>
      <c r="F78" s="62">
        <f t="shared" si="4"/>
        <v>-0.15542276415091247</v>
      </c>
      <c r="G78" s="62">
        <f t="shared" si="4"/>
        <v>6.1617566579405363E-2</v>
      </c>
    </row>
    <row r="79" spans="2:7" x14ac:dyDescent="0.3">
      <c r="B79" s="15" t="s">
        <v>91</v>
      </c>
      <c r="C79" s="15"/>
      <c r="D79" s="62">
        <f t="shared" si="4"/>
        <v>0.13706963024047664</v>
      </c>
      <c r="E79" s="62">
        <f t="shared" si="4"/>
        <v>0.52607327887691746</v>
      </c>
      <c r="F79" s="62">
        <f t="shared" si="4"/>
        <v>-0.25967409220700594</v>
      </c>
      <c r="G79" s="62">
        <f t="shared" si="4"/>
        <v>0.59653118308960618</v>
      </c>
    </row>
    <row r="80" spans="2:7" x14ac:dyDescent="0.3">
      <c r="B80" s="15" t="s">
        <v>92</v>
      </c>
      <c r="C80" s="15"/>
      <c r="D80" s="62">
        <f t="shared" si="4"/>
        <v>0.13706963024047664</v>
      </c>
      <c r="E80" s="62">
        <f t="shared" si="4"/>
        <v>0.52607327887691746</v>
      </c>
      <c r="F80" s="62">
        <f t="shared" si="4"/>
        <v>-0.25967409220700594</v>
      </c>
      <c r="G80" s="62">
        <f t="shared" si="4"/>
        <v>0.59653118308960618</v>
      </c>
    </row>
    <row r="81" spans="2:7" x14ac:dyDescent="0.3">
      <c r="B81" s="15" t="s">
        <v>93</v>
      </c>
      <c r="C81" s="15"/>
      <c r="D81" s="62">
        <f t="shared" si="4"/>
        <v>0.13706963024047664</v>
      </c>
      <c r="E81" s="62">
        <f t="shared" si="4"/>
        <v>0.52607327887691924</v>
      </c>
      <c r="F81" s="62">
        <f t="shared" si="4"/>
        <v>-0.25967409220700594</v>
      </c>
      <c r="G81" s="62">
        <f t="shared" si="4"/>
        <v>0.59653118308960618</v>
      </c>
    </row>
    <row r="82" spans="2:7" x14ac:dyDescent="0.3">
      <c r="B82" s="15" t="s">
        <v>94</v>
      </c>
      <c r="C82" s="15"/>
      <c r="D82" s="62">
        <f t="shared" si="4"/>
        <v>0.13706963024047664</v>
      </c>
      <c r="E82" s="62">
        <f t="shared" si="4"/>
        <v>0.52607327887691924</v>
      </c>
      <c r="F82" s="62">
        <f t="shared" si="4"/>
        <v>-0.25967409220700594</v>
      </c>
      <c r="G82" s="62">
        <f t="shared" si="4"/>
        <v>0.59653118308960618</v>
      </c>
    </row>
    <row r="83" spans="2:7" x14ac:dyDescent="0.3">
      <c r="B83" s="15" t="s">
        <v>95</v>
      </c>
      <c r="C83" s="15"/>
      <c r="D83" s="62">
        <f t="shared" si="4"/>
        <v>-10.465058299976734</v>
      </c>
      <c r="E83" s="62">
        <f t="shared" si="4"/>
        <v>-1.710609605540377</v>
      </c>
      <c r="F83" s="62">
        <f t="shared" si="4"/>
        <v>-6.3606950984784847</v>
      </c>
      <c r="G83" s="62">
        <f t="shared" si="4"/>
        <v>-4.5926692540689187</v>
      </c>
    </row>
    <row r="84" spans="2:7" x14ac:dyDescent="0.3">
      <c r="B84" s="15" t="s">
        <v>96</v>
      </c>
      <c r="C84" s="15"/>
      <c r="D84" s="62">
        <f t="shared" si="4"/>
        <v>0.13698408885767321</v>
      </c>
      <c r="E84" s="62">
        <f t="shared" si="4"/>
        <v>0.5260874232030851</v>
      </c>
      <c r="F84" s="62">
        <f t="shared" si="4"/>
        <v>-0.25963551059506668</v>
      </c>
      <c r="G84" s="62">
        <f t="shared" si="4"/>
        <v>0.59656399853431152</v>
      </c>
    </row>
    <row r="85" spans="2:7" x14ac:dyDescent="0.3">
      <c r="B85" s="15" t="s">
        <v>97</v>
      </c>
      <c r="C85" s="15"/>
      <c r="D85" s="62">
        <f t="shared" si="4"/>
        <v>0.13698408885766772</v>
      </c>
      <c r="E85" s="62">
        <f t="shared" si="4"/>
        <v>0.52608742320308166</v>
      </c>
      <c r="F85" s="62">
        <f t="shared" si="4"/>
        <v>-0.25963551059505935</v>
      </c>
      <c r="G85" s="62">
        <f t="shared" si="4"/>
        <v>0.59656399853430975</v>
      </c>
    </row>
  </sheetData>
  <customSheetViews>
    <customSheetView guid="{D812A0C8-60A1-4775-A604-FC65C9DC40BF}" scale="80" showGridLines="0" state="hidden">
      <selection activeCell="A16" sqref="A16"/>
      <pageMargins left="0" right="0" top="0" bottom="0" header="0" footer="0"/>
      <pageSetup orientation="portrait" r:id="rId1"/>
    </customSheetView>
    <customSheetView guid="{8D3CE498-0ABB-4BB0-92D1-93DA2BDD5EDF}" scale="80" showGridLines="0" state="hidden">
      <selection activeCell="A16" sqref="A16"/>
      <pageMargins left="0" right="0" top="0" bottom="0" header="0" footer="0"/>
      <pageSetup orientation="portrait" r:id="rId2"/>
    </customSheetView>
    <customSheetView guid="{455EF305-F4BF-4162-9D3A-67B1D57A792B}" scale="80" showGridLines="0" topLeftCell="A11">
      <selection activeCell="K20" sqref="K20:M20"/>
      <pageMargins left="0" right="0" top="0" bottom="0" header="0" footer="0"/>
      <pageSetup orientation="portrait" r:id="rId3"/>
    </customSheetView>
    <customSheetView guid="{AED82DA2-4B0E-4368-BF7F-A78E16192BBB}" scale="80" showGridLines="0">
      <selection activeCell="P8" sqref="P8:U11"/>
      <pageMargins left="0" right="0" top="0" bottom="0" header="0" footer="0"/>
      <pageSetup orientation="portrait" r:id="rId4"/>
    </customSheetView>
    <customSheetView guid="{8AD5A21B-3743-481B-8B5E-3FEE10EB7B2F}" scale="80" showGridLines="0" state="hidden">
      <selection activeCell="A16" sqref="A16"/>
      <pageMargins left="0" right="0" top="0" bottom="0" header="0" footer="0"/>
      <pageSetup orientation="portrait" r:id="rId5"/>
    </customSheetView>
  </customSheetViews>
  <mergeCells count="9">
    <mergeCell ref="Q4:Q5"/>
    <mergeCell ref="R4:T4"/>
    <mergeCell ref="U4:W4"/>
    <mergeCell ref="B15:H15"/>
    <mergeCell ref="B4:B5"/>
    <mergeCell ref="C4:E4"/>
    <mergeCell ref="F4:H4"/>
    <mergeCell ref="I4:K4"/>
    <mergeCell ref="K10:L10"/>
  </mergeCells>
  <conditionalFormatting sqref="K11:L11">
    <cfRule type="cellIs" dxfId="125" priority="6" operator="equal">
      <formula>"Escassez Hídrica"</formula>
    </cfRule>
    <cfRule type="cellIs" dxfId="124" priority="7" operator="equal">
      <formula>"VERDE"</formula>
    </cfRule>
    <cfRule type="cellIs" dxfId="123" priority="8" operator="equal">
      <formula>"BVM2"</formula>
    </cfRule>
    <cfRule type="cellIs" dxfId="122" priority="9" operator="equal">
      <formula>"BVM1"</formula>
    </cfRule>
    <cfRule type="cellIs" dxfId="121" priority="10" operator="equal">
      <formula>"BAM"</formula>
    </cfRule>
  </conditionalFormatting>
  <conditionalFormatting sqref="M3">
    <cfRule type="cellIs" dxfId="120" priority="16" operator="equal">
      <formula>"VERDE"</formula>
    </cfRule>
    <cfRule type="cellIs" dxfId="119" priority="17" operator="equal">
      <formula>"BVM2"</formula>
    </cfRule>
    <cfRule type="cellIs" dxfId="118" priority="18" operator="equal">
      <formula>"BVM1"</formula>
    </cfRule>
    <cfRule type="cellIs" dxfId="117" priority="19" operator="equal">
      <formula>"BAM"</formula>
    </cfRule>
  </conditionalFormatting>
  <conditionalFormatting sqref="M8">
    <cfRule type="containsText" dxfId="116" priority="1" operator="containsText" text="Escassez Hídrica">
      <formula>NOT(ISERROR(SEARCH("Escassez Hídrica",M8)))</formula>
    </cfRule>
    <cfRule type="cellIs" dxfId="115" priority="2" operator="equal">
      <formula>"VERDE"</formula>
    </cfRule>
    <cfRule type="cellIs" dxfId="114" priority="3" operator="equal">
      <formula>"BVM2"</formula>
    </cfRule>
    <cfRule type="cellIs" dxfId="113" priority="4" operator="equal">
      <formula>"BVM1"</formula>
    </cfRule>
    <cfRule type="cellIs" dxfId="112" priority="5" operator="equal">
      <formula>"BAM"</formula>
    </cfRule>
  </conditionalFormatting>
  <dataValidations disablePrompts="1" count="1">
    <dataValidation type="list" allowBlank="1" showInputMessage="1" showErrorMessage="1" sqref="K11:L11" xr:uid="{00000000-0002-0000-0800-000000000000}">
      <formula1>$M$3:$M$8</formula1>
    </dataValidation>
  </dataValidations>
  <pageMargins left="0.511811024" right="0.511811024" top="0.78740157499999996" bottom="0.78740157499999996" header="0.31496062000000002" footer="0.31496062000000002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09FE6-67D4-4AD1-90C6-9E44A49D5996}">
  <sheetPr codeName="Planilha10">
    <tabColor rgb="FF92D050"/>
  </sheetPr>
  <dimension ref="A1:Z146"/>
  <sheetViews>
    <sheetView showGridLines="0" tabSelected="1" zoomScale="80" zoomScaleNormal="80" workbookViewId="0">
      <selection activeCell="M38" sqref="M38"/>
    </sheetView>
  </sheetViews>
  <sheetFormatPr defaultColWidth="9.109375" defaultRowHeight="14.4" x14ac:dyDescent="0.3"/>
  <cols>
    <col min="1" max="1" width="5.44140625" style="1" customWidth="1"/>
    <col min="2" max="2" width="18.88671875" style="1" customWidth="1"/>
    <col min="3" max="3" width="11.6640625" style="1" customWidth="1"/>
    <col min="4" max="4" width="13.109375" style="1" customWidth="1"/>
    <col min="5" max="15" width="11.6640625" style="1" customWidth="1"/>
    <col min="16" max="16" width="12.6640625" style="1" customWidth="1"/>
    <col min="17" max="17" width="13" style="99" bestFit="1" customWidth="1"/>
    <col min="18" max="18" width="14.33203125" style="99" bestFit="1" customWidth="1"/>
    <col min="19" max="19" width="13.109375" style="99" bestFit="1" customWidth="1"/>
    <col min="20" max="20" width="11.33203125" style="99" bestFit="1" customWidth="1"/>
    <col min="21" max="21" width="12.109375" style="99" bestFit="1" customWidth="1"/>
    <col min="22" max="22" width="13.109375" style="99" bestFit="1" customWidth="1"/>
    <col min="23" max="23" width="11.33203125" style="99" bestFit="1" customWidth="1"/>
    <col min="24" max="24" width="12.109375" style="99" bestFit="1" customWidth="1"/>
    <col min="25" max="25" width="13.109375" style="99" bestFit="1" customWidth="1"/>
    <col min="26" max="26" width="11.33203125" style="99" bestFit="1" customWidth="1"/>
    <col min="27" max="16384" width="9.109375" style="1"/>
  </cols>
  <sheetData>
    <row r="1" spans="1:26" x14ac:dyDescent="0.3">
      <c r="A1" s="1" t="s">
        <v>0</v>
      </c>
      <c r="G1"/>
      <c r="H1"/>
      <c r="I1"/>
      <c r="J1"/>
      <c r="K1"/>
    </row>
    <row r="2" spans="1:26" ht="18" x14ac:dyDescent="0.3">
      <c r="B2" s="43" t="s">
        <v>139</v>
      </c>
      <c r="C2" s="99"/>
      <c r="D2" s="99"/>
      <c r="E2" s="102" t="s">
        <v>2</v>
      </c>
      <c r="F2" s="104">
        <f>'Fatura B1 (Res) OK'!$F$2</f>
        <v>45876</v>
      </c>
      <c r="G2" s="97"/>
      <c r="H2" s="97"/>
      <c r="I2" s="97"/>
      <c r="J2" s="97"/>
      <c r="K2" s="97"/>
      <c r="L2" s="99"/>
      <c r="M2" s="47" t="s">
        <v>3</v>
      </c>
      <c r="N2" s="47" t="s">
        <v>4</v>
      </c>
      <c r="O2" s="99"/>
      <c r="P2" s="99"/>
      <c r="Q2" s="308" t="s">
        <v>6</v>
      </c>
      <c r="R2" s="326"/>
    </row>
    <row r="3" spans="1:26" customFormat="1" x14ac:dyDescent="0.3">
      <c r="M3" s="93" t="s">
        <v>7</v>
      </c>
      <c r="N3" s="48">
        <v>0</v>
      </c>
      <c r="Q3" s="99"/>
      <c r="R3" s="99"/>
      <c r="S3" s="99"/>
      <c r="T3" s="99"/>
      <c r="U3" s="99"/>
      <c r="V3" s="99"/>
      <c r="W3" s="99"/>
      <c r="X3" s="99"/>
      <c r="Y3" s="99"/>
      <c r="Z3" s="99"/>
    </row>
    <row r="4" spans="1:26" s="99" customFormat="1" ht="15" customHeight="1" x14ac:dyDescent="0.3">
      <c r="B4" s="489" t="s">
        <v>140</v>
      </c>
      <c r="C4" s="481" t="str">
        <f>'Fatura B1 (Res) OK'!C4:E4</f>
        <v>TARIFA ANTIGA - REH 3370/2024</v>
      </c>
      <c r="D4" s="481"/>
      <c r="E4" s="481"/>
      <c r="F4" s="481" t="str">
        <f>'Fatura B1 (Res) OK'!F4:H4</f>
        <v>TARIFA NOVA - REH xxxx/2025</v>
      </c>
      <c r="G4" s="481"/>
      <c r="H4" s="481"/>
      <c r="I4" s="482" t="s">
        <v>11</v>
      </c>
      <c r="J4" s="482"/>
      <c r="K4" s="482"/>
      <c r="M4" s="229" t="str">
        <f>'Fatura B1 (Res) OK'!M4</f>
        <v>BAM</v>
      </c>
      <c r="N4" s="230">
        <f>'Fatura B1 (Res) OK'!$N$4</f>
        <v>1.8849999999999999E-2</v>
      </c>
      <c r="Q4" s="483" t="s">
        <v>8</v>
      </c>
      <c r="R4" s="478" t="str">
        <f>C4</f>
        <v>TARIFA ANTIGA - REH 3370/2024</v>
      </c>
      <c r="S4" s="479"/>
      <c r="T4" s="480"/>
      <c r="U4" s="478" t="str">
        <f>F4</f>
        <v>TARIFA NOVA - REH xxxx/2025</v>
      </c>
      <c r="V4" s="479"/>
      <c r="W4" s="480"/>
      <c r="X4" s="478" t="s">
        <v>11</v>
      </c>
      <c r="Y4" s="479"/>
      <c r="Z4" s="480"/>
    </row>
    <row r="5" spans="1:26" s="99" customFormat="1" x14ac:dyDescent="0.3">
      <c r="B5" s="490"/>
      <c r="C5" s="204" t="s">
        <v>13</v>
      </c>
      <c r="D5" s="204" t="s">
        <v>14</v>
      </c>
      <c r="E5" s="204" t="s">
        <v>15</v>
      </c>
      <c r="F5" s="204" t="s">
        <v>13</v>
      </c>
      <c r="G5" s="204" t="s">
        <v>14</v>
      </c>
      <c r="H5" s="204" t="s">
        <v>15</v>
      </c>
      <c r="I5" s="205" t="s">
        <v>13</v>
      </c>
      <c r="J5" s="205" t="s">
        <v>14</v>
      </c>
      <c r="K5" s="205" t="s">
        <v>15</v>
      </c>
      <c r="M5" s="231" t="str">
        <f>'Fatura B1 (Res) OK'!M5</f>
        <v>BVM1</v>
      </c>
      <c r="N5" s="232">
        <f>'Fatura B1 (Res) OK'!$N$5</f>
        <v>4.4630000000000003E-2</v>
      </c>
      <c r="Q5" s="484"/>
      <c r="R5" s="204" t="s">
        <v>17</v>
      </c>
      <c r="S5"/>
      <c r="T5"/>
      <c r="U5" s="204" t="s">
        <v>17</v>
      </c>
      <c r="V5"/>
      <c r="W5"/>
      <c r="X5" s="204" t="s">
        <v>17</v>
      </c>
      <c r="Y5"/>
      <c r="Z5"/>
    </row>
    <row r="6" spans="1:26" s="99" customFormat="1" x14ac:dyDescent="0.3">
      <c r="B6" s="207" t="s">
        <v>141</v>
      </c>
      <c r="C6" s="203">
        <f>'TABELA DE TARIFAS ANTIGAS'!G88/1000</f>
        <v>0.38351000000000002</v>
      </c>
      <c r="D6" s="203">
        <f>'TABELA DE TARIFAS ANTIGAS'!H88/1000</f>
        <v>0.30096000000000001</v>
      </c>
      <c r="E6" s="203">
        <f t="shared" ref="E6" si="0">C6+D6</f>
        <v>0.68447000000000002</v>
      </c>
      <c r="F6" s="203">
        <f>'TABELA DE TARIFAS NOVAS'!G88/1000</f>
        <v>0.46862999999999999</v>
      </c>
      <c r="G6" s="203">
        <f>'TABELA DE TARIFAS NOVAS'!H88/1000</f>
        <v>0.32068000000000002</v>
      </c>
      <c r="H6" s="203">
        <f t="shared" ref="H6:H7" si="1">F6+G6</f>
        <v>0.78930999999999996</v>
      </c>
      <c r="I6" s="203">
        <f>((C6*$C$13)+(F6*$D$13))/($D$13+$C$13)</f>
        <v>0.46862999999999999</v>
      </c>
      <c r="J6" s="203">
        <f>((D6*$C$13)+(G6*$D$13))/($D$13+$C$13)</f>
        <v>0.32068000000000002</v>
      </c>
      <c r="K6" s="206">
        <f t="shared" ref="K6:K7" si="2">I6+J6</f>
        <v>0.78930999999999996</v>
      </c>
      <c r="M6" s="39" t="str">
        <f>'Fatura B1 (Res) OK'!M6</f>
        <v>BVM2</v>
      </c>
      <c r="N6" s="40">
        <f>'Fatura B1 (Res) OK'!$N$6</f>
        <v>7.8770000000000007E-2</v>
      </c>
      <c r="Q6" s="207" t="str">
        <f>B6</f>
        <v>B3</v>
      </c>
      <c r="R6" s="203">
        <f>'FIO B'!H33/1000</f>
        <v>0.18823431351264014</v>
      </c>
      <c r="S6"/>
      <c r="T6"/>
      <c r="U6" s="203">
        <f>'FIO B'!K33/1000</f>
        <v>0.20383072193179136</v>
      </c>
      <c r="V6"/>
      <c r="W6"/>
      <c r="X6" s="203">
        <f>((R6*$C$13)+(U6*$D$13))/($D$13+$C$13)</f>
        <v>0.20383072193179136</v>
      </c>
      <c r="Y6"/>
      <c r="Z6"/>
    </row>
    <row r="7" spans="1:26" customFormat="1" x14ac:dyDescent="0.3">
      <c r="B7" s="370" t="s">
        <v>20</v>
      </c>
      <c r="C7" s="387">
        <v>1.7567285996534902E-4</v>
      </c>
      <c r="D7" s="393">
        <v>3.42973552660492E-3</v>
      </c>
      <c r="E7" s="206">
        <v>3.6054083865702689E-3</v>
      </c>
      <c r="F7" s="206">
        <f>T11</f>
        <v>1.8774721494831901E-4</v>
      </c>
      <c r="G7" s="206">
        <f>U11</f>
        <v>-4.4031307414479802E-3</v>
      </c>
      <c r="H7" s="206">
        <f t="shared" si="1"/>
        <v>-4.2153835264996612E-3</v>
      </c>
      <c r="I7" s="203">
        <f>((C7*$C$13)+(F7*$D$13))/($D$13+$C$13)</f>
        <v>1.8774721494831901E-4</v>
      </c>
      <c r="J7" s="203">
        <f>((D7*$C$13)+(G7*$D$13))/($D$13+$C$13)</f>
        <v>-4.4031307414479802E-3</v>
      </c>
      <c r="K7" s="206">
        <f t="shared" si="2"/>
        <v>-4.2153835264996612E-3</v>
      </c>
      <c r="M7" s="93" t="s">
        <v>21</v>
      </c>
      <c r="N7" s="305">
        <f>'Fatura B1 (Res) OK'!$N$7</f>
        <v>0.14199999999999999</v>
      </c>
    </row>
    <row r="8" spans="1:26" customFormat="1" x14ac:dyDescent="0.3">
      <c r="P8" s="99"/>
      <c r="Q8" s="99"/>
      <c r="R8" s="99"/>
      <c r="S8" s="99"/>
      <c r="T8" s="99"/>
      <c r="U8" s="99"/>
    </row>
    <row r="9" spans="1:26" x14ac:dyDescent="0.3">
      <c r="B9" s="131"/>
      <c r="C9" s="132"/>
      <c r="D9" s="209"/>
      <c r="E9" s="132"/>
      <c r="F9" s="132"/>
      <c r="G9" s="132"/>
      <c r="H9" s="210" t="s">
        <v>22</v>
      </c>
      <c r="I9" s="97"/>
      <c r="J9" s="99"/>
      <c r="K9" s="99"/>
      <c r="L9" s="102" t="s">
        <v>23</v>
      </c>
      <c r="M9" s="104">
        <f>EOMONTH(B13,0)+1</f>
        <v>46143</v>
      </c>
      <c r="P9"/>
      <c r="Q9"/>
      <c r="R9"/>
      <c r="S9"/>
      <c r="T9"/>
      <c r="U9"/>
      <c r="V9"/>
      <c r="W9"/>
      <c r="X9"/>
      <c r="Y9"/>
      <c r="Z9"/>
    </row>
    <row r="10" spans="1:26" x14ac:dyDescent="0.3">
      <c r="B10" s="211" t="s">
        <v>24</v>
      </c>
      <c r="C10" s="105">
        <v>160875835</v>
      </c>
      <c r="D10" s="99"/>
      <c r="E10" s="97"/>
      <c r="F10" s="97"/>
      <c r="G10" s="97"/>
      <c r="H10" s="212">
        <f>E13</f>
        <v>46148</v>
      </c>
      <c r="J10" s="99"/>
      <c r="K10" s="485" t="s">
        <v>25</v>
      </c>
      <c r="L10" s="485"/>
      <c r="M10" s="99"/>
      <c r="P10" s="374" t="s">
        <v>26</v>
      </c>
      <c r="Q10" s="375"/>
      <c r="R10" s="371" t="s">
        <v>27</v>
      </c>
      <c r="S10" s="371" t="s">
        <v>28</v>
      </c>
      <c r="T10" s="371" t="s">
        <v>17</v>
      </c>
      <c r="U10" s="371" t="s">
        <v>29</v>
      </c>
      <c r="V10"/>
      <c r="W10"/>
      <c r="X10"/>
      <c r="Y10"/>
      <c r="Z10"/>
    </row>
    <row r="11" spans="1:26" x14ac:dyDescent="0.3">
      <c r="B11" s="112"/>
      <c r="C11" s="99"/>
      <c r="D11" s="99"/>
      <c r="E11" s="99"/>
      <c r="F11" s="99"/>
      <c r="G11" s="99"/>
      <c r="H11" s="213"/>
      <c r="J11" s="99"/>
      <c r="K11" s="93" t="str">
        <f>'Fatura B1 (Res) OK'!K11</f>
        <v>VERDE</v>
      </c>
      <c r="L11" s="93" t="str">
        <f>'Fatura B1 (Res) OK'!L11</f>
        <v>BAM</v>
      </c>
      <c r="M11" s="99"/>
      <c r="P11" s="376" t="s">
        <v>30</v>
      </c>
      <c r="Q11" s="377"/>
      <c r="R11" s="373"/>
      <c r="S11" s="373"/>
      <c r="T11" s="387">
        <f>0.187747214948319/1000</f>
        <v>1.8774721494831901E-4</v>
      </c>
      <c r="U11" s="393">
        <f>-4.40313074144798/1000</f>
        <v>-4.4031307414479802E-3</v>
      </c>
      <c r="V11" s="97"/>
      <c r="W11" s="97"/>
      <c r="X11" s="97"/>
      <c r="Y11" s="97"/>
      <c r="Z11" s="97"/>
    </row>
    <row r="12" spans="1:26" ht="41.4" x14ac:dyDescent="0.3">
      <c r="B12" s="94" t="s">
        <v>31</v>
      </c>
      <c r="C12" s="94" t="s">
        <v>32</v>
      </c>
      <c r="D12" s="94" t="s">
        <v>33</v>
      </c>
      <c r="E12" s="94" t="s">
        <v>34</v>
      </c>
      <c r="F12" s="97"/>
      <c r="G12" s="97"/>
      <c r="H12" s="214"/>
      <c r="I12" s="97"/>
      <c r="J12" s="94" t="s">
        <v>31</v>
      </c>
      <c r="K12" s="94" t="s">
        <v>32</v>
      </c>
      <c r="L12" s="94" t="s">
        <v>33</v>
      </c>
      <c r="M12" s="94" t="s">
        <v>34</v>
      </c>
    </row>
    <row r="13" spans="1:26" x14ac:dyDescent="0.3">
      <c r="A13" s="1" t="s">
        <v>0</v>
      </c>
      <c r="B13" s="227">
        <f>'Fatura B1 (Res) OK'!B13</f>
        <v>46119</v>
      </c>
      <c r="C13" s="106">
        <f>IF((F2-B13-1)&lt;0,0,(F2-B13-1))</f>
        <v>0</v>
      </c>
      <c r="D13" s="106">
        <f>E13-F2+1</f>
        <v>273</v>
      </c>
      <c r="E13" s="227">
        <f>'Fatura B1 (Res) OK'!E13</f>
        <v>46148</v>
      </c>
      <c r="F13" s="215"/>
      <c r="G13" s="215"/>
      <c r="H13" s="216"/>
      <c r="I13" s="97"/>
      <c r="J13" s="107">
        <f>B13</f>
        <v>46119</v>
      </c>
      <c r="K13" s="108">
        <f>IF((M9-J13-1)&lt;0,0,(M9-J13-1))</f>
        <v>23</v>
      </c>
      <c r="L13" s="108">
        <f>M13-M9+1</f>
        <v>6</v>
      </c>
      <c r="M13" s="107">
        <f>E13</f>
        <v>46148</v>
      </c>
    </row>
    <row r="14" spans="1:26" customFormat="1" x14ac:dyDescent="0.3">
      <c r="B14" s="99"/>
      <c r="C14" s="99"/>
      <c r="D14" s="99"/>
      <c r="E14" s="99"/>
      <c r="F14" s="99"/>
      <c r="G14" s="99"/>
      <c r="H14" s="99"/>
      <c r="J14" s="302"/>
      <c r="P14" s="473" t="s">
        <v>35</v>
      </c>
      <c r="Q14" s="474"/>
      <c r="R14" s="475">
        <v>1025061259</v>
      </c>
      <c r="S14" s="99"/>
      <c r="T14" s="99"/>
      <c r="U14" s="99"/>
      <c r="V14" s="99"/>
      <c r="W14" s="99"/>
      <c r="X14" s="99"/>
      <c r="Y14" s="99"/>
      <c r="Z14" s="99"/>
    </row>
    <row r="15" spans="1:26" customFormat="1" x14ac:dyDescent="0.3">
      <c r="B15" s="99"/>
      <c r="C15" s="99"/>
      <c r="D15" s="99"/>
      <c r="E15" s="99"/>
      <c r="F15" s="99"/>
      <c r="G15" s="99"/>
      <c r="H15" s="99"/>
      <c r="J15" s="302"/>
      <c r="Q15" s="99"/>
      <c r="R15" s="99"/>
      <c r="S15" s="99"/>
      <c r="T15" s="99"/>
      <c r="U15" s="99"/>
      <c r="V15" s="99"/>
      <c r="W15" s="99"/>
      <c r="X15" s="99"/>
      <c r="Y15" s="99"/>
      <c r="Z15" s="99"/>
    </row>
    <row r="16" spans="1:26" s="99" customFormat="1" ht="42" customHeight="1" x14ac:dyDescent="0.3">
      <c r="B16" s="394" t="s">
        <v>36</v>
      </c>
      <c r="C16" s="394" t="s">
        <v>37</v>
      </c>
      <c r="D16" s="394" t="s">
        <v>38</v>
      </c>
      <c r="E16" s="395" t="s">
        <v>39</v>
      </c>
      <c r="F16" s="395" t="s">
        <v>40</v>
      </c>
      <c r="G16" s="395" t="s">
        <v>41</v>
      </c>
      <c r="H16" s="395" t="s">
        <v>42</v>
      </c>
      <c r="I16" s="395" t="s">
        <v>43</v>
      </c>
      <c r="J16" s="395" t="s">
        <v>44</v>
      </c>
      <c r="K16" s="396" t="s">
        <v>45</v>
      </c>
      <c r="L16" s="394" t="s">
        <v>46</v>
      </c>
      <c r="M16" s="395" t="s">
        <v>47</v>
      </c>
      <c r="N16" s="395" t="s">
        <v>48</v>
      </c>
      <c r="O16" s="395" t="s">
        <v>49</v>
      </c>
    </row>
    <row r="17" spans="2:19" s="99" customFormat="1" x14ac:dyDescent="0.3">
      <c r="B17" s="401"/>
      <c r="C17" s="401"/>
      <c r="D17" s="401"/>
      <c r="E17" s="401"/>
      <c r="F17" s="401"/>
      <c r="G17" s="401"/>
      <c r="H17" s="401"/>
      <c r="I17" s="401"/>
      <c r="J17" s="401"/>
      <c r="K17" s="401"/>
      <c r="L17" s="120"/>
      <c r="M17" s="397"/>
      <c r="N17" s="397"/>
      <c r="O17" s="397"/>
      <c r="R17" s="308" t="s">
        <v>50</v>
      </c>
      <c r="S17" s="308" t="s">
        <v>51</v>
      </c>
    </row>
    <row r="18" spans="2:19" s="99" customFormat="1" x14ac:dyDescent="0.3">
      <c r="B18" s="397" t="s">
        <v>52</v>
      </c>
      <c r="C18" s="398" t="s">
        <v>53</v>
      </c>
      <c r="D18" s="437">
        <v>100</v>
      </c>
      <c r="E18" s="406">
        <f>(ROUND(D18*K18,2)+ROUND(G18,2)+ROUND(J18,2))/ROUND(D18,4)</f>
        <v>0.48570000000000002</v>
      </c>
      <c r="F18" s="404">
        <f>ROUND(D18*E18,2)</f>
        <v>48.57</v>
      </c>
      <c r="G18" s="404">
        <f>((D18*K18)/(1-$N$18-$N$19))*($N$18+$N$19)</f>
        <v>1.7097611940298505</v>
      </c>
      <c r="H18" s="411">
        <f>IF(I18=0,0,(IF($I$18=12%,(D18*K18)/(1-$N$18-$N$19)/(1-$C$38)/$F$38*$C$38,(D18*K18)/(1-$N$18-$N$19)/(1-$I$18))))</f>
        <v>0</v>
      </c>
      <c r="I18" s="403">
        <v>0</v>
      </c>
      <c r="J18" s="411">
        <f>H18*$I$18</f>
        <v>0</v>
      </c>
      <c r="K18" s="406">
        <f>IF(AND($B$13&lt;$F$2,$E$13&lt;$F$2),C6,IF($B$13&lt;$F$2,I6,F6))</f>
        <v>0.46862999999999999</v>
      </c>
      <c r="L18" s="169" t="s">
        <v>54</v>
      </c>
      <c r="M18" s="404">
        <f>D61</f>
        <v>82.213930348258714</v>
      </c>
      <c r="N18" s="399">
        <f>'Fatura B1 (Res) OK'!N18</f>
        <v>6.3E-3</v>
      </c>
      <c r="O18" s="413">
        <f>ROUND(M18*N18,2)</f>
        <v>0.52</v>
      </c>
      <c r="R18" s="327">
        <f>IF(AND($B$13&lt;$F$2,$E$13&lt;$F$2),R6,IF($B$13&lt;$F$2,X6,U6))</f>
        <v>0.20383072193179136</v>
      </c>
      <c r="S18" s="328">
        <f>D18*R18</f>
        <v>20.383072193179135</v>
      </c>
    </row>
    <row r="19" spans="2:19" s="99" customFormat="1" x14ac:dyDescent="0.3">
      <c r="B19" s="397" t="s">
        <v>55</v>
      </c>
      <c r="C19" s="398" t="s">
        <v>53</v>
      </c>
      <c r="D19" s="438">
        <f>D18</f>
        <v>100</v>
      </c>
      <c r="E19" s="406">
        <f t="shared" ref="E19" si="3">(ROUND(D19*K19,2)+ROUND(G19,2)+ROUND(J19,2))/ROUND(D19,4)</f>
        <v>0.33240000000000003</v>
      </c>
      <c r="F19" s="404">
        <f t="shared" ref="F19:F23" si="4">ROUND(D19*E19,2)</f>
        <v>33.24</v>
      </c>
      <c r="G19" s="404">
        <f>((D19*K19)/(1-$N$18-$N$19))*($N$18+$N$19)</f>
        <v>1.1699767827529022</v>
      </c>
      <c r="H19" s="411">
        <f>IF(I18=0,0,(IF($I$18=12%,(D19*K19)/(1-$N$18-$N$19)/(1-$C$38)/$F$38*$C$38,(D19*K19)/(1-$N$18-$N$19)/(1-$I$18))))</f>
        <v>0</v>
      </c>
      <c r="I19" s="397"/>
      <c r="J19" s="411">
        <f t="shared" ref="J19:J23" si="5">H19*$I$18</f>
        <v>0</v>
      </c>
      <c r="K19" s="406">
        <f>IF(AND($B$13&lt;$F$2,$E$13&lt;$F$2),D6,IF($B$13&lt;$F$2,J6,G6))</f>
        <v>0.32068000000000002</v>
      </c>
      <c r="L19" s="169" t="s">
        <v>56</v>
      </c>
      <c r="M19" s="404">
        <f>M18</f>
        <v>82.213930348258714</v>
      </c>
      <c r="N19" s="399">
        <f>'Fatura B1 (Res) OK'!N19</f>
        <v>2.8899999999999999E-2</v>
      </c>
      <c r="O19" s="413">
        <f>ROUND(M19*N19,2)</f>
        <v>2.38</v>
      </c>
    </row>
    <row r="20" spans="2:19" s="99" customFormat="1" x14ac:dyDescent="0.3">
      <c r="B20" s="397" t="s">
        <v>57</v>
      </c>
      <c r="C20" s="398" t="s">
        <v>53</v>
      </c>
      <c r="D20" s="438">
        <f>IF($K$11=M4,(D18*(K13)/(K13+L13)),0)+IF($L$11=M4,(D18*(L13)/(K13+L13)),0)</f>
        <v>20.689655172413794</v>
      </c>
      <c r="E20" s="442">
        <f>IFERROR((ROUND(D20*K20,2)+ROUND(G20,2)+ROUND(J20,2))/ROUND(D20,4), 0)</f>
        <v>1.9333291444535206E-2</v>
      </c>
      <c r="F20" s="404">
        <f t="shared" si="4"/>
        <v>0.4</v>
      </c>
      <c r="G20" s="404">
        <f t="shared" ref="G20:G23" si="6">((D20*K20)/(1-$N$18-$N$19))*($N$18+$N$19)</f>
        <v>1.4228855721393032E-2</v>
      </c>
      <c r="H20" s="411">
        <f>IF(I18=0,0,(IF($I$18=12%,(D20*K20)/(1-$N$18-$N$19)/(1-$C$38)/$F$38*$C$38,(D20*K20)/(1-$N$18-$N$19)/(1-$I$18))))</f>
        <v>0</v>
      </c>
      <c r="I20" s="397"/>
      <c r="J20" s="411">
        <f t="shared" si="5"/>
        <v>0</v>
      </c>
      <c r="K20" s="406">
        <f>N4</f>
        <v>1.8849999999999999E-2</v>
      </c>
      <c r="L20" s="137"/>
      <c r="M20" s="400"/>
      <c r="N20" s="400"/>
      <c r="O20" s="400"/>
      <c r="R20" s="408"/>
    </row>
    <row r="21" spans="2:19" s="99" customFormat="1" x14ac:dyDescent="0.3">
      <c r="B21" s="397" t="s">
        <v>58</v>
      </c>
      <c r="C21" s="398" t="s">
        <v>53</v>
      </c>
      <c r="D21" s="438">
        <f>IF($K$11=M5,(D18*(K13)/(K13+L13)),0)+IF($L$11=M5,(D18*(L13)/(K13+L13)),0)</f>
        <v>0</v>
      </c>
      <c r="E21" s="406">
        <f t="shared" ref="E21:E23" si="7">K21/(1-$N$18-$N$19)/(1-$I$18)</f>
        <v>4.625829187396352E-2</v>
      </c>
      <c r="F21" s="404">
        <f t="shared" si="4"/>
        <v>0</v>
      </c>
      <c r="G21" s="404">
        <f t="shared" si="6"/>
        <v>0</v>
      </c>
      <c r="H21" s="411">
        <f>IF(I18=0,0,(IF($I$18=12%,(D21*K21)/(1-$N$18-$N$19)/(1-$C$38)/$F$38*$C$38,(D21*K21)/(1-$N$18-$N$19)/(1-$I$18))))</f>
        <v>0</v>
      </c>
      <c r="I21" s="397"/>
      <c r="J21" s="411">
        <f t="shared" si="5"/>
        <v>0</v>
      </c>
      <c r="K21" s="406">
        <f>N5</f>
        <v>4.4630000000000003E-2</v>
      </c>
      <c r="O21" s="120"/>
      <c r="R21" s="408"/>
    </row>
    <row r="22" spans="2:19" s="99" customFormat="1" x14ac:dyDescent="0.3">
      <c r="B22" s="397" t="s">
        <v>59</v>
      </c>
      <c r="C22" s="398" t="s">
        <v>53</v>
      </c>
      <c r="D22" s="438">
        <f>IF($K$11=M6,(D18*(K13)/(K13+L13)),0)+IF($L$11=M6,(D18*(L13)/(K13+L13)),0)</f>
        <v>0</v>
      </c>
      <c r="E22" s="406">
        <f t="shared" si="7"/>
        <v>8.1643864013267009E-2</v>
      </c>
      <c r="F22" s="404">
        <f t="shared" si="4"/>
        <v>0</v>
      </c>
      <c r="G22" s="404">
        <f t="shared" si="6"/>
        <v>0</v>
      </c>
      <c r="H22" s="411">
        <f>IF(I18=0,0,(IF($I$18=12%,(D22*K22)/(1-$N$18-$N$19)/(1-$C$38)/$F$38*$C$38,(D22*K22)/(1-$N$18-$N$19)/(1-$I$18))))</f>
        <v>0</v>
      </c>
      <c r="I22" s="397"/>
      <c r="J22" s="411">
        <f t="shared" si="5"/>
        <v>0</v>
      </c>
      <c r="K22" s="406">
        <f>N6</f>
        <v>7.8770000000000007E-2</v>
      </c>
      <c r="O22" s="120"/>
      <c r="R22" s="409"/>
    </row>
    <row r="23" spans="2:19" s="99" customFormat="1" x14ac:dyDescent="0.3">
      <c r="B23" s="397" t="s">
        <v>60</v>
      </c>
      <c r="C23" s="398" t="s">
        <v>53</v>
      </c>
      <c r="D23" s="438">
        <f>IF($K$11=M7,(D18*(K13)/(K13+L13)),0)+IF($L$11=M7,(D18*(L13)/(K13+L13)),0)</f>
        <v>0</v>
      </c>
      <c r="E23" s="406">
        <f t="shared" si="7"/>
        <v>0.14718076285240464</v>
      </c>
      <c r="F23" s="404">
        <f t="shared" si="4"/>
        <v>0</v>
      </c>
      <c r="G23" s="404">
        <f t="shared" si="6"/>
        <v>0</v>
      </c>
      <c r="H23" s="411">
        <f>IF(I18=0,0,(IF($I$18=12%,(D23*K23)/(1-$N$18-$N$19)/(1-$C$38)/$F$38*$C$38,(D23*K23)/(1-$N$18-$N$19)/(1-$I$18))))</f>
        <v>0</v>
      </c>
      <c r="I23" s="397"/>
      <c r="J23" s="411">
        <f t="shared" si="5"/>
        <v>0</v>
      </c>
      <c r="K23" s="406">
        <f>N7</f>
        <v>0.14199999999999999</v>
      </c>
      <c r="O23" s="120"/>
    </row>
    <row r="24" spans="2:19" s="99" customFormat="1" x14ac:dyDescent="0.3">
      <c r="B24" s="397" t="s">
        <v>61</v>
      </c>
      <c r="C24" s="397"/>
      <c r="D24" s="438"/>
      <c r="E24" s="397"/>
      <c r="F24" s="402"/>
      <c r="G24" s="397"/>
      <c r="H24" s="397"/>
      <c r="I24" s="397"/>
      <c r="J24" s="397"/>
      <c r="K24" s="397"/>
      <c r="O24" s="120"/>
    </row>
    <row r="25" spans="2:19" s="99" customFormat="1" x14ac:dyDescent="0.3">
      <c r="B25" s="397" t="s">
        <v>62</v>
      </c>
      <c r="C25" s="397"/>
      <c r="D25" s="438"/>
      <c r="E25" s="397"/>
      <c r="F25" s="402"/>
      <c r="G25" s="397"/>
      <c r="H25" s="397"/>
      <c r="I25" s="397"/>
      <c r="J25" s="397"/>
      <c r="K25" s="397"/>
      <c r="O25" s="120"/>
    </row>
    <row r="26" spans="2:19" s="99" customFormat="1" x14ac:dyDescent="0.3">
      <c r="B26" s="397" t="s">
        <v>142</v>
      </c>
      <c r="C26" s="397"/>
      <c r="D26" s="438"/>
      <c r="E26" s="397"/>
      <c r="F26" s="402"/>
      <c r="G26" s="397"/>
      <c r="H26" s="397"/>
      <c r="I26" s="397"/>
      <c r="J26" s="397"/>
      <c r="K26" s="397"/>
      <c r="O26" s="120"/>
    </row>
    <row r="27" spans="2:19" s="99" customFormat="1" x14ac:dyDescent="0.3">
      <c r="B27" s="397" t="s">
        <v>65</v>
      </c>
      <c r="C27" s="397"/>
      <c r="D27" s="438"/>
      <c r="E27" s="397"/>
      <c r="F27" s="402">
        <v>19.54</v>
      </c>
      <c r="G27" s="397"/>
      <c r="H27" s="397"/>
      <c r="I27" s="397"/>
      <c r="J27" s="397"/>
      <c r="K27" s="397"/>
      <c r="O27" s="120"/>
    </row>
    <row r="28" spans="2:19" s="99" customFormat="1" x14ac:dyDescent="0.3">
      <c r="B28" s="397"/>
      <c r="C28" s="397"/>
      <c r="D28" s="438"/>
      <c r="E28" s="397"/>
      <c r="F28" s="397"/>
      <c r="G28" s="397"/>
      <c r="H28" s="397"/>
      <c r="I28" s="397"/>
      <c r="J28" s="397"/>
      <c r="K28" s="397"/>
      <c r="O28" s="120"/>
    </row>
    <row r="29" spans="2:19" s="99" customFormat="1" x14ac:dyDescent="0.3">
      <c r="B29" s="397"/>
      <c r="C29" s="397"/>
      <c r="D29" s="438"/>
      <c r="E29" s="397"/>
      <c r="F29" s="397"/>
      <c r="G29" s="397"/>
      <c r="H29" s="397"/>
      <c r="I29" s="397"/>
      <c r="J29" s="397"/>
      <c r="K29" s="397"/>
      <c r="O29" s="120"/>
    </row>
    <row r="30" spans="2:19" s="99" customFormat="1" x14ac:dyDescent="0.3">
      <c r="B30" s="405" t="s">
        <v>66</v>
      </c>
      <c r="C30" s="400"/>
      <c r="D30" s="439"/>
      <c r="E30" s="400"/>
      <c r="F30" s="407">
        <f>SUM(F18:F29)</f>
        <v>101.75</v>
      </c>
      <c r="G30" s="410">
        <f>SUM(G18:G29)</f>
        <v>2.8939668325041459</v>
      </c>
      <c r="H30" s="412">
        <f>SUM(H18:H29)</f>
        <v>0</v>
      </c>
      <c r="I30" s="400"/>
      <c r="J30" s="412">
        <f>SUM(J18:J29)</f>
        <v>0</v>
      </c>
      <c r="K30" s="400"/>
      <c r="L30" s="127"/>
      <c r="M30" s="127"/>
      <c r="N30" s="127"/>
      <c r="O30" s="137"/>
    </row>
    <row r="31" spans="2:19" s="99" customFormat="1" x14ac:dyDescent="0.3"/>
    <row r="32" spans="2:19" s="99" customFormat="1" x14ac:dyDescent="0.3">
      <c r="B32" s="415" t="s">
        <v>67</v>
      </c>
      <c r="C32" s="416">
        <f>D18</f>
        <v>100</v>
      </c>
      <c r="D32" s="417">
        <f>IF(AND($B$13&lt;$F$2,$E$13&lt;$F$2),C7,IF($B$13&lt;$F$2,I7,F7))</f>
        <v>1.8774721494831901E-4</v>
      </c>
      <c r="E32" s="417">
        <f>IF(AND($B$13&lt;$F$2,$E$13&lt;$F$2),D7,IF($B$13&lt;$F$2,J7,G7))</f>
        <v>-4.4031307414479802E-3</v>
      </c>
      <c r="F32" s="415">
        <f>C32*(D32+E32)</f>
        <v>-0.42153835264996614</v>
      </c>
    </row>
    <row r="33" spans="1:26" customFormat="1" x14ac:dyDescent="0.3">
      <c r="B33" s="99"/>
      <c r="C33" s="99"/>
      <c r="D33" s="99"/>
      <c r="E33" s="99"/>
      <c r="F33" s="99"/>
      <c r="G33" s="99"/>
      <c r="H33" s="99"/>
      <c r="J33" s="302"/>
      <c r="Q33" s="99"/>
      <c r="R33" s="99"/>
      <c r="S33" s="99"/>
      <c r="T33" s="99"/>
      <c r="U33" s="99"/>
      <c r="V33" s="99"/>
      <c r="W33" s="99"/>
      <c r="X33" s="99"/>
      <c r="Y33" s="99"/>
      <c r="Z33" s="99"/>
    </row>
    <row r="34" spans="1:26" s="99" customFormat="1" x14ac:dyDescent="0.3">
      <c r="B34" s="99" t="s">
        <v>101</v>
      </c>
    </row>
    <row r="35" spans="1:26" s="99" customFormat="1" x14ac:dyDescent="0.3">
      <c r="B35" s="155"/>
      <c r="C35" s="155"/>
      <c r="D35" s="158" t="s">
        <v>102</v>
      </c>
      <c r="F35" s="158"/>
    </row>
    <row r="36" spans="1:26" s="99" customFormat="1" x14ac:dyDescent="0.3">
      <c r="B36" s="159" t="s">
        <v>54</v>
      </c>
      <c r="C36" s="24">
        <f>N18</f>
        <v>6.3E-3</v>
      </c>
      <c r="D36" s="160">
        <f>((D18*K18)+(D19*K19)+(D20*K20)+(D21*K21)+(D22*K22)+(D23*K23))/(1-$N$18-$N$19)</f>
        <v>82.21496683250416</v>
      </c>
      <c r="E36" s="100" t="s">
        <v>103</v>
      </c>
      <c r="F36" s="24">
        <f>C36</f>
        <v>6.3E-3</v>
      </c>
      <c r="G36" s="161">
        <f>D36*F36</f>
        <v>0.51795429104477619</v>
      </c>
    </row>
    <row r="37" spans="1:26" s="99" customFormat="1" x14ac:dyDescent="0.3">
      <c r="B37" s="159" t="s">
        <v>56</v>
      </c>
      <c r="C37" s="24">
        <f>N19</f>
        <v>2.8899999999999999E-2</v>
      </c>
      <c r="D37" s="160">
        <f>D36</f>
        <v>82.21496683250416</v>
      </c>
      <c r="E37" s="100" t="s">
        <v>103</v>
      </c>
      <c r="F37" s="24">
        <f>C37</f>
        <v>2.8899999999999999E-2</v>
      </c>
      <c r="G37" s="161">
        <f>D37*F37</f>
        <v>2.37601254145937</v>
      </c>
    </row>
    <row r="38" spans="1:26" s="99" customFormat="1" x14ac:dyDescent="0.3">
      <c r="A38" s="221"/>
      <c r="B38" s="159" t="s">
        <v>77</v>
      </c>
      <c r="C38" s="25">
        <v>7.0000000000000007E-2</v>
      </c>
      <c r="D38" s="162">
        <f>H38/F38*C38</f>
        <v>51.568527583111937</v>
      </c>
      <c r="E38" s="100" t="s">
        <v>103</v>
      </c>
      <c r="F38" s="414">
        <v>0.12</v>
      </c>
      <c r="G38" s="161">
        <f>D38*F38</f>
        <v>6.1882233099734325</v>
      </c>
      <c r="H38" s="161">
        <f>((D18*K18)+(D19*K19)+(D20*K20)+(D21*K21)+(D22*K22)+(D23*K23))/(1-F36-F37)/(1-(C38))</f>
        <v>88.403190142477598</v>
      </c>
      <c r="I38" s="309"/>
    </row>
    <row r="39" spans="1:26" s="99" customFormat="1" x14ac:dyDescent="0.3">
      <c r="B39" s="155"/>
      <c r="C39" s="155"/>
      <c r="D39" s="155"/>
      <c r="E39" s="161">
        <f>(O28)/(1-C36-C37-C38)</f>
        <v>0</v>
      </c>
      <c r="F39" s="156"/>
      <c r="G39" s="156"/>
      <c r="H39" s="155"/>
      <c r="I39" s="155"/>
      <c r="J39" s="157"/>
      <c r="K39" s="157"/>
      <c r="L39" s="157"/>
      <c r="M39" s="158"/>
      <c r="N39" s="158"/>
      <c r="O39" s="163"/>
    </row>
    <row r="40" spans="1:26" s="99" customFormat="1" x14ac:dyDescent="0.3">
      <c r="C40" s="164" t="s">
        <v>105</v>
      </c>
      <c r="D40" s="165" t="s">
        <v>106</v>
      </c>
      <c r="F40"/>
      <c r="G40"/>
      <c r="H40"/>
    </row>
    <row r="41" spans="1:26" s="99" customFormat="1" x14ac:dyDescent="0.3">
      <c r="C41" s="97"/>
      <c r="D41" s="97" t="s">
        <v>107</v>
      </c>
      <c r="F41" s="97"/>
      <c r="G41" s="97"/>
      <c r="H41" s="97"/>
      <c r="J41" s="97"/>
    </row>
    <row r="42" spans="1:26" s="99" customFormat="1" x14ac:dyDescent="0.3">
      <c r="C42" s="97"/>
      <c r="D42" s="97"/>
      <c r="F42" s="97"/>
      <c r="G42" s="97"/>
      <c r="H42" s="97"/>
      <c r="J42" s="97"/>
    </row>
    <row r="43" spans="1:26" customFormat="1" x14ac:dyDescent="0.3">
      <c r="B43" s="99"/>
      <c r="C43" s="99"/>
      <c r="D43" s="99"/>
      <c r="E43" s="99"/>
      <c r="F43" s="99"/>
      <c r="G43" s="99"/>
      <c r="H43" s="99"/>
      <c r="J43" s="302"/>
      <c r="Q43" s="99"/>
      <c r="R43" s="99"/>
      <c r="S43" s="99"/>
      <c r="T43" s="99"/>
      <c r="U43" s="99"/>
      <c r="V43" s="99"/>
      <c r="W43" s="99"/>
      <c r="X43" s="99"/>
      <c r="Y43" s="99"/>
      <c r="Z43" s="99"/>
    </row>
    <row r="44" spans="1:26" customFormat="1" x14ac:dyDescent="0.3">
      <c r="B44" s="99"/>
      <c r="C44" s="99"/>
      <c r="D44" s="99"/>
      <c r="E44" s="99"/>
      <c r="F44" s="99"/>
      <c r="G44" s="99"/>
      <c r="H44" s="99"/>
      <c r="J44" s="302"/>
      <c r="Q44" s="99"/>
      <c r="R44" s="99"/>
      <c r="S44" s="99"/>
      <c r="T44" s="99"/>
      <c r="U44" s="99"/>
      <c r="V44" s="99"/>
      <c r="W44" s="99"/>
      <c r="X44" s="99"/>
      <c r="Y44" s="99"/>
      <c r="Z44" s="99"/>
    </row>
    <row r="45" spans="1:26" x14ac:dyDescent="0.3">
      <c r="A45" s="1" t="s">
        <v>0</v>
      </c>
      <c r="B45" s="486" t="s">
        <v>144</v>
      </c>
      <c r="C45" s="487"/>
      <c r="D45" s="487"/>
      <c r="E45" s="487"/>
      <c r="F45" s="487"/>
      <c r="G45" s="487"/>
      <c r="H45" s="488"/>
      <c r="I45"/>
    </row>
    <row r="46" spans="1:26" x14ac:dyDescent="0.3">
      <c r="B46" s="112"/>
      <c r="C46" s="99"/>
      <c r="D46" s="98" t="s">
        <v>69</v>
      </c>
      <c r="E46" s="98" t="s">
        <v>70</v>
      </c>
      <c r="F46" s="98" t="s">
        <v>14</v>
      </c>
      <c r="G46" s="98" t="s">
        <v>15</v>
      </c>
      <c r="H46" s="169" t="s">
        <v>71</v>
      </c>
      <c r="I46"/>
      <c r="J46" s="302" t="s">
        <v>35</v>
      </c>
      <c r="K46" s="97"/>
      <c r="L46" s="350">
        <v>1017232848</v>
      </c>
    </row>
    <row r="47" spans="1:26" x14ac:dyDescent="0.3">
      <c r="B47" s="217" t="s">
        <v>72</v>
      </c>
      <c r="C47" s="218"/>
      <c r="D47" s="219"/>
      <c r="E47" s="219"/>
      <c r="F47" s="219"/>
      <c r="G47" s="219"/>
      <c r="H47" s="220">
        <f>H49+SUM(H52:H55)+SUM(H61:H63)</f>
        <v>82.213930348258714</v>
      </c>
      <c r="I47"/>
    </row>
    <row r="48" spans="1:26" x14ac:dyDescent="0.3">
      <c r="B48" s="112"/>
      <c r="C48" s="99"/>
      <c r="D48" s="98"/>
      <c r="E48" s="98"/>
      <c r="F48" s="98"/>
      <c r="G48" s="98"/>
      <c r="H48" s="113"/>
      <c r="I48"/>
      <c r="R48" s="308" t="s">
        <v>50</v>
      </c>
      <c r="S48" s="308" t="s">
        <v>51</v>
      </c>
    </row>
    <row r="49" spans="2:19" x14ac:dyDescent="0.3">
      <c r="B49" s="112" t="s">
        <v>73</v>
      </c>
      <c r="C49" s="99"/>
      <c r="D49" s="228">
        <f>D18</f>
        <v>100</v>
      </c>
      <c r="E49" s="115">
        <f>IF(AND($B$13&lt;$F$2,$E$13&lt;$F$2),C6,IF($B$13&lt;$F$2,I6,F6))</f>
        <v>0.46862999999999999</v>
      </c>
      <c r="F49" s="418">
        <f>IF(AND($B$13&lt;$F$2,$E$13&lt;$F$2),D6,IF($B$13&lt;$F$2,J6,G6))</f>
        <v>0.32068000000000002</v>
      </c>
      <c r="G49" s="115">
        <f>E49+F49</f>
        <v>0.78930999999999996</v>
      </c>
      <c r="H49" s="116">
        <f>ROUND((D49*E49),2)+ROUND((D49*F49),2)</f>
        <v>78.930000000000007</v>
      </c>
      <c r="I49"/>
      <c r="R49" s="327">
        <f>IF(AND($B$13&lt;$F$2,$E$13&lt;$F$2),R6,IF($B$13&lt;$F$2,X6,U6))</f>
        <v>0.20383072193179136</v>
      </c>
      <c r="S49" s="328">
        <f>D49*R49</f>
        <v>20.383072193179135</v>
      </c>
    </row>
    <row r="50" spans="2:19" x14ac:dyDescent="0.3">
      <c r="B50" s="112"/>
      <c r="C50" s="99"/>
      <c r="D50" s="114"/>
      <c r="E50" s="117"/>
      <c r="F50" s="118"/>
      <c r="G50" s="118"/>
      <c r="H50" s="116"/>
      <c r="I50"/>
      <c r="J50"/>
      <c r="K50"/>
      <c r="L50"/>
      <c r="M50"/>
      <c r="N50"/>
      <c r="O50"/>
      <c r="P50"/>
    </row>
    <row r="51" spans="2:19" x14ac:dyDescent="0.3">
      <c r="B51" s="112"/>
      <c r="C51" s="99"/>
      <c r="D51" s="119"/>
      <c r="E51" s="99"/>
      <c r="F51" s="99"/>
      <c r="G51" s="99"/>
      <c r="H51" s="120"/>
      <c r="I51"/>
      <c r="J51"/>
      <c r="K51"/>
      <c r="L51"/>
      <c r="M51"/>
      <c r="N51"/>
      <c r="O51"/>
      <c r="P51"/>
    </row>
    <row r="52" spans="2:19" x14ac:dyDescent="0.3">
      <c r="B52" s="112" t="s">
        <v>57</v>
      </c>
      <c r="C52" s="99"/>
      <c r="D52" s="121">
        <f>IF($K$11=$M$4,(D49*(K13)/(K13+L13)),0)+IF($L$11=$M$4,(D49*(L13)/(K13+L13)),0)</f>
        <v>20.689655172413794</v>
      </c>
      <c r="E52" s="99"/>
      <c r="F52" s="122">
        <f>N4</f>
        <v>1.8849999999999999E-2</v>
      </c>
      <c r="G52" s="122"/>
      <c r="H52" s="116">
        <f>ROUND(D52*(E52+F52),2)</f>
        <v>0.39</v>
      </c>
      <c r="I52"/>
      <c r="J52"/>
      <c r="L52"/>
      <c r="M52"/>
      <c r="N52"/>
      <c r="O52"/>
      <c r="P52"/>
    </row>
    <row r="53" spans="2:19" x14ac:dyDescent="0.3">
      <c r="B53" s="112" t="s">
        <v>58</v>
      </c>
      <c r="C53" s="99"/>
      <c r="D53" s="121">
        <f>IF($K$11=$M$5,(D49*(K13)/(K13+L13)),0)+IF($L$11=$M$5,(D49*(L13)/(K13+L13)),0)</f>
        <v>0</v>
      </c>
      <c r="E53" s="99"/>
      <c r="F53" s="122">
        <f>N5</f>
        <v>4.4630000000000003E-2</v>
      </c>
      <c r="G53" s="122"/>
      <c r="H53" s="116">
        <f>ROUND(D53*(E53+F53),2)</f>
        <v>0</v>
      </c>
      <c r="I53"/>
      <c r="J53"/>
      <c r="L53"/>
      <c r="M53"/>
      <c r="N53"/>
      <c r="O53"/>
      <c r="P53"/>
    </row>
    <row r="54" spans="2:19" x14ac:dyDescent="0.3">
      <c r="B54" s="112" t="s">
        <v>59</v>
      </c>
      <c r="C54" s="99"/>
      <c r="D54" s="121">
        <f>IF($K$11=$M$6,(D49*(K13)/(K13+L13)),0)+IF($L$11=$M$6,(D49*(L13)/(K13+L13)),0)</f>
        <v>0</v>
      </c>
      <c r="E54" s="99"/>
      <c r="F54" s="122">
        <f>N6</f>
        <v>7.8770000000000007E-2</v>
      </c>
      <c r="G54" s="122"/>
      <c r="H54" s="116">
        <f>ROUND(D54*(E54+F54),2)</f>
        <v>0</v>
      </c>
      <c r="I54"/>
      <c r="J54"/>
      <c r="L54"/>
      <c r="M54"/>
      <c r="N54"/>
      <c r="O54"/>
      <c r="P54"/>
    </row>
    <row r="55" spans="2:19" x14ac:dyDescent="0.3">
      <c r="B55" s="112" t="s">
        <v>74</v>
      </c>
      <c r="C55" s="99"/>
      <c r="D55" s="121">
        <f>IF($K$11=M7,(D49*(K13)/(K13+L13)),0)+IF($L$11=M7,(D49*(L13)/(K13+L13)),0)</f>
        <v>0</v>
      </c>
      <c r="E55" s="99"/>
      <c r="F55" s="122">
        <f>N7</f>
        <v>0.14199999999999999</v>
      </c>
      <c r="G55" s="122"/>
      <c r="H55" s="116">
        <f>ROUND(D55*(E55+F55),2)</f>
        <v>0</v>
      </c>
      <c r="I55"/>
      <c r="J55"/>
      <c r="L55"/>
      <c r="M55"/>
      <c r="N55"/>
      <c r="O55"/>
      <c r="P55"/>
    </row>
    <row r="56" spans="2:19" x14ac:dyDescent="0.3">
      <c r="B56" s="112"/>
      <c r="C56" s="99"/>
      <c r="D56" s="119"/>
      <c r="E56" s="99"/>
      <c r="F56" s="99"/>
      <c r="G56" s="99"/>
      <c r="H56" s="116"/>
      <c r="I56"/>
      <c r="J56"/>
      <c r="L56"/>
      <c r="M56"/>
      <c r="N56"/>
      <c r="O56"/>
      <c r="P56"/>
    </row>
    <row r="57" spans="2:19" x14ac:dyDescent="0.3">
      <c r="B57" s="124"/>
      <c r="C57" s="103"/>
      <c r="D57" s="103"/>
      <c r="E57" s="103"/>
      <c r="F57" s="103"/>
      <c r="G57" s="103"/>
      <c r="H57" s="125"/>
      <c r="I57"/>
      <c r="J57"/>
      <c r="L57"/>
      <c r="M57"/>
      <c r="N57"/>
      <c r="O57"/>
      <c r="P57"/>
    </row>
    <row r="58" spans="2:19" x14ac:dyDescent="0.3">
      <c r="B58" s="126"/>
      <c r="C58" s="127"/>
      <c r="D58" s="128"/>
      <c r="E58" s="129"/>
      <c r="F58" s="127"/>
      <c r="G58" s="127"/>
      <c r="H58" s="130"/>
      <c r="I58"/>
      <c r="J58"/>
      <c r="L58"/>
      <c r="M58"/>
      <c r="N58"/>
      <c r="O58"/>
      <c r="P58"/>
    </row>
    <row r="59" spans="2:19" x14ac:dyDescent="0.3">
      <c r="B59" s="131"/>
      <c r="C59" s="132"/>
      <c r="D59" s="132"/>
      <c r="E59" s="132"/>
      <c r="F59" s="132"/>
      <c r="G59" s="132"/>
      <c r="H59" s="133"/>
      <c r="I59"/>
      <c r="J59"/>
      <c r="L59"/>
      <c r="M59"/>
      <c r="N59"/>
      <c r="O59"/>
      <c r="P59"/>
    </row>
    <row r="60" spans="2:19" x14ac:dyDescent="0.3">
      <c r="B60" s="112"/>
      <c r="C60" s="99"/>
      <c r="D60" s="95" t="s">
        <v>75</v>
      </c>
      <c r="E60" s="111"/>
      <c r="F60" s="111"/>
      <c r="G60" s="111"/>
      <c r="H60" s="134"/>
      <c r="I60"/>
      <c r="J60"/>
      <c r="K60" s="14"/>
      <c r="L60"/>
      <c r="M60"/>
      <c r="N60"/>
      <c r="O60"/>
      <c r="P60"/>
    </row>
    <row r="61" spans="2:19" x14ac:dyDescent="0.3">
      <c r="B61" s="112" t="s">
        <v>76</v>
      </c>
      <c r="C61" s="99"/>
      <c r="D61" s="136">
        <f>(H49+H52+H53+H54+H55)/(1-(E61+E62))</f>
        <v>82.213930348258714</v>
      </c>
      <c r="E61" s="352">
        <f>N18</f>
        <v>6.3E-3</v>
      </c>
      <c r="F61" s="99"/>
      <c r="G61" s="99"/>
      <c r="H61" s="116">
        <f>D61*E61</f>
        <v>0.51794776119402985</v>
      </c>
      <c r="I61"/>
      <c r="J61"/>
      <c r="L61"/>
      <c r="M61"/>
      <c r="N61"/>
      <c r="O61"/>
      <c r="P61"/>
    </row>
    <row r="62" spans="2:19" x14ac:dyDescent="0.3">
      <c r="B62" s="112" t="s">
        <v>56</v>
      </c>
      <c r="C62" s="99"/>
      <c r="D62" s="136">
        <f>D61</f>
        <v>82.213930348258714</v>
      </c>
      <c r="E62" s="352">
        <f>N19</f>
        <v>2.8899999999999999E-2</v>
      </c>
      <c r="F62" s="99"/>
      <c r="G62" s="99"/>
      <c r="H62" s="116">
        <f>D62*E62</f>
        <v>2.3759825870646769</v>
      </c>
      <c r="I62"/>
      <c r="J62"/>
      <c r="L62"/>
      <c r="M62"/>
      <c r="N62"/>
      <c r="O62"/>
      <c r="P62"/>
    </row>
    <row r="63" spans="2:19" x14ac:dyDescent="0.3">
      <c r="B63" s="112" t="s">
        <v>77</v>
      </c>
      <c r="C63" s="99"/>
      <c r="D63" s="307">
        <f>IF((E63=17%),(D61/(1-(E63))),D71)</f>
        <v>51.567877458585215</v>
      </c>
      <c r="E63" s="150">
        <f>I18</f>
        <v>0</v>
      </c>
      <c r="F63" s="99"/>
      <c r="G63" s="99"/>
      <c r="H63" s="116">
        <f>D63*E63</f>
        <v>0</v>
      </c>
      <c r="I63"/>
      <c r="J63"/>
      <c r="L63"/>
      <c r="M63"/>
      <c r="N63"/>
      <c r="O63"/>
      <c r="P63"/>
    </row>
    <row r="64" spans="2:19" x14ac:dyDescent="0.3">
      <c r="B64" s="126"/>
      <c r="C64" s="127"/>
      <c r="D64" s="127"/>
      <c r="E64" s="127"/>
      <c r="F64" s="127"/>
      <c r="G64" s="127"/>
      <c r="H64" s="137"/>
      <c r="I64"/>
      <c r="J64"/>
      <c r="L64"/>
      <c r="M64"/>
      <c r="N64"/>
      <c r="O64"/>
      <c r="P64"/>
    </row>
    <row r="65" spans="2:16" x14ac:dyDescent="0.3">
      <c r="B65" s="366" t="s">
        <v>78</v>
      </c>
      <c r="C65" s="367"/>
      <c r="D65" s="368">
        <f>D49</f>
        <v>100</v>
      </c>
      <c r="E65" s="369">
        <f>IF(AND($B$13&lt;$F$2,$E$13&lt;$F$2),C7,IF($B$13&lt;$F$2,I7,F7))</f>
        <v>1.8774721494831901E-4</v>
      </c>
      <c r="F65" s="369">
        <f>IF(AND($B$13&lt;$F$2,$E$13&lt;$F$2),D7,IF($B$13&lt;$F$2,J7,G7))</f>
        <v>-4.4031307414479802E-3</v>
      </c>
      <c r="G65" s="367"/>
      <c r="H65" s="366">
        <f>D65*(E65+F65)</f>
        <v>-0.42153835264996614</v>
      </c>
      <c r="I65"/>
      <c r="J65"/>
      <c r="L65"/>
      <c r="M65"/>
      <c r="N65"/>
      <c r="O65"/>
      <c r="P65"/>
    </row>
    <row r="66" spans="2:16" x14ac:dyDescent="0.3">
      <c r="B66" s="99"/>
      <c r="C66" s="99"/>
      <c r="D66" s="99"/>
      <c r="E66" s="99"/>
      <c r="F66" s="99"/>
      <c r="G66" s="99"/>
      <c r="H66" s="99"/>
      <c r="I66"/>
      <c r="J66"/>
      <c r="L66"/>
      <c r="M66"/>
      <c r="N66"/>
      <c r="O66"/>
      <c r="P66"/>
    </row>
    <row r="67" spans="2:16" x14ac:dyDescent="0.3">
      <c r="B67" s="99" t="s">
        <v>145</v>
      </c>
      <c r="C67" s="99"/>
      <c r="D67" s="99"/>
      <c r="E67" s="99"/>
      <c r="F67" s="99"/>
      <c r="G67" s="99"/>
      <c r="H67" s="99"/>
      <c r="I67"/>
      <c r="J67"/>
      <c r="L67"/>
      <c r="M67"/>
      <c r="N67"/>
      <c r="O67"/>
      <c r="P67"/>
    </row>
    <row r="68" spans="2:16" x14ac:dyDescent="0.3">
      <c r="B68" s="3"/>
      <c r="C68" s="3"/>
      <c r="D68" s="6" t="s">
        <v>102</v>
      </c>
      <c r="F68" s="6"/>
    </row>
    <row r="69" spans="2:16" x14ac:dyDescent="0.3">
      <c r="B69" s="23" t="s">
        <v>54</v>
      </c>
      <c r="C69" s="24">
        <f>E61</f>
        <v>6.3E-3</v>
      </c>
      <c r="D69" s="33">
        <f>SUM(H49:H55)/(1-(C69+C70))</f>
        <v>82.213930348258714</v>
      </c>
      <c r="E69" s="38" t="s">
        <v>103</v>
      </c>
      <c r="F69" s="24">
        <f>C69</f>
        <v>6.3E-3</v>
      </c>
      <c r="G69" s="22">
        <f>D69*F69</f>
        <v>0.51794776119402985</v>
      </c>
    </row>
    <row r="70" spans="2:16" x14ac:dyDescent="0.3">
      <c r="B70" s="23" t="s">
        <v>56</v>
      </c>
      <c r="C70" s="24">
        <f>E62</f>
        <v>2.8899999999999999E-2</v>
      </c>
      <c r="D70" s="33">
        <f>D69</f>
        <v>82.213930348258714</v>
      </c>
      <c r="E70" s="38" t="s">
        <v>103</v>
      </c>
      <c r="F70" s="24">
        <f>C70</f>
        <v>2.8899999999999999E-2</v>
      </c>
      <c r="G70" s="22">
        <f>D70*F70</f>
        <v>2.3759825870646769</v>
      </c>
    </row>
    <row r="71" spans="2:16" x14ac:dyDescent="0.3">
      <c r="B71" s="23" t="s">
        <v>77</v>
      </c>
      <c r="C71" s="25">
        <v>7.0000000000000007E-2</v>
      </c>
      <c r="D71" s="42">
        <f>H71/F71*C71</f>
        <v>51.567877458585215</v>
      </c>
      <c r="E71" s="38" t="s">
        <v>103</v>
      </c>
      <c r="F71" s="25">
        <v>0.12</v>
      </c>
      <c r="G71" s="22">
        <f>D71*F71</f>
        <v>6.1881452950302256</v>
      </c>
      <c r="H71" s="161">
        <f>((SUM(H49:H55))/(1-F69-F70)/(1-(C71)))</f>
        <v>88.402075643288939</v>
      </c>
      <c r="I71" s="172"/>
    </row>
    <row r="72" spans="2:16" x14ac:dyDescent="0.3">
      <c r="B72" s="3"/>
      <c r="C72" s="3"/>
      <c r="D72" s="22">
        <f>(O63)/(1-C69-C70-C71)</f>
        <v>0</v>
      </c>
      <c r="E72" s="8"/>
      <c r="F72" s="8"/>
      <c r="G72" s="3"/>
      <c r="H72" s="3"/>
      <c r="I72" s="9"/>
      <c r="K72" s="9"/>
      <c r="L72" s="9"/>
      <c r="M72" s="6"/>
      <c r="N72" s="6"/>
      <c r="O72" s="11"/>
    </row>
    <row r="73" spans="2:16" x14ac:dyDescent="0.3">
      <c r="B73"/>
      <c r="C73"/>
      <c r="D73" s="27" t="s">
        <v>105</v>
      </c>
      <c r="E73" s="28" t="s">
        <v>106</v>
      </c>
      <c r="F73" s="49"/>
      <c r="G73" t="s">
        <v>117</v>
      </c>
      <c r="H73" s="29">
        <f>H71/F71*C71</f>
        <v>51.567877458585215</v>
      </c>
    </row>
    <row r="74" spans="2:16" x14ac:dyDescent="0.3">
      <c r="B74"/>
      <c r="C74"/>
      <c r="D74"/>
      <c r="E74" t="s">
        <v>143</v>
      </c>
      <c r="F74"/>
      <c r="G74"/>
      <c r="H74"/>
      <c r="I74"/>
    </row>
    <row r="76" spans="2:16" x14ac:dyDescent="0.3">
      <c r="B76" s="63" t="s">
        <v>79</v>
      </c>
      <c r="D76" s="13"/>
      <c r="E76" s="13"/>
      <c r="F76" s="13"/>
      <c r="G76" s="13"/>
    </row>
    <row r="77" spans="2:16" x14ac:dyDescent="0.3">
      <c r="B77" s="56"/>
      <c r="C77" s="57" t="s">
        <v>71</v>
      </c>
    </row>
    <row r="78" spans="2:16" x14ac:dyDescent="0.3">
      <c r="B78" s="56" t="s">
        <v>80</v>
      </c>
      <c r="C78" s="58">
        <f>SUM(H49:H55)*IF($B$13&lt;$F$2,D121,D93)</f>
        <v>35.889457677794695</v>
      </c>
    </row>
    <row r="79" spans="2:16" x14ac:dyDescent="0.3">
      <c r="B79" s="56" t="s">
        <v>81</v>
      </c>
      <c r="C79" s="58">
        <f>SUM(H49:H55)*IF($B$13&lt;$F$2,F121,F93)</f>
        <v>21.813724395468231</v>
      </c>
    </row>
    <row r="80" spans="2:16" x14ac:dyDescent="0.3">
      <c r="B80" s="56" t="s">
        <v>82</v>
      </c>
      <c r="C80" s="58">
        <f>SUM(H49:H55)*IF($B$13&lt;$F$2,E121,E93)</f>
        <v>5.8664604898958785</v>
      </c>
    </row>
    <row r="81" spans="2:10" x14ac:dyDescent="0.3">
      <c r="B81" s="56" t="s">
        <v>83</v>
      </c>
      <c r="C81" s="58">
        <f>SUM(H49:H55)*IF($B$13&lt;$F$2,G121,G93)</f>
        <v>15.75035743684121</v>
      </c>
    </row>
    <row r="82" spans="2:10" x14ac:dyDescent="0.3">
      <c r="B82" s="56" t="s">
        <v>84</v>
      </c>
      <c r="C82" s="59">
        <f>H61+H62+H63</f>
        <v>2.8939303482587069</v>
      </c>
    </row>
    <row r="83" spans="2:10" x14ac:dyDescent="0.3">
      <c r="B83" s="60" t="s">
        <v>85</v>
      </c>
      <c r="C83" s="61">
        <f>SUM(C78:C82)</f>
        <v>82.213930348258714</v>
      </c>
    </row>
    <row r="84" spans="2:10" x14ac:dyDescent="0.3">
      <c r="J84" s="103"/>
    </row>
    <row r="85" spans="2:10" x14ac:dyDescent="0.3">
      <c r="B85" s="15">
        <f>'Fatura B1 (Res) OK'!$B$68</f>
        <v>2024</v>
      </c>
      <c r="C85" s="15"/>
      <c r="D85" s="15" t="str">
        <f>'Fatura B1 (Res) OK'!$D$68</f>
        <v>Energia</v>
      </c>
      <c r="E85" s="15" t="str">
        <f>'Fatura B1 (Res) OK'!$E$68</f>
        <v>Transmissão</v>
      </c>
      <c r="F85" s="15" t="str">
        <f>'Fatura B1 (Res) OK'!$F$68</f>
        <v>Distribuição</v>
      </c>
      <c r="G85" s="15" t="str">
        <f>'Fatura B1 (Res) OK'!$G$68</f>
        <v>Setoriais</v>
      </c>
    </row>
    <row r="86" spans="2:10" x14ac:dyDescent="0.3">
      <c r="B86" s="15" t="str">
        <f>'Fatura B1 (Res) OK'!$B$69</f>
        <v>Grupo B</v>
      </c>
      <c r="C86" s="15"/>
      <c r="D86" s="15" t="str">
        <f>'Fatura B1 (Res) OK'!$D$69</f>
        <v>%</v>
      </c>
      <c r="E86" s="15" t="str">
        <f>'Fatura B1 (Res) OK'!$E$69</f>
        <v>%</v>
      </c>
      <c r="F86" s="15" t="str">
        <f>'Fatura B1 (Res) OK'!$F$69</f>
        <v>%</v>
      </c>
      <c r="G86" s="15" t="str">
        <f>'Fatura B1 (Res) OK'!$G$69</f>
        <v>%</v>
      </c>
    </row>
    <row r="87" spans="2:10" x14ac:dyDescent="0.3">
      <c r="B87" s="15"/>
      <c r="C87" s="15"/>
      <c r="D87" s="15"/>
      <c r="E87" s="15"/>
      <c r="F87" s="15"/>
      <c r="G87" s="15"/>
    </row>
    <row r="88" spans="2:10" x14ac:dyDescent="0.3">
      <c r="B88" s="15" t="str">
        <f>'Fatura B1 (Res) OK'!$B$71</f>
        <v>B1 - Residencial</v>
      </c>
      <c r="C88" s="15"/>
      <c r="D88" s="62">
        <f>'Fatura B1 (Res) OK'!$D$71</f>
        <v>0.45246416638672077</v>
      </c>
      <c r="E88" s="62">
        <f>'Fatura B1 (Res) OK'!$E$71</f>
        <v>7.39594111182032E-2</v>
      </c>
      <c r="F88" s="62">
        <f>'Fatura B1 (Res) OK'!$F$71</f>
        <v>0.27500913257019954</v>
      </c>
      <c r="G88" s="62">
        <f>'Fatura B1 (Res) OK'!$G$71</f>
        <v>0.19856728992487654</v>
      </c>
    </row>
    <row r="89" spans="2:10" x14ac:dyDescent="0.3">
      <c r="B89" s="15" t="str">
        <f>'Fatura B1 (Res) OK'!$B$72</f>
        <v>B1 - Residencial Baixa Renda</v>
      </c>
      <c r="C89" s="15"/>
      <c r="D89" s="62">
        <f>'Fatura B1 (Res) OK'!$D$72</f>
        <v>0.53149575868436638</v>
      </c>
      <c r="E89" s="62">
        <f>'Fatura B1 (Res) OK'!$E$72</f>
        <v>8.6877848555460851E-2</v>
      </c>
      <c r="F89" s="62">
        <f>'Fatura B1 (Res) OK'!$F$72</f>
        <v>0.32304478104372042</v>
      </c>
      <c r="G89" s="62">
        <f>'Fatura B1 (Res) OK'!$G$72</f>
        <v>5.8581611716452382E-2</v>
      </c>
    </row>
    <row r="90" spans="2:10" x14ac:dyDescent="0.3">
      <c r="B90" s="15" t="str">
        <f>'Fatura B1 (Res) OK'!$B$73</f>
        <v>B2 - Rural</v>
      </c>
      <c r="C90" s="15"/>
      <c r="D90" s="62">
        <f>'Fatura B1 (Res) OK'!$D$73</f>
        <v>0.45246416638672077</v>
      </c>
      <c r="E90" s="62">
        <f>'Fatura B1 (Res) OK'!$E$73</f>
        <v>7.39594111182032E-2</v>
      </c>
      <c r="F90" s="62">
        <f>'Fatura B1 (Res) OK'!$F$73</f>
        <v>0.27500913257019954</v>
      </c>
      <c r="G90" s="62">
        <f>'Fatura B1 (Res) OK'!$G$73</f>
        <v>0.19856728992487654</v>
      </c>
    </row>
    <row r="91" spans="2:10" x14ac:dyDescent="0.3">
      <c r="B91" s="15" t="str">
        <f>'Fatura B1 (Res) OK'!$B$74</f>
        <v>B2 - Cooperativa Eletrificação Rural</v>
      </c>
      <c r="C91" s="15"/>
      <c r="D91" s="62">
        <f>'Fatura B1 (Res) OK'!$D$74</f>
        <v>0.45246416638672077</v>
      </c>
      <c r="E91" s="62">
        <f>'Fatura B1 (Res) OK'!$E$74</f>
        <v>7.39594111182032E-2</v>
      </c>
      <c r="F91" s="62">
        <f>'Fatura B1 (Res) OK'!$F$74</f>
        <v>0.27500913257019954</v>
      </c>
      <c r="G91" s="62">
        <f>'Fatura B1 (Res) OK'!$G$74</f>
        <v>0.19856728992487654</v>
      </c>
    </row>
    <row r="92" spans="2:10" x14ac:dyDescent="0.3">
      <c r="B92" s="15" t="str">
        <f>'Fatura B1 (Res) OK'!$B$75</f>
        <v>B2 - Serviço de Irrigação</v>
      </c>
      <c r="C92" s="15"/>
      <c r="D92" s="62">
        <f>'Fatura B1 (Res) OK'!$D$75</f>
        <v>0.45246416638672077</v>
      </c>
      <c r="E92" s="62">
        <f>'Fatura B1 (Res) OK'!$E$75</f>
        <v>7.39594111182032E-2</v>
      </c>
      <c r="F92" s="62">
        <f>'Fatura B1 (Res) OK'!$F$75</f>
        <v>0.27500913257019954</v>
      </c>
      <c r="G92" s="62">
        <f>'Fatura B1 (Res) OK'!$G$75</f>
        <v>0.19856728992487654</v>
      </c>
    </row>
    <row r="93" spans="2:10" x14ac:dyDescent="0.3">
      <c r="B93" s="15" t="str">
        <f>'Fatura B1 (Res) OK'!$B$76</f>
        <v>B3 - Demais Classes</v>
      </c>
      <c r="C93" s="15"/>
      <c r="D93" s="62">
        <f>'Fatura B1 (Res) OK'!$D$76</f>
        <v>0.45246416638672077</v>
      </c>
      <c r="E93" s="62">
        <f>'Fatura B1 (Res) OK'!$E$76</f>
        <v>7.39594111182032E-2</v>
      </c>
      <c r="F93" s="62">
        <f>'Fatura B1 (Res) OK'!$F$76</f>
        <v>0.27500913257019954</v>
      </c>
      <c r="G93" s="62">
        <f>'Fatura B1 (Res) OK'!$G$76</f>
        <v>0.19856728992487654</v>
      </c>
    </row>
    <row r="94" spans="2:10" x14ac:dyDescent="0.3">
      <c r="B94" s="15" t="str">
        <f>'Fatura B1 (Res) OK'!$B$77</f>
        <v>B4 - Iluminação Pública</v>
      </c>
      <c r="C94" s="15"/>
      <c r="D94" s="62">
        <f>'Fatura B1 (Res) OK'!$D$77</f>
        <v>0.45246416638672071</v>
      </c>
      <c r="E94" s="62">
        <f>'Fatura B1 (Res) OK'!$E$77</f>
        <v>7.3959411118203186E-2</v>
      </c>
      <c r="F94" s="62">
        <f>'Fatura B1 (Res) OK'!$F$77</f>
        <v>0.27500913257019949</v>
      </c>
      <c r="G94" s="62">
        <f>'Fatura B1 (Res) OK'!$G$77</f>
        <v>0.19856728992487654</v>
      </c>
    </row>
    <row r="95" spans="2:10" x14ac:dyDescent="0.3">
      <c r="B95" s="15" t="str">
        <f>'Fatura B1 (Res) OK'!$B$78</f>
        <v>B4a - Rede de Distribuição</v>
      </c>
      <c r="C95" s="15"/>
      <c r="D95" s="62">
        <f>'Fatura B1 (Res) OK'!$D$78</f>
        <v>0.45246416638672071</v>
      </c>
      <c r="E95" s="62">
        <f>'Fatura B1 (Res) OK'!$E$78</f>
        <v>7.3959411118203186E-2</v>
      </c>
      <c r="F95" s="62">
        <f>'Fatura B1 (Res) OK'!$F$78</f>
        <v>0.27500913257019949</v>
      </c>
      <c r="G95" s="62">
        <f>'Fatura B1 (Res) OK'!$G$78</f>
        <v>0.19856728992487654</v>
      </c>
    </row>
    <row r="96" spans="2:10" x14ac:dyDescent="0.3">
      <c r="B96" s="15" t="str">
        <f>'Fatura B1 (Res) OK'!$B$79</f>
        <v>B4b - Bulbo de Lâmpada</v>
      </c>
      <c r="C96" s="15"/>
      <c r="D96" s="62">
        <f>'Fatura B1 (Res) OK'!$D$79</f>
        <v>0.45246416638672071</v>
      </c>
      <c r="E96" s="62">
        <f>'Fatura B1 (Res) OK'!$E$79</f>
        <v>7.39594111182032E-2</v>
      </c>
      <c r="F96" s="62">
        <f>'Fatura B1 (Res) OK'!$F$79</f>
        <v>0.27500913257019954</v>
      </c>
      <c r="G96" s="62">
        <f>'Fatura B1 (Res) OK'!$G$79</f>
        <v>0.19856728992487657</v>
      </c>
    </row>
    <row r="97" spans="2:7" x14ac:dyDescent="0.3">
      <c r="B97" s="63"/>
      <c r="C97" s="63"/>
      <c r="D97" s="63"/>
      <c r="E97" s="63"/>
      <c r="F97" s="63"/>
      <c r="G97" s="63"/>
    </row>
    <row r="98" spans="2:7" x14ac:dyDescent="0.3">
      <c r="B98" s="63"/>
      <c r="C98" s="63"/>
      <c r="D98" s="63"/>
      <c r="E98" s="63"/>
      <c r="F98" s="63"/>
      <c r="G98" s="63"/>
    </row>
    <row r="99" spans="2:7" x14ac:dyDescent="0.3">
      <c r="B99" s="63">
        <f>'Fatura B1 (Res) OK'!$B$82</f>
        <v>2023</v>
      </c>
      <c r="C99" s="63"/>
      <c r="D99" s="15" t="str">
        <f>'Fatura B1 (Res) OK'!$D$68</f>
        <v>Energia</v>
      </c>
      <c r="E99" s="15" t="str">
        <f>'Fatura B1 (Res) OK'!$E$68</f>
        <v>Transmissão</v>
      </c>
      <c r="F99" s="15" t="str">
        <f>'Fatura B1 (Res) OK'!$F$68</f>
        <v>Distribuição</v>
      </c>
      <c r="G99" s="15" t="str">
        <f>'Fatura B1 (Res) OK'!$G$68</f>
        <v>Setoriais</v>
      </c>
    </row>
    <row r="100" spans="2:7" x14ac:dyDescent="0.3">
      <c r="B100" s="63" t="str">
        <f>'Fatura B1 (Res) OK'!$B$83</f>
        <v>Grupo B</v>
      </c>
      <c r="C100" s="63"/>
      <c r="D100" s="15" t="str">
        <f>'Fatura B1 (Res) OK'!$D$69</f>
        <v>%</v>
      </c>
      <c r="E100" s="15" t="str">
        <f>'Fatura B1 (Res) OK'!$E$69</f>
        <v>%</v>
      </c>
      <c r="F100" s="15" t="str">
        <f>'Fatura B1 (Res) OK'!$F$69</f>
        <v>%</v>
      </c>
      <c r="G100" s="15" t="str">
        <f>'Fatura B1 (Res) OK'!$G$69</f>
        <v>%</v>
      </c>
    </row>
    <row r="101" spans="2:7" x14ac:dyDescent="0.3">
      <c r="B101" s="15"/>
      <c r="C101" s="15"/>
      <c r="D101" s="15"/>
      <c r="E101" s="15"/>
      <c r="F101" s="15"/>
      <c r="G101" s="15"/>
    </row>
    <row r="102" spans="2:7" x14ac:dyDescent="0.3">
      <c r="B102" s="15" t="str">
        <f>'Fatura B1 (Res) OK'!$B$85</f>
        <v>B1 - Residencial</v>
      </c>
      <c r="C102" s="15"/>
      <c r="D102" s="62">
        <f>'Fatura B1 (Res) OK'!$D$85</f>
        <v>0.43939696077133034</v>
      </c>
      <c r="E102" s="62">
        <f>'Fatura B1 (Res) OK'!$E$85</f>
        <v>9.2697585625348772E-2</v>
      </c>
      <c r="F102" s="62">
        <f>'Fatura B1 (Res) OK'!$F$85</f>
        <v>0.25285207888477268</v>
      </c>
      <c r="G102" s="62">
        <f>'Fatura B1 (Res) OK'!$G$85</f>
        <v>0.21506308252114117</v>
      </c>
    </row>
    <row r="103" spans="2:7" x14ac:dyDescent="0.3">
      <c r="B103" s="15" t="str">
        <f>'Fatura B1 (Res) OK'!$B$86</f>
        <v>B1 - Residencial Baixa Renda</v>
      </c>
      <c r="C103" s="15"/>
      <c r="D103" s="62">
        <f>'Fatura B1 (Res) OK'!$D$86</f>
        <v>0.52691619996872485</v>
      </c>
      <c r="E103" s="62">
        <f>'Fatura B1 (Res) OK'!$E$86</f>
        <v>0.11116112291319068</v>
      </c>
      <c r="F103" s="62">
        <f>'Fatura B1 (Res) OK'!$F$86</f>
        <v>0.30321524374287334</v>
      </c>
      <c r="G103" s="62">
        <f>'Fatura B1 (Res) OK'!$G$86</f>
        <v>5.8707433375211129E-2</v>
      </c>
    </row>
    <row r="104" spans="2:7" x14ac:dyDescent="0.3">
      <c r="B104" s="15" t="str">
        <f>'Fatura B1 (Res) OK'!$B$87</f>
        <v>B2 - Rural</v>
      </c>
      <c r="C104" s="15"/>
      <c r="D104" s="62">
        <f>'Fatura B1 (Res) OK'!$D$87</f>
        <v>0.43939300245552615</v>
      </c>
      <c r="E104" s="62">
        <f>'Fatura B1 (Res) OK'!$E$87</f>
        <v>9.2696750557401245E-2</v>
      </c>
      <c r="F104" s="62">
        <f>'Fatura B1 (Res) OK'!$F$87</f>
        <v>0.25284980106205335</v>
      </c>
      <c r="G104" s="62">
        <f>'Fatura B1 (Res) OK'!$G$87</f>
        <v>0.21506044592501908</v>
      </c>
    </row>
    <row r="105" spans="2:7" x14ac:dyDescent="0.3">
      <c r="B105" s="15" t="str">
        <f>'Fatura B1 (Res) OK'!$B$88</f>
        <v>B2 - Cooperativa Eletrificação Rural</v>
      </c>
      <c r="C105" s="15"/>
      <c r="D105" s="62">
        <f>'Fatura B1 (Res) OK'!$D$88</f>
        <v>0.43939300245552615</v>
      </c>
      <c r="E105" s="62">
        <f>'Fatura B1 (Res) OK'!$E$88</f>
        <v>9.2696750557401245E-2</v>
      </c>
      <c r="F105" s="62">
        <f>'Fatura B1 (Res) OK'!$F$88</f>
        <v>0.25284980106205335</v>
      </c>
      <c r="G105" s="62">
        <f>'Fatura B1 (Res) OK'!$G$88</f>
        <v>0.21506044592501908</v>
      </c>
    </row>
    <row r="106" spans="2:7" x14ac:dyDescent="0.3">
      <c r="B106" s="15" t="str">
        <f>'Fatura B1 (Res) OK'!$B$89</f>
        <v>B2 - Serviço de Irrigação</v>
      </c>
      <c r="C106" s="15"/>
      <c r="D106" s="62">
        <f>'Fatura B1 (Res) OK'!$D$89</f>
        <v>0.43939300245552615</v>
      </c>
      <c r="E106" s="62">
        <f>'Fatura B1 (Res) OK'!$E$89</f>
        <v>9.2696750557401328E-2</v>
      </c>
      <c r="F106" s="62">
        <f>'Fatura B1 (Res) OK'!$F$89</f>
        <v>0.25284980106205335</v>
      </c>
      <c r="G106" s="62">
        <f>'Fatura B1 (Res) OK'!$G$89</f>
        <v>0.21506044592501908</v>
      </c>
    </row>
    <row r="107" spans="2:7" x14ac:dyDescent="0.3">
      <c r="B107" s="15" t="str">
        <f>'Fatura B1 (Res) OK'!$B$90</f>
        <v>B3 - Demais Classes</v>
      </c>
      <c r="C107" s="15"/>
      <c r="D107" s="62">
        <f>'Fatura B1 (Res) OK'!$D$90</f>
        <v>0.43939300245552615</v>
      </c>
      <c r="E107" s="62">
        <f>'Fatura B1 (Res) OK'!$E$90</f>
        <v>9.2696750557401328E-2</v>
      </c>
      <c r="F107" s="62">
        <f>'Fatura B1 (Res) OK'!$F$90</f>
        <v>0.25284980106205335</v>
      </c>
      <c r="G107" s="62">
        <f>'Fatura B1 (Res) OK'!$G$90</f>
        <v>0.21506044592501908</v>
      </c>
    </row>
    <row r="108" spans="2:7" x14ac:dyDescent="0.3">
      <c r="B108" s="15" t="str">
        <f>'Fatura B1 (Res) OK'!$B$91</f>
        <v>B4 - Iluminação Pública</v>
      </c>
      <c r="C108" s="15"/>
      <c r="D108" s="62">
        <f>'Fatura B1 (Res) OK'!$D$91</f>
        <v>0</v>
      </c>
      <c r="E108" s="62">
        <f>'Fatura B1 (Res) OK'!$E$91</f>
        <v>0</v>
      </c>
      <c r="F108" s="62">
        <f>'Fatura B1 (Res) OK'!$F$91</f>
        <v>0</v>
      </c>
      <c r="G108" s="62">
        <f>'Fatura B1 (Res) OK'!$G$91</f>
        <v>0</v>
      </c>
    </row>
    <row r="109" spans="2:7" x14ac:dyDescent="0.3">
      <c r="B109" s="15" t="str">
        <f>'Fatura B1 (Res) OK'!$B$92</f>
        <v>B4a - Rede de Distribuição</v>
      </c>
      <c r="C109" s="15"/>
      <c r="D109" s="62">
        <f>'Fatura B1 (Res) OK'!$D$92</f>
        <v>0.43938945729126549</v>
      </c>
      <c r="E109" s="62">
        <f>'Fatura B1 (Res) OK'!$E$92</f>
        <v>9.2697336752737058E-2</v>
      </c>
      <c r="F109" s="62">
        <f>'Fatura B1 (Res) OK'!$F$92</f>
        <v>0.25285140003260154</v>
      </c>
      <c r="G109" s="62">
        <f>'Fatura B1 (Res) OK'!$G$92</f>
        <v>0.21506180592339591</v>
      </c>
    </row>
    <row r="110" spans="2:7" x14ac:dyDescent="0.3">
      <c r="B110" s="15" t="str">
        <f>'Fatura B1 (Res) OK'!$B$93</f>
        <v>B4b - Bulbo de Lâmpada</v>
      </c>
      <c r="C110" s="15"/>
      <c r="D110" s="62">
        <f>'Fatura B1 (Res) OK'!$D$93</f>
        <v>0.43938945729126527</v>
      </c>
      <c r="E110" s="62">
        <f>'Fatura B1 (Res) OK'!$E$93</f>
        <v>9.2697336752736934E-2</v>
      </c>
      <c r="F110" s="62">
        <f>'Fatura B1 (Res) OK'!$F$93</f>
        <v>0.25285140003260193</v>
      </c>
      <c r="G110" s="62">
        <f>'Fatura B1 (Res) OK'!$G$93</f>
        <v>0.21506180592339585</v>
      </c>
    </row>
    <row r="111" spans="2:7" x14ac:dyDescent="0.3">
      <c r="B111" s="63"/>
      <c r="C111" s="63"/>
      <c r="D111" s="63"/>
      <c r="E111" s="63"/>
      <c r="F111" s="63"/>
      <c r="G111" s="63"/>
    </row>
    <row r="112" spans="2:7" x14ac:dyDescent="0.3">
      <c r="B112" s="101" t="s">
        <v>98</v>
      </c>
      <c r="C112" s="63"/>
      <c r="D112" s="63"/>
      <c r="E112" s="63"/>
      <c r="F112" s="63"/>
      <c r="G112" s="63"/>
    </row>
    <row r="113" spans="2:8" x14ac:dyDescent="0.3">
      <c r="B113" s="15"/>
      <c r="C113" s="15"/>
      <c r="D113" s="15" t="s">
        <v>80</v>
      </c>
      <c r="E113" s="15" t="s">
        <v>82</v>
      </c>
      <c r="F113" s="15" t="s">
        <v>81</v>
      </c>
      <c r="G113" s="15" t="s">
        <v>86</v>
      </c>
    </row>
    <row r="114" spans="2:8" x14ac:dyDescent="0.3">
      <c r="B114" s="15" t="s">
        <v>87</v>
      </c>
      <c r="C114" s="15"/>
      <c r="D114" s="62" t="s">
        <v>88</v>
      </c>
      <c r="E114" s="62" t="s">
        <v>88</v>
      </c>
      <c r="F114" s="62" t="s">
        <v>88</v>
      </c>
      <c r="G114" s="62" t="s">
        <v>88</v>
      </c>
    </row>
    <row r="115" spans="2:8" x14ac:dyDescent="0.3">
      <c r="B115" s="15"/>
      <c r="C115" s="15"/>
      <c r="D115" s="62"/>
      <c r="E115" s="62"/>
      <c r="F115" s="62"/>
      <c r="G115" s="62"/>
    </row>
    <row r="116" spans="2:8" x14ac:dyDescent="0.3">
      <c r="B116" s="15" t="s">
        <v>89</v>
      </c>
      <c r="C116" s="15"/>
      <c r="D116" s="62">
        <f>((D102*$C$13)+(D88*$D$13))/($C$13+$D$13)</f>
        <v>0.45246416638672077</v>
      </c>
      <c r="E116" s="62">
        <f t="shared" ref="E116:F116" si="8">((E102*$C$13)+(E88*$D$13))/($C$13+$D$13)</f>
        <v>7.39594111182032E-2</v>
      </c>
      <c r="F116" s="62">
        <f t="shared" si="8"/>
        <v>0.27500913257019954</v>
      </c>
      <c r="G116" s="62">
        <f>((G102*$C$13)+(G88*$D$13))/($C$13+$D$13)</f>
        <v>0.19856728992487654</v>
      </c>
    </row>
    <row r="117" spans="2:8" x14ac:dyDescent="0.3">
      <c r="B117" s="15" t="s">
        <v>90</v>
      </c>
      <c r="C117" s="15"/>
      <c r="D117" s="62">
        <f t="shared" ref="D117:G124" si="9">((D103*$C$13)+(D89*$D$13))/($C$13+$D$13)</f>
        <v>0.53149575868436638</v>
      </c>
      <c r="E117" s="62">
        <f t="shared" si="9"/>
        <v>8.6877848555460851E-2</v>
      </c>
      <c r="F117" s="62">
        <f t="shared" si="9"/>
        <v>0.32304478104372042</v>
      </c>
      <c r="G117" s="62">
        <f t="shared" si="9"/>
        <v>5.8581611716452382E-2</v>
      </c>
    </row>
    <row r="118" spans="2:8" x14ac:dyDescent="0.3">
      <c r="B118" s="15" t="s">
        <v>91</v>
      </c>
      <c r="C118" s="15"/>
      <c r="D118" s="62">
        <f t="shared" si="9"/>
        <v>0.45246416638672077</v>
      </c>
      <c r="E118" s="62">
        <f t="shared" si="9"/>
        <v>7.39594111182032E-2</v>
      </c>
      <c r="F118" s="62">
        <f t="shared" si="9"/>
        <v>0.27500913257019954</v>
      </c>
      <c r="G118" s="62">
        <f t="shared" si="9"/>
        <v>0.19856728992487654</v>
      </c>
    </row>
    <row r="119" spans="2:8" x14ac:dyDescent="0.3">
      <c r="B119" s="15" t="s">
        <v>92</v>
      </c>
      <c r="C119" s="15"/>
      <c r="D119" s="62">
        <f t="shared" si="9"/>
        <v>0.45246416638672077</v>
      </c>
      <c r="E119" s="62">
        <f t="shared" si="9"/>
        <v>7.39594111182032E-2</v>
      </c>
      <c r="F119" s="62">
        <f t="shared" si="9"/>
        <v>0.27500913257019954</v>
      </c>
      <c r="G119" s="62">
        <f t="shared" si="9"/>
        <v>0.19856728992487654</v>
      </c>
    </row>
    <row r="120" spans="2:8" x14ac:dyDescent="0.3">
      <c r="B120" s="15" t="s">
        <v>93</v>
      </c>
      <c r="C120" s="15"/>
      <c r="D120" s="62">
        <f t="shared" si="9"/>
        <v>0.45246416638672077</v>
      </c>
      <c r="E120" s="62">
        <f t="shared" si="9"/>
        <v>7.39594111182032E-2</v>
      </c>
      <c r="F120" s="62">
        <f t="shared" si="9"/>
        <v>0.27500913257019954</v>
      </c>
      <c r="G120" s="62">
        <f t="shared" si="9"/>
        <v>0.19856728992487654</v>
      </c>
    </row>
    <row r="121" spans="2:8" x14ac:dyDescent="0.3">
      <c r="B121" s="15" t="s">
        <v>94</v>
      </c>
      <c r="C121" s="15"/>
      <c r="D121" s="62">
        <f t="shared" si="9"/>
        <v>0.45246416638672077</v>
      </c>
      <c r="E121" s="62">
        <f t="shared" si="9"/>
        <v>7.39594111182032E-2</v>
      </c>
      <c r="F121" s="62">
        <f t="shared" si="9"/>
        <v>0.27500913257019954</v>
      </c>
      <c r="G121" s="62">
        <f t="shared" si="9"/>
        <v>0.19856728992487654</v>
      </c>
    </row>
    <row r="122" spans="2:8" x14ac:dyDescent="0.3">
      <c r="B122" s="15" t="s">
        <v>95</v>
      </c>
      <c r="C122" s="15"/>
      <c r="D122" s="62">
        <f t="shared" si="9"/>
        <v>0.45246416638672071</v>
      </c>
      <c r="E122" s="62">
        <f t="shared" si="9"/>
        <v>7.3959411118203186E-2</v>
      </c>
      <c r="F122" s="62">
        <f t="shared" si="9"/>
        <v>0.27500913257019949</v>
      </c>
      <c r="G122" s="62">
        <f t="shared" si="9"/>
        <v>0.19856728992487654</v>
      </c>
    </row>
    <row r="123" spans="2:8" x14ac:dyDescent="0.3">
      <c r="B123" s="15" t="s">
        <v>96</v>
      </c>
      <c r="C123" s="15"/>
      <c r="D123" s="62">
        <f t="shared" si="9"/>
        <v>0.45246416638672071</v>
      </c>
      <c r="E123" s="62">
        <f t="shared" si="9"/>
        <v>7.3959411118203186E-2</v>
      </c>
      <c r="F123" s="62">
        <f t="shared" si="9"/>
        <v>0.27500913257019949</v>
      </c>
      <c r="G123" s="62">
        <f t="shared" si="9"/>
        <v>0.19856728992487654</v>
      </c>
    </row>
    <row r="124" spans="2:8" x14ac:dyDescent="0.3">
      <c r="B124" s="15" t="s">
        <v>97</v>
      </c>
      <c r="C124" s="15"/>
      <c r="D124" s="62">
        <f t="shared" si="9"/>
        <v>0.45246416638672071</v>
      </c>
      <c r="E124" s="62">
        <f t="shared" si="9"/>
        <v>7.39594111182032E-2</v>
      </c>
      <c r="F124" s="62">
        <f t="shared" si="9"/>
        <v>0.27500913257019954</v>
      </c>
      <c r="G124" s="62">
        <f t="shared" si="9"/>
        <v>0.19856728992487657</v>
      </c>
    </row>
    <row r="127" spans="2:8" s="99" customFormat="1" x14ac:dyDescent="0.3">
      <c r="B127" s="318" t="s">
        <v>146</v>
      </c>
      <c r="C127" s="109"/>
      <c r="D127" s="109"/>
      <c r="E127" s="109"/>
      <c r="F127" s="109"/>
      <c r="G127" s="138"/>
      <c r="H127" s="314"/>
    </row>
    <row r="128" spans="2:8" s="99" customFormat="1" x14ac:dyDescent="0.3">
      <c r="B128" s="138" t="s">
        <v>147</v>
      </c>
      <c r="C128" s="109"/>
      <c r="D128" s="314">
        <f>SUM(H49:H63)</f>
        <v>82.213930348258714</v>
      </c>
      <c r="E128" s="315">
        <v>1.2E-2</v>
      </c>
      <c r="F128" s="109"/>
      <c r="G128" s="138"/>
      <c r="H128" s="316">
        <f>-ROUND(D128*E128,2)</f>
        <v>-0.99</v>
      </c>
    </row>
    <row r="129" spans="2:8" s="99" customFormat="1" x14ac:dyDescent="0.3">
      <c r="B129" s="138" t="s">
        <v>148</v>
      </c>
      <c r="C129" s="109"/>
      <c r="D129" s="314">
        <f>D128</f>
        <v>82.213930348258714</v>
      </c>
      <c r="E129" s="317">
        <v>0.01</v>
      </c>
      <c r="F129" s="109"/>
      <c r="G129" s="138"/>
      <c r="H129" s="316">
        <f>-ROUND(D129*E129,2)</f>
        <v>-0.82</v>
      </c>
    </row>
    <row r="130" spans="2:8" s="99" customFormat="1" x14ac:dyDescent="0.3">
      <c r="B130" s="138" t="s">
        <v>149</v>
      </c>
      <c r="C130" s="109"/>
      <c r="D130" s="314">
        <f>D128</f>
        <v>82.213930348258714</v>
      </c>
      <c r="E130" s="317">
        <v>6.4999999999999997E-3</v>
      </c>
      <c r="F130" s="109"/>
      <c r="G130" s="138"/>
      <c r="H130" s="316">
        <f>-ROUND(D130*E130,2)</f>
        <v>-0.53</v>
      </c>
    </row>
    <row r="131" spans="2:8" s="99" customFormat="1" x14ac:dyDescent="0.3">
      <c r="B131" s="138" t="s">
        <v>56</v>
      </c>
      <c r="C131" s="109"/>
      <c r="D131" s="314">
        <f>D128</f>
        <v>82.213930348258714</v>
      </c>
      <c r="E131" s="317">
        <v>0.03</v>
      </c>
      <c r="F131" s="109"/>
      <c r="G131" s="138"/>
      <c r="H131" s="316">
        <f>-ROUND(D131*E131,2)</f>
        <v>-2.4700000000000002</v>
      </c>
    </row>
    <row r="132" spans="2:8" s="99" customFormat="1" x14ac:dyDescent="0.3">
      <c r="B132" s="109"/>
      <c r="C132" s="109"/>
      <c r="D132" s="109"/>
      <c r="E132" s="109"/>
      <c r="F132" s="319"/>
      <c r="G132" s="138"/>
      <c r="H132" s="320"/>
    </row>
    <row r="133" spans="2:8" s="99" customFormat="1" x14ac:dyDescent="0.3">
      <c r="B133" s="321" t="s">
        <v>150</v>
      </c>
      <c r="C133" s="109"/>
      <c r="D133" s="109"/>
      <c r="E133" s="109"/>
      <c r="F133" s="319"/>
      <c r="G133" s="138"/>
      <c r="H133" s="320"/>
    </row>
    <row r="134" spans="2:8" s="99" customFormat="1" x14ac:dyDescent="0.3">
      <c r="B134" s="138" t="s">
        <v>147</v>
      </c>
      <c r="C134" s="109"/>
      <c r="D134" s="314">
        <f>H145+H146</f>
        <v>0</v>
      </c>
      <c r="E134" s="145">
        <f>E128</f>
        <v>1.2E-2</v>
      </c>
      <c r="F134" s="109"/>
      <c r="G134" s="138"/>
      <c r="H134" s="316">
        <f>-ROUND(D134*E134,2)</f>
        <v>0</v>
      </c>
    </row>
    <row r="135" spans="2:8" s="99" customFormat="1" x14ac:dyDescent="0.3">
      <c r="B135" s="138" t="s">
        <v>148</v>
      </c>
      <c r="C135" s="109"/>
      <c r="D135" s="314">
        <f>D134</f>
        <v>0</v>
      </c>
      <c r="E135" s="145">
        <f>E129</f>
        <v>0.01</v>
      </c>
      <c r="F135" s="109"/>
      <c r="G135" s="138"/>
      <c r="H135" s="316">
        <f>-ROUND(D135*E135,2)</f>
        <v>0</v>
      </c>
    </row>
    <row r="136" spans="2:8" s="99" customFormat="1" x14ac:dyDescent="0.3">
      <c r="B136" s="138" t="s">
        <v>149</v>
      </c>
      <c r="C136" s="109"/>
      <c r="D136" s="314">
        <f>D134</f>
        <v>0</v>
      </c>
      <c r="E136" s="145">
        <f>E130</f>
        <v>6.4999999999999997E-3</v>
      </c>
      <c r="F136" s="109"/>
      <c r="G136" s="138"/>
      <c r="H136" s="316">
        <f>-ROUND(D136*E136,2)</f>
        <v>0</v>
      </c>
    </row>
    <row r="137" spans="2:8" s="99" customFormat="1" x14ac:dyDescent="0.3">
      <c r="B137" s="138" t="s">
        <v>56</v>
      </c>
      <c r="C137" s="109"/>
      <c r="D137" s="314">
        <f>D134</f>
        <v>0</v>
      </c>
      <c r="E137" s="145">
        <f>E131</f>
        <v>0.03</v>
      </c>
      <c r="F137" s="109"/>
      <c r="G137" s="138"/>
      <c r="H137" s="316">
        <f>-ROUND(D137*E137,2)</f>
        <v>0</v>
      </c>
    </row>
    <row r="138" spans="2:8" s="99" customFormat="1" x14ac:dyDescent="0.3">
      <c r="B138" s="109"/>
      <c r="C138" s="109"/>
      <c r="D138" s="109"/>
      <c r="E138" s="109"/>
      <c r="F138" s="109"/>
      <c r="G138" s="138"/>
      <c r="H138" s="314"/>
    </row>
    <row r="139" spans="2:8" s="99" customFormat="1" x14ac:dyDescent="0.3">
      <c r="B139" s="321" t="s">
        <v>151</v>
      </c>
      <c r="C139" s="263"/>
      <c r="D139" s="263"/>
      <c r="E139" s="109"/>
      <c r="F139" s="319"/>
      <c r="G139" s="138"/>
      <c r="H139" s="320"/>
    </row>
    <row r="140" spans="2:8" s="99" customFormat="1" x14ac:dyDescent="0.3">
      <c r="B140" s="138" t="s">
        <v>147</v>
      </c>
      <c r="C140" s="109"/>
      <c r="D140" s="314">
        <f>D128+D134</f>
        <v>82.213930348258714</v>
      </c>
      <c r="E140" s="145">
        <f>E134</f>
        <v>1.2E-2</v>
      </c>
      <c r="F140" s="109"/>
      <c r="G140" s="138"/>
      <c r="H140" s="316">
        <f>-ROUND(D140*E140,2)</f>
        <v>-0.99</v>
      </c>
    </row>
    <row r="141" spans="2:8" s="99" customFormat="1" x14ac:dyDescent="0.3">
      <c r="B141" s="138" t="s">
        <v>148</v>
      </c>
      <c r="C141" s="109"/>
      <c r="D141" s="314">
        <f t="shared" ref="D141:D143" si="10">D129+D135</f>
        <v>82.213930348258714</v>
      </c>
      <c r="E141" s="145">
        <f>E135</f>
        <v>0.01</v>
      </c>
      <c r="F141" s="109"/>
      <c r="G141" s="138"/>
      <c r="H141" s="316">
        <f>-ROUND(D141*E141,2)</f>
        <v>-0.82</v>
      </c>
    </row>
    <row r="142" spans="2:8" s="99" customFormat="1" x14ac:dyDescent="0.3">
      <c r="B142" s="138" t="s">
        <v>149</v>
      </c>
      <c r="C142" s="109"/>
      <c r="D142" s="314">
        <f t="shared" si="10"/>
        <v>82.213930348258714</v>
      </c>
      <c r="E142" s="145">
        <f>E136</f>
        <v>6.4999999999999997E-3</v>
      </c>
      <c r="F142" s="109"/>
      <c r="G142" s="138"/>
      <c r="H142" s="316">
        <f>-ROUND(D142*E142,2)</f>
        <v>-0.53</v>
      </c>
    </row>
    <row r="143" spans="2:8" s="99" customFormat="1" x14ac:dyDescent="0.3">
      <c r="B143" s="138" t="s">
        <v>56</v>
      </c>
      <c r="C143" s="109"/>
      <c r="D143" s="314">
        <f t="shared" si="10"/>
        <v>82.213930348258714</v>
      </c>
      <c r="E143" s="145">
        <f>E137</f>
        <v>0.03</v>
      </c>
      <c r="F143" s="109"/>
      <c r="G143" s="138"/>
      <c r="H143" s="316">
        <f>-ROUND(D143*E143,2)</f>
        <v>-2.4700000000000002</v>
      </c>
    </row>
    <row r="145" spans="2:8" x14ac:dyDescent="0.3">
      <c r="B145" s="1" t="s">
        <v>61</v>
      </c>
      <c r="H145" s="322"/>
    </row>
    <row r="146" spans="2:8" x14ac:dyDescent="0.3">
      <c r="B146" s="1" t="s">
        <v>62</v>
      </c>
      <c r="H146" s="322"/>
    </row>
  </sheetData>
  <customSheetViews>
    <customSheetView guid="{D812A0C8-60A1-4775-A604-FC65C9DC40BF}" scale="70" showGridLines="0">
      <selection activeCell="P14" sqref="P14"/>
      <pageMargins left="0" right="0" top="0" bottom="0" header="0" footer="0"/>
      <pageSetup orientation="portrait" r:id="rId1"/>
    </customSheetView>
    <customSheetView guid="{8D3CE498-0ABB-4BB0-92D1-93DA2BDD5EDF}" scale="80" showGridLines="0">
      <selection activeCell="C7" sqref="C7:D7"/>
      <pageMargins left="0" right="0" top="0" bottom="0" header="0" footer="0"/>
      <pageSetup orientation="portrait" r:id="rId2"/>
    </customSheetView>
    <customSheetView guid="{8AD5A21B-3743-481B-8B5E-3FEE10EB7B2F}" scale="80" showGridLines="0">
      <selection activeCell="U11" sqref="U11"/>
      <pageMargins left="0" right="0" top="0" bottom="0" header="0" footer="0"/>
      <pageSetup orientation="portrait" r:id="rId3"/>
    </customSheetView>
  </customSheetViews>
  <mergeCells count="10">
    <mergeCell ref="U4:W4"/>
    <mergeCell ref="X4:Z4"/>
    <mergeCell ref="K10:L10"/>
    <mergeCell ref="B45:H45"/>
    <mergeCell ref="B4:B5"/>
    <mergeCell ref="C4:E4"/>
    <mergeCell ref="F4:H4"/>
    <mergeCell ref="I4:K4"/>
    <mergeCell ref="Q4:Q5"/>
    <mergeCell ref="R4:T4"/>
  </mergeCells>
  <conditionalFormatting sqref="K11:L11">
    <cfRule type="cellIs" dxfId="111" priority="1" operator="equal">
      <formula>"Escassez Hídrica"</formula>
    </cfRule>
    <cfRule type="cellIs" dxfId="110" priority="2" operator="equal">
      <formula>"VERDE"</formula>
    </cfRule>
    <cfRule type="cellIs" dxfId="109" priority="3" operator="equal">
      <formula>"BVM2"</formula>
    </cfRule>
    <cfRule type="cellIs" dxfId="108" priority="4" operator="equal">
      <formula>"BVM1"</formula>
    </cfRule>
    <cfRule type="cellIs" dxfId="107" priority="5" operator="equal">
      <formula>"BAM"</formula>
    </cfRule>
  </conditionalFormatting>
  <conditionalFormatting sqref="M3">
    <cfRule type="cellIs" dxfId="106" priority="16" operator="equal">
      <formula>"VERDE"</formula>
    </cfRule>
    <cfRule type="cellIs" dxfId="105" priority="17" operator="equal">
      <formula>"BVM2"</formula>
    </cfRule>
    <cfRule type="cellIs" dxfId="104" priority="18" operator="equal">
      <formula>"BVM1"</formula>
    </cfRule>
    <cfRule type="cellIs" dxfId="103" priority="19" operator="equal">
      <formula>"BAM"</formula>
    </cfRule>
  </conditionalFormatting>
  <conditionalFormatting sqref="M7:M8">
    <cfRule type="containsText" dxfId="102" priority="11" operator="containsText" text="Escassez Hídrica">
      <formula>NOT(ISERROR(SEARCH("Escassez Hídrica",M7)))</formula>
    </cfRule>
    <cfRule type="cellIs" dxfId="101" priority="12" operator="equal">
      <formula>"VERDE"</formula>
    </cfRule>
    <cfRule type="cellIs" dxfId="100" priority="13" operator="equal">
      <formula>"BVM2"</formula>
    </cfRule>
    <cfRule type="cellIs" dxfId="99" priority="14" operator="equal">
      <formula>"BVM1"</formula>
    </cfRule>
    <cfRule type="cellIs" dxfId="98" priority="15" operator="equal">
      <formula>"BAM"</formula>
    </cfRule>
  </conditionalFormatting>
  <dataValidations disablePrompts="1" count="1">
    <dataValidation type="list" allowBlank="1" showInputMessage="1" showErrorMessage="1" sqref="K11:L11" xr:uid="{724F53FB-9E88-441A-BB8B-DCD46D9F704A}">
      <formula1>$M$3:$M$7</formula1>
    </dataValidation>
  </dataValidations>
  <pageMargins left="0.511811024" right="0.511811024" top="0.78740157499999996" bottom="0.78740157499999996" header="0.31496062000000002" footer="0.31496062000000002"/>
  <pageSetup orientation="portrait" r:id="rId4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2"/>
  <dimension ref="A1:AG251"/>
  <sheetViews>
    <sheetView showGridLines="0" topLeftCell="A17" zoomScale="80" zoomScaleNormal="80" workbookViewId="0">
      <selection activeCell="A20" sqref="A20"/>
    </sheetView>
  </sheetViews>
  <sheetFormatPr defaultColWidth="9.109375" defaultRowHeight="14.4" x14ac:dyDescent="0.3"/>
  <cols>
    <col min="1" max="1" width="5.44140625" style="97" customWidth="1"/>
    <col min="2" max="2" width="25.6640625" style="99" customWidth="1"/>
    <col min="3" max="10" width="12.6640625" style="99" customWidth="1"/>
    <col min="11" max="11" width="14.33203125" style="99" customWidth="1"/>
    <col min="12" max="12" width="14.33203125" style="97" customWidth="1"/>
    <col min="13" max="14" width="12.6640625" style="97" customWidth="1"/>
    <col min="15" max="15" width="13.88671875" style="97" customWidth="1"/>
    <col min="16" max="17" width="12.6640625" style="97" customWidth="1"/>
    <col min="18" max="18" width="13.109375" style="97" bestFit="1" customWidth="1"/>
    <col min="19" max="19" width="13.88671875" style="97" customWidth="1"/>
    <col min="20" max="20" width="9.109375" style="97"/>
    <col min="21" max="21" width="13.109375" style="97" bestFit="1" customWidth="1"/>
    <col min="22" max="22" width="3" style="97" bestFit="1" customWidth="1"/>
    <col min="23" max="23" width="9.109375" style="97"/>
    <col min="24" max="24" width="13.109375" style="97" bestFit="1" customWidth="1"/>
    <col min="25" max="16384" width="9.109375" style="97"/>
  </cols>
  <sheetData>
    <row r="1" spans="1:24" s="1" customFormat="1" x14ac:dyDescent="0.3">
      <c r="A1" s="1" t="s">
        <v>0</v>
      </c>
      <c r="C1" s="99"/>
      <c r="D1" s="99"/>
      <c r="E1" s="99"/>
      <c r="F1" s="99"/>
      <c r="G1" s="97"/>
      <c r="H1" s="97"/>
      <c r="I1" s="97"/>
      <c r="J1" s="97"/>
      <c r="K1" s="97"/>
      <c r="L1" s="99"/>
      <c r="M1" s="99"/>
      <c r="N1" s="99"/>
      <c r="O1" s="99"/>
      <c r="P1" s="99"/>
    </row>
    <row r="2" spans="1:24" s="1" customFormat="1" ht="18" x14ac:dyDescent="0.3">
      <c r="B2" s="43" t="s">
        <v>159</v>
      </c>
      <c r="C2" s="99"/>
      <c r="E2" s="102" t="s">
        <v>2</v>
      </c>
      <c r="F2" s="104">
        <f>'Fatura B1 (Res) OK'!$F$2</f>
        <v>45876</v>
      </c>
      <c r="G2" s="97"/>
      <c r="H2" s="97"/>
      <c r="I2" s="97"/>
      <c r="J2" s="97"/>
      <c r="K2" s="97"/>
      <c r="L2" s="99"/>
      <c r="M2" s="47" t="s">
        <v>3</v>
      </c>
      <c r="N2" s="47" t="s">
        <v>4</v>
      </c>
      <c r="Q2" s="308" t="s">
        <v>6</v>
      </c>
      <c r="R2" s="326"/>
      <c r="S2" s="99"/>
      <c r="T2" s="99"/>
      <c r="U2" s="99"/>
      <c r="V2" s="99"/>
      <c r="W2" s="99"/>
      <c r="X2" s="99"/>
    </row>
    <row r="3" spans="1:24" customFormat="1" x14ac:dyDescent="0.3">
      <c r="M3" s="93" t="s">
        <v>7</v>
      </c>
      <c r="N3" s="48">
        <v>0</v>
      </c>
      <c r="Q3" s="99"/>
      <c r="R3" s="99"/>
      <c r="S3" s="99"/>
      <c r="T3" s="99"/>
      <c r="U3" s="99"/>
      <c r="V3" s="99"/>
      <c r="W3" s="99"/>
      <c r="X3" s="99"/>
    </row>
    <row r="4" spans="1:24" customFormat="1" ht="15" customHeight="1" x14ac:dyDescent="0.3">
      <c r="B4" s="489" t="s">
        <v>140</v>
      </c>
      <c r="C4" s="481" t="str">
        <f>'Fatura B4a '!C4:E4</f>
        <v>TARIFA ANTIGA - REH 3370/2024</v>
      </c>
      <c r="D4" s="481"/>
      <c r="E4" s="481"/>
      <c r="F4" s="481" t="str">
        <f>'Fatura B4a '!F4:H4</f>
        <v>TARIFA NOVA - REH xxxx/2025</v>
      </c>
      <c r="G4" s="481"/>
      <c r="H4" s="481"/>
      <c r="I4" s="482" t="s">
        <v>11</v>
      </c>
      <c r="J4" s="482"/>
      <c r="K4" s="482"/>
      <c r="M4" s="229" t="str">
        <f>'Fatura B1 (Res) OK'!M4</f>
        <v>BAM</v>
      </c>
      <c r="N4" s="230">
        <f>'Fatura B1 (Res) OK'!$N$4</f>
        <v>1.8849999999999999E-2</v>
      </c>
      <c r="Q4" s="483" t="s">
        <v>8</v>
      </c>
      <c r="R4" s="478" t="str">
        <f>C4</f>
        <v>TARIFA ANTIGA - REH 3370/2024</v>
      </c>
      <c r="S4" s="479"/>
      <c r="T4" s="480"/>
      <c r="U4" s="478" t="str">
        <f>F4</f>
        <v>TARIFA NOVA - REH xxxx/2025</v>
      </c>
      <c r="V4" s="479"/>
      <c r="W4" s="480"/>
      <c r="X4" s="99"/>
    </row>
    <row r="5" spans="1:24" customFormat="1" x14ac:dyDescent="0.3">
      <c r="B5" s="490"/>
      <c r="C5" s="202" t="s">
        <v>13</v>
      </c>
      <c r="D5" s="202" t="s">
        <v>14</v>
      </c>
      <c r="E5" s="202" t="s">
        <v>15</v>
      </c>
      <c r="F5" s="202" t="s">
        <v>13</v>
      </c>
      <c r="G5" s="202" t="s">
        <v>14</v>
      </c>
      <c r="H5" s="202" t="s">
        <v>15</v>
      </c>
      <c r="I5" s="201" t="s">
        <v>13</v>
      </c>
      <c r="J5" s="201" t="s">
        <v>14</v>
      </c>
      <c r="K5" s="201" t="s">
        <v>15</v>
      </c>
      <c r="M5" s="231" t="str">
        <f>'Fatura B1 (Res) OK'!M5</f>
        <v>BVM1</v>
      </c>
      <c r="N5" s="232">
        <f>'Fatura B1 (Res) OK'!$N$5</f>
        <v>4.4630000000000003E-2</v>
      </c>
      <c r="Q5" s="484"/>
      <c r="R5" s="204" t="s">
        <v>17</v>
      </c>
      <c r="U5" s="204" t="s">
        <v>17</v>
      </c>
      <c r="X5" s="204" t="s">
        <v>17</v>
      </c>
    </row>
    <row r="6" spans="1:24" customFormat="1" x14ac:dyDescent="0.3">
      <c r="B6" s="207" t="s">
        <v>160</v>
      </c>
      <c r="C6" s="196">
        <f>'TABELA DE TARIFAS ANTIGAS'!G72/1000</f>
        <v>0.28935</v>
      </c>
      <c r="D6" s="196">
        <f>'TABELA DE TARIFAS ANTIGAS'!H72/1000</f>
        <v>0.29333999999999999</v>
      </c>
      <c r="E6" s="196">
        <f t="shared" ref="E6" si="0">C6+D6</f>
        <v>0.58268999999999993</v>
      </c>
      <c r="F6" s="196">
        <f>'TABELA DE TARIFAS NOVAS'!G72/1000</f>
        <v>0.32543</v>
      </c>
      <c r="G6" s="196">
        <f>'TABELA DE TARIFAS NOVAS'!H72/1000</f>
        <v>0.29660000000000003</v>
      </c>
      <c r="H6" s="196">
        <f t="shared" ref="H6" si="1">F6+G6</f>
        <v>0.62203000000000008</v>
      </c>
      <c r="I6" s="196">
        <f>((C6*$C$13)+(F6*$D$13))/($D$13+$C$13)</f>
        <v>-0.48298749999999924</v>
      </c>
      <c r="J6" s="196">
        <f>((D6*$C$13)+(G6*$D$13))/($D$13+$C$13)</f>
        <v>0.22355562499999948</v>
      </c>
      <c r="K6" s="197">
        <f t="shared" ref="K6" si="2">I6+J6</f>
        <v>-0.25943187499999976</v>
      </c>
      <c r="M6" s="39" t="str">
        <f>'Fatura B1 (Res) OK'!M6</f>
        <v>BVM2</v>
      </c>
      <c r="N6" s="40">
        <f>'Fatura B1 (Res) OK'!$N$6</f>
        <v>7.8770000000000007E-2</v>
      </c>
      <c r="Q6" s="207" t="str">
        <f>B6</f>
        <v>Baixa renda</v>
      </c>
      <c r="R6" s="203">
        <f>'FIO B'!H12/1000</f>
        <v>0.18823431351264014</v>
      </c>
      <c r="U6" s="203">
        <f>'FIO B'!K12/1000</f>
        <v>0.20383072193179136</v>
      </c>
      <c r="X6" s="203">
        <f>((R6*$C$13)+(U6*$D$13))/($D$13+$C$13)</f>
        <v>-0.14562630420981559</v>
      </c>
    </row>
    <row r="7" spans="1:24" customFormat="1" x14ac:dyDescent="0.3">
      <c r="M7" s="93" t="s">
        <v>21</v>
      </c>
      <c r="N7" s="305">
        <f>'Fatura B1 (Res) OK'!$N$7</f>
        <v>0.14199999999999999</v>
      </c>
    </row>
    <row r="8" spans="1:24" customFormat="1" x14ac:dyDescent="0.3">
      <c r="P8" s="99"/>
      <c r="Q8" s="99"/>
      <c r="R8" s="99"/>
      <c r="S8" s="99"/>
      <c r="T8" s="99"/>
      <c r="U8" s="99"/>
    </row>
    <row r="9" spans="1:24" customFormat="1" x14ac:dyDescent="0.3">
      <c r="B9" s="131"/>
      <c r="C9" s="132"/>
      <c r="D9" s="209"/>
      <c r="E9" s="132"/>
      <c r="F9" s="132"/>
      <c r="G9" s="132"/>
      <c r="H9" s="210" t="s">
        <v>22</v>
      </c>
      <c r="L9" s="102" t="s">
        <v>161</v>
      </c>
      <c r="M9" s="104">
        <f>EOMONTH(B13,0)+1</f>
        <v>45170</v>
      </c>
    </row>
    <row r="10" spans="1:24" s="1" customFormat="1" x14ac:dyDescent="0.3">
      <c r="B10" s="211" t="s">
        <v>24</v>
      </c>
      <c r="C10" s="342">
        <v>704662</v>
      </c>
      <c r="D10" s="99"/>
      <c r="E10" s="97"/>
      <c r="F10" s="97"/>
      <c r="G10" s="97"/>
      <c r="H10" s="212">
        <f>E13</f>
        <v>45190</v>
      </c>
      <c r="J10" s="99"/>
      <c r="K10" s="485" t="s">
        <v>25</v>
      </c>
      <c r="L10" s="485"/>
      <c r="M10" s="99"/>
      <c r="P10" s="374" t="s">
        <v>26</v>
      </c>
      <c r="Q10" s="375"/>
      <c r="R10" s="371" t="s">
        <v>27</v>
      </c>
      <c r="S10" s="371" t="s">
        <v>28</v>
      </c>
      <c r="T10" s="371" t="s">
        <v>17</v>
      </c>
      <c r="U10" s="371" t="s">
        <v>29</v>
      </c>
    </row>
    <row r="11" spans="1:24" s="1" customFormat="1" x14ac:dyDescent="0.3">
      <c r="B11" s="112"/>
      <c r="C11" s="99"/>
      <c r="D11" s="99"/>
      <c r="E11" s="99"/>
      <c r="F11" s="99"/>
      <c r="G11" s="99"/>
      <c r="H11" s="213"/>
      <c r="J11" s="99"/>
      <c r="K11" s="93" t="s">
        <v>12</v>
      </c>
      <c r="L11" s="93" t="s">
        <v>19</v>
      </c>
      <c r="M11" s="99"/>
      <c r="P11" s="376" t="s">
        <v>30</v>
      </c>
      <c r="Q11" s="377"/>
      <c r="R11" s="373"/>
      <c r="S11" s="373"/>
      <c r="T11" s="387">
        <f>0.207830737658616/1000</f>
        <v>2.0783073765861601E-4</v>
      </c>
      <c r="U11" s="393">
        <f>4.02/1000</f>
        <v>4.0199999999999993E-3</v>
      </c>
    </row>
    <row r="12" spans="1:24" s="1" customFormat="1" ht="27.6" x14ac:dyDescent="0.3">
      <c r="B12" s="94" t="s">
        <v>31</v>
      </c>
      <c r="C12" s="94" t="s">
        <v>32</v>
      </c>
      <c r="D12" s="94" t="s">
        <v>33</v>
      </c>
      <c r="E12" s="94" t="s">
        <v>34</v>
      </c>
      <c r="F12" s="97"/>
      <c r="G12" s="97"/>
      <c r="H12" s="214"/>
      <c r="I12" s="97"/>
      <c r="J12" s="94" t="s">
        <v>31</v>
      </c>
      <c r="K12" s="94" t="s">
        <v>162</v>
      </c>
      <c r="L12" s="94" t="s">
        <v>163</v>
      </c>
      <c r="M12" s="94" t="s">
        <v>34</v>
      </c>
      <c r="P12" s="380" t="s">
        <v>164</v>
      </c>
      <c r="Q12" s="381">
        <v>0.65</v>
      </c>
      <c r="U12" s="372">
        <f>$U$11*(1-Q12)</f>
        <v>1.4069999999999996E-3</v>
      </c>
      <c r="W12" s="372">
        <f>((T12*$C$13)+(U12*$D$13))/($D$13+$C$13)</f>
        <v>-3.0118593749999992E-2</v>
      </c>
    </row>
    <row r="13" spans="1:24" s="1" customFormat="1" x14ac:dyDescent="0.3">
      <c r="B13" s="227">
        <v>45158</v>
      </c>
      <c r="C13" s="106">
        <f>IF((F2-B13-1)&lt;0,0,(F2-B13-1))</f>
        <v>717</v>
      </c>
      <c r="D13" s="106">
        <f>E13-F2+1</f>
        <v>-685</v>
      </c>
      <c r="E13" s="227">
        <v>45190</v>
      </c>
      <c r="F13" s="215"/>
      <c r="G13" s="215"/>
      <c r="H13" s="216"/>
      <c r="I13" s="97"/>
      <c r="J13" s="107">
        <f>B13</f>
        <v>45158</v>
      </c>
      <c r="K13" s="108">
        <f>IF((M9-J13-1)&lt;0,0,(M9-J13-1))</f>
        <v>11</v>
      </c>
      <c r="L13" s="108">
        <f>M13-M9+1</f>
        <v>21</v>
      </c>
      <c r="M13" s="107">
        <f>E13</f>
        <v>45190</v>
      </c>
      <c r="P13" s="382" t="s">
        <v>165</v>
      </c>
      <c r="Q13" s="383">
        <v>0.4</v>
      </c>
      <c r="U13" s="372">
        <f t="shared" ref="U13:U14" si="3">$U$11*(1-Q13)</f>
        <v>2.4119999999999996E-3</v>
      </c>
      <c r="W13" s="372">
        <f>((T13*$C$13)+(U13*$D$13))/($D$13+$C$13)</f>
        <v>-5.1631874999999994E-2</v>
      </c>
    </row>
    <row r="14" spans="1:24" s="1" customFormat="1" x14ac:dyDescent="0.3">
      <c r="B14" s="192"/>
      <c r="C14" s="193"/>
      <c r="D14" s="193"/>
      <c r="E14" s="192"/>
      <c r="G14"/>
      <c r="H14"/>
      <c r="I14"/>
      <c r="J14"/>
      <c r="K14"/>
      <c r="N14" s="194"/>
      <c r="O14" s="195"/>
      <c r="P14" s="384" t="s">
        <v>166</v>
      </c>
      <c r="Q14" s="383">
        <v>0.1</v>
      </c>
      <c r="S14"/>
      <c r="T14" s="178"/>
      <c r="U14" s="372">
        <f t="shared" si="3"/>
        <v>3.6179999999999993E-3</v>
      </c>
      <c r="W14" s="372">
        <f>((T14*$C$13)+(U14*$D$13))/($D$13+$C$13)</f>
        <v>-7.7447812499999991E-2</v>
      </c>
    </row>
    <row r="15" spans="1:24" s="1" customFormat="1" x14ac:dyDescent="0.3">
      <c r="B15" s="192"/>
      <c r="C15" s="193"/>
      <c r="D15" s="193"/>
      <c r="E15" s="192"/>
      <c r="G15"/>
      <c r="H15"/>
      <c r="I15"/>
      <c r="J15"/>
      <c r="K15"/>
      <c r="N15" s="194"/>
      <c r="O15" s="195"/>
      <c r="P15" s="385" t="s">
        <v>167</v>
      </c>
      <c r="Q15" s="386">
        <v>0</v>
      </c>
      <c r="S15"/>
      <c r="T15" s="178"/>
      <c r="U15" s="372">
        <f>$U$11*(1-Q15)</f>
        <v>4.0199999999999993E-3</v>
      </c>
      <c r="V15" s="97"/>
      <c r="W15" s="372">
        <f>((T15*$C$13)+(U15*$D$13))/($D$13+$C$13)</f>
        <v>-8.605312499999998E-2</v>
      </c>
    </row>
    <row r="16" spans="1:24" s="1" customFormat="1" x14ac:dyDescent="0.3">
      <c r="B16" s="419" t="s">
        <v>168</v>
      </c>
      <c r="D16" s="293">
        <v>1000</v>
      </c>
      <c r="E16" s="193"/>
      <c r="G16"/>
      <c r="H16"/>
      <c r="I16"/>
      <c r="J16"/>
      <c r="K16"/>
      <c r="N16" s="194"/>
      <c r="O16" s="195"/>
      <c r="P16"/>
      <c r="Q16"/>
      <c r="S16"/>
      <c r="T16" s="178"/>
      <c r="U16"/>
      <c r="V16"/>
      <c r="W16"/>
    </row>
    <row r="17" spans="1:23" s="1" customFormat="1" x14ac:dyDescent="0.3">
      <c r="B17" s="192"/>
      <c r="C17" s="193"/>
      <c r="D17" s="193"/>
      <c r="E17" s="192"/>
      <c r="G17"/>
      <c r="H17"/>
      <c r="I17"/>
      <c r="J17"/>
      <c r="K17"/>
      <c r="N17" s="194"/>
      <c r="O17" s="195"/>
      <c r="P17"/>
      <c r="Q17"/>
      <c r="S17"/>
      <c r="T17" s="178"/>
      <c r="U17"/>
      <c r="V17"/>
      <c r="W17"/>
    </row>
    <row r="18" spans="1:23" s="1" customFormat="1" ht="41.4" x14ac:dyDescent="0.3">
      <c r="B18" s="394" t="s">
        <v>36</v>
      </c>
      <c r="C18" s="394" t="s">
        <v>37</v>
      </c>
      <c r="D18" s="394" t="s">
        <v>38</v>
      </c>
      <c r="E18" s="395" t="s">
        <v>39</v>
      </c>
      <c r="F18" s="395" t="s">
        <v>40</v>
      </c>
      <c r="G18" s="395" t="s">
        <v>41</v>
      </c>
      <c r="H18" s="395" t="s">
        <v>42</v>
      </c>
      <c r="I18" s="395" t="s">
        <v>43</v>
      </c>
      <c r="J18" s="395" t="s">
        <v>44</v>
      </c>
      <c r="K18" s="396" t="s">
        <v>45</v>
      </c>
      <c r="L18" s="394" t="s">
        <v>46</v>
      </c>
      <c r="M18" s="395" t="s">
        <v>47</v>
      </c>
      <c r="N18" s="395" t="s">
        <v>48</v>
      </c>
      <c r="O18" s="395" t="s">
        <v>49</v>
      </c>
      <c r="R18" s="97"/>
      <c r="S18" s="97"/>
      <c r="T18" s="97"/>
    </row>
    <row r="19" spans="1:23" s="1" customFormat="1" x14ac:dyDescent="0.3">
      <c r="B19" s="401"/>
      <c r="C19" s="401"/>
      <c r="D19" s="401"/>
      <c r="E19" s="401"/>
      <c r="F19" s="401"/>
      <c r="G19" s="401"/>
      <c r="H19" s="401"/>
      <c r="I19" s="401"/>
      <c r="J19" s="401"/>
      <c r="K19" s="401"/>
      <c r="L19" s="120"/>
      <c r="M19" s="397"/>
      <c r="N19" s="397"/>
      <c r="O19" s="397"/>
      <c r="P19"/>
      <c r="Q19" s="302" t="s">
        <v>35</v>
      </c>
      <c r="R19" s="97"/>
      <c r="S19" s="350"/>
      <c r="T19"/>
      <c r="U19"/>
      <c r="V19"/>
      <c r="W19"/>
    </row>
    <row r="20" spans="1:23" s="1" customFormat="1" x14ac:dyDescent="0.3">
      <c r="A20" s="255">
        <v>0.65</v>
      </c>
      <c r="B20" s="397" t="s">
        <v>169</v>
      </c>
      <c r="C20" s="398" t="s">
        <v>53</v>
      </c>
      <c r="D20" s="404">
        <f>IF(D16&gt;0,30,0)</f>
        <v>30</v>
      </c>
      <c r="E20" s="406">
        <f>K20/(1-$N$20-$N$21)/(1-$I$20)</f>
        <v>0.12969287865748708</v>
      </c>
      <c r="F20" s="404">
        <f>ROUND(D20*E20,2)</f>
        <v>3.89</v>
      </c>
      <c r="G20" s="404">
        <f t="shared" ref="G20:G27" si="4">ROUND(((D20*K20)/(1-$N$20-$N$21))*($N$20+$N$21),2)</f>
        <v>0.19</v>
      </c>
      <c r="H20" s="411">
        <f>ROUND((D20*K20)/(1-$N$20-$N$21)/(1-$I$20),2)</f>
        <v>3.89</v>
      </c>
      <c r="I20" s="403">
        <v>0.17</v>
      </c>
      <c r="J20" s="411">
        <f>H20*$I$20</f>
        <v>0.66130000000000011</v>
      </c>
      <c r="K20" s="406">
        <f>K23*(1-A20)</f>
        <v>0.10127249999999999</v>
      </c>
      <c r="L20" s="169" t="s">
        <v>54</v>
      </c>
      <c r="M20" s="404">
        <f>((D20*K20)+(D21*K21)+(D22*K22)+(D23*K23)+(D24*K24)+(D25*K25)+(D26*K26)+(D27*K27)+AC78+AC87+AC96+AC105)/(1-$N$20-$N$21)</f>
        <v>640.64620004251708</v>
      </c>
      <c r="N20" s="399">
        <v>1.06E-2</v>
      </c>
      <c r="O20" s="413">
        <f>ROUND(M20*N20,2)</f>
        <v>6.79</v>
      </c>
      <c r="P20"/>
      <c r="Q20" s="97"/>
      <c r="R20" s="97"/>
      <c r="S20" s="97"/>
      <c r="T20"/>
      <c r="U20"/>
      <c r="V20"/>
      <c r="W20"/>
    </row>
    <row r="21" spans="1:23" s="1" customFormat="1" x14ac:dyDescent="0.3">
      <c r="A21" s="255">
        <v>0.4</v>
      </c>
      <c r="B21" s="397" t="s">
        <v>170</v>
      </c>
      <c r="C21" s="398" t="s">
        <v>53</v>
      </c>
      <c r="D21" s="404">
        <f>IF(D16&gt;30,IF(D16&gt;100,70,D16-30),0)</f>
        <v>70</v>
      </c>
      <c r="E21" s="406">
        <f t="shared" ref="E21:E27" si="5">K21/(1-$N$20-$N$21)/(1-$I$20)</f>
        <v>0.22233064912712075</v>
      </c>
      <c r="F21" s="404">
        <f t="shared" ref="F21:F27" si="6">ROUND(D21*E21,2)</f>
        <v>15.56</v>
      </c>
      <c r="G21" s="404">
        <f t="shared" si="4"/>
        <v>0.76</v>
      </c>
      <c r="H21" s="411">
        <f t="shared" ref="H21:H27" si="7">ROUND((D21*K21)/(1-$N$20-$N$21)/(1-$I$20),2)</f>
        <v>15.56</v>
      </c>
      <c r="I21" s="397"/>
      <c r="J21" s="411">
        <f t="shared" ref="J21:J31" si="8">H21*$I$20</f>
        <v>2.6452000000000004</v>
      </c>
      <c r="K21" s="406">
        <f>K23*(1-A21)</f>
        <v>0.17360999999999999</v>
      </c>
      <c r="L21" s="169" t="s">
        <v>56</v>
      </c>
      <c r="M21" s="404">
        <f>M20</f>
        <v>640.64620004251708</v>
      </c>
      <c r="N21" s="399">
        <v>4.8599999999999997E-2</v>
      </c>
      <c r="O21" s="413">
        <f>ROUND(M21*N21,2)</f>
        <v>31.14</v>
      </c>
      <c r="P21"/>
      <c r="Q21"/>
      <c r="R21"/>
      <c r="S21"/>
      <c r="T21"/>
      <c r="U21"/>
      <c r="V21"/>
      <c r="W21"/>
    </row>
    <row r="22" spans="1:23" s="1" customFormat="1" x14ac:dyDescent="0.3">
      <c r="A22" s="255">
        <v>0.1</v>
      </c>
      <c r="B22" s="397" t="s">
        <v>171</v>
      </c>
      <c r="C22" s="398" t="s">
        <v>53</v>
      </c>
      <c r="D22" s="404">
        <f>IF(D16&gt;100,IF(D16&gt;220,220-100,D16-100),0)</f>
        <v>120</v>
      </c>
      <c r="E22" s="406">
        <f t="shared" si="5"/>
        <v>0.33349597369068107</v>
      </c>
      <c r="F22" s="404">
        <f t="shared" si="6"/>
        <v>40.020000000000003</v>
      </c>
      <c r="G22" s="404">
        <f t="shared" si="4"/>
        <v>1.97</v>
      </c>
      <c r="H22" s="411">
        <f t="shared" si="7"/>
        <v>40.020000000000003</v>
      </c>
      <c r="I22" s="397"/>
      <c r="J22" s="411">
        <f t="shared" si="8"/>
        <v>6.8034000000000008</v>
      </c>
      <c r="K22" s="406">
        <f>K23*(1-A22)</f>
        <v>0.26041500000000001</v>
      </c>
      <c r="L22" s="137"/>
      <c r="M22" s="400"/>
      <c r="N22" s="400"/>
      <c r="O22" s="400"/>
      <c r="P22"/>
      <c r="Q22"/>
      <c r="R22"/>
      <c r="S22"/>
      <c r="T22"/>
      <c r="U22"/>
      <c r="V22"/>
      <c r="W22"/>
    </row>
    <row r="23" spans="1:23" s="1" customFormat="1" x14ac:dyDescent="0.3">
      <c r="A23" s="255">
        <v>0</v>
      </c>
      <c r="B23" s="397" t="s">
        <v>172</v>
      </c>
      <c r="C23" s="398" t="s">
        <v>53</v>
      </c>
      <c r="D23" s="404">
        <f>IF(D16&gt;220,D16-220,0)</f>
        <v>780</v>
      </c>
      <c r="E23" s="406">
        <f t="shared" si="5"/>
        <v>0.37055108187853458</v>
      </c>
      <c r="F23" s="404">
        <f t="shared" si="6"/>
        <v>289.02999999999997</v>
      </c>
      <c r="G23" s="404">
        <f t="shared" si="4"/>
        <v>14.2</v>
      </c>
      <c r="H23" s="411">
        <f t="shared" si="7"/>
        <v>289.02999999999997</v>
      </c>
      <c r="I23" s="397"/>
      <c r="J23" s="411">
        <f t="shared" si="8"/>
        <v>49.135100000000001</v>
      </c>
      <c r="K23" s="406">
        <f>IF(AND($B$13&lt;$F$2,$E$13&lt;$F$2),C6,IF($B$13&lt;$F$2,I6,F6))</f>
        <v>0.28935</v>
      </c>
      <c r="L23"/>
      <c r="M23"/>
      <c r="N23"/>
      <c r="O23" s="120"/>
      <c r="P23"/>
      <c r="Q23"/>
      <c r="R23"/>
      <c r="S23"/>
      <c r="T23"/>
      <c r="U23"/>
      <c r="V23"/>
      <c r="W23"/>
    </row>
    <row r="24" spans="1:23" s="1" customFormat="1" x14ac:dyDescent="0.3">
      <c r="B24" s="397" t="s">
        <v>173</v>
      </c>
      <c r="C24" s="398" t="s">
        <v>53</v>
      </c>
      <c r="D24" s="404">
        <f>D20</f>
        <v>30</v>
      </c>
      <c r="E24" s="406">
        <f t="shared" si="5"/>
        <v>0.13148128227194492</v>
      </c>
      <c r="F24" s="404">
        <f t="shared" si="6"/>
        <v>3.94</v>
      </c>
      <c r="G24" s="404">
        <f t="shared" si="4"/>
        <v>0.19</v>
      </c>
      <c r="H24" s="411">
        <f t="shared" si="7"/>
        <v>3.94</v>
      </c>
      <c r="I24" s="397"/>
      <c r="J24" s="411">
        <f t="shared" si="8"/>
        <v>0.66980000000000006</v>
      </c>
      <c r="K24" s="406">
        <f>K27*(1-A20)</f>
        <v>0.102669</v>
      </c>
      <c r="L24"/>
      <c r="M24"/>
      <c r="N24"/>
      <c r="O24" s="120"/>
      <c r="P24"/>
      <c r="Q24"/>
      <c r="R24"/>
      <c r="S24"/>
      <c r="T24"/>
      <c r="U24"/>
      <c r="V24"/>
      <c r="W24"/>
    </row>
    <row r="25" spans="1:23" s="1" customFormat="1" x14ac:dyDescent="0.3">
      <c r="B25" s="397" t="s">
        <v>174</v>
      </c>
      <c r="C25" s="398" t="s">
        <v>53</v>
      </c>
      <c r="D25" s="404">
        <f t="shared" ref="D25:D27" si="9">D21</f>
        <v>70</v>
      </c>
      <c r="E25" s="406">
        <f t="shared" si="5"/>
        <v>0.22539648389476272</v>
      </c>
      <c r="F25" s="404">
        <f t="shared" si="6"/>
        <v>15.78</v>
      </c>
      <c r="G25" s="404">
        <f t="shared" si="4"/>
        <v>0.78</v>
      </c>
      <c r="H25" s="411">
        <f t="shared" si="7"/>
        <v>15.78</v>
      </c>
      <c r="I25" s="397"/>
      <c r="J25" s="411">
        <f t="shared" si="8"/>
        <v>2.6825999999999999</v>
      </c>
      <c r="K25" s="406">
        <f>K27*(1-A21)</f>
        <v>0.17600399999999999</v>
      </c>
      <c r="L25"/>
      <c r="M25"/>
      <c r="N25"/>
      <c r="O25" s="120"/>
      <c r="P25"/>
      <c r="Q25"/>
      <c r="R25"/>
      <c r="S25"/>
      <c r="T25"/>
      <c r="U25"/>
      <c r="V25"/>
      <c r="W25"/>
    </row>
    <row r="26" spans="1:23" s="1" customFormat="1" x14ac:dyDescent="0.3">
      <c r="B26" s="397" t="s">
        <v>175</v>
      </c>
      <c r="C26" s="398" t="s">
        <v>53</v>
      </c>
      <c r="D26" s="404">
        <f t="shared" si="9"/>
        <v>120</v>
      </c>
      <c r="E26" s="406">
        <f t="shared" si="5"/>
        <v>0.33809472584214412</v>
      </c>
      <c r="F26" s="404">
        <f t="shared" si="6"/>
        <v>40.57</v>
      </c>
      <c r="G26" s="404">
        <f t="shared" si="4"/>
        <v>1.99</v>
      </c>
      <c r="H26" s="411">
        <f t="shared" si="7"/>
        <v>40.57</v>
      </c>
      <c r="I26" s="397"/>
      <c r="J26" s="411">
        <f t="shared" si="8"/>
        <v>6.8969000000000005</v>
      </c>
      <c r="K26" s="406">
        <f>K27*(1-A22)</f>
        <v>0.26400600000000002</v>
      </c>
      <c r="L26"/>
      <c r="M26"/>
      <c r="N26"/>
      <c r="O26" s="120"/>
      <c r="P26"/>
      <c r="Q26"/>
      <c r="R26"/>
      <c r="S26"/>
      <c r="T26"/>
      <c r="U26"/>
      <c r="V26"/>
      <c r="W26"/>
    </row>
    <row r="27" spans="1:23" s="1" customFormat="1" x14ac:dyDescent="0.3">
      <c r="B27" s="397" t="s">
        <v>176</v>
      </c>
      <c r="C27" s="398" t="s">
        <v>53</v>
      </c>
      <c r="D27" s="404">
        <f t="shared" si="9"/>
        <v>780</v>
      </c>
      <c r="E27" s="406">
        <f t="shared" si="5"/>
        <v>0.37566080649127126</v>
      </c>
      <c r="F27" s="404">
        <f t="shared" si="6"/>
        <v>293.02</v>
      </c>
      <c r="G27" s="404">
        <f t="shared" si="4"/>
        <v>14.4</v>
      </c>
      <c r="H27" s="411">
        <f t="shared" si="7"/>
        <v>293.02</v>
      </c>
      <c r="I27" s="397"/>
      <c r="J27" s="411">
        <f t="shared" si="8"/>
        <v>49.813400000000001</v>
      </c>
      <c r="K27" s="406">
        <f>IF(AND($B$13&lt;$F$2,$E$13&lt;$F$2),D6,IF($B$13&lt;$F$2,J6,G6))</f>
        <v>0.29333999999999999</v>
      </c>
      <c r="L27"/>
      <c r="M27"/>
      <c r="N27"/>
      <c r="O27" s="120"/>
      <c r="P27"/>
      <c r="Q27"/>
      <c r="R27"/>
      <c r="S27"/>
      <c r="T27"/>
      <c r="U27"/>
      <c r="V27"/>
      <c r="W27"/>
    </row>
    <row r="28" spans="1:23" s="1" customFormat="1" x14ac:dyDescent="0.3">
      <c r="B28" s="397" t="s">
        <v>57</v>
      </c>
      <c r="C28" s="398"/>
      <c r="D28" s="404"/>
      <c r="E28" s="406"/>
      <c r="F28" s="404">
        <f>AC78/(1-$N$20-$N$21)/(1-$I$20)</f>
        <v>7.7990533562822719</v>
      </c>
      <c r="G28" s="404">
        <f>ROUND(((AC78)/(1-$N$20-$N$21))*($N$20+$N$21),2)</f>
        <v>0.38</v>
      </c>
      <c r="H28" s="411">
        <f>F28</f>
        <v>7.7990533562822719</v>
      </c>
      <c r="I28" s="397"/>
      <c r="J28" s="411">
        <f t="shared" si="8"/>
        <v>1.3258390705679863</v>
      </c>
      <c r="K28" s="406">
        <f>N4</f>
        <v>1.8849999999999999E-2</v>
      </c>
      <c r="O28" s="120"/>
      <c r="P28"/>
      <c r="Q28">
        <f>32.66</f>
        <v>32.659999999999997</v>
      </c>
      <c r="R28"/>
      <c r="S28"/>
      <c r="T28"/>
      <c r="U28"/>
      <c r="V28"/>
      <c r="W28"/>
    </row>
    <row r="29" spans="1:23" s="1" customFormat="1" x14ac:dyDescent="0.3">
      <c r="B29" s="397" t="s">
        <v>58</v>
      </c>
      <c r="C29" s="398"/>
      <c r="D29" s="404"/>
      <c r="E29" s="406"/>
      <c r="F29" s="404">
        <f>AC87/(1-$N$20-$N$21)/(1-$I$20)</f>
        <v>0</v>
      </c>
      <c r="G29" s="404">
        <f>ROUND(((AC87)/(1-$N$20-$N$21))*($N$20+$N$21),2)</f>
        <v>0</v>
      </c>
      <c r="H29" s="411">
        <f t="shared" ref="H29:H31" si="10">F29</f>
        <v>0</v>
      </c>
      <c r="I29" s="397"/>
      <c r="J29" s="411">
        <f t="shared" si="8"/>
        <v>0</v>
      </c>
      <c r="K29" s="406">
        <f>N5</f>
        <v>4.4630000000000003E-2</v>
      </c>
      <c r="L29" s="99"/>
      <c r="M29" s="99"/>
      <c r="N29" s="99"/>
      <c r="O29" s="120"/>
      <c r="P29"/>
      <c r="Q29" s="428">
        <v>1.06E-2</v>
      </c>
      <c r="R29"/>
      <c r="S29"/>
      <c r="T29"/>
      <c r="U29"/>
      <c r="V29"/>
      <c r="W29"/>
    </row>
    <row r="30" spans="1:23" s="1" customFormat="1" x14ac:dyDescent="0.3">
      <c r="B30" s="397" t="s">
        <v>59</v>
      </c>
      <c r="C30" s="398"/>
      <c r="D30" s="404"/>
      <c r="E30" s="406"/>
      <c r="F30" s="404">
        <f>AC96/(1-$N$20-$N$21)/(1-$I$20)</f>
        <v>62.251557249405792</v>
      </c>
      <c r="G30" s="404">
        <f>ROUND(((AC96)/(1-$N$20-$N$21))*($N$20+$N$21),2)</f>
        <v>3.06</v>
      </c>
      <c r="H30" s="411">
        <f t="shared" si="10"/>
        <v>62.251557249405792</v>
      </c>
      <c r="I30" s="397"/>
      <c r="J30" s="404">
        <f t="shared" si="8"/>
        <v>10.582764732398985</v>
      </c>
      <c r="K30" s="406">
        <f>N6</f>
        <v>7.8770000000000007E-2</v>
      </c>
      <c r="L30" s="99"/>
      <c r="M30" s="99"/>
      <c r="N30" s="99"/>
      <c r="O30" s="120"/>
      <c r="P30"/>
      <c r="Q30" s="428">
        <v>4.8599999999999997E-2</v>
      </c>
      <c r="R30"/>
      <c r="S30"/>
      <c r="T30"/>
      <c r="U30"/>
      <c r="V30"/>
      <c r="W30"/>
    </row>
    <row r="31" spans="1:23" s="1" customFormat="1" x14ac:dyDescent="0.3">
      <c r="B31" s="397" t="s">
        <v>60</v>
      </c>
      <c r="C31" s="398"/>
      <c r="D31" s="404"/>
      <c r="E31" s="406"/>
      <c r="F31" s="404">
        <f>AC105/(1-$N$20-$N$21)/(1-$I$20)</f>
        <v>0</v>
      </c>
      <c r="G31" s="404">
        <f>ROUND(((AC105)/(1-$N$20-$N$21))*($N$20+$N$21),2)</f>
        <v>0</v>
      </c>
      <c r="H31" s="411">
        <f t="shared" si="10"/>
        <v>0</v>
      </c>
      <c r="I31" s="397"/>
      <c r="J31" s="411">
        <f t="shared" si="8"/>
        <v>0</v>
      </c>
      <c r="K31" s="406">
        <f>N7</f>
        <v>0.14199999999999999</v>
      </c>
      <c r="L31" s="99"/>
      <c r="M31" s="99"/>
      <c r="N31" s="99"/>
      <c r="O31" s="120"/>
      <c r="P31"/>
      <c r="Q31" s="429">
        <v>0.17</v>
      </c>
      <c r="R31"/>
      <c r="S31"/>
      <c r="T31"/>
      <c r="U31"/>
      <c r="V31"/>
      <c r="W31"/>
    </row>
    <row r="32" spans="1:23" s="1" customFormat="1" x14ac:dyDescent="0.3">
      <c r="B32" s="420" t="s">
        <v>177</v>
      </c>
      <c r="C32" s="421"/>
      <c r="D32" s="422"/>
      <c r="E32" s="423"/>
      <c r="F32" s="422">
        <f>J32</f>
        <v>8.3039227701622682</v>
      </c>
      <c r="G32" s="422"/>
      <c r="H32" s="424">
        <f>K95</f>
        <v>48.846604530366278</v>
      </c>
      <c r="I32" s="420"/>
      <c r="J32" s="422">
        <f>H32*$I$20</f>
        <v>8.3039227701622682</v>
      </c>
      <c r="K32" s="423"/>
      <c r="L32" s="99"/>
      <c r="M32" s="99"/>
      <c r="N32" s="99"/>
      <c r="O32" s="120"/>
      <c r="P32"/>
      <c r="Q32">
        <f>Q28/(1-Q29-Q30)/(1-Q31)</f>
        <v>41.825465125809366</v>
      </c>
      <c r="R32"/>
      <c r="S32"/>
      <c r="T32"/>
      <c r="U32"/>
      <c r="V32"/>
      <c r="W32"/>
    </row>
    <row r="33" spans="2:23" s="1" customFormat="1" x14ac:dyDescent="0.3">
      <c r="B33" s="397" t="s">
        <v>61</v>
      </c>
      <c r="C33" s="397"/>
      <c r="D33" s="397"/>
      <c r="E33" s="397"/>
      <c r="F33" s="402"/>
      <c r="G33" s="397"/>
      <c r="H33" s="397"/>
      <c r="I33" s="397"/>
      <c r="J33" s="397"/>
      <c r="K33" s="397"/>
      <c r="L33" s="99"/>
      <c r="M33" s="99"/>
      <c r="N33" s="99"/>
      <c r="O33" s="120"/>
      <c r="P33"/>
      <c r="Q33"/>
      <c r="R33"/>
      <c r="S33"/>
      <c r="T33"/>
      <c r="U33"/>
      <c r="V33"/>
      <c r="W33"/>
    </row>
    <row r="34" spans="2:23" s="1" customFormat="1" x14ac:dyDescent="0.3">
      <c r="B34" s="397" t="s">
        <v>62</v>
      </c>
      <c r="C34" s="397"/>
      <c r="D34" s="397"/>
      <c r="E34" s="397"/>
      <c r="F34" s="402"/>
      <c r="G34" s="397"/>
      <c r="H34" s="397"/>
      <c r="I34" s="397"/>
      <c r="J34" s="397"/>
      <c r="K34" s="397"/>
      <c r="L34" s="99"/>
      <c r="M34" s="99"/>
      <c r="N34" s="99"/>
      <c r="O34" s="120"/>
      <c r="P34"/>
      <c r="Q34"/>
      <c r="R34"/>
      <c r="S34"/>
      <c r="T34"/>
      <c r="U34"/>
      <c r="V34"/>
      <c r="W34"/>
    </row>
    <row r="35" spans="2:23" s="1" customFormat="1" x14ac:dyDescent="0.3">
      <c r="B35" s="397" t="s">
        <v>65</v>
      </c>
      <c r="C35" s="397"/>
      <c r="D35" s="397"/>
      <c r="E35" s="397"/>
      <c r="F35" s="402"/>
      <c r="G35" s="397"/>
      <c r="H35" s="397"/>
      <c r="I35" s="397"/>
      <c r="J35" s="397"/>
      <c r="K35" s="397"/>
      <c r="L35" s="99"/>
      <c r="M35" s="99"/>
      <c r="N35" s="99"/>
      <c r="O35" s="120"/>
      <c r="P35"/>
      <c r="Q35"/>
      <c r="R35"/>
      <c r="S35"/>
      <c r="T35"/>
      <c r="U35"/>
      <c r="V35"/>
      <c r="W35"/>
    </row>
    <row r="36" spans="2:23" s="1" customFormat="1" x14ac:dyDescent="0.3">
      <c r="B36" s="397"/>
      <c r="C36" s="397"/>
      <c r="D36" s="397"/>
      <c r="E36" s="397"/>
      <c r="F36" s="397"/>
      <c r="G36" s="397"/>
      <c r="H36" s="397"/>
      <c r="I36" s="397"/>
      <c r="J36" s="397"/>
      <c r="K36" s="397"/>
      <c r="L36" s="99"/>
      <c r="M36" s="99"/>
      <c r="N36" s="99"/>
      <c r="O36" s="120"/>
      <c r="P36"/>
      <c r="Q36"/>
      <c r="R36"/>
      <c r="S36"/>
      <c r="T36"/>
      <c r="U36"/>
      <c r="V36"/>
      <c r="W36"/>
    </row>
    <row r="37" spans="2:23" s="1" customFormat="1" x14ac:dyDescent="0.3">
      <c r="B37" s="397"/>
      <c r="C37" s="397"/>
      <c r="D37" s="397"/>
      <c r="E37" s="397"/>
      <c r="F37" s="397"/>
      <c r="G37" s="397"/>
      <c r="H37" s="397"/>
      <c r="I37" s="397"/>
      <c r="J37" s="397"/>
      <c r="K37" s="397"/>
      <c r="L37" s="99"/>
      <c r="M37" s="99"/>
      <c r="N37" s="99"/>
      <c r="O37" s="120"/>
      <c r="P37"/>
      <c r="Q37"/>
      <c r="R37"/>
      <c r="S37"/>
      <c r="T37"/>
      <c r="U37"/>
      <c r="V37"/>
      <c r="W37"/>
    </row>
    <row r="38" spans="2:23" s="1" customFormat="1" x14ac:dyDescent="0.3">
      <c r="B38" s="397"/>
      <c r="C38" s="397"/>
      <c r="D38" s="397"/>
      <c r="E38" s="397"/>
      <c r="F38" s="397"/>
      <c r="G38" s="397"/>
      <c r="H38" s="397"/>
      <c r="I38" s="397"/>
      <c r="J38" s="397"/>
      <c r="K38" s="397"/>
      <c r="L38" s="99"/>
      <c r="M38" s="99"/>
      <c r="N38" s="99"/>
      <c r="O38" s="120"/>
      <c r="P38"/>
      <c r="Q38"/>
      <c r="R38"/>
      <c r="S38"/>
      <c r="T38"/>
      <c r="U38"/>
      <c r="V38"/>
      <c r="W38"/>
    </row>
    <row r="39" spans="2:23" s="1" customFormat="1" x14ac:dyDescent="0.3">
      <c r="B39" s="405" t="s">
        <v>66</v>
      </c>
      <c r="C39" s="400"/>
      <c r="D39" s="400"/>
      <c r="E39" s="400"/>
      <c r="F39" s="407">
        <f>SUM(F20:F38)</f>
        <v>780.16453337585017</v>
      </c>
      <c r="G39" s="410">
        <f>SUM(G20:G38)</f>
        <v>37.92</v>
      </c>
      <c r="H39" s="412">
        <f>SUM(H20:H38)</f>
        <v>820.70721513605417</v>
      </c>
      <c r="I39" s="400"/>
      <c r="J39" s="412">
        <f>SUM(J20:J38)</f>
        <v>139.52022657312926</v>
      </c>
      <c r="K39" s="400"/>
      <c r="L39" s="127"/>
      <c r="M39" s="127"/>
      <c r="N39" s="127"/>
      <c r="O39" s="137"/>
      <c r="P39"/>
      <c r="Q39"/>
      <c r="R39"/>
      <c r="S39"/>
      <c r="T39"/>
      <c r="U39"/>
      <c r="V39"/>
      <c r="W39"/>
    </row>
    <row r="40" spans="2:23" s="1" customFormat="1" x14ac:dyDescent="0.3"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99"/>
      <c r="P40"/>
      <c r="Q40"/>
      <c r="R40"/>
      <c r="S40"/>
      <c r="T40"/>
      <c r="U40"/>
      <c r="V40"/>
      <c r="W40"/>
    </row>
    <row r="41" spans="2:23" s="1" customFormat="1" x14ac:dyDescent="0.3">
      <c r="B41" s="415" t="s">
        <v>67</v>
      </c>
      <c r="C41" s="416"/>
      <c r="D41" s="417"/>
      <c r="E41" s="417"/>
      <c r="F41" s="415">
        <f>IF(AND($B$13&lt;$F$2,$E$13&lt;$F$2),(D20*U12)+(D21*U13)+(D22*U14)+(D23*U15),(D20*W12)+(D21*W13)+(D22*W14)+(D23*W15))</f>
        <v>3.7808099999999989</v>
      </c>
      <c r="G41" s="99"/>
      <c r="H41" s="99"/>
      <c r="I41" s="99"/>
      <c r="J41" s="99"/>
      <c r="K41" s="99"/>
      <c r="L41" s="99"/>
      <c r="M41" s="99"/>
      <c r="N41" s="99"/>
      <c r="O41" s="99"/>
      <c r="P41"/>
      <c r="Q41"/>
      <c r="R41"/>
      <c r="S41"/>
      <c r="T41"/>
      <c r="U41"/>
      <c r="V41"/>
      <c r="W41"/>
    </row>
    <row r="42" spans="2:23" s="1" customFormat="1" x14ac:dyDescent="0.3">
      <c r="B42" s="192"/>
      <c r="C42" s="193"/>
      <c r="D42" s="193"/>
      <c r="E42" s="192"/>
      <c r="G42"/>
      <c r="H42"/>
      <c r="I42"/>
      <c r="J42"/>
      <c r="K42"/>
      <c r="N42" s="194"/>
      <c r="O42" s="195"/>
      <c r="P42"/>
      <c r="Q42"/>
      <c r="R42"/>
      <c r="S42"/>
      <c r="T42"/>
      <c r="U42"/>
      <c r="V42"/>
      <c r="W42"/>
    </row>
    <row r="43" spans="2:23" s="1" customFormat="1" x14ac:dyDescent="0.3">
      <c r="B43" s="192"/>
      <c r="C43" s="193"/>
      <c r="D43" s="193"/>
      <c r="E43" s="192"/>
      <c r="G43"/>
      <c r="H43"/>
      <c r="I43"/>
      <c r="J43"/>
      <c r="K43"/>
      <c r="N43" s="194"/>
      <c r="O43" s="195"/>
      <c r="P43"/>
      <c r="Q43"/>
      <c r="R43"/>
      <c r="S43"/>
      <c r="T43"/>
      <c r="U43"/>
      <c r="V43"/>
      <c r="W43"/>
    </row>
    <row r="44" spans="2:23" x14ac:dyDescent="0.3">
      <c r="B44" s="499" t="s">
        <v>178</v>
      </c>
      <c r="C44" s="500"/>
      <c r="D44" s="500"/>
      <c r="E44" s="500"/>
      <c r="F44" s="500"/>
      <c r="G44" s="500"/>
      <c r="H44" s="500"/>
      <c r="I44" s="500"/>
      <c r="J44" s="500"/>
      <c r="K44" s="501"/>
      <c r="M44" s="302"/>
    </row>
    <row r="45" spans="2:23" x14ac:dyDescent="0.3">
      <c r="B45" s="280"/>
      <c r="C45" s="281"/>
      <c r="D45" s="281"/>
      <c r="E45" s="282"/>
      <c r="F45" s="283"/>
      <c r="G45" s="282"/>
      <c r="H45" s="284"/>
      <c r="I45" s="285" t="s">
        <v>53</v>
      </c>
      <c r="J45" s="286"/>
      <c r="K45" s="287"/>
    </row>
    <row r="46" spans="2:23" x14ac:dyDescent="0.3">
      <c r="B46" s="288" t="s">
        <v>73</v>
      </c>
      <c r="C46" s="289"/>
      <c r="D46" s="289"/>
      <c r="E46" s="290"/>
      <c r="F46" s="291"/>
      <c r="G46" s="290"/>
      <c r="H46" s="292"/>
      <c r="I46" s="293">
        <f>D16</f>
        <v>1000</v>
      </c>
      <c r="J46" s="294"/>
      <c r="K46" s="295"/>
    </row>
    <row r="47" spans="2:23" ht="10.5" customHeight="1" x14ac:dyDescent="0.3">
      <c r="B47" s="296"/>
      <c r="C47" s="297"/>
      <c r="D47" s="297"/>
      <c r="E47" s="297"/>
      <c r="F47" s="297"/>
      <c r="G47" s="297"/>
      <c r="H47" s="297"/>
      <c r="I47" s="298"/>
      <c r="J47" s="299"/>
      <c r="K47" s="300"/>
    </row>
    <row r="48" spans="2:23" x14ac:dyDescent="0.3">
      <c r="B48" s="240" t="s">
        <v>36</v>
      </c>
      <c r="C48" s="241"/>
      <c r="D48" s="241"/>
      <c r="E48" s="223" t="s">
        <v>69</v>
      </c>
      <c r="F48" s="109"/>
      <c r="G48" s="223" t="s">
        <v>70</v>
      </c>
      <c r="H48" s="223" t="s">
        <v>14</v>
      </c>
      <c r="I48" s="223" t="s">
        <v>15</v>
      </c>
      <c r="J48" s="223" t="s">
        <v>71</v>
      </c>
      <c r="K48" s="242" t="s">
        <v>179</v>
      </c>
    </row>
    <row r="49" spans="2:21" x14ac:dyDescent="0.3">
      <c r="B49" s="243" t="s">
        <v>72</v>
      </c>
      <c r="C49" s="244"/>
      <c r="D49" s="244"/>
      <c r="E49" s="245"/>
      <c r="F49" s="244"/>
      <c r="G49" s="246"/>
      <c r="H49" s="244"/>
      <c r="I49" s="247"/>
      <c r="J49" s="247"/>
      <c r="K49" s="248">
        <f>+SUM(J51:J64)</f>
        <v>780.16688482245308</v>
      </c>
      <c r="M49" s="174"/>
      <c r="R49" s="308" t="s">
        <v>50</v>
      </c>
      <c r="S49" s="308" t="s">
        <v>51</v>
      </c>
    </row>
    <row r="50" spans="2:21" ht="6" customHeight="1" x14ac:dyDescent="0.3">
      <c r="B50" s="249"/>
      <c r="C50" s="250"/>
      <c r="D50" s="250"/>
      <c r="E50" s="251"/>
      <c r="F50" s="250"/>
      <c r="G50" s="252"/>
      <c r="H50" s="250"/>
      <c r="I50" s="253"/>
      <c r="J50" s="253"/>
      <c r="K50" s="254"/>
    </row>
    <row r="51" spans="2:21" x14ac:dyDescent="0.3">
      <c r="B51" s="255">
        <v>0.65</v>
      </c>
      <c r="C51" s="138" t="s">
        <v>180</v>
      </c>
      <c r="D51" s="138"/>
      <c r="E51" s="256">
        <f>IF(I46&gt;0,30,0)</f>
        <v>30</v>
      </c>
      <c r="F51" s="138" t="s">
        <v>53</v>
      </c>
      <c r="G51" s="239">
        <f>G54*(1-B51)</f>
        <v>0.10127249999999999</v>
      </c>
      <c r="H51" s="239">
        <f>H54*(1-B51)</f>
        <v>0.102669</v>
      </c>
      <c r="I51" s="239">
        <f t="shared" ref="I51:I53" si="11">G51+H51</f>
        <v>0.2039415</v>
      </c>
      <c r="J51" s="257">
        <f>ROUND(E51*G51,2)+ROUND(E51*H51,2)</f>
        <v>6.12</v>
      </c>
      <c r="K51" s="254"/>
      <c r="M51"/>
      <c r="N51"/>
      <c r="O51"/>
      <c r="P51"/>
      <c r="R51" s="344">
        <f>IF(AND($B$13&lt;$F$2,$E$13&lt;$F$2),R6,IF($B$13&lt;$F$2,X6,U6))*(1-B51)</f>
        <v>6.588200972942404E-2</v>
      </c>
      <c r="S51" s="330">
        <f>E51*R51</f>
        <v>1.9764602918827212</v>
      </c>
      <c r="U51" s="343">
        <f>E51*G51</f>
        <v>3.0381749999999998</v>
      </c>
    </row>
    <row r="52" spans="2:21" x14ac:dyDescent="0.3">
      <c r="B52" s="255">
        <v>0.4</v>
      </c>
      <c r="C52" s="138" t="s">
        <v>181</v>
      </c>
      <c r="D52" s="138"/>
      <c r="E52" s="256">
        <f>IF(I46&gt;30,IF(I46&gt;100,70,I46-30),0)</f>
        <v>70</v>
      </c>
      <c r="F52" s="138" t="s">
        <v>53</v>
      </c>
      <c r="G52" s="239">
        <f>G54*(1-B52)</f>
        <v>0.17360999999999999</v>
      </c>
      <c r="H52" s="239">
        <f>H54*(1-B52)</f>
        <v>0.17600399999999999</v>
      </c>
      <c r="I52" s="239">
        <f t="shared" si="11"/>
        <v>0.34961399999999998</v>
      </c>
      <c r="J52" s="257">
        <f t="shared" ref="J52:J54" si="12">ROUND(E52*G52,2)+ROUND(E52*H52,2)</f>
        <v>24.47</v>
      </c>
      <c r="K52" s="254"/>
      <c r="M52"/>
      <c r="N52"/>
      <c r="O52"/>
      <c r="P52"/>
      <c r="R52" s="344">
        <f>IF(AND($B$13&lt;$F$2,$E$13&lt;$F$2),R6,IF($B$13&lt;$F$2,X6,U6))*(1-B52)</f>
        <v>0.11294058810758408</v>
      </c>
      <c r="S52" s="330">
        <f t="shared" ref="S52:S53" si="13">E52*R52</f>
        <v>7.9058411675308848</v>
      </c>
      <c r="U52" s="343">
        <f>E52*G52</f>
        <v>12.152699999999999</v>
      </c>
    </row>
    <row r="53" spans="2:21" x14ac:dyDescent="0.3">
      <c r="B53" s="255">
        <v>0.1</v>
      </c>
      <c r="C53" s="138" t="s">
        <v>182</v>
      </c>
      <c r="D53" s="138"/>
      <c r="E53" s="256">
        <f>IF(I46&gt;100,IF(I46&gt;220,220-100,I46-100),0)</f>
        <v>120</v>
      </c>
      <c r="F53" s="138" t="s">
        <v>53</v>
      </c>
      <c r="G53" s="239">
        <f>G54*(1-B53)</f>
        <v>0.26041500000000001</v>
      </c>
      <c r="H53" s="239">
        <f>H54*(1-B53)</f>
        <v>0.26400600000000002</v>
      </c>
      <c r="I53" s="239">
        <f t="shared" si="11"/>
        <v>0.52442100000000003</v>
      </c>
      <c r="J53" s="257">
        <f t="shared" si="12"/>
        <v>62.93</v>
      </c>
      <c r="K53" s="254"/>
      <c r="R53" s="344">
        <f>IF(AND($B$13&lt;$F$2,$E$13&lt;$F$2),R6,IF($B$13&lt;$F$2,X6,U6))*(1-B53)</f>
        <v>0.16941088216137612</v>
      </c>
      <c r="S53" s="330">
        <f t="shared" si="13"/>
        <v>20.329305859365135</v>
      </c>
      <c r="U53" s="343">
        <f>E53*G53</f>
        <v>31.2498</v>
      </c>
    </row>
    <row r="54" spans="2:21" x14ac:dyDescent="0.3">
      <c r="B54" s="255">
        <v>0</v>
      </c>
      <c r="C54" s="138" t="s">
        <v>183</v>
      </c>
      <c r="D54" s="138"/>
      <c r="E54" s="256">
        <f>IF(I46&gt;220,I46-220,0)</f>
        <v>780</v>
      </c>
      <c r="F54" s="138" t="s">
        <v>53</v>
      </c>
      <c r="G54" s="239">
        <f>IF(AND($B$13&lt;$F$2,$E$13&lt;$F$2),C6,IF($B$13&lt;$F$2,I6,F6))</f>
        <v>0.28935</v>
      </c>
      <c r="H54" s="239">
        <f>IF(AND($B$13&lt;$F$2,$E$13&lt;$F$2),D6,IF($B$13&lt;$F$2,J6,G6))</f>
        <v>0.29333999999999999</v>
      </c>
      <c r="I54" s="239">
        <f>G54+H54</f>
        <v>0.58268999999999993</v>
      </c>
      <c r="J54" s="257">
        <f t="shared" si="12"/>
        <v>454.5</v>
      </c>
      <c r="K54" s="254"/>
      <c r="R54" s="344">
        <f>IF(AND($B$13&lt;$F$2,$E$13&lt;$F$2),R6,IF($B$13&lt;$F$2,X6,U6))*(1-B54)</f>
        <v>0.18823431351264014</v>
      </c>
      <c r="S54" s="330">
        <f>E54*R54</f>
        <v>146.82276453985932</v>
      </c>
      <c r="U54" s="343">
        <f>E54*G54</f>
        <v>225.69299999999998</v>
      </c>
    </row>
    <row r="55" spans="2:21" x14ac:dyDescent="0.3">
      <c r="B55" s="249"/>
      <c r="C55" s="138" t="s">
        <v>184</v>
      </c>
      <c r="D55" s="138"/>
      <c r="E55" s="256"/>
      <c r="F55" s="138"/>
      <c r="G55" s="258"/>
      <c r="H55" s="258"/>
      <c r="I55" s="259"/>
      <c r="J55" s="257">
        <f>AC78</f>
        <v>6.09</v>
      </c>
      <c r="K55" s="254"/>
      <c r="R55" s="327"/>
      <c r="S55" s="330"/>
      <c r="U55" s="343">
        <f>SUM(U51:U54)</f>
        <v>272.13367499999998</v>
      </c>
    </row>
    <row r="56" spans="2:21" x14ac:dyDescent="0.3">
      <c r="B56" s="249"/>
      <c r="C56" s="138" t="s">
        <v>185</v>
      </c>
      <c r="D56" s="138"/>
      <c r="E56" s="256"/>
      <c r="F56" s="138"/>
      <c r="G56" s="258"/>
      <c r="H56" s="258"/>
      <c r="I56" s="259"/>
      <c r="J56" s="257">
        <f>AC87</f>
        <v>0</v>
      </c>
      <c r="K56" s="254"/>
    </row>
    <row r="57" spans="2:21" x14ac:dyDescent="0.3">
      <c r="B57" s="249"/>
      <c r="C57" s="138" t="s">
        <v>186</v>
      </c>
      <c r="D57" s="138"/>
      <c r="E57" s="256"/>
      <c r="F57" s="138"/>
      <c r="G57" s="258"/>
      <c r="H57" s="258"/>
      <c r="I57" s="259"/>
      <c r="J57" s="257">
        <f>+AC96</f>
        <v>48.61</v>
      </c>
      <c r="K57" s="254"/>
    </row>
    <row r="58" spans="2:21" x14ac:dyDescent="0.3">
      <c r="B58" s="249"/>
      <c r="C58" s="138" t="s">
        <v>187</v>
      </c>
      <c r="D58" s="138"/>
      <c r="E58" s="256"/>
      <c r="F58" s="138"/>
      <c r="G58" s="258"/>
      <c r="H58" s="258"/>
      <c r="I58" s="259"/>
      <c r="J58" s="257">
        <f>AC105</f>
        <v>0</v>
      </c>
      <c r="K58" s="254"/>
    </row>
    <row r="59" spans="2:21" ht="6" customHeight="1" x14ac:dyDescent="0.3">
      <c r="B59" s="249"/>
      <c r="C59" s="138"/>
      <c r="D59" s="138"/>
      <c r="E59" s="256"/>
      <c r="F59" s="138"/>
      <c r="G59" s="258"/>
      <c r="H59" s="258"/>
      <c r="I59" s="258"/>
      <c r="J59" s="257"/>
      <c r="K59" s="254"/>
    </row>
    <row r="60" spans="2:21" x14ac:dyDescent="0.3">
      <c r="B60" s="260" t="s">
        <v>46</v>
      </c>
      <c r="C60" s="138"/>
      <c r="D60" s="138"/>
      <c r="E60" s="252" t="s">
        <v>188</v>
      </c>
      <c r="F60" s="252"/>
      <c r="G60" s="252"/>
      <c r="H60" s="252" t="s">
        <v>189</v>
      </c>
      <c r="I60" s="258"/>
      <c r="J60" s="257"/>
      <c r="K60" s="254"/>
    </row>
    <row r="61" spans="2:21" x14ac:dyDescent="0.3">
      <c r="B61" s="249"/>
      <c r="C61" s="138" t="s">
        <v>76</v>
      </c>
      <c r="D61" s="138"/>
      <c r="E61" s="261">
        <f>SUM(J51:J58)/(1-H61-H62)</f>
        <v>640.64625850340144</v>
      </c>
      <c r="F61" s="138"/>
      <c r="G61" s="258"/>
      <c r="H61" s="262">
        <f>N20</f>
        <v>1.06E-2</v>
      </c>
      <c r="I61" s="258"/>
      <c r="J61" s="257">
        <f>E61*H61</f>
        <v>6.7908503401360552</v>
      </c>
      <c r="K61" s="254"/>
    </row>
    <row r="62" spans="2:21" x14ac:dyDescent="0.3">
      <c r="B62" s="249"/>
      <c r="C62" s="138" t="s">
        <v>190</v>
      </c>
      <c r="D62" s="138"/>
      <c r="E62" s="261">
        <f>E61</f>
        <v>640.64625850340144</v>
      </c>
      <c r="F62" s="138"/>
      <c r="G62" s="258"/>
      <c r="H62" s="262">
        <f>N21</f>
        <v>4.8599999999999997E-2</v>
      </c>
      <c r="I62" s="258"/>
      <c r="J62" s="257">
        <f t="shared" ref="J62:J64" si="14">E62*H62</f>
        <v>31.135408163265307</v>
      </c>
      <c r="K62" s="254"/>
    </row>
    <row r="63" spans="2:21" x14ac:dyDescent="0.3">
      <c r="B63" s="249"/>
      <c r="C63" s="138" t="s">
        <v>191</v>
      </c>
      <c r="D63" s="138"/>
      <c r="E63" s="264">
        <f>(E61)/(1-H63)</f>
        <v>771.86296205229098</v>
      </c>
      <c r="F63" s="138"/>
      <c r="G63" s="258"/>
      <c r="H63" s="312">
        <f>I20</f>
        <v>0.17</v>
      </c>
      <c r="I63" s="258"/>
      <c r="J63" s="257">
        <f t="shared" si="14"/>
        <v>131.21670354888948</v>
      </c>
      <c r="K63" s="254"/>
      <c r="M63" s="175"/>
    </row>
    <row r="64" spans="2:21" x14ac:dyDescent="0.3">
      <c r="B64" s="249"/>
      <c r="C64" s="263" t="s">
        <v>177</v>
      </c>
      <c r="D64" s="263"/>
      <c r="E64" s="264">
        <f>K95</f>
        <v>48.846604530366278</v>
      </c>
      <c r="F64" s="263"/>
      <c r="G64" s="265"/>
      <c r="H64" s="266">
        <f>H63</f>
        <v>0.17</v>
      </c>
      <c r="I64" s="265"/>
      <c r="J64" s="267">
        <f t="shared" si="14"/>
        <v>8.3039227701622682</v>
      </c>
      <c r="K64" s="254"/>
      <c r="M64" s="176"/>
      <c r="N64" s="176"/>
    </row>
    <row r="65" spans="2:31" ht="6" customHeight="1" x14ac:dyDescent="0.3">
      <c r="B65" s="249"/>
      <c r="C65" s="138"/>
      <c r="D65" s="138"/>
      <c r="E65" s="261"/>
      <c r="F65" s="138"/>
      <c r="G65" s="258"/>
      <c r="H65" s="268"/>
      <c r="I65" s="258"/>
      <c r="J65" s="269"/>
      <c r="K65" s="254"/>
      <c r="M65" s="177"/>
      <c r="N65" s="178"/>
    </row>
    <row r="66" spans="2:31" x14ac:dyDescent="0.3">
      <c r="B66" s="260" t="s">
        <v>192</v>
      </c>
      <c r="C66" s="138"/>
      <c r="D66" s="138"/>
      <c r="E66" s="261"/>
      <c r="F66" s="138"/>
      <c r="G66" s="258"/>
      <c r="H66" s="268"/>
      <c r="I66" s="258"/>
      <c r="J66" s="269"/>
      <c r="K66" s="254"/>
      <c r="M66"/>
      <c r="N66"/>
    </row>
    <row r="67" spans="2:31" x14ac:dyDescent="0.3">
      <c r="B67" s="249"/>
      <c r="C67" s="138"/>
      <c r="D67" s="138"/>
      <c r="E67" s="261"/>
      <c r="F67" s="138"/>
      <c r="G67" s="258"/>
      <c r="H67" s="268"/>
      <c r="I67" s="258"/>
      <c r="J67" s="269"/>
      <c r="K67" s="270"/>
      <c r="M67"/>
      <c r="N67"/>
    </row>
    <row r="68" spans="2:31" x14ac:dyDescent="0.3">
      <c r="B68" s="249"/>
      <c r="C68" s="138"/>
      <c r="D68" s="138"/>
      <c r="E68" s="261"/>
      <c r="F68" s="138"/>
      <c r="G68" s="258"/>
      <c r="H68" s="268"/>
      <c r="I68" s="258"/>
      <c r="J68" s="269"/>
      <c r="K68" s="270"/>
      <c r="M68"/>
      <c r="N68"/>
    </row>
    <row r="69" spans="2:31" x14ac:dyDescent="0.3">
      <c r="B69" s="271"/>
      <c r="C69" s="272"/>
      <c r="D69" s="272"/>
      <c r="E69" s="273"/>
      <c r="F69" s="272"/>
      <c r="G69" s="274"/>
      <c r="H69" s="275"/>
      <c r="I69" s="274"/>
      <c r="J69" s="276"/>
      <c r="K69" s="277"/>
      <c r="M69"/>
      <c r="N69"/>
      <c r="P69" s="97" t="s">
        <v>73</v>
      </c>
    </row>
    <row r="70" spans="2:31" ht="9" customHeight="1" x14ac:dyDescent="0.3">
      <c r="B70" s="138"/>
      <c r="C70" s="138"/>
      <c r="D70" s="138"/>
      <c r="E70" s="138"/>
      <c r="F70" s="138"/>
      <c r="G70" s="138"/>
      <c r="H70" s="138"/>
      <c r="I70" s="278"/>
      <c r="J70" s="278"/>
      <c r="K70" s="278"/>
      <c r="M70"/>
      <c r="N70"/>
    </row>
    <row r="71" spans="2:31" x14ac:dyDescent="0.3">
      <c r="B71" s="138"/>
      <c r="C71" s="138"/>
      <c r="D71" s="226"/>
      <c r="E71" s="250"/>
      <c r="F71" s="109"/>
      <c r="G71" s="109"/>
      <c r="H71" s="138"/>
      <c r="I71" s="491" t="s">
        <v>193</v>
      </c>
      <c r="J71" s="492"/>
      <c r="K71" s="493"/>
      <c r="P71" s="3" t="s">
        <v>12</v>
      </c>
      <c r="Q71" s="3"/>
      <c r="R71" s="3"/>
      <c r="S71" s="3"/>
      <c r="T71" s="3"/>
      <c r="U71" s="3"/>
      <c r="V71" s="8"/>
      <c r="W71" s="8"/>
      <c r="X71" s="9"/>
      <c r="Y71" s="426">
        <f>N4</f>
        <v>1.8849999999999999E-2</v>
      </c>
      <c r="Z71" s="50"/>
      <c r="AA71" s="6"/>
      <c r="AB71" s="6"/>
      <c r="AC71" s="11"/>
      <c r="AD71"/>
      <c r="AE71"/>
    </row>
    <row r="72" spans="2:31" ht="27.6" x14ac:dyDescent="0.3">
      <c r="B72" s="138"/>
      <c r="C72" s="138"/>
      <c r="D72" s="226"/>
      <c r="E72" s="279"/>
      <c r="F72" s="109"/>
      <c r="G72" s="138"/>
      <c r="H72" s="138"/>
      <c r="I72" s="494">
        <f>K49+K67+K68+K69</f>
        <v>780.16688482245308</v>
      </c>
      <c r="J72" s="495"/>
      <c r="K72" s="496"/>
      <c r="N72" s="179"/>
      <c r="P72"/>
      <c r="Q72" s="17" t="s">
        <v>73</v>
      </c>
      <c r="R72" s="497"/>
      <c r="S72" s="498"/>
      <c r="T72" s="64"/>
      <c r="U72" s="497"/>
      <c r="V72" s="498"/>
      <c r="W72" s="64"/>
      <c r="X72" s="497" t="s">
        <v>194</v>
      </c>
      <c r="Y72" s="498"/>
      <c r="Z72" s="64"/>
      <c r="AA72" s="497" t="s">
        <v>195</v>
      </c>
      <c r="AB72" s="498"/>
      <c r="AC72" s="18" t="s">
        <v>196</v>
      </c>
      <c r="AD72"/>
      <c r="AE72" s="2"/>
    </row>
    <row r="73" spans="2:31" x14ac:dyDescent="0.3">
      <c r="B73" s="97"/>
      <c r="C73" s="97"/>
      <c r="D73" s="97"/>
      <c r="E73" s="97"/>
      <c r="F73" s="97"/>
      <c r="G73" s="97"/>
      <c r="H73" s="97"/>
      <c r="I73" s="97"/>
      <c r="J73" s="97"/>
      <c r="K73" s="136"/>
      <c r="P73"/>
      <c r="Q73" s="19" t="s">
        <v>197</v>
      </c>
      <c r="R73" s="20"/>
      <c r="S73" s="20"/>
      <c r="T73" s="20"/>
      <c r="U73" s="20"/>
      <c r="V73" s="20"/>
      <c r="W73" s="20"/>
      <c r="X73" s="20"/>
      <c r="Y73" s="20" t="s">
        <v>14</v>
      </c>
      <c r="Z73" s="20"/>
      <c r="AA73" s="20" t="s">
        <v>13</v>
      </c>
      <c r="AB73" s="20" t="s">
        <v>14</v>
      </c>
      <c r="AC73" s="20" t="s">
        <v>198</v>
      </c>
      <c r="AD73"/>
      <c r="AE73" s="1"/>
    </row>
    <row r="74" spans="2:31" x14ac:dyDescent="0.3">
      <c r="B74" s="198" t="s">
        <v>199</v>
      </c>
      <c r="C74" s="199"/>
      <c r="D74" s="199"/>
      <c r="E74" s="199"/>
      <c r="F74" s="199"/>
      <c r="G74" s="199"/>
      <c r="H74" s="200">
        <f>K94</f>
        <v>34.670054999999934</v>
      </c>
      <c r="I74" s="96" t="s">
        <v>115</v>
      </c>
      <c r="J74" s="154"/>
      <c r="K74" s="180"/>
      <c r="L74" s="181"/>
      <c r="M74" s="181"/>
      <c r="N74" s="181"/>
      <c r="O74" s="181"/>
      <c r="P74"/>
      <c r="Q74" s="36">
        <f>IF($K$11=$P$71,(E51*($K$13)/($K$13+$L$13)),0)+IF($L$11=$P$71,(E51*($L$13)/($K$13+$L$13)),0)</f>
        <v>10.3125</v>
      </c>
      <c r="R74" s="34"/>
      <c r="S74" s="34"/>
      <c r="T74" s="34"/>
      <c r="U74" s="4"/>
      <c r="V74" s="4"/>
      <c r="W74" s="4"/>
      <c r="X74" s="4"/>
      <c r="Y74" s="4">
        <f>$Y$71*(1-AE74)</f>
        <v>6.5974999999999992E-3</v>
      </c>
      <c r="Z74" s="4"/>
      <c r="AA74" s="5"/>
      <c r="AB74" s="5">
        <f>ROUND((Q74*Y74),2)</f>
        <v>7.0000000000000007E-2</v>
      </c>
      <c r="AC74" s="10">
        <f>AA74+AB74</f>
        <v>7.0000000000000007E-2</v>
      </c>
      <c r="AD74" s="12"/>
      <c r="AE74" s="16">
        <v>0.65</v>
      </c>
    </row>
    <row r="75" spans="2:31" x14ac:dyDescent="0.3">
      <c r="B75" s="366" t="s">
        <v>78</v>
      </c>
      <c r="C75" s="367"/>
      <c r="D75" s="368"/>
      <c r="E75" s="369"/>
      <c r="F75" s="369"/>
      <c r="G75" s="367"/>
      <c r="H75" s="366">
        <f>IF(AND($B$13&lt;$F$2,$E$13&lt;$F$2),(E51*U12)+(E52*U13)+(E53*U14)+(E54*U15),(E51*W12)+(E52*W13)+(E53*W14)+(E54*W15))</f>
        <v>3.7808099999999989</v>
      </c>
      <c r="N75" s="179"/>
      <c r="P75"/>
      <c r="Q75" s="36">
        <f>IF($K$11=$P$71,(E52*($K$13)/($K$13+$L$13)),0)+IF($L$11=$P$71,(E52*($L$13)/($K$13+$L$13)),0)</f>
        <v>24.0625</v>
      </c>
      <c r="R75" s="34"/>
      <c r="S75" s="34"/>
      <c r="T75" s="34"/>
      <c r="U75" s="4"/>
      <c r="V75" s="4"/>
      <c r="W75" s="4"/>
      <c r="X75" s="4"/>
      <c r="Y75" s="4">
        <f t="shared" ref="Y75:Y77" si="15">$Y$71*(1-AE75)</f>
        <v>1.1309999999999999E-2</v>
      </c>
      <c r="Z75" s="4"/>
      <c r="AA75" s="5"/>
      <c r="AB75" s="5">
        <f t="shared" ref="AB75:AB77" si="16">ROUND((Q75*Y75),2)</f>
        <v>0.27</v>
      </c>
      <c r="AC75" s="10">
        <f>AA75+AB75</f>
        <v>0.27</v>
      </c>
      <c r="AD75" s="12"/>
      <c r="AE75" s="16">
        <v>0.4</v>
      </c>
    </row>
    <row r="76" spans="2:31" x14ac:dyDescent="0.3">
      <c r="G76" s="97"/>
      <c r="H76" s="97"/>
      <c r="N76" s="179"/>
      <c r="P76"/>
      <c r="Q76" s="36">
        <f>IF($K$11=$P$71,(E53*($K$13)/($K$13+$L$13)),0)+IF($L$11=$P$71,(E53*($L$13)/($K$13+$L$13)),0)</f>
        <v>41.25</v>
      </c>
      <c r="R76" s="34"/>
      <c r="S76" s="34"/>
      <c r="T76" s="34"/>
      <c r="U76" s="4"/>
      <c r="V76" s="4"/>
      <c r="W76" s="4"/>
      <c r="X76" s="4"/>
      <c r="Y76" s="4">
        <f t="shared" si="15"/>
        <v>1.6965000000000001E-2</v>
      </c>
      <c r="Z76" s="4"/>
      <c r="AA76" s="5"/>
      <c r="AB76" s="5">
        <f t="shared" si="16"/>
        <v>0.7</v>
      </c>
      <c r="AC76" s="10">
        <f>AA76+AB76</f>
        <v>0.7</v>
      </c>
      <c r="AD76" s="12"/>
      <c r="AE76" s="16">
        <v>0.1</v>
      </c>
    </row>
    <row r="77" spans="2:31" x14ac:dyDescent="0.3">
      <c r="G77" s="97"/>
      <c r="H77" s="97"/>
      <c r="I77" s="173" t="s">
        <v>200</v>
      </c>
      <c r="J77" s="173" t="s">
        <v>201</v>
      </c>
      <c r="K77" s="11"/>
      <c r="N77" s="179"/>
      <c r="P77"/>
      <c r="Q77" s="36">
        <f>IF($K$11=$P$71,(E54*($K$13)/($K$13+$L$13)),0)+IF($L$11=$P$71,(E54*($L$13)/($K$13+$L$13)),0)</f>
        <v>268.125</v>
      </c>
      <c r="R77" s="34"/>
      <c r="S77" s="34"/>
      <c r="T77" s="34"/>
      <c r="U77" s="4"/>
      <c r="V77" s="4"/>
      <c r="W77" s="4"/>
      <c r="X77" s="4"/>
      <c r="Y77" s="4">
        <f t="shared" si="15"/>
        <v>1.8849999999999999E-2</v>
      </c>
      <c r="Z77" s="4"/>
      <c r="AA77" s="5"/>
      <c r="AB77" s="5">
        <f t="shared" si="16"/>
        <v>5.05</v>
      </c>
      <c r="AC77" s="10">
        <f>AA77+AB77</f>
        <v>5.05</v>
      </c>
      <c r="AD77" s="12"/>
      <c r="AE77" s="16">
        <v>0</v>
      </c>
    </row>
    <row r="78" spans="2:31" x14ac:dyDescent="0.3">
      <c r="G78" s="182" t="s">
        <v>202</v>
      </c>
      <c r="H78" s="183">
        <f>I46</f>
        <v>1000</v>
      </c>
      <c r="I78" s="4">
        <f>G54</f>
        <v>0.28935</v>
      </c>
      <c r="J78" s="4">
        <f>H54</f>
        <v>0.29333999999999999</v>
      </c>
      <c r="K78" s="10">
        <f>H78*(I78+J78)</f>
        <v>582.68999999999994</v>
      </c>
      <c r="L78" s="184"/>
      <c r="N78" s="179"/>
      <c r="P78"/>
      <c r="Q78" s="52" t="s">
        <v>66</v>
      </c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4"/>
      <c r="AC78" s="30">
        <f>SUM(AC74:AC77)</f>
        <v>6.09</v>
      </c>
      <c r="AD78"/>
      <c r="AE78"/>
    </row>
    <row r="79" spans="2:31" x14ac:dyDescent="0.3">
      <c r="G79" s="15" t="s">
        <v>12</v>
      </c>
      <c r="H79" s="183">
        <f>IF($K$11=$P$71,(H78*($K$13)/($K$13+$L$13)),0)+IF($L$11=$P$71,(H78*($L$13)/($K$13+$L$13)),0)</f>
        <v>343.75</v>
      </c>
      <c r="I79" s="97"/>
      <c r="J79" s="4">
        <f>Y71</f>
        <v>1.8849999999999999E-2</v>
      </c>
      <c r="K79" s="185">
        <f t="shared" ref="K79:K81" si="17">H79*(I79+J79)</f>
        <v>6.4796874999999998</v>
      </c>
      <c r="P79" s="3"/>
      <c r="Q79" s="3"/>
      <c r="R79" s="3"/>
      <c r="S79" s="3"/>
      <c r="T79" s="3"/>
      <c r="U79" s="3"/>
      <c r="V79" s="8"/>
      <c r="W79" s="8"/>
      <c r="X79" s="9"/>
      <c r="Y79" s="9"/>
      <c r="Z79" s="9"/>
      <c r="AA79" s="6"/>
      <c r="AB79" s="6"/>
      <c r="AC79" s="31"/>
      <c r="AD79"/>
      <c r="AE79"/>
    </row>
    <row r="80" spans="2:31" x14ac:dyDescent="0.3">
      <c r="G80" s="15" t="s">
        <v>16</v>
      </c>
      <c r="H80" s="183">
        <f>IF($K$11=$P$80,(H78*($K$13)/($K$13+$L$13)),0)+IF($L$11=$P$80,(H78*($L$13)/($K$13+$L$13)),0)</f>
        <v>0</v>
      </c>
      <c r="I80" s="97"/>
      <c r="J80" s="4">
        <f>Y80</f>
        <v>4.4630000000000003E-2</v>
      </c>
      <c r="K80" s="185">
        <f t="shared" si="17"/>
        <v>0</v>
      </c>
      <c r="P80" s="3" t="s">
        <v>16</v>
      </c>
      <c r="Q80" s="3"/>
      <c r="R80" s="3"/>
      <c r="S80" s="3"/>
      <c r="T80" s="3"/>
      <c r="U80" s="3"/>
      <c r="V80" s="8"/>
      <c r="W80" s="8"/>
      <c r="X80" s="9"/>
      <c r="Y80" s="426">
        <f>N5</f>
        <v>4.4630000000000003E-2</v>
      </c>
      <c r="Z80" s="50"/>
      <c r="AA80" s="6"/>
      <c r="AB80" s="6"/>
      <c r="AC80" s="11"/>
      <c r="AD80"/>
      <c r="AE80"/>
    </row>
    <row r="81" spans="7:31" ht="27.6" x14ac:dyDescent="0.3">
      <c r="G81" s="15" t="s">
        <v>19</v>
      </c>
      <c r="H81" s="183">
        <f>IF($K$11=$P$89,(H78*($K$13)/($K$13+$L$13)),0)+IF($L$11=$P$89,(H78*($L$13)/($K$13+$L$13)),0)</f>
        <v>656.25</v>
      </c>
      <c r="J81" s="4">
        <f>Y89</f>
        <v>7.8770000000000007E-2</v>
      </c>
      <c r="K81" s="185">
        <f t="shared" si="17"/>
        <v>51.692812500000002</v>
      </c>
      <c r="P81"/>
      <c r="Q81" s="17" t="s">
        <v>73</v>
      </c>
      <c r="R81" s="497"/>
      <c r="S81" s="498"/>
      <c r="T81" s="64"/>
      <c r="U81" s="497"/>
      <c r="V81" s="498"/>
      <c r="W81" s="64"/>
      <c r="X81" s="497" t="s">
        <v>11</v>
      </c>
      <c r="Y81" s="498"/>
      <c r="Z81" s="64"/>
      <c r="AA81" s="497" t="s">
        <v>195</v>
      </c>
      <c r="AB81" s="498"/>
      <c r="AC81" s="18" t="s">
        <v>196</v>
      </c>
      <c r="AD81"/>
      <c r="AE81" s="2"/>
    </row>
    <row r="82" spans="7:31" x14ac:dyDescent="0.3">
      <c r="G82" s="15" t="s">
        <v>21</v>
      </c>
      <c r="H82" s="183">
        <f>IF($K$11=$P$98,(H78*($K$13)/($K$13+$L$13)),0)+IF($L$11=$P$98,(H78*($L$13)/($K$13+$L$13)),0)</f>
        <v>0</v>
      </c>
      <c r="J82" s="4">
        <f>Y98</f>
        <v>0.14199999999999999</v>
      </c>
      <c r="K82" s="185">
        <f t="shared" ref="K82" si="18">H82*(I82+J82)</f>
        <v>0</v>
      </c>
      <c r="P82"/>
      <c r="Q82" s="19" t="s">
        <v>197</v>
      </c>
      <c r="R82" s="20"/>
      <c r="S82" s="20"/>
      <c r="T82" s="20"/>
      <c r="U82" s="20" t="s">
        <v>13</v>
      </c>
      <c r="V82" s="20" t="s">
        <v>14</v>
      </c>
      <c r="W82" s="20"/>
      <c r="X82" s="20" t="s">
        <v>13</v>
      </c>
      <c r="Y82" s="20" t="s">
        <v>14</v>
      </c>
      <c r="Z82" s="20"/>
      <c r="AA82" s="20" t="s">
        <v>13</v>
      </c>
      <c r="AB82" s="20" t="s">
        <v>14</v>
      </c>
      <c r="AC82" s="20" t="s">
        <v>198</v>
      </c>
      <c r="AD82"/>
      <c r="AE82" s="1"/>
    </row>
    <row r="83" spans="7:31" x14ac:dyDescent="0.3">
      <c r="G83"/>
      <c r="H83"/>
      <c r="I83"/>
      <c r="J83"/>
      <c r="K83"/>
      <c r="L83"/>
      <c r="M83"/>
      <c r="N83"/>
      <c r="P83"/>
      <c r="Q83" s="36">
        <f>IF($K$11=$P$80,(E51*($K$13)/($K$13+$L$13)),0)+IF($L$11=$P$80,(E51*($L$13)/($K$13+$L$13)),0)</f>
        <v>0</v>
      </c>
      <c r="R83" s="34"/>
      <c r="S83" s="34"/>
      <c r="T83" s="34"/>
      <c r="U83" s="4"/>
      <c r="V83" s="4"/>
      <c r="W83" s="4"/>
      <c r="X83" s="4"/>
      <c r="Y83" s="4">
        <f>$Y$80*(1-AE83)</f>
        <v>1.5620500000000001E-2</v>
      </c>
      <c r="Z83" s="4"/>
      <c r="AA83" s="5"/>
      <c r="AB83" s="5">
        <f>ROUND((Q83*Y83),2)</f>
        <v>0</v>
      </c>
      <c r="AC83" s="10">
        <f>AA83+AB83</f>
        <v>0</v>
      </c>
      <c r="AD83" s="12"/>
      <c r="AE83" s="16">
        <v>0.65</v>
      </c>
    </row>
    <row r="84" spans="7:31" x14ac:dyDescent="0.3">
      <c r="G84" s="138"/>
      <c r="H84" s="183">
        <f>IF(H78&gt;0,30,0)</f>
        <v>30</v>
      </c>
      <c r="I84" s="4">
        <f t="shared" ref="I84:J87" si="19">G51</f>
        <v>0.10127249999999999</v>
      </c>
      <c r="J84" s="4">
        <f t="shared" si="19"/>
        <v>0.102669</v>
      </c>
      <c r="K84" s="10">
        <f>H84*(I84+J84)</f>
        <v>6.1182449999999999</v>
      </c>
      <c r="P84"/>
      <c r="Q84" s="36">
        <f>IF($K$11=$P$80,(E52*($K$13)/($K$13+$L$13)),0)+IF($L$11=$P$80,(E52*($L$13)/($K$13+$L$13)),0)</f>
        <v>0</v>
      </c>
      <c r="R84" s="34"/>
      <c r="S84" s="34"/>
      <c r="T84" s="34"/>
      <c r="U84" s="4"/>
      <c r="V84" s="4"/>
      <c r="W84" s="4"/>
      <c r="X84" s="4"/>
      <c r="Y84" s="4">
        <f t="shared" ref="Y84:Y86" si="20">$Y$80*(1-AE84)</f>
        <v>2.6778E-2</v>
      </c>
      <c r="Z84" s="4"/>
      <c r="AA84" s="5"/>
      <c r="AB84" s="5">
        <f t="shared" ref="AB84:AB86" si="21">ROUND((Q84*Y84),2)</f>
        <v>0</v>
      </c>
      <c r="AC84" s="10">
        <f>AA84+AB84</f>
        <v>0</v>
      </c>
      <c r="AD84" s="12"/>
      <c r="AE84" s="16">
        <v>0.4</v>
      </c>
    </row>
    <row r="85" spans="7:31" x14ac:dyDescent="0.3">
      <c r="G85" s="138"/>
      <c r="H85" s="183">
        <f>IF(H78&gt;30,IF(H78&gt;100,70,H78-30),0)</f>
        <v>70</v>
      </c>
      <c r="I85" s="4">
        <f t="shared" si="19"/>
        <v>0.17360999999999999</v>
      </c>
      <c r="J85" s="4">
        <f t="shared" si="19"/>
        <v>0.17600399999999999</v>
      </c>
      <c r="K85" s="10">
        <f t="shared" ref="K85:K87" si="22">H85*(I85+J85)</f>
        <v>24.47298</v>
      </c>
      <c r="P85"/>
      <c r="Q85" s="36">
        <f>IF($K$11=$P$80,(E53*($K$13)/($K$13+$L$13)),0)+IF($L$11=$P$80,(E53*($L$13)/($K$13+$L$13)),0)</f>
        <v>0</v>
      </c>
      <c r="R85" s="34"/>
      <c r="S85" s="34"/>
      <c r="T85" s="34"/>
      <c r="U85" s="4"/>
      <c r="V85" s="4"/>
      <c r="W85" s="4"/>
      <c r="X85" s="4"/>
      <c r="Y85" s="4">
        <f t="shared" si="20"/>
        <v>4.0167000000000001E-2</v>
      </c>
      <c r="Z85" s="4"/>
      <c r="AA85" s="5"/>
      <c r="AB85" s="5">
        <f t="shared" si="21"/>
        <v>0</v>
      </c>
      <c r="AC85" s="10">
        <f>AA85+AB85</f>
        <v>0</v>
      </c>
      <c r="AD85" s="12"/>
      <c r="AE85" s="16">
        <v>0.1</v>
      </c>
    </row>
    <row r="86" spans="7:31" x14ac:dyDescent="0.3">
      <c r="G86" s="138"/>
      <c r="H86" s="183">
        <f>IF(H78&gt;100,IF(H78&gt;220,220-100,H78-100),0)</f>
        <v>120</v>
      </c>
      <c r="I86" s="4">
        <f t="shared" si="19"/>
        <v>0.26041500000000001</v>
      </c>
      <c r="J86" s="4">
        <f t="shared" si="19"/>
        <v>0.26400600000000002</v>
      </c>
      <c r="K86" s="10">
        <f t="shared" si="22"/>
        <v>62.930520000000001</v>
      </c>
      <c r="P86"/>
      <c r="Q86" s="36">
        <f>IF($K$11=$P$80,(E54*($K$13)/($K$13+$L$13)),0)+IF($L$11=$P$80,(E54*($L$13)/($K$13+$L$13)),0)</f>
        <v>0</v>
      </c>
      <c r="R86" s="34"/>
      <c r="S86" s="34"/>
      <c r="T86" s="34"/>
      <c r="U86" s="4"/>
      <c r="V86" s="4"/>
      <c r="W86" s="4"/>
      <c r="X86" s="4"/>
      <c r="Y86" s="4">
        <f t="shared" si="20"/>
        <v>4.4630000000000003E-2</v>
      </c>
      <c r="Z86" s="4"/>
      <c r="AA86" s="5"/>
      <c r="AB86" s="5">
        <f t="shared" si="21"/>
        <v>0</v>
      </c>
      <c r="AC86" s="10">
        <f>AA86+AB86</f>
        <v>0</v>
      </c>
      <c r="AD86" s="12"/>
      <c r="AE86" s="16">
        <v>0</v>
      </c>
    </row>
    <row r="87" spans="7:31" x14ac:dyDescent="0.3">
      <c r="G87" s="138"/>
      <c r="H87" s="183">
        <f>IF(H78&gt;220,H78-220,0)</f>
        <v>780</v>
      </c>
      <c r="I87" s="4">
        <f t="shared" si="19"/>
        <v>0.28935</v>
      </c>
      <c r="J87" s="4">
        <f t="shared" si="19"/>
        <v>0.29333999999999999</v>
      </c>
      <c r="K87" s="10">
        <f t="shared" si="22"/>
        <v>454.49819999999994</v>
      </c>
      <c r="P87"/>
      <c r="Q87" s="52" t="s">
        <v>66</v>
      </c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4"/>
      <c r="AC87" s="30">
        <f>SUM(AC83:AC86)</f>
        <v>0</v>
      </c>
      <c r="AD87"/>
      <c r="AE87"/>
    </row>
    <row r="88" spans="7:31" x14ac:dyDescent="0.3">
      <c r="G88"/>
      <c r="K88" s="10">
        <f>SUM(K84:K87)</f>
        <v>548.01994500000001</v>
      </c>
      <c r="P88" s="3"/>
      <c r="Q88" s="3"/>
      <c r="R88" s="3"/>
      <c r="S88" s="3"/>
      <c r="T88" s="3"/>
      <c r="U88" s="3"/>
      <c r="V88" s="8"/>
      <c r="W88" s="8"/>
      <c r="X88" s="9"/>
      <c r="Y88" s="9"/>
      <c r="Z88" s="9"/>
      <c r="AA88" s="6"/>
      <c r="AB88" s="6"/>
      <c r="AC88" s="11"/>
      <c r="AD88"/>
      <c r="AE88"/>
    </row>
    <row r="89" spans="7:31" x14ac:dyDescent="0.3">
      <c r="G89" s="15" t="s">
        <v>12</v>
      </c>
      <c r="H89"/>
      <c r="I89"/>
      <c r="J89"/>
      <c r="K89" s="185">
        <f>AC78</f>
        <v>6.09</v>
      </c>
      <c r="P89" s="3" t="s">
        <v>19</v>
      </c>
      <c r="Q89" s="3"/>
      <c r="R89" s="3"/>
      <c r="S89" s="3"/>
      <c r="T89" s="3"/>
      <c r="U89" s="3"/>
      <c r="V89" s="8"/>
      <c r="W89" s="8"/>
      <c r="X89" s="9"/>
      <c r="Y89" s="426">
        <f>N6</f>
        <v>7.8770000000000007E-2</v>
      </c>
      <c r="Z89" s="50"/>
      <c r="AA89" s="6"/>
      <c r="AB89" s="6"/>
      <c r="AC89" s="11"/>
      <c r="AD89"/>
      <c r="AE89"/>
    </row>
    <row r="90" spans="7:31" ht="27.6" x14ac:dyDescent="0.3">
      <c r="G90" s="15" t="s">
        <v>16</v>
      </c>
      <c r="H90"/>
      <c r="I90"/>
      <c r="J90"/>
      <c r="K90" s="185">
        <f>AC87</f>
        <v>0</v>
      </c>
      <c r="P90"/>
      <c r="Q90" s="17" t="s">
        <v>73</v>
      </c>
      <c r="R90" s="497"/>
      <c r="S90" s="498"/>
      <c r="T90" s="64"/>
      <c r="U90" s="497"/>
      <c r="V90" s="498"/>
      <c r="W90" s="64"/>
      <c r="X90" s="497" t="s">
        <v>11</v>
      </c>
      <c r="Y90" s="498"/>
      <c r="Z90" s="64"/>
      <c r="AA90" s="497" t="s">
        <v>195</v>
      </c>
      <c r="AB90" s="498"/>
      <c r="AC90" s="18" t="s">
        <v>196</v>
      </c>
      <c r="AD90"/>
      <c r="AE90" s="2"/>
    </row>
    <row r="91" spans="7:31" x14ac:dyDescent="0.3">
      <c r="G91" s="15" t="s">
        <v>19</v>
      </c>
      <c r="H91"/>
      <c r="I91"/>
      <c r="J91"/>
      <c r="K91" s="185">
        <f>AC96</f>
        <v>48.61</v>
      </c>
      <c r="P91"/>
      <c r="Q91" s="19" t="s">
        <v>197</v>
      </c>
      <c r="R91" s="20"/>
      <c r="S91" s="20"/>
      <c r="T91" s="20"/>
      <c r="U91" s="20" t="s">
        <v>13</v>
      </c>
      <c r="V91" s="20" t="s">
        <v>14</v>
      </c>
      <c r="W91" s="20"/>
      <c r="X91" s="20" t="s">
        <v>13</v>
      </c>
      <c r="Y91" s="20" t="s">
        <v>14</v>
      </c>
      <c r="Z91" s="20"/>
      <c r="AA91" s="20" t="s">
        <v>13</v>
      </c>
      <c r="AB91" s="20" t="s">
        <v>14</v>
      </c>
      <c r="AC91" s="20" t="s">
        <v>198</v>
      </c>
      <c r="AD91"/>
      <c r="AE91" s="1"/>
    </row>
    <row r="92" spans="7:31" x14ac:dyDescent="0.3">
      <c r="G92" s="15" t="s">
        <v>21</v>
      </c>
      <c r="K92" s="185">
        <f>AC105</f>
        <v>0</v>
      </c>
      <c r="P92"/>
      <c r="Q92" s="36">
        <f>IF($K$11=$P$89,(E51*($K$13)/($K$13+$L$13)),0)+IF($L$11=$P$89,(E51*($L$13)/($K$13+$L$13)),0)</f>
        <v>19.6875</v>
      </c>
      <c r="R92" s="34"/>
      <c r="S92" s="34"/>
      <c r="T92" s="34"/>
      <c r="U92" s="4"/>
      <c r="V92" s="4"/>
      <c r="W92" s="4"/>
      <c r="X92" s="4"/>
      <c r="Y92" s="4">
        <f>$Y$89*(1-AE92)</f>
        <v>2.75695E-2</v>
      </c>
      <c r="Z92" s="4"/>
      <c r="AA92" s="5"/>
      <c r="AB92" s="5">
        <f>ROUND((Q92*Y92),2)</f>
        <v>0.54</v>
      </c>
      <c r="AC92" s="10">
        <f>AA92+AB92</f>
        <v>0.54</v>
      </c>
      <c r="AD92" s="12"/>
      <c r="AE92" s="16">
        <v>0.65</v>
      </c>
    </row>
    <row r="93" spans="7:31" x14ac:dyDescent="0.3">
      <c r="G93" s="15"/>
      <c r="P93"/>
      <c r="Q93" s="36">
        <f>IF($K$11=$P$89,(E52*($K$13)/($K$13+$L$13)),0)+IF($L$11=$P$89,(E52*($L$13)/($K$13+$L$13)),0)</f>
        <v>45.9375</v>
      </c>
      <c r="R93" s="34"/>
      <c r="S93" s="34"/>
      <c r="T93" s="34"/>
      <c r="U93" s="4"/>
      <c r="V93" s="4"/>
      <c r="W93" s="4"/>
      <c r="X93" s="4"/>
      <c r="Y93" s="4">
        <f t="shared" ref="Y93:Y95" si="23">$Y$89*(1-AE93)</f>
        <v>4.7262000000000005E-2</v>
      </c>
      <c r="Z93" s="4"/>
      <c r="AA93" s="5"/>
      <c r="AB93" s="5">
        <f t="shared" ref="AB93:AB95" si="24">ROUND((Q93*Y93),2)</f>
        <v>2.17</v>
      </c>
      <c r="AC93" s="10">
        <f>AA93+AB93</f>
        <v>2.17</v>
      </c>
      <c r="AD93" s="12"/>
      <c r="AE93" s="16">
        <v>0.4</v>
      </c>
    </row>
    <row r="94" spans="7:31" x14ac:dyDescent="0.3">
      <c r="J94" s="186" t="s">
        <v>199</v>
      </c>
      <c r="K94" s="187">
        <f>K78-K88</f>
        <v>34.670054999999934</v>
      </c>
      <c r="L94" s="51" t="s">
        <v>203</v>
      </c>
      <c r="P94"/>
      <c r="Q94" s="36">
        <f>IF($K$11=$P$89,(E53*($K$13)/($K$13+$L$13)),0)+IF($L$11=$P$89,(E53*($L$13)/($K$13+$L$13)),0)</f>
        <v>78.75</v>
      </c>
      <c r="R94" s="34"/>
      <c r="S94" s="34"/>
      <c r="T94" s="34"/>
      <c r="U94" s="4"/>
      <c r="V94" s="4"/>
      <c r="W94" s="4"/>
      <c r="X94" s="4"/>
      <c r="Y94" s="4">
        <f t="shared" si="23"/>
        <v>7.0893000000000012E-2</v>
      </c>
      <c r="Z94" s="4"/>
      <c r="AA94" s="5"/>
      <c r="AB94" s="5">
        <f t="shared" si="24"/>
        <v>5.58</v>
      </c>
      <c r="AC94" s="10">
        <f>AA94+AB94</f>
        <v>5.58</v>
      </c>
      <c r="AD94" s="12"/>
      <c r="AE94" s="16">
        <v>0.1</v>
      </c>
    </row>
    <row r="95" spans="7:31" x14ac:dyDescent="0.3">
      <c r="J95" s="188" t="s">
        <v>102</v>
      </c>
      <c r="K95" s="189">
        <f>K98</f>
        <v>48.846604530366278</v>
      </c>
      <c r="L95" s="51" t="s">
        <v>204</v>
      </c>
      <c r="P95"/>
      <c r="Q95" s="36">
        <f>IF($K$11=$P$89,(E54*($K$13)/($K$13+$L$13)),0)+IF($L$11=$P$89,(E54*($L$13)/($K$13+$L$13)),0)</f>
        <v>511.875</v>
      </c>
      <c r="R95" s="34"/>
      <c r="S95" s="34"/>
      <c r="T95" s="34"/>
      <c r="U95" s="4"/>
      <c r="V95" s="4"/>
      <c r="W95" s="4"/>
      <c r="X95" s="4"/>
      <c r="Y95" s="4">
        <f t="shared" si="23"/>
        <v>7.8770000000000007E-2</v>
      </c>
      <c r="Z95" s="4"/>
      <c r="AA95" s="5"/>
      <c r="AB95" s="5">
        <f t="shared" si="24"/>
        <v>40.32</v>
      </c>
      <c r="AC95" s="10">
        <f>AA95+AB95</f>
        <v>40.32</v>
      </c>
      <c r="AD95" s="12"/>
      <c r="AE95" s="16">
        <v>0</v>
      </c>
    </row>
    <row r="96" spans="7:31" x14ac:dyDescent="0.3">
      <c r="J96" s="15" t="s">
        <v>54</v>
      </c>
      <c r="K96" s="190">
        <f>(K94+K79+K80+K81+K82-K89-K90-K91-K92)/(1-H61-H62)</f>
        <v>40.542681760204012</v>
      </c>
      <c r="L96" s="46"/>
      <c r="P96"/>
      <c r="Q96" s="52" t="s">
        <v>66</v>
      </c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4"/>
      <c r="AC96" s="30">
        <f>SUM(AC92:AC95)</f>
        <v>48.61</v>
      </c>
      <c r="AD96"/>
      <c r="AE96"/>
    </row>
    <row r="97" spans="2:33" x14ac:dyDescent="0.3">
      <c r="J97" s="15" t="s">
        <v>56</v>
      </c>
      <c r="K97" s="191">
        <f>K96</f>
        <v>40.542681760204012</v>
      </c>
      <c r="L97" s="46"/>
    </row>
    <row r="98" spans="2:33" x14ac:dyDescent="0.3">
      <c r="J98" s="15" t="s">
        <v>77</v>
      </c>
      <c r="K98" s="313">
        <f>(K96)/(1-H64)</f>
        <v>48.846604530366278</v>
      </c>
      <c r="L98"/>
      <c r="P98" t="s">
        <v>21</v>
      </c>
      <c r="Q98" s="3"/>
      <c r="R98" s="3"/>
      <c r="S98" s="3"/>
      <c r="T98" s="3"/>
      <c r="U98" s="3"/>
      <c r="V98" s="8"/>
      <c r="W98" s="8"/>
      <c r="X98" s="9"/>
      <c r="Y98" s="426">
        <f>N7</f>
        <v>0.14199999999999999</v>
      </c>
      <c r="Z98" s="50"/>
      <c r="AA98" s="6"/>
      <c r="AB98" s="6"/>
      <c r="AC98" s="11"/>
      <c r="AD98"/>
      <c r="AE98"/>
    </row>
    <row r="99" spans="2:33" ht="27.6" x14ac:dyDescent="0.3">
      <c r="P99"/>
      <c r="Q99" s="17" t="s">
        <v>73</v>
      </c>
      <c r="R99" s="497"/>
      <c r="S99" s="498"/>
      <c r="T99" s="64"/>
      <c r="U99" s="497"/>
      <c r="V99" s="498"/>
      <c r="W99" s="64"/>
      <c r="X99" s="497" t="s">
        <v>11</v>
      </c>
      <c r="Y99" s="498"/>
      <c r="Z99" s="64"/>
      <c r="AA99" s="497" t="s">
        <v>195</v>
      </c>
      <c r="AB99" s="498"/>
      <c r="AC99" s="18" t="s">
        <v>196</v>
      </c>
      <c r="AD99"/>
      <c r="AE99" s="2"/>
    </row>
    <row r="100" spans="2:33" x14ac:dyDescent="0.3">
      <c r="B100" s="63" t="s">
        <v>79</v>
      </c>
      <c r="C100" s="1"/>
      <c r="D100" s="13"/>
      <c r="E100" s="13"/>
      <c r="P100"/>
      <c r="Q100" s="19" t="s">
        <v>197</v>
      </c>
      <c r="R100" s="20"/>
      <c r="S100" s="20"/>
      <c r="T100" s="20"/>
      <c r="U100" s="20" t="s">
        <v>13</v>
      </c>
      <c r="V100" s="20" t="s">
        <v>14</v>
      </c>
      <c r="W100" s="20"/>
      <c r="X100" s="20" t="s">
        <v>13</v>
      </c>
      <c r="Y100" s="20" t="s">
        <v>14</v>
      </c>
      <c r="Z100" s="20"/>
      <c r="AA100" s="20" t="s">
        <v>13</v>
      </c>
      <c r="AB100" s="20" t="s">
        <v>14</v>
      </c>
      <c r="AC100" s="20" t="s">
        <v>198</v>
      </c>
      <c r="AD100"/>
      <c r="AE100" s="1"/>
      <c r="AF100"/>
      <c r="AG100"/>
    </row>
    <row r="101" spans="2:33" x14ac:dyDescent="0.3">
      <c r="B101" s="56"/>
      <c r="C101" s="57" t="s">
        <v>71</v>
      </c>
      <c r="D101" s="1"/>
      <c r="E101" s="1"/>
      <c r="F101" s="13"/>
      <c r="P101"/>
      <c r="Q101" s="36">
        <f>IF($K$11=$P$98,(E51*($K$13)/($K$13+$L$13)),0)+IF($L$11=$P$98,(E51*($L$13)/($K$13+$L$13)),0)</f>
        <v>0</v>
      </c>
      <c r="R101" s="34"/>
      <c r="S101" s="34"/>
      <c r="T101" s="34"/>
      <c r="U101" s="4"/>
      <c r="V101" s="4"/>
      <c r="W101" s="4"/>
      <c r="X101" s="4"/>
      <c r="Y101" s="4">
        <f>$Y$98*(1-AE101)</f>
        <v>4.9699999999999994E-2</v>
      </c>
      <c r="Z101" s="4"/>
      <c r="AA101" s="5"/>
      <c r="AB101" s="5">
        <f>ROUND((Q101*Y101),2)</f>
        <v>0</v>
      </c>
      <c r="AC101" s="10">
        <f>AA101+AB101</f>
        <v>0</v>
      </c>
      <c r="AD101" s="12"/>
      <c r="AE101" s="16">
        <v>0.65</v>
      </c>
      <c r="AF101"/>
      <c r="AG101"/>
    </row>
    <row r="102" spans="2:33" x14ac:dyDescent="0.3">
      <c r="B102" s="56" t="s">
        <v>80</v>
      </c>
      <c r="C102" s="141">
        <f>SUM(J51:J58)*IF($B$13&lt;$F$2,D141,D113)</f>
        <v>258.49757998491077</v>
      </c>
      <c r="D102" s="1"/>
      <c r="E102" s="1"/>
      <c r="F102" s="1"/>
      <c r="G102" s="13"/>
      <c r="P102"/>
      <c r="Q102" s="36">
        <f>IF($K$11=$P$98,(E52*($K$13)/($K$13+$L$13)),0)+IF($L$11=$P$98,(E52*($L$13)/($K$13+$L$13)),0)</f>
        <v>0</v>
      </c>
      <c r="R102" s="34"/>
      <c r="S102" s="34"/>
      <c r="T102" s="34"/>
      <c r="U102" s="4"/>
      <c r="V102" s="4"/>
      <c r="W102" s="4"/>
      <c r="X102" s="4"/>
      <c r="Y102" s="4">
        <f t="shared" ref="Y102:Y104" si="25">$Y$98*(1-AE102)</f>
        <v>8.5199999999999984E-2</v>
      </c>
      <c r="Z102" s="4"/>
      <c r="AA102" s="5"/>
      <c r="AB102" s="5">
        <f t="shared" ref="AB102:AB104" si="26">ROUND((Q102*Y102),2)</f>
        <v>0</v>
      </c>
      <c r="AC102" s="10">
        <f>AA102+AB102</f>
        <v>0</v>
      </c>
      <c r="AD102" s="12"/>
      <c r="AE102" s="16">
        <v>0.4</v>
      </c>
      <c r="AF102"/>
      <c r="AG102"/>
    </row>
    <row r="103" spans="2:33" x14ac:dyDescent="0.3">
      <c r="B103" s="56" t="s">
        <v>81</v>
      </c>
      <c r="C103" s="141">
        <f>SUM(J51:J58)*IF($B$13&lt;$F$2,F141,F113)</f>
        <v>-73.086302808391537</v>
      </c>
      <c r="D103" s="1"/>
      <c r="E103" s="1"/>
      <c r="F103" s="1"/>
      <c r="G103" s="1"/>
      <c r="P103"/>
      <c r="Q103" s="36">
        <f>IF($K$11=$P$98,(E53*($K$13)/($K$13+$L$13)),0)+IF($L$11=$P$98,(E53*($L$13)/($K$13+$L$13)),0)</f>
        <v>0</v>
      </c>
      <c r="R103" s="34"/>
      <c r="S103" s="34"/>
      <c r="T103" s="34"/>
      <c r="U103" s="4"/>
      <c r="V103" s="4"/>
      <c r="W103" s="4"/>
      <c r="X103" s="4"/>
      <c r="Y103" s="4">
        <f t="shared" si="25"/>
        <v>0.1278</v>
      </c>
      <c r="Z103" s="4"/>
      <c r="AA103" s="5"/>
      <c r="AB103" s="5">
        <f t="shared" si="26"/>
        <v>0</v>
      </c>
      <c r="AC103" s="10">
        <f>AA103+AB103</f>
        <v>0</v>
      </c>
      <c r="AD103" s="12"/>
      <c r="AE103" s="16">
        <v>0.1</v>
      </c>
      <c r="AF103"/>
      <c r="AG103"/>
    </row>
    <row r="104" spans="2:33" x14ac:dyDescent="0.3">
      <c r="B104" s="56" t="s">
        <v>82</v>
      </c>
      <c r="C104" s="141">
        <f>SUM(J51:J58)*IF($B$13&lt;$F$2,E141,E113)</f>
        <v>380.30123068380954</v>
      </c>
      <c r="D104" s="1"/>
      <c r="E104" s="1"/>
      <c r="F104" s="1"/>
      <c r="G104" s="1"/>
      <c r="P104"/>
      <c r="Q104" s="36">
        <f>IF($K$11=$P$98,(E54*($K$13)/($K$13+$L$13)),0)+IF($L$11=$P$98,(E54*($L$13)/($K$13+$L$13)),0)</f>
        <v>0</v>
      </c>
      <c r="R104" s="34"/>
      <c r="S104" s="34"/>
      <c r="T104" s="34"/>
      <c r="U104" s="4"/>
      <c r="V104" s="4"/>
      <c r="W104" s="4"/>
      <c r="X104" s="4"/>
      <c r="Y104" s="4">
        <f t="shared" si="25"/>
        <v>0.14199999999999999</v>
      </c>
      <c r="Z104" s="4"/>
      <c r="AA104" s="5"/>
      <c r="AB104" s="5">
        <f t="shared" si="26"/>
        <v>0</v>
      </c>
      <c r="AC104" s="10">
        <f>AA104+AB104</f>
        <v>0</v>
      </c>
      <c r="AD104" s="12"/>
      <c r="AE104" s="16">
        <v>0</v>
      </c>
      <c r="AF104"/>
      <c r="AG104"/>
    </row>
    <row r="105" spans="2:33" x14ac:dyDescent="0.3">
      <c r="B105" s="139" t="s">
        <v>83</v>
      </c>
      <c r="C105" s="141">
        <f>SUM(J51:J58)*IF($B$13&lt;$F$2,G141,G113)</f>
        <v>37.007492139671136</v>
      </c>
      <c r="D105" s="1"/>
      <c r="E105" s="1"/>
      <c r="F105" s="1"/>
      <c r="G105" s="1"/>
      <c r="P105"/>
      <c r="Q105" s="52" t="s">
        <v>66</v>
      </c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4"/>
      <c r="AC105" s="30">
        <f>SUM(AC101:AC104)</f>
        <v>0</v>
      </c>
      <c r="AD105"/>
      <c r="AE105"/>
      <c r="AF105"/>
      <c r="AG105"/>
    </row>
    <row r="106" spans="2:33" x14ac:dyDescent="0.3">
      <c r="B106" s="56" t="s">
        <v>84</v>
      </c>
      <c r="C106" s="59">
        <f>J61+J62+J63+J64</f>
        <v>177.44688482245311</v>
      </c>
      <c r="D106" s="1"/>
      <c r="E106" s="1"/>
      <c r="F106" s="1"/>
      <c r="G106" s="1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2:33" x14ac:dyDescent="0.3">
      <c r="B107" s="60" t="s">
        <v>85</v>
      </c>
      <c r="C107" s="61">
        <f>SUM(C102:C106)</f>
        <v>780.16688482245308</v>
      </c>
      <c r="D107" s="1"/>
      <c r="E107" s="1"/>
      <c r="F107" s="1"/>
      <c r="G107" s="1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2:33" x14ac:dyDescent="0.3">
      <c r="B108" s="1"/>
      <c r="C108" s="1"/>
      <c r="D108" s="1"/>
      <c r="E108" s="1"/>
      <c r="F108" s="1"/>
      <c r="G108" s="1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2:33" x14ac:dyDescent="0.3">
      <c r="B109" s="15">
        <f>'Fatura B1 (Res) OK'!$B$68</f>
        <v>2024</v>
      </c>
      <c r="C109" s="15"/>
      <c r="D109" s="15" t="str">
        <f>'Fatura B1 (Res) OK'!$D$68</f>
        <v>Energia</v>
      </c>
      <c r="E109" s="15" t="str">
        <f>'Fatura B1 (Res) OK'!$E$68</f>
        <v>Transmissão</v>
      </c>
      <c r="F109" s="15" t="str">
        <f>'Fatura B1 (Res) OK'!$F$68</f>
        <v>Distribuição</v>
      </c>
      <c r="G109" s="15" t="str">
        <f>'Fatura B1 (Res) OK'!$G$68</f>
        <v>Setoriais</v>
      </c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2:33" x14ac:dyDescent="0.3">
      <c r="B110" s="15" t="str">
        <f>'Fatura B1 (Res) OK'!$B$69</f>
        <v>Grupo B</v>
      </c>
      <c r="C110" s="15"/>
      <c r="D110" s="15" t="str">
        <f>'Fatura B1 (Res) OK'!$D$69</f>
        <v>%</v>
      </c>
      <c r="E110" s="15" t="str">
        <f>'Fatura B1 (Res) OK'!$E$69</f>
        <v>%</v>
      </c>
      <c r="F110" s="15" t="str">
        <f>'Fatura B1 (Res) OK'!$F$69</f>
        <v>%</v>
      </c>
      <c r="G110" s="15" t="str">
        <f>'Fatura B1 (Res) OK'!$G$69</f>
        <v>%</v>
      </c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2:33" x14ac:dyDescent="0.3">
      <c r="B111" s="15"/>
      <c r="C111" s="15"/>
      <c r="D111" s="15"/>
      <c r="E111" s="15"/>
      <c r="F111" s="15"/>
      <c r="G111" s="15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2:33" x14ac:dyDescent="0.3">
      <c r="B112" s="15" t="str">
        <f>'Fatura B1 (Res) OK'!$B$71</f>
        <v>B1 - Residencial</v>
      </c>
      <c r="C112" s="15"/>
      <c r="D112" s="62">
        <f>'Fatura B1 (Res) OK'!$D$71</f>
        <v>0.45246416638672077</v>
      </c>
      <c r="E112" s="62">
        <f>'Fatura B1 (Res) OK'!$E$71</f>
        <v>7.39594111182032E-2</v>
      </c>
      <c r="F112" s="62">
        <f>'Fatura B1 (Res) OK'!$F$71</f>
        <v>0.27500913257019954</v>
      </c>
      <c r="G112" s="62">
        <f>'Fatura B1 (Res) OK'!$G$71</f>
        <v>0.19856728992487654</v>
      </c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2:33" x14ac:dyDescent="0.3">
      <c r="B113" s="15" t="str">
        <f>'Fatura B1 (Res) OK'!$B$72</f>
        <v>B1 - Residencial Baixa Renda</v>
      </c>
      <c r="C113" s="15"/>
      <c r="D113" s="62">
        <f>'Fatura B1 (Res) OK'!$D$72</f>
        <v>0.53149575868436638</v>
      </c>
      <c r="E113" s="62">
        <f>'Fatura B1 (Res) OK'!$E$72</f>
        <v>8.6877848555460851E-2</v>
      </c>
      <c r="F113" s="62">
        <f>'Fatura B1 (Res) OK'!$F$72</f>
        <v>0.32304478104372042</v>
      </c>
      <c r="G113" s="62">
        <f>'Fatura B1 (Res) OK'!$G$72</f>
        <v>5.8581611716452382E-2</v>
      </c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2:33" x14ac:dyDescent="0.3">
      <c r="B114" s="15" t="str">
        <f>'Fatura B1 (Res) OK'!$B$73</f>
        <v>B2 - Rural</v>
      </c>
      <c r="C114" s="15"/>
      <c r="D114" s="62">
        <f>'Fatura B1 (Res) OK'!$D$73</f>
        <v>0.45246416638672077</v>
      </c>
      <c r="E114" s="62">
        <f>'Fatura B1 (Res) OK'!$E$73</f>
        <v>7.39594111182032E-2</v>
      </c>
      <c r="F114" s="62">
        <f>'Fatura B1 (Res) OK'!$F$73</f>
        <v>0.27500913257019954</v>
      </c>
      <c r="G114" s="62">
        <f>'Fatura B1 (Res) OK'!$G$73</f>
        <v>0.19856728992487654</v>
      </c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2:33" x14ac:dyDescent="0.3">
      <c r="B115" s="15" t="str">
        <f>'Fatura B1 (Res) OK'!$B$74</f>
        <v>B2 - Cooperativa Eletrificação Rural</v>
      </c>
      <c r="C115" s="15"/>
      <c r="D115" s="62">
        <f>'Fatura B1 (Res) OK'!$D$74</f>
        <v>0.45246416638672077</v>
      </c>
      <c r="E115" s="62">
        <f>'Fatura B1 (Res) OK'!$E$74</f>
        <v>7.39594111182032E-2</v>
      </c>
      <c r="F115" s="62">
        <f>'Fatura B1 (Res) OK'!$F$74</f>
        <v>0.27500913257019954</v>
      </c>
      <c r="G115" s="62">
        <f>'Fatura B1 (Res) OK'!$G$74</f>
        <v>0.19856728992487654</v>
      </c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2:33" x14ac:dyDescent="0.3">
      <c r="B116" s="15" t="str">
        <f>'Fatura B1 (Res) OK'!$B$75</f>
        <v>B2 - Serviço de Irrigação</v>
      </c>
      <c r="C116" s="15"/>
      <c r="D116" s="62">
        <f>'Fatura B1 (Res) OK'!$D$75</f>
        <v>0.45246416638672077</v>
      </c>
      <c r="E116" s="62">
        <f>'Fatura B1 (Res) OK'!$E$75</f>
        <v>7.39594111182032E-2</v>
      </c>
      <c r="F116" s="62">
        <f>'Fatura B1 (Res) OK'!$F$75</f>
        <v>0.27500913257019954</v>
      </c>
      <c r="G116" s="62">
        <f>'Fatura B1 (Res) OK'!$G$75</f>
        <v>0.19856728992487654</v>
      </c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2:33" x14ac:dyDescent="0.3">
      <c r="B117" s="15" t="str">
        <f>'Fatura B1 (Res) OK'!$B$76</f>
        <v>B3 - Demais Classes</v>
      </c>
      <c r="C117" s="15"/>
      <c r="D117" s="62">
        <f>'Fatura B1 (Res) OK'!$D$76</f>
        <v>0.45246416638672077</v>
      </c>
      <c r="E117" s="62">
        <f>'Fatura B1 (Res) OK'!$E$76</f>
        <v>7.39594111182032E-2</v>
      </c>
      <c r="F117" s="62">
        <f>'Fatura B1 (Res) OK'!$F$76</f>
        <v>0.27500913257019954</v>
      </c>
      <c r="G117" s="62">
        <f>'Fatura B1 (Res) OK'!$G$76</f>
        <v>0.19856728992487654</v>
      </c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2:33" x14ac:dyDescent="0.3">
      <c r="B118" s="15" t="str">
        <f>'Fatura B1 (Res) OK'!$B$77</f>
        <v>B4 - Iluminação Pública</v>
      </c>
      <c r="C118" s="15"/>
      <c r="D118" s="62">
        <f>'Fatura B1 (Res) OK'!$D$77</f>
        <v>0.45246416638672071</v>
      </c>
      <c r="E118" s="62">
        <f>'Fatura B1 (Res) OK'!$E$77</f>
        <v>7.3959411118203186E-2</v>
      </c>
      <c r="F118" s="62">
        <f>'Fatura B1 (Res) OK'!$F$77</f>
        <v>0.27500913257019949</v>
      </c>
      <c r="G118" s="62">
        <f>'Fatura B1 (Res) OK'!$G$77</f>
        <v>0.19856728992487654</v>
      </c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2:33" x14ac:dyDescent="0.3">
      <c r="B119" s="15" t="str">
        <f>'Fatura B1 (Res) OK'!$B$78</f>
        <v>B4a - Rede de Distribuição</v>
      </c>
      <c r="C119" s="15"/>
      <c r="D119" s="62">
        <f>'Fatura B1 (Res) OK'!$D$78</f>
        <v>0.45246416638672071</v>
      </c>
      <c r="E119" s="62">
        <f>'Fatura B1 (Res) OK'!$E$78</f>
        <v>7.3959411118203186E-2</v>
      </c>
      <c r="F119" s="62">
        <f>'Fatura B1 (Res) OK'!$F$78</f>
        <v>0.27500913257019949</v>
      </c>
      <c r="G119" s="62">
        <f>'Fatura B1 (Res) OK'!$G$78</f>
        <v>0.19856728992487654</v>
      </c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2:33" x14ac:dyDescent="0.3">
      <c r="B120" s="15" t="str">
        <f>'Fatura B1 (Res) OK'!$B$79</f>
        <v>B4b - Bulbo de Lâmpada</v>
      </c>
      <c r="C120" s="15"/>
      <c r="D120" s="62">
        <f>'Fatura B1 (Res) OK'!$D$79</f>
        <v>0.45246416638672071</v>
      </c>
      <c r="E120" s="62">
        <f>'Fatura B1 (Res) OK'!$E$79</f>
        <v>7.39594111182032E-2</v>
      </c>
      <c r="F120" s="62">
        <f>'Fatura B1 (Res) OK'!$F$79</f>
        <v>0.27500913257019954</v>
      </c>
      <c r="G120" s="62">
        <f>'Fatura B1 (Res) OK'!$G$79</f>
        <v>0.19856728992487657</v>
      </c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2:33" x14ac:dyDescent="0.3">
      <c r="B121" s="63"/>
      <c r="C121" s="63"/>
      <c r="D121" s="63"/>
      <c r="E121" s="63"/>
      <c r="F121" s="63"/>
      <c r="G121" s="63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2:33" x14ac:dyDescent="0.3">
      <c r="B122" s="63"/>
      <c r="C122" s="63"/>
      <c r="D122" s="63"/>
      <c r="E122" s="63"/>
      <c r="F122" s="63"/>
      <c r="G122" s="63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2:33" x14ac:dyDescent="0.3">
      <c r="B123" s="63">
        <f>'Fatura B1 (Res) OK'!$B$82</f>
        <v>2023</v>
      </c>
      <c r="C123" s="63"/>
      <c r="D123" s="15" t="str">
        <f>'Fatura B1 (Res) OK'!$D$68</f>
        <v>Energia</v>
      </c>
      <c r="E123" s="15" t="str">
        <f>'Fatura B1 (Res) OK'!$E$68</f>
        <v>Transmissão</v>
      </c>
      <c r="F123" s="15" t="str">
        <f>'Fatura B1 (Res) OK'!$F$68</f>
        <v>Distribuição</v>
      </c>
      <c r="G123" s="15" t="str">
        <f>'Fatura B1 (Res) OK'!$G$68</f>
        <v>Setoriais</v>
      </c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2:33" x14ac:dyDescent="0.3">
      <c r="B124" s="63" t="str">
        <f>'Fatura B1 (Res) OK'!$B$83</f>
        <v>Grupo B</v>
      </c>
      <c r="C124" s="63"/>
      <c r="D124" s="15" t="str">
        <f>'Fatura B1 (Res) OK'!$D$69</f>
        <v>%</v>
      </c>
      <c r="E124" s="15" t="str">
        <f>'Fatura B1 (Res) OK'!$E$69</f>
        <v>%</v>
      </c>
      <c r="F124" s="15" t="str">
        <f>'Fatura B1 (Res) OK'!$F$69</f>
        <v>%</v>
      </c>
      <c r="G124" s="15" t="str">
        <f>'Fatura B1 (Res) OK'!$G$69</f>
        <v>%</v>
      </c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2:33" x14ac:dyDescent="0.3">
      <c r="B125" s="15"/>
      <c r="C125" s="15"/>
      <c r="D125" s="15"/>
      <c r="E125" s="15"/>
      <c r="F125" s="15"/>
      <c r="G125" s="1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2:33" x14ac:dyDescent="0.3">
      <c r="B126" s="15" t="str">
        <f>'Fatura B1 (Res) OK'!$B$85</f>
        <v>B1 - Residencial</v>
      </c>
      <c r="C126" s="15"/>
      <c r="D126" s="62">
        <f>'Fatura B1 (Res) OK'!$D$85</f>
        <v>0.43939696077133034</v>
      </c>
      <c r="E126" s="62">
        <f>'Fatura B1 (Res) OK'!$E$85</f>
        <v>9.2697585625348772E-2</v>
      </c>
      <c r="F126" s="62">
        <f>'Fatura B1 (Res) OK'!$F$85</f>
        <v>0.25285207888477268</v>
      </c>
      <c r="G126" s="62">
        <f>'Fatura B1 (Res) OK'!$G$85</f>
        <v>0.21506308252114117</v>
      </c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2:33" x14ac:dyDescent="0.3">
      <c r="B127" s="15" t="str">
        <f>'Fatura B1 (Res) OK'!$B$86</f>
        <v>B1 - Residencial Baixa Renda</v>
      </c>
      <c r="C127" s="15"/>
      <c r="D127" s="62">
        <f>'Fatura B1 (Res) OK'!$D$86</f>
        <v>0.52691619996872485</v>
      </c>
      <c r="E127" s="62">
        <f>'Fatura B1 (Res) OK'!$E$86</f>
        <v>0.11116112291319068</v>
      </c>
      <c r="F127" s="62">
        <f>'Fatura B1 (Res) OK'!$F$86</f>
        <v>0.30321524374287334</v>
      </c>
      <c r="G127" s="62">
        <f>'Fatura B1 (Res) OK'!$G$86</f>
        <v>5.8707433375211129E-2</v>
      </c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2:33" x14ac:dyDescent="0.3">
      <c r="B128" s="15" t="str">
        <f>'Fatura B1 (Res) OK'!$B$87</f>
        <v>B2 - Rural</v>
      </c>
      <c r="C128" s="15"/>
      <c r="D128" s="62">
        <f>'Fatura B1 (Res) OK'!$D$87</f>
        <v>0.43939300245552615</v>
      </c>
      <c r="E128" s="62">
        <f>'Fatura B1 (Res) OK'!$E$87</f>
        <v>9.2696750557401245E-2</v>
      </c>
      <c r="F128" s="62">
        <f>'Fatura B1 (Res) OK'!$F$87</f>
        <v>0.25284980106205335</v>
      </c>
      <c r="G128" s="62">
        <f>'Fatura B1 (Res) OK'!$G$87</f>
        <v>0.21506044592501908</v>
      </c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2:33" x14ac:dyDescent="0.3">
      <c r="B129" s="15" t="str">
        <f>'Fatura B1 (Res) OK'!$B$88</f>
        <v>B2 - Cooperativa Eletrificação Rural</v>
      </c>
      <c r="C129" s="15"/>
      <c r="D129" s="62">
        <f>'Fatura B1 (Res) OK'!$D$88</f>
        <v>0.43939300245552615</v>
      </c>
      <c r="E129" s="62">
        <f>'Fatura B1 (Res) OK'!$E$88</f>
        <v>9.2696750557401245E-2</v>
      </c>
      <c r="F129" s="62">
        <f>'Fatura B1 (Res) OK'!$F$88</f>
        <v>0.25284980106205335</v>
      </c>
      <c r="G129" s="62">
        <f>'Fatura B1 (Res) OK'!$G$88</f>
        <v>0.21506044592501908</v>
      </c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2:33" x14ac:dyDescent="0.3">
      <c r="B130" s="15" t="str">
        <f>'Fatura B1 (Res) OK'!$B$89</f>
        <v>B2 - Serviço de Irrigação</v>
      </c>
      <c r="C130" s="15"/>
      <c r="D130" s="62">
        <f>'Fatura B1 (Res) OK'!$D$89</f>
        <v>0.43939300245552615</v>
      </c>
      <c r="E130" s="62">
        <f>'Fatura B1 (Res) OK'!$E$89</f>
        <v>9.2696750557401328E-2</v>
      </c>
      <c r="F130" s="62">
        <f>'Fatura B1 (Res) OK'!$F$89</f>
        <v>0.25284980106205335</v>
      </c>
      <c r="G130" s="62">
        <f>'Fatura B1 (Res) OK'!$G$89</f>
        <v>0.21506044592501908</v>
      </c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2:33" x14ac:dyDescent="0.3">
      <c r="B131" s="15" t="str">
        <f>'Fatura B1 (Res) OK'!$B$90</f>
        <v>B3 - Demais Classes</v>
      </c>
      <c r="C131" s="15"/>
      <c r="D131" s="62">
        <f>'Fatura B1 (Res) OK'!$D$90</f>
        <v>0.43939300245552615</v>
      </c>
      <c r="E131" s="62">
        <f>'Fatura B1 (Res) OK'!$E$90</f>
        <v>9.2696750557401328E-2</v>
      </c>
      <c r="F131" s="62">
        <f>'Fatura B1 (Res) OK'!$F$90</f>
        <v>0.25284980106205335</v>
      </c>
      <c r="G131" s="62">
        <f>'Fatura B1 (Res) OK'!$G$90</f>
        <v>0.21506044592501908</v>
      </c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2:33" x14ac:dyDescent="0.3">
      <c r="B132" s="15" t="str">
        <f>'Fatura B1 (Res) OK'!$B$91</f>
        <v>B4 - Iluminação Pública</v>
      </c>
      <c r="C132" s="15"/>
      <c r="D132" s="62">
        <f>'Fatura B1 (Res) OK'!$D$91</f>
        <v>0</v>
      </c>
      <c r="E132" s="62">
        <f>'Fatura B1 (Res) OK'!$E$91</f>
        <v>0</v>
      </c>
      <c r="F132" s="62">
        <f>'Fatura B1 (Res) OK'!$F$91</f>
        <v>0</v>
      </c>
      <c r="G132" s="62">
        <f>'Fatura B1 (Res) OK'!$G$91</f>
        <v>0</v>
      </c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2:33" x14ac:dyDescent="0.3">
      <c r="B133" s="15" t="str">
        <f>'Fatura B1 (Res) OK'!$B$92</f>
        <v>B4a - Rede de Distribuição</v>
      </c>
      <c r="C133" s="15"/>
      <c r="D133" s="62">
        <f>'Fatura B1 (Res) OK'!$D$92</f>
        <v>0.43938945729126549</v>
      </c>
      <c r="E133" s="62">
        <f>'Fatura B1 (Res) OK'!$E$92</f>
        <v>9.2697336752737058E-2</v>
      </c>
      <c r="F133" s="62">
        <f>'Fatura B1 (Res) OK'!$F$92</f>
        <v>0.25285140003260154</v>
      </c>
      <c r="G133" s="62">
        <f>'Fatura B1 (Res) OK'!$G$92</f>
        <v>0.21506180592339591</v>
      </c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2:33" x14ac:dyDescent="0.3">
      <c r="B134" s="15" t="str">
        <f>'Fatura B1 (Res) OK'!$B$93</f>
        <v>B4b - Bulbo de Lâmpada</v>
      </c>
      <c r="C134" s="15"/>
      <c r="D134" s="62">
        <f>'Fatura B1 (Res) OK'!$D$93</f>
        <v>0.43938945729126527</v>
      </c>
      <c r="E134" s="62">
        <f>'Fatura B1 (Res) OK'!$E$93</f>
        <v>9.2697336752736934E-2</v>
      </c>
      <c r="F134" s="62">
        <f>'Fatura B1 (Res) OK'!$F$93</f>
        <v>0.25285140003260193</v>
      </c>
      <c r="G134" s="62">
        <f>'Fatura B1 (Res) OK'!$G$93</f>
        <v>0.21506180592339585</v>
      </c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2:33" x14ac:dyDescent="0.3">
      <c r="B135" s="63"/>
      <c r="C135" s="63"/>
      <c r="D135" s="63"/>
      <c r="E135" s="63"/>
      <c r="F135" s="63"/>
      <c r="G135" s="63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2:33" x14ac:dyDescent="0.3">
      <c r="B136" s="101" t="s">
        <v>98</v>
      </c>
      <c r="C136" s="63"/>
      <c r="D136" s="63"/>
      <c r="E136" s="63"/>
      <c r="F136" s="63"/>
      <c r="G136" s="63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2:33" x14ac:dyDescent="0.3">
      <c r="B137" s="15"/>
      <c r="C137" s="15"/>
      <c r="D137" s="15" t="s">
        <v>80</v>
      </c>
      <c r="E137" s="15" t="s">
        <v>82</v>
      </c>
      <c r="F137" s="15" t="s">
        <v>81</v>
      </c>
      <c r="G137" s="15" t="s">
        <v>86</v>
      </c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2:33" x14ac:dyDescent="0.3">
      <c r="B138" s="15" t="s">
        <v>87</v>
      </c>
      <c r="C138" s="15"/>
      <c r="D138" s="62" t="s">
        <v>88</v>
      </c>
      <c r="E138" s="62" t="s">
        <v>88</v>
      </c>
      <c r="F138" s="62" t="s">
        <v>88</v>
      </c>
      <c r="G138" s="62" t="s">
        <v>88</v>
      </c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2:33" x14ac:dyDescent="0.3">
      <c r="B139" s="15"/>
      <c r="C139" s="15"/>
      <c r="D139" s="62"/>
      <c r="E139" s="62"/>
      <c r="F139" s="62"/>
      <c r="G139" s="62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2:33" x14ac:dyDescent="0.3">
      <c r="B140" s="15" t="s">
        <v>89</v>
      </c>
      <c r="C140" s="15"/>
      <c r="D140" s="62">
        <f>((D126*$C$13)+(D112*$D$13))/($C$13+$D$13)</f>
        <v>0.15967709056687873</v>
      </c>
      <c r="E140" s="62">
        <f t="shared" ref="E140:G140" si="27">((E126*$C$13)+(E112*$D$13))/($C$13+$D$13)</f>
        <v>0.49381163366893377</v>
      </c>
      <c r="F140" s="62">
        <f t="shared" si="27"/>
        <v>-0.22144735156889617</v>
      </c>
      <c r="G140" s="62">
        <f t="shared" si="27"/>
        <v>0.56817614278493078</v>
      </c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2:33" x14ac:dyDescent="0.3">
      <c r="B141" s="15" t="s">
        <v>90</v>
      </c>
      <c r="C141" s="15"/>
      <c r="D141" s="62">
        <f t="shared" ref="D141:G148" si="28">((D127*$C$13)+(D113*$D$13))/($C$13+$D$13)</f>
        <v>0.42888502121202343</v>
      </c>
      <c r="E141" s="62">
        <f t="shared" si="28"/>
        <v>0.63097496463334468</v>
      </c>
      <c r="F141" s="62">
        <f t="shared" si="28"/>
        <v>-0.12126078910338389</v>
      </c>
      <c r="G141" s="62">
        <f t="shared" si="28"/>
        <v>6.1400803258015557E-2</v>
      </c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2:33" x14ac:dyDescent="0.3">
      <c r="B142" s="15" t="s">
        <v>91</v>
      </c>
      <c r="C142" s="15"/>
      <c r="D142" s="62">
        <f t="shared" si="28"/>
        <v>0.15958839955339066</v>
      </c>
      <c r="E142" s="62">
        <f t="shared" si="28"/>
        <v>0.49379292292773425</v>
      </c>
      <c r="F142" s="62">
        <f t="shared" si="28"/>
        <v>-0.22149838903420083</v>
      </c>
      <c r="G142" s="62">
        <f t="shared" si="28"/>
        <v>0.56811706655307059</v>
      </c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2:33" x14ac:dyDescent="0.3">
      <c r="B143" s="15" t="s">
        <v>92</v>
      </c>
      <c r="C143" s="15"/>
      <c r="D143" s="62">
        <f t="shared" si="28"/>
        <v>0.15958839955339066</v>
      </c>
      <c r="E143" s="62">
        <f t="shared" si="28"/>
        <v>0.49379292292773425</v>
      </c>
      <c r="F143" s="62">
        <f t="shared" si="28"/>
        <v>-0.22149838903420083</v>
      </c>
      <c r="G143" s="62">
        <f t="shared" si="28"/>
        <v>0.56811706655307059</v>
      </c>
      <c r="M143" s="302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2:33" x14ac:dyDescent="0.3">
      <c r="B144" s="15" t="s">
        <v>93</v>
      </c>
      <c r="C144" s="15"/>
      <c r="D144" s="62">
        <f t="shared" si="28"/>
        <v>0.15958839955339066</v>
      </c>
      <c r="E144" s="62">
        <f t="shared" si="28"/>
        <v>0.49379292292773602</v>
      </c>
      <c r="F144" s="62">
        <f t="shared" si="28"/>
        <v>-0.22149838903420083</v>
      </c>
      <c r="G144" s="62">
        <f t="shared" si="28"/>
        <v>0.56811706655307059</v>
      </c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2:33" x14ac:dyDescent="0.3">
      <c r="B145" s="15" t="s">
        <v>94</v>
      </c>
      <c r="C145" s="15"/>
      <c r="D145" s="62">
        <f t="shared" si="28"/>
        <v>0.15958839955339066</v>
      </c>
      <c r="E145" s="62">
        <f t="shared" si="28"/>
        <v>0.49379292292773602</v>
      </c>
      <c r="F145" s="62">
        <f t="shared" si="28"/>
        <v>-0.22149838903420083</v>
      </c>
      <c r="G145" s="62">
        <f t="shared" si="28"/>
        <v>0.56811706655307059</v>
      </c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2:33" x14ac:dyDescent="0.3">
      <c r="B146" s="15" t="s">
        <v>95</v>
      </c>
      <c r="C146" s="15"/>
      <c r="D146" s="62">
        <f t="shared" si="28"/>
        <v>-9.6855610617157399</v>
      </c>
      <c r="E146" s="62">
        <f t="shared" si="28"/>
        <v>-1.5831936442490369</v>
      </c>
      <c r="F146" s="62">
        <f t="shared" si="28"/>
        <v>-5.8869142440808329</v>
      </c>
      <c r="G146" s="62">
        <f t="shared" si="28"/>
        <v>-4.2505810499543886</v>
      </c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2:33" x14ac:dyDescent="0.3">
      <c r="B147" s="15" t="s">
        <v>96</v>
      </c>
      <c r="C147" s="15"/>
      <c r="D147" s="62">
        <f t="shared" si="28"/>
        <v>0.15950896571667705</v>
      </c>
      <c r="E147" s="62">
        <f t="shared" si="28"/>
        <v>0.49380605736697802</v>
      </c>
      <c r="F147" s="62">
        <f t="shared" si="28"/>
        <v>-0.22146256210035453</v>
      </c>
      <c r="G147" s="62">
        <f t="shared" si="28"/>
        <v>0.56814753901670123</v>
      </c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2:33" x14ac:dyDescent="0.3">
      <c r="B148" s="15" t="s">
        <v>97</v>
      </c>
      <c r="C148" s="15"/>
      <c r="D148" s="62">
        <f t="shared" si="28"/>
        <v>0.15950896571667172</v>
      </c>
      <c r="E148" s="62">
        <f t="shared" si="28"/>
        <v>0.49380605736697447</v>
      </c>
      <c r="F148" s="62">
        <f t="shared" si="28"/>
        <v>-0.22146256210034654</v>
      </c>
      <c r="G148" s="62">
        <f t="shared" si="28"/>
        <v>0.56814753901669857</v>
      </c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2:33" x14ac:dyDescent="0.3"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2:33" x14ac:dyDescent="0.3"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2:33" x14ac:dyDescent="0.3"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2:33" x14ac:dyDescent="0.3"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2:33" x14ac:dyDescent="0.3"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2:33" x14ac:dyDescent="0.3"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2:33" x14ac:dyDescent="0.3"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2:33" x14ac:dyDescent="0.3"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2:33" x14ac:dyDescent="0.3"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2:33" x14ac:dyDescent="0.3"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2:33" x14ac:dyDescent="0.3"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2:33" x14ac:dyDescent="0.3"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6:33" x14ac:dyDescent="0.3"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6:33" x14ac:dyDescent="0.3"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6:33" x14ac:dyDescent="0.3"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6:33" x14ac:dyDescent="0.3"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6:33" x14ac:dyDescent="0.3"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6:33" x14ac:dyDescent="0.3"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6:33" x14ac:dyDescent="0.3"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6:33" x14ac:dyDescent="0.3"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6:33" x14ac:dyDescent="0.3"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6:33" x14ac:dyDescent="0.3"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6:33" x14ac:dyDescent="0.3"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6:33" x14ac:dyDescent="0.3"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6:33" x14ac:dyDescent="0.3"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6:33" x14ac:dyDescent="0.3"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6:33" x14ac:dyDescent="0.3"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6:33" x14ac:dyDescent="0.3"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6:33" x14ac:dyDescent="0.3"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6:33" x14ac:dyDescent="0.3"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6:33" x14ac:dyDescent="0.3"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6:33" x14ac:dyDescent="0.3"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6:33" x14ac:dyDescent="0.3"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6:33" x14ac:dyDescent="0.3"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6:33" x14ac:dyDescent="0.3"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6:33" x14ac:dyDescent="0.3"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6:33" x14ac:dyDescent="0.3"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6:33" x14ac:dyDescent="0.3"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6:33" x14ac:dyDescent="0.3"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6:33" x14ac:dyDescent="0.3"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6:33" x14ac:dyDescent="0.3"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6:33" x14ac:dyDescent="0.3"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6:33" x14ac:dyDescent="0.3"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6:33" x14ac:dyDescent="0.3"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6:33" x14ac:dyDescent="0.3"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6:33" x14ac:dyDescent="0.3"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6:33" x14ac:dyDescent="0.3"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6:33" x14ac:dyDescent="0.3"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6:33" x14ac:dyDescent="0.3"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6:33" x14ac:dyDescent="0.3"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6:33" x14ac:dyDescent="0.3"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6:33" x14ac:dyDescent="0.3"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6:33" x14ac:dyDescent="0.3"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6:33" x14ac:dyDescent="0.3"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6:33" x14ac:dyDescent="0.3"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6:33" x14ac:dyDescent="0.3"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6:33" x14ac:dyDescent="0.3"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6:33" x14ac:dyDescent="0.3"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6:33" x14ac:dyDescent="0.3"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6:33" x14ac:dyDescent="0.3"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6:33" x14ac:dyDescent="0.3"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6:33" x14ac:dyDescent="0.3"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6:33" x14ac:dyDescent="0.3"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6:33" x14ac:dyDescent="0.3"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6:33" x14ac:dyDescent="0.3"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6:33" x14ac:dyDescent="0.3"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6:33" x14ac:dyDescent="0.3"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6:33" x14ac:dyDescent="0.3"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6:33" x14ac:dyDescent="0.3"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6:33" x14ac:dyDescent="0.3"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6:33" x14ac:dyDescent="0.3"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6:33" x14ac:dyDescent="0.3"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6:33" x14ac:dyDescent="0.3"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6:33" x14ac:dyDescent="0.3"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6:33" x14ac:dyDescent="0.3"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6:33" x14ac:dyDescent="0.3"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6:33" x14ac:dyDescent="0.3"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6:33" x14ac:dyDescent="0.3"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6:33" x14ac:dyDescent="0.3"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6:33" x14ac:dyDescent="0.3"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6:33" x14ac:dyDescent="0.3"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6:33" x14ac:dyDescent="0.3"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6:33" x14ac:dyDescent="0.3"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6:33" x14ac:dyDescent="0.3"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6:33" x14ac:dyDescent="0.3"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6:33" x14ac:dyDescent="0.3"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6:33" x14ac:dyDescent="0.3"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6:33" x14ac:dyDescent="0.3"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6:33" x14ac:dyDescent="0.3"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6:33" x14ac:dyDescent="0.3"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6:33" x14ac:dyDescent="0.3"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6:33" x14ac:dyDescent="0.3"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6:33" x14ac:dyDescent="0.3"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6:33" x14ac:dyDescent="0.3"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6:33" x14ac:dyDescent="0.3"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6:33" x14ac:dyDescent="0.3"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6:33" x14ac:dyDescent="0.3"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6:33" x14ac:dyDescent="0.3"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6:33" x14ac:dyDescent="0.3"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6:33" x14ac:dyDescent="0.3"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6:33" x14ac:dyDescent="0.3"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6:33" x14ac:dyDescent="0.3"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6:33" x14ac:dyDescent="0.3"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</sheetData>
  <customSheetViews>
    <customSheetView guid="{D812A0C8-60A1-4775-A604-FC65C9DC40BF}" scale="80" showGridLines="0" state="hidden" topLeftCell="A17">
      <selection activeCell="A20" sqref="A20"/>
      <pageMargins left="0" right="0" top="0" bottom="0" header="0" footer="0"/>
      <pageSetup paperSize="9" orientation="portrait" r:id="rId1"/>
    </customSheetView>
    <customSheetView guid="{8D3CE498-0ABB-4BB0-92D1-93DA2BDD5EDF}" scale="80" showGridLines="0" state="hidden" topLeftCell="A17">
      <selection activeCell="A20" sqref="A20"/>
      <pageMargins left="0" right="0" top="0" bottom="0" header="0" footer="0"/>
      <pageSetup paperSize="9" orientation="portrait" r:id="rId2"/>
    </customSheetView>
    <customSheetView guid="{455EF305-F4BF-4162-9D3A-67B1D57A792B}" scale="89" showGridLines="0">
      <selection activeCell="I12" sqref="I12"/>
      <pageMargins left="0" right="0" top="0" bottom="0" header="0" footer="0"/>
      <pageSetup paperSize="9" orientation="portrait" r:id="rId3"/>
    </customSheetView>
    <customSheetView guid="{AED82DA2-4B0E-4368-BF7F-A78E16192BBB}" scale="80" showGridLines="0">
      <selection activeCell="P8" sqref="P8:U11"/>
      <pageMargins left="0" right="0" top="0" bottom="0" header="0" footer="0"/>
      <pageSetup paperSize="9" orientation="portrait" r:id="rId4"/>
    </customSheetView>
    <customSheetView guid="{8AD5A21B-3743-481B-8B5E-3FEE10EB7B2F}" scale="80" showGridLines="0" state="hidden" topLeftCell="A17">
      <selection activeCell="A20" sqref="A20"/>
      <pageMargins left="0" right="0" top="0" bottom="0" header="0" footer="0"/>
      <pageSetup paperSize="9" orientation="portrait" r:id="rId5"/>
    </customSheetView>
  </customSheetViews>
  <mergeCells count="27">
    <mergeCell ref="U4:W4"/>
    <mergeCell ref="R81:S81"/>
    <mergeCell ref="R90:S90"/>
    <mergeCell ref="R99:S99"/>
    <mergeCell ref="U99:V99"/>
    <mergeCell ref="U72:V72"/>
    <mergeCell ref="X99:Y99"/>
    <mergeCell ref="AA99:AB99"/>
    <mergeCell ref="U90:V90"/>
    <mergeCell ref="X90:Y90"/>
    <mergeCell ref="AA90:AB90"/>
    <mergeCell ref="X72:Y72"/>
    <mergeCell ref="AA72:AB72"/>
    <mergeCell ref="U81:V81"/>
    <mergeCell ref="X81:Y81"/>
    <mergeCell ref="AA81:AB81"/>
    <mergeCell ref="I71:K71"/>
    <mergeCell ref="I72:K72"/>
    <mergeCell ref="R72:S72"/>
    <mergeCell ref="B4:B5"/>
    <mergeCell ref="Q4:Q5"/>
    <mergeCell ref="R4:T4"/>
    <mergeCell ref="K10:L10"/>
    <mergeCell ref="C4:E4"/>
    <mergeCell ref="F4:H4"/>
    <mergeCell ref="I4:K4"/>
    <mergeCell ref="B44:K44"/>
  </mergeCells>
  <phoneticPr fontId="45" type="noConversion"/>
  <conditionalFormatting sqref="K11:L11">
    <cfRule type="cellIs" dxfId="97" priority="1" operator="equal">
      <formula>"Escassez Hídrica"</formula>
    </cfRule>
    <cfRule type="cellIs" dxfId="96" priority="2" operator="equal">
      <formula>"VERDE"</formula>
    </cfRule>
    <cfRule type="cellIs" dxfId="95" priority="3" operator="equal">
      <formula>"BVM2"</formula>
    </cfRule>
    <cfRule type="cellIs" dxfId="94" priority="4" operator="equal">
      <formula>"BVM1"</formula>
    </cfRule>
    <cfRule type="cellIs" dxfId="93" priority="5" operator="equal">
      <formula>"BAM"</formula>
    </cfRule>
  </conditionalFormatting>
  <conditionalFormatting sqref="M3">
    <cfRule type="cellIs" dxfId="92" priority="16" operator="equal">
      <formula>"VERDE"</formula>
    </cfRule>
    <cfRule type="cellIs" dxfId="91" priority="17" operator="equal">
      <formula>"BVM2"</formula>
    </cfRule>
    <cfRule type="cellIs" dxfId="90" priority="18" operator="equal">
      <formula>"BVM1"</formula>
    </cfRule>
    <cfRule type="cellIs" dxfId="89" priority="19" operator="equal">
      <formula>"BAM"</formula>
    </cfRule>
  </conditionalFormatting>
  <conditionalFormatting sqref="M7:M8">
    <cfRule type="containsText" dxfId="88" priority="11" operator="containsText" text="Escassez Hídrica">
      <formula>NOT(ISERROR(SEARCH("Escassez Hídrica",M7)))</formula>
    </cfRule>
    <cfRule type="cellIs" dxfId="87" priority="12" operator="equal">
      <formula>"VERDE"</formula>
    </cfRule>
    <cfRule type="cellIs" dxfId="86" priority="13" operator="equal">
      <formula>"BVM2"</formula>
    </cfRule>
    <cfRule type="cellIs" dxfId="85" priority="14" operator="equal">
      <formula>"BVM1"</formula>
    </cfRule>
    <cfRule type="cellIs" dxfId="84" priority="15" operator="equal">
      <formula>"BAM"</formula>
    </cfRule>
  </conditionalFormatting>
  <dataValidations disablePrompts="1" count="1">
    <dataValidation type="list" allowBlank="1" showInputMessage="1" showErrorMessage="1" sqref="K11:L11" xr:uid="{00000000-0002-0000-0A00-000000000000}">
      <formula1>$M$3:$M$7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6"/>
  <drawing r:id="rId7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EC586-5E44-49E8-8374-FE4FC88859DB}">
  <sheetPr codeName="Planilha13"/>
  <dimension ref="A1:AM258"/>
  <sheetViews>
    <sheetView showGridLines="0" topLeftCell="A3" zoomScale="80" zoomScaleNormal="80" workbookViewId="0">
      <selection activeCell="C10" sqref="C10"/>
    </sheetView>
  </sheetViews>
  <sheetFormatPr defaultColWidth="9.109375" defaultRowHeight="14.4" x14ac:dyDescent="0.3"/>
  <cols>
    <col min="1" max="1" width="5.44140625" style="97" customWidth="1"/>
    <col min="2" max="2" width="25.6640625" style="99" customWidth="1"/>
    <col min="3" max="10" width="12.6640625" style="99" customWidth="1"/>
    <col min="11" max="11" width="14.33203125" style="99" customWidth="1"/>
    <col min="12" max="12" width="14.33203125" style="97" customWidth="1"/>
    <col min="13" max="14" width="12.6640625" style="97" customWidth="1"/>
    <col min="15" max="15" width="13.88671875" style="97" customWidth="1"/>
    <col min="16" max="16" width="12.6640625" style="97" customWidth="1"/>
    <col min="17" max="17" width="14" style="97" customWidth="1"/>
    <col min="18" max="18" width="13.109375" style="97" bestFit="1" customWidth="1"/>
    <col min="19" max="19" width="13.88671875" style="97" customWidth="1"/>
    <col min="20" max="20" width="9.109375" style="97"/>
    <col min="21" max="21" width="13.109375" style="97" bestFit="1" customWidth="1"/>
    <col min="22" max="22" width="3" style="97" bestFit="1" customWidth="1"/>
    <col min="23" max="23" width="9.109375" style="97"/>
    <col min="24" max="24" width="13.109375" style="97" bestFit="1" customWidth="1"/>
    <col min="25" max="36" width="9.109375" style="97"/>
    <col min="37" max="37" width="12.109375" style="97" customWidth="1"/>
    <col min="38" max="16384" width="9.109375" style="97"/>
  </cols>
  <sheetData>
    <row r="1" spans="1:39" s="1" customFormat="1" x14ac:dyDescent="0.3">
      <c r="A1" s="1" t="s">
        <v>0</v>
      </c>
      <c r="C1" s="99"/>
      <c r="D1" s="99"/>
      <c r="E1" s="99"/>
      <c r="F1" s="99"/>
      <c r="G1" s="97"/>
      <c r="H1" s="97"/>
      <c r="I1" s="97"/>
      <c r="J1" s="97"/>
      <c r="K1" s="97"/>
      <c r="L1" s="99"/>
      <c r="M1" s="99"/>
      <c r="N1" s="99"/>
      <c r="O1" s="99"/>
      <c r="P1" s="99"/>
    </row>
    <row r="2" spans="1:39" s="1" customFormat="1" ht="18" x14ac:dyDescent="0.3">
      <c r="B2" s="43" t="s">
        <v>159</v>
      </c>
      <c r="C2" s="99"/>
      <c r="E2" s="102" t="s">
        <v>2</v>
      </c>
      <c r="F2" s="104">
        <f>'Fatura B1 (Res) OK'!$F$2</f>
        <v>45876</v>
      </c>
      <c r="G2" s="97"/>
      <c r="H2" s="97"/>
      <c r="I2" s="97"/>
      <c r="J2" s="97"/>
      <c r="K2" s="97"/>
      <c r="L2" s="99"/>
      <c r="M2" s="47" t="s">
        <v>3</v>
      </c>
      <c r="N2" s="47" t="s">
        <v>4</v>
      </c>
      <c r="Q2" s="308" t="s">
        <v>6</v>
      </c>
      <c r="R2" s="326"/>
      <c r="S2" s="99"/>
      <c r="T2" s="99"/>
      <c r="U2" s="99"/>
      <c r="V2" s="99"/>
      <c r="W2" s="99"/>
      <c r="X2" s="99"/>
    </row>
    <row r="3" spans="1:39" customFormat="1" x14ac:dyDescent="0.3">
      <c r="M3" s="93" t="s">
        <v>7</v>
      </c>
      <c r="N3" s="48">
        <v>0</v>
      </c>
      <c r="Q3" s="99"/>
      <c r="R3" s="99"/>
      <c r="S3" s="99"/>
      <c r="T3" s="99"/>
      <c r="U3" s="99"/>
      <c r="V3" s="99"/>
      <c r="W3" s="99"/>
      <c r="X3" s="99"/>
    </row>
    <row r="4" spans="1:39" customFormat="1" ht="15" customHeight="1" x14ac:dyDescent="0.3">
      <c r="B4" s="489" t="s">
        <v>140</v>
      </c>
      <c r="C4" s="481" t="str">
        <f>'Fatura B4a '!C4:E4</f>
        <v>TARIFA ANTIGA - REH 3370/2024</v>
      </c>
      <c r="D4" s="481"/>
      <c r="E4" s="481"/>
      <c r="F4" s="481" t="str">
        <f>'Fatura B4a '!F4:H4</f>
        <v>TARIFA NOVA - REH xxxx/2025</v>
      </c>
      <c r="G4" s="481"/>
      <c r="H4" s="481"/>
      <c r="I4" s="482" t="s">
        <v>11</v>
      </c>
      <c r="J4" s="482"/>
      <c r="K4" s="482"/>
      <c r="M4" s="229" t="str">
        <f>'Fatura B1 (Res) OK'!M4</f>
        <v>BAM</v>
      </c>
      <c r="N4" s="230">
        <f>'Fatura B1 (Res) OK'!$N$4</f>
        <v>1.8849999999999999E-2</v>
      </c>
      <c r="Q4" s="483" t="s">
        <v>8</v>
      </c>
      <c r="R4" s="478" t="str">
        <f>C4</f>
        <v>TARIFA ANTIGA - REH 3370/2024</v>
      </c>
      <c r="S4" s="479"/>
      <c r="T4" s="480"/>
      <c r="U4" s="478" t="str">
        <f>F4</f>
        <v>TARIFA NOVA - REH xxxx/2025</v>
      </c>
      <c r="V4" s="479"/>
      <c r="W4" s="480"/>
      <c r="X4" s="99"/>
    </row>
    <row r="5" spans="1:39" customFormat="1" x14ac:dyDescent="0.3">
      <c r="B5" s="490"/>
      <c r="C5" s="202" t="s">
        <v>13</v>
      </c>
      <c r="D5" s="202" t="s">
        <v>14</v>
      </c>
      <c r="E5" s="202" t="s">
        <v>15</v>
      </c>
      <c r="F5" s="202" t="s">
        <v>13</v>
      </c>
      <c r="G5" s="202" t="s">
        <v>14</v>
      </c>
      <c r="H5" s="202" t="s">
        <v>15</v>
      </c>
      <c r="I5" s="201" t="s">
        <v>13</v>
      </c>
      <c r="J5" s="201" t="s">
        <v>14</v>
      </c>
      <c r="K5" s="201" t="s">
        <v>15</v>
      </c>
      <c r="M5" s="231" t="str">
        <f>'Fatura B1 (Res) OK'!M5</f>
        <v>BVM1</v>
      </c>
      <c r="N5" s="232">
        <f>'Fatura B1 (Res) OK'!$N$5</f>
        <v>4.4630000000000003E-2</v>
      </c>
      <c r="Q5" s="484"/>
      <c r="R5" s="204" t="s">
        <v>17</v>
      </c>
      <c r="U5" s="204" t="s">
        <v>17</v>
      </c>
      <c r="X5" s="204" t="s">
        <v>17</v>
      </c>
    </row>
    <row r="6" spans="1:39" customFormat="1" x14ac:dyDescent="0.3">
      <c r="B6" s="207" t="s">
        <v>160</v>
      </c>
      <c r="C6" s="196">
        <f>'TABELA DE TARIFAS ANTIGAS'!G72/1000</f>
        <v>0.28935</v>
      </c>
      <c r="D6" s="196">
        <f>'TABELA DE TARIFAS ANTIGAS'!H72/1000</f>
        <v>0.29333999999999999</v>
      </c>
      <c r="E6" s="196">
        <f t="shared" ref="E6" si="0">C6+D6</f>
        <v>0.58268999999999993</v>
      </c>
      <c r="F6" s="196">
        <f>'TABELA DE TARIFAS NOVAS'!G72/1000</f>
        <v>0.32543</v>
      </c>
      <c r="G6" s="196">
        <f>'TABELA DE TARIFAS NOVAS'!H72/1000</f>
        <v>0.29660000000000003</v>
      </c>
      <c r="H6" s="196">
        <f t="shared" ref="H6" si="1">F6+G6</f>
        <v>0.62203000000000008</v>
      </c>
      <c r="I6" s="196">
        <f>((C6*$C$13)+(F6*$D$13))/($D$13+$C$13)</f>
        <v>0.32543</v>
      </c>
      <c r="J6" s="196">
        <f>((D6*$C$13)+(G6*$D$13))/($D$13+$C$13)</f>
        <v>0.29660000000000003</v>
      </c>
      <c r="K6" s="197">
        <f t="shared" ref="K6" si="2">I6+J6</f>
        <v>0.62203000000000008</v>
      </c>
      <c r="M6" s="39" t="str">
        <f>'Fatura B1 (Res) OK'!M6</f>
        <v>BVM2</v>
      </c>
      <c r="N6" s="40">
        <f>'Fatura B1 (Res) OK'!$N$6</f>
        <v>7.8770000000000007E-2</v>
      </c>
      <c r="Q6" s="207" t="str">
        <f>B6</f>
        <v>Baixa renda</v>
      </c>
      <c r="R6" s="203">
        <f>'FIO B'!H12/1000</f>
        <v>0.18823431351264014</v>
      </c>
      <c r="U6" s="203">
        <f>'FIO B'!K12/1000</f>
        <v>0.20383072193179136</v>
      </c>
      <c r="X6" s="203">
        <f>((R6*$C$13)+(U6*$D$13))/($D$13+$C$13)</f>
        <v>0.20383072193179136</v>
      </c>
    </row>
    <row r="7" spans="1:39" customFormat="1" x14ac:dyDescent="0.3">
      <c r="M7" s="93" t="s">
        <v>21</v>
      </c>
      <c r="N7" s="305">
        <f>'Fatura B1 (Res) OK'!$N$7</f>
        <v>0.14199999999999999</v>
      </c>
    </row>
    <row r="8" spans="1:39" customFormat="1" x14ac:dyDescent="0.3">
      <c r="P8" s="99"/>
      <c r="Q8" s="99"/>
      <c r="R8" s="99"/>
      <c r="S8" s="99"/>
      <c r="T8" s="99"/>
      <c r="U8" s="99"/>
    </row>
    <row r="9" spans="1:39" customFormat="1" x14ac:dyDescent="0.3">
      <c r="B9" s="131"/>
      <c r="C9" s="132"/>
      <c r="D9" s="209"/>
      <c r="E9" s="132"/>
      <c r="F9" s="132"/>
      <c r="G9" s="132"/>
      <c r="H9" s="210" t="s">
        <v>22</v>
      </c>
      <c r="L9" s="102" t="s">
        <v>161</v>
      </c>
      <c r="M9" s="104">
        <f>EOMONTH(B13,0)+1</f>
        <v>46143</v>
      </c>
      <c r="P9" t="s">
        <v>205</v>
      </c>
      <c r="X9" t="s">
        <v>206</v>
      </c>
      <c r="AF9" t="s">
        <v>207</v>
      </c>
    </row>
    <row r="10" spans="1:39" s="1" customFormat="1" x14ac:dyDescent="0.3">
      <c r="B10" s="211" t="s">
        <v>24</v>
      </c>
      <c r="C10" s="342">
        <v>28724</v>
      </c>
      <c r="D10" s="99"/>
      <c r="E10" s="97"/>
      <c r="F10" s="97"/>
      <c r="G10" s="97"/>
      <c r="H10" s="212">
        <f>E13</f>
        <v>46148</v>
      </c>
      <c r="J10" s="99"/>
      <c r="K10" s="485" t="s">
        <v>25</v>
      </c>
      <c r="L10" s="485"/>
      <c r="M10" s="99"/>
      <c r="P10" s="374" t="s">
        <v>26</v>
      </c>
      <c r="Q10" s="375"/>
      <c r="R10" s="371" t="s">
        <v>27</v>
      </c>
      <c r="S10" s="371" t="s">
        <v>28</v>
      </c>
      <c r="T10" s="371" t="s">
        <v>17</v>
      </c>
      <c r="U10" s="371" t="s">
        <v>29</v>
      </c>
      <c r="X10" s="374" t="s">
        <v>26</v>
      </c>
      <c r="Y10" s="375"/>
      <c r="Z10" s="371" t="s">
        <v>27</v>
      </c>
      <c r="AA10" s="371" t="s">
        <v>28</v>
      </c>
      <c r="AB10" s="371" t="s">
        <v>17</v>
      </c>
      <c r="AC10" s="371" t="s">
        <v>29</v>
      </c>
      <c r="AF10" s="374" t="s">
        <v>26</v>
      </c>
      <c r="AG10" s="375"/>
      <c r="AH10" s="371" t="s">
        <v>27</v>
      </c>
      <c r="AI10" s="371" t="s">
        <v>28</v>
      </c>
      <c r="AJ10" s="371" t="s">
        <v>17</v>
      </c>
      <c r="AK10" s="371" t="s">
        <v>29</v>
      </c>
    </row>
    <row r="11" spans="1:39" s="1" customFormat="1" x14ac:dyDescent="0.3">
      <c r="B11" s="112"/>
      <c r="C11" s="99"/>
      <c r="D11" s="99"/>
      <c r="E11" s="99"/>
      <c r="F11" s="99"/>
      <c r="G11" s="99"/>
      <c r="H11" s="213"/>
      <c r="J11" s="99"/>
      <c r="K11" s="93" t="str">
        <f>'Fatura B1 (Res) OK'!K11</f>
        <v>VERDE</v>
      </c>
      <c r="L11" s="93" t="str">
        <f>'Fatura B1 (Res) OK'!L11</f>
        <v>BAM</v>
      </c>
      <c r="M11" s="99"/>
      <c r="P11" s="376" t="s">
        <v>30</v>
      </c>
      <c r="Q11" s="377"/>
      <c r="R11" s="373"/>
      <c r="S11" s="373"/>
      <c r="T11" s="387">
        <v>0</v>
      </c>
      <c r="U11" s="393">
        <v>4.0179200000000003E-3</v>
      </c>
      <c r="X11" s="376" t="s">
        <v>30</v>
      </c>
      <c r="Y11" s="377"/>
      <c r="Z11" s="373"/>
      <c r="AA11" s="373"/>
      <c r="AB11" s="387">
        <v>0</v>
      </c>
      <c r="AC11" s="393">
        <f>1.20040743431172/1000</f>
        <v>1.20040743431172E-3</v>
      </c>
      <c r="AF11" s="376" t="s">
        <v>30</v>
      </c>
      <c r="AG11" s="377"/>
      <c r="AH11" s="373"/>
      <c r="AI11" s="373"/>
      <c r="AJ11" s="387">
        <f>((T11*$C$13)+(AB11*$D$13))/($D$13+$C$13)</f>
        <v>0</v>
      </c>
      <c r="AK11" s="393">
        <f>((U11*$C$13)+(AC11*$D$13))/($D$13+$C$13)</f>
        <v>1.20040743431172E-3</v>
      </c>
    </row>
    <row r="12" spans="1:39" s="1" customFormat="1" ht="27.6" x14ac:dyDescent="0.3">
      <c r="B12" s="94" t="s">
        <v>31</v>
      </c>
      <c r="C12" s="94" t="s">
        <v>32</v>
      </c>
      <c r="D12" s="94" t="s">
        <v>33</v>
      </c>
      <c r="E12" s="94" t="s">
        <v>34</v>
      </c>
      <c r="F12" s="97"/>
      <c r="G12" s="97"/>
      <c r="H12" s="214"/>
      <c r="I12" s="97"/>
      <c r="J12" s="94" t="s">
        <v>31</v>
      </c>
      <c r="K12" s="94" t="s">
        <v>162</v>
      </c>
      <c r="L12" s="94" t="s">
        <v>163</v>
      </c>
      <c r="M12" s="94" t="s">
        <v>34</v>
      </c>
      <c r="P12" s="380" t="s">
        <v>164</v>
      </c>
      <c r="Q12" s="381">
        <v>0.65</v>
      </c>
      <c r="U12" s="453">
        <f>$U$11*(1-Q12)</f>
        <v>1.4062720000000001E-3</v>
      </c>
      <c r="W12" s="455">
        <f>((T12*$C$13)+(U12*$D$13))/($D$13+$C$13)</f>
        <v>1.4062720000000001E-3</v>
      </c>
      <c r="X12" s="380" t="s">
        <v>164</v>
      </c>
      <c r="Y12" s="381">
        <v>0.65</v>
      </c>
      <c r="AC12" s="372">
        <f>$AC$11*(1-Y12)</f>
        <v>4.2014260200910194E-4</v>
      </c>
      <c r="AE12" s="455">
        <f>((AB12*$C$13)+(AC12*$D$13))/($D$13+$C$13)</f>
        <v>4.2014260200910194E-4</v>
      </c>
      <c r="AF12" s="380" t="s">
        <v>164</v>
      </c>
      <c r="AG12" s="381">
        <v>0.65</v>
      </c>
      <c r="AK12" s="453">
        <f>$AK$11*(1-AG12)</f>
        <v>4.2014260200910194E-4</v>
      </c>
      <c r="AM12" s="454">
        <f>((AJ12*$C$13)+(AK12*$D$13))/($D$13+$C$13)</f>
        <v>4.2014260200910194E-4</v>
      </c>
    </row>
    <row r="13" spans="1:39" s="1" customFormat="1" x14ac:dyDescent="0.3">
      <c r="B13" s="227">
        <f>'Fatura B1 (Res) OK'!B13</f>
        <v>46119</v>
      </c>
      <c r="C13" s="106">
        <f>IF((F2-B13-1)&lt;0,0,(F2-B13-1))</f>
        <v>0</v>
      </c>
      <c r="D13" s="106">
        <f>E13-F2+1</f>
        <v>273</v>
      </c>
      <c r="E13" s="227">
        <f>'Fatura B1 (Res) OK'!E13</f>
        <v>46148</v>
      </c>
      <c r="F13" s="215"/>
      <c r="G13" s="215"/>
      <c r="H13" s="216"/>
      <c r="I13" s="97"/>
      <c r="J13" s="107">
        <f>B13</f>
        <v>46119</v>
      </c>
      <c r="K13" s="108">
        <f>IF((M9-J13-1)&lt;0,0,(M9-J13-1))</f>
        <v>23</v>
      </c>
      <c r="L13" s="108">
        <f>M13-M9+1</f>
        <v>6</v>
      </c>
      <c r="M13" s="107">
        <f>E13</f>
        <v>46148</v>
      </c>
      <c r="P13" s="382" t="s">
        <v>165</v>
      </c>
      <c r="Q13" s="383">
        <v>0.4</v>
      </c>
      <c r="U13" s="453">
        <f>$U$11*(1-Q13)</f>
        <v>2.4107519999999999E-3</v>
      </c>
      <c r="W13" s="455">
        <f t="shared" ref="W13:W15" si="3">((T13*$C$13)+(U13*$D$13))/($D$13+$C$13)</f>
        <v>2.4107519999999999E-3</v>
      </c>
      <c r="X13" s="382" t="s">
        <v>165</v>
      </c>
      <c r="Y13" s="383">
        <v>0.4</v>
      </c>
      <c r="AC13" s="372">
        <f t="shared" ref="AC13:AC15" si="4">$AC$11*(1-Y13)</f>
        <v>7.2024446058703193E-4</v>
      </c>
      <c r="AE13" s="455">
        <f t="shared" ref="AE13:AE15" si="5">((AB13*$C$13)+(AC13*$D$13))/($D$13+$C$13)</f>
        <v>7.2024446058703193E-4</v>
      </c>
      <c r="AF13" s="382" t="s">
        <v>165</v>
      </c>
      <c r="AG13" s="383">
        <v>0.4</v>
      </c>
      <c r="AK13" s="453">
        <f t="shared" ref="AK13:AK15" si="6">$AK$11*(1-AG13)</f>
        <v>7.2024446058703193E-4</v>
      </c>
      <c r="AM13" s="454">
        <f t="shared" ref="AM13:AM15" si="7">((AJ13*$C$13)+(AK13*$D$13))/($D$13+$C$13)</f>
        <v>7.2024446058703193E-4</v>
      </c>
    </row>
    <row r="14" spans="1:39" s="1" customFormat="1" x14ac:dyDescent="0.3">
      <c r="B14" s="192"/>
      <c r="C14" s="193"/>
      <c r="D14" s="193"/>
      <c r="E14" s="192"/>
      <c r="G14"/>
      <c r="H14"/>
      <c r="I14"/>
      <c r="J14"/>
      <c r="K14"/>
      <c r="N14" s="194"/>
      <c r="O14" s="195"/>
      <c r="P14" s="384" t="s">
        <v>166</v>
      </c>
      <c r="Q14" s="383">
        <v>0.1</v>
      </c>
      <c r="U14" s="453">
        <f>$U$11*(1-Q14)</f>
        <v>3.6161280000000006E-3</v>
      </c>
      <c r="W14" s="455">
        <f t="shared" si="3"/>
        <v>3.6161280000000006E-3</v>
      </c>
      <c r="X14" s="384" t="s">
        <v>166</v>
      </c>
      <c r="Y14" s="383">
        <v>0.1</v>
      </c>
      <c r="AA14"/>
      <c r="AB14" s="178"/>
      <c r="AC14" s="372">
        <f t="shared" si="4"/>
        <v>1.080366690880548E-3</v>
      </c>
      <c r="AE14" s="455">
        <f t="shared" si="5"/>
        <v>1.080366690880548E-3</v>
      </c>
      <c r="AF14" s="384" t="s">
        <v>166</v>
      </c>
      <c r="AG14" s="383">
        <v>0.1</v>
      </c>
      <c r="AI14"/>
      <c r="AJ14" s="178"/>
      <c r="AK14" s="453">
        <f t="shared" si="6"/>
        <v>1.080366690880548E-3</v>
      </c>
      <c r="AM14" s="454">
        <f t="shared" si="7"/>
        <v>1.080366690880548E-3</v>
      </c>
    </row>
    <row r="15" spans="1:39" s="1" customFormat="1" x14ac:dyDescent="0.3">
      <c r="B15" s="192"/>
      <c r="C15" s="193"/>
      <c r="D15" s="193"/>
      <c r="E15" s="192"/>
      <c r="G15"/>
      <c r="H15"/>
      <c r="I15"/>
      <c r="J15"/>
      <c r="K15">
        <f>16.57*1.21786391</f>
        <v>20.180004988699999</v>
      </c>
      <c r="N15" s="194"/>
      <c r="O15" s="195"/>
      <c r="P15" s="385" t="s">
        <v>167</v>
      </c>
      <c r="Q15" s="386">
        <v>0</v>
      </c>
      <c r="U15" s="453">
        <f>$U$11*(1-Q15)</f>
        <v>4.0179200000000003E-3</v>
      </c>
      <c r="V15" s="97"/>
      <c r="W15" s="455">
        <f t="shared" si="3"/>
        <v>4.0179200000000003E-3</v>
      </c>
      <c r="X15" s="385" t="s">
        <v>167</v>
      </c>
      <c r="Y15" s="386">
        <v>0</v>
      </c>
      <c r="AA15"/>
      <c r="AB15" s="178"/>
      <c r="AC15" s="372">
        <f t="shared" si="4"/>
        <v>1.20040743431172E-3</v>
      </c>
      <c r="AD15" s="97"/>
      <c r="AE15" s="455">
        <f t="shared" si="5"/>
        <v>1.20040743431172E-3</v>
      </c>
      <c r="AF15" s="385" t="s">
        <v>167</v>
      </c>
      <c r="AG15" s="386">
        <v>0</v>
      </c>
      <c r="AI15"/>
      <c r="AJ15" s="178"/>
      <c r="AK15" s="453">
        <f t="shared" si="6"/>
        <v>1.20040743431172E-3</v>
      </c>
      <c r="AL15" s="97"/>
      <c r="AM15" s="454">
        <f t="shared" si="7"/>
        <v>1.20040743431172E-3</v>
      </c>
    </row>
    <row r="16" spans="1:39" s="1" customFormat="1" x14ac:dyDescent="0.3">
      <c r="B16" s="419" t="s">
        <v>168</v>
      </c>
      <c r="D16" s="293">
        <v>631</v>
      </c>
      <c r="E16" s="193"/>
      <c r="G16"/>
      <c r="H16"/>
      <c r="I16"/>
      <c r="J16"/>
      <c r="K16"/>
      <c r="N16" s="194"/>
      <c r="O16" s="195"/>
      <c r="P16"/>
      <c r="Q16"/>
      <c r="S16"/>
      <c r="T16" s="178"/>
      <c r="U16"/>
      <c r="V16"/>
      <c r="W16"/>
    </row>
    <row r="17" spans="1:30" s="1" customFormat="1" x14ac:dyDescent="0.3">
      <c r="B17" s="192"/>
      <c r="C17" s="193"/>
      <c r="D17" s="193"/>
      <c r="E17" s="192"/>
      <c r="G17"/>
      <c r="H17"/>
      <c r="I17"/>
      <c r="J17"/>
      <c r="K17"/>
      <c r="N17" s="194"/>
      <c r="O17" s="302" t="s">
        <v>35</v>
      </c>
      <c r="P17" s="97"/>
      <c r="Q17" s="461">
        <v>188003313562</v>
      </c>
      <c r="S17"/>
      <c r="T17" s="178"/>
      <c r="U17"/>
      <c r="V17"/>
      <c r="W17"/>
    </row>
    <row r="18" spans="1:30" s="1" customFormat="1" ht="41.4" x14ac:dyDescent="0.3">
      <c r="B18" s="394" t="s">
        <v>36</v>
      </c>
      <c r="C18" s="394" t="s">
        <v>37</v>
      </c>
      <c r="D18" s="394" t="s">
        <v>38</v>
      </c>
      <c r="E18" s="395" t="s">
        <v>39</v>
      </c>
      <c r="F18" s="395" t="s">
        <v>40</v>
      </c>
      <c r="G18" s="395" t="s">
        <v>41</v>
      </c>
      <c r="H18" s="395" t="s">
        <v>42</v>
      </c>
      <c r="I18" s="395" t="s">
        <v>43</v>
      </c>
      <c r="J18" s="395" t="s">
        <v>44</v>
      </c>
      <c r="K18" s="396" t="s">
        <v>45</v>
      </c>
      <c r="L18" s="394" t="s">
        <v>46</v>
      </c>
      <c r="M18" s="395" t="s">
        <v>47</v>
      </c>
      <c r="N18" s="395" t="s">
        <v>48</v>
      </c>
      <c r="O18" s="395" t="s">
        <v>49</v>
      </c>
      <c r="R18" s="97"/>
      <c r="S18" s="97"/>
      <c r="T18" s="97"/>
      <c r="Y18"/>
      <c r="Z18"/>
      <c r="AA18"/>
      <c r="AB18"/>
      <c r="AC18"/>
      <c r="AD18"/>
    </row>
    <row r="19" spans="1:30" s="1" customFormat="1" x14ac:dyDescent="0.3">
      <c r="B19" s="401"/>
      <c r="C19" s="401"/>
      <c r="D19" s="401"/>
      <c r="E19" s="401"/>
      <c r="F19" s="401"/>
      <c r="G19" s="401"/>
      <c r="H19" s="401"/>
      <c r="I19" s="401"/>
      <c r="J19" s="401"/>
      <c r="K19" s="401"/>
      <c r="L19" s="120"/>
      <c r="M19" s="397"/>
      <c r="N19" s="397"/>
      <c r="O19" s="397"/>
      <c r="P19"/>
      <c r="T19"/>
      <c r="U19"/>
      <c r="V19"/>
      <c r="W19"/>
    </row>
    <row r="20" spans="1:30" s="1" customFormat="1" x14ac:dyDescent="0.3">
      <c r="B20" s="430" t="s">
        <v>208</v>
      </c>
      <c r="C20" s="430"/>
      <c r="D20" s="435">
        <f>-L90</f>
        <v>-37.251684999999995</v>
      </c>
      <c r="E20" s="436">
        <v>1</v>
      </c>
      <c r="F20" s="433">
        <f>D20*E20</f>
        <v>-37.251684999999995</v>
      </c>
      <c r="G20" s="432">
        <v>0</v>
      </c>
      <c r="H20" s="433">
        <v>0</v>
      </c>
      <c r="I20" s="432">
        <v>0</v>
      </c>
      <c r="J20" s="433"/>
      <c r="K20" s="406">
        <v>1</v>
      </c>
      <c r="L20" s="120"/>
      <c r="M20" s="397"/>
      <c r="N20" s="397"/>
      <c r="O20" s="397"/>
      <c r="P20"/>
      <c r="Q20" s="302"/>
      <c r="R20" s="97"/>
      <c r="S20" s="427"/>
      <c r="T20"/>
      <c r="U20"/>
      <c r="V20"/>
      <c r="W20"/>
    </row>
    <row r="21" spans="1:30" s="1" customFormat="1" x14ac:dyDescent="0.3">
      <c r="B21" s="430" t="s">
        <v>209</v>
      </c>
      <c r="C21" s="430"/>
      <c r="D21" s="432">
        <f>D20</f>
        <v>-37.251684999999995</v>
      </c>
      <c r="E21" s="431">
        <f>F21/D21</f>
        <v>-1.2122919538851926</v>
      </c>
      <c r="F21" s="433">
        <f>-1*(F20-J21)</f>
        <v>45.159917994165717</v>
      </c>
      <c r="G21" s="432">
        <v>0</v>
      </c>
      <c r="H21" s="433">
        <f>K102</f>
        <v>46.519017612739525</v>
      </c>
      <c r="I21" s="403">
        <v>0.17</v>
      </c>
      <c r="J21" s="433">
        <f t="shared" ref="J21:J29" si="8">H21*$I$21</f>
        <v>7.9082329941657195</v>
      </c>
      <c r="K21" s="406">
        <v>1</v>
      </c>
      <c r="L21" s="120"/>
      <c r="M21" s="397"/>
      <c r="N21" s="397"/>
      <c r="O21" s="397"/>
      <c r="P21"/>
      <c r="Q21" s="302"/>
      <c r="R21" s="97"/>
      <c r="S21" s="427"/>
      <c r="T21"/>
      <c r="U21"/>
      <c r="V21"/>
      <c r="W21"/>
    </row>
    <row r="22" spans="1:30" s="1" customFormat="1" x14ac:dyDescent="0.3">
      <c r="A22" s="255">
        <v>0.65</v>
      </c>
      <c r="B22" s="397" t="s">
        <v>169</v>
      </c>
      <c r="C22" s="398" t="s">
        <v>53</v>
      </c>
      <c r="D22" s="404">
        <f>IF(D16&gt;0,30,0)</f>
        <v>30</v>
      </c>
      <c r="E22" s="406">
        <f t="shared" ref="E22:E29" si="9">K22/(1-$N$22-$N$23)/(1-$I$21)</f>
        <v>0.14223623349117864</v>
      </c>
      <c r="F22" s="404">
        <f>ROUND(D22*E22,2)</f>
        <v>4.2699999999999996</v>
      </c>
      <c r="G22" s="404">
        <f t="shared" ref="G22:G29" si="10">ROUND(((D22*K22)/(1-$N$22-$N$23))*($N$22+$N$23),2)</f>
        <v>0.12</v>
      </c>
      <c r="H22" s="411">
        <f t="shared" ref="H22:H29" si="11">ROUND((D22*K22)/(1-$N$22-$N$23)/(1-$I$21),2)</f>
        <v>4.2699999999999996</v>
      </c>
      <c r="J22" s="411">
        <f t="shared" si="8"/>
        <v>0.72589999999999999</v>
      </c>
      <c r="K22" s="406">
        <f>K25*(1-A22)</f>
        <v>0.11390049999999999</v>
      </c>
      <c r="L22" s="169" t="s">
        <v>54</v>
      </c>
      <c r="M22" s="404">
        <f>E68</f>
        <v>370.76077943615263</v>
      </c>
      <c r="N22" s="399">
        <f>'Fatura B1 (Res) OK'!N18</f>
        <v>6.3E-3</v>
      </c>
      <c r="O22" s="413">
        <f>ROUND(M22*N22,2)</f>
        <v>2.34</v>
      </c>
      <c r="P22"/>
      <c r="Q22" s="97"/>
      <c r="R22" s="97"/>
      <c r="S22" s="97"/>
      <c r="T22"/>
      <c r="U22"/>
      <c r="V22"/>
      <c r="W22"/>
    </row>
    <row r="23" spans="1:30" s="1" customFormat="1" x14ac:dyDescent="0.3">
      <c r="A23" s="255">
        <v>0.4</v>
      </c>
      <c r="B23" s="397" t="s">
        <v>170</v>
      </c>
      <c r="C23" s="398" t="s">
        <v>53</v>
      </c>
      <c r="D23" s="404">
        <f>IF(D16&gt;30,IF(D16&gt;100,70,D16-30),0)</f>
        <v>70</v>
      </c>
      <c r="E23" s="406">
        <f t="shared" si="9"/>
        <v>0.24383354312773484</v>
      </c>
      <c r="F23" s="404">
        <f t="shared" ref="F23:F29" si="12">ROUND(D23*E23,2)</f>
        <v>17.07</v>
      </c>
      <c r="G23" s="404">
        <f t="shared" si="10"/>
        <v>0.5</v>
      </c>
      <c r="H23" s="411">
        <f t="shared" si="11"/>
        <v>17.07</v>
      </c>
      <c r="I23" s="397"/>
      <c r="J23" s="411">
        <f t="shared" si="8"/>
        <v>2.9019000000000004</v>
      </c>
      <c r="K23" s="406">
        <f>K25*(1-A23)</f>
        <v>0.19525799999999999</v>
      </c>
      <c r="L23" s="169" t="s">
        <v>56</v>
      </c>
      <c r="M23" s="404">
        <f>M22</f>
        <v>370.76077943615263</v>
      </c>
      <c r="N23" s="399">
        <f>'Fatura B1 (Res) OK'!N19</f>
        <v>2.8899999999999999E-2</v>
      </c>
      <c r="O23" s="413">
        <f>ROUND(M23*N23,2)</f>
        <v>10.71</v>
      </c>
      <c r="P23"/>
      <c r="Q23"/>
      <c r="R23"/>
      <c r="S23"/>
      <c r="T23"/>
      <c r="U23"/>
      <c r="V23"/>
      <c r="W23"/>
    </row>
    <row r="24" spans="1:30" s="1" customFormat="1" x14ac:dyDescent="0.3">
      <c r="A24" s="255">
        <v>0.1</v>
      </c>
      <c r="B24" s="397" t="s">
        <v>171</v>
      </c>
      <c r="C24" s="398" t="s">
        <v>53</v>
      </c>
      <c r="D24" s="404">
        <f>IF(D16&gt;100,IF(D16&gt;220,220-100,D16-100),0)</f>
        <v>120</v>
      </c>
      <c r="E24" s="406">
        <f t="shared" si="9"/>
        <v>0.3657503146916023</v>
      </c>
      <c r="F24" s="404">
        <f t="shared" si="12"/>
        <v>43.89</v>
      </c>
      <c r="G24" s="404">
        <f t="shared" si="10"/>
        <v>1.28</v>
      </c>
      <c r="H24" s="411">
        <f t="shared" si="11"/>
        <v>43.89</v>
      </c>
      <c r="I24" s="397"/>
      <c r="J24" s="411">
        <f t="shared" si="8"/>
        <v>7.4613000000000005</v>
      </c>
      <c r="K24" s="406">
        <f>K25*(1-A24)</f>
        <v>0.29288700000000001</v>
      </c>
      <c r="L24" s="137"/>
      <c r="M24" s="400"/>
      <c r="N24" s="400"/>
      <c r="O24" s="400"/>
      <c r="P24"/>
      <c r="Q24"/>
      <c r="R24"/>
      <c r="S24"/>
      <c r="T24"/>
      <c r="U24"/>
      <c r="V24"/>
      <c r="W24"/>
    </row>
    <row r="25" spans="1:30" s="1" customFormat="1" x14ac:dyDescent="0.3">
      <c r="A25" s="255">
        <v>0</v>
      </c>
      <c r="B25" s="397" t="s">
        <v>172</v>
      </c>
      <c r="C25" s="398" t="s">
        <v>53</v>
      </c>
      <c r="D25" s="404">
        <f>IF(D16&gt;220,D16-220,0)</f>
        <v>411</v>
      </c>
      <c r="E25" s="406">
        <f t="shared" si="9"/>
        <v>0.40638923854622472</v>
      </c>
      <c r="F25" s="404">
        <f t="shared" si="12"/>
        <v>167.03</v>
      </c>
      <c r="G25" s="404">
        <f t="shared" si="10"/>
        <v>4.88</v>
      </c>
      <c r="H25" s="411">
        <f t="shared" si="11"/>
        <v>167.03</v>
      </c>
      <c r="I25" s="397"/>
      <c r="J25" s="411">
        <f t="shared" si="8"/>
        <v>28.395100000000003</v>
      </c>
      <c r="K25" s="406">
        <f>IF(AND($B$13&lt;$F$2,$E$13&lt;$F$2),C6,IF($B$13&lt;$F$2,I6,F6))</f>
        <v>0.32543</v>
      </c>
      <c r="L25"/>
      <c r="M25"/>
      <c r="N25"/>
      <c r="O25" s="120"/>
      <c r="P25"/>
      <c r="Q25"/>
      <c r="R25"/>
      <c r="S25"/>
      <c r="T25"/>
      <c r="U25"/>
      <c r="V25"/>
      <c r="W25"/>
    </row>
    <row r="26" spans="1:30" s="1" customFormat="1" x14ac:dyDescent="0.3">
      <c r="B26" s="397" t="s">
        <v>173</v>
      </c>
      <c r="C26" s="398" t="s">
        <v>53</v>
      </c>
      <c r="D26" s="404">
        <f>D22</f>
        <v>30</v>
      </c>
      <c r="E26" s="406">
        <f t="shared" si="9"/>
        <v>0.12963545725189315</v>
      </c>
      <c r="F26" s="404">
        <f t="shared" si="12"/>
        <v>3.89</v>
      </c>
      <c r="G26" s="404">
        <f t="shared" si="10"/>
        <v>0.11</v>
      </c>
      <c r="H26" s="411">
        <f t="shared" si="11"/>
        <v>3.89</v>
      </c>
      <c r="I26" s="397"/>
      <c r="J26" s="411">
        <f t="shared" si="8"/>
        <v>0.66130000000000011</v>
      </c>
      <c r="K26" s="406">
        <f>K29*(1-A22)</f>
        <v>0.10381</v>
      </c>
      <c r="L26"/>
      <c r="M26"/>
      <c r="N26"/>
      <c r="O26" s="120"/>
      <c r="P26"/>
      <c r="Q26"/>
      <c r="R26"/>
      <c r="S26"/>
      <c r="T26"/>
      <c r="U26"/>
      <c r="V26"/>
      <c r="W26"/>
    </row>
    <row r="27" spans="1:30" s="1" customFormat="1" x14ac:dyDescent="0.3">
      <c r="B27" s="397" t="s">
        <v>174</v>
      </c>
      <c r="C27" s="398" t="s">
        <v>53</v>
      </c>
      <c r="D27" s="404">
        <f t="shared" ref="D27:D29" si="13">D23</f>
        <v>70</v>
      </c>
      <c r="E27" s="406">
        <f t="shared" si="9"/>
        <v>0.22223221243181684</v>
      </c>
      <c r="F27" s="404">
        <f t="shared" si="12"/>
        <v>15.56</v>
      </c>
      <c r="G27" s="404">
        <f t="shared" si="10"/>
        <v>0.45</v>
      </c>
      <c r="H27" s="411">
        <f t="shared" si="11"/>
        <v>15.56</v>
      </c>
      <c r="I27" s="397"/>
      <c r="J27" s="411">
        <f t="shared" si="8"/>
        <v>2.6452000000000004</v>
      </c>
      <c r="K27" s="406">
        <f>K29*(1-A23)</f>
        <v>0.17796000000000001</v>
      </c>
      <c r="L27"/>
      <c r="M27"/>
      <c r="N27"/>
      <c r="O27" s="120"/>
      <c r="P27"/>
      <c r="Q27"/>
      <c r="R27"/>
      <c r="S27"/>
      <c r="T27"/>
      <c r="U27"/>
      <c r="V27"/>
      <c r="W27"/>
    </row>
    <row r="28" spans="1:30" s="1" customFormat="1" x14ac:dyDescent="0.3">
      <c r="B28" s="397" t="s">
        <v>175</v>
      </c>
      <c r="C28" s="398" t="s">
        <v>53</v>
      </c>
      <c r="D28" s="404">
        <f t="shared" si="13"/>
        <v>120</v>
      </c>
      <c r="E28" s="406">
        <f t="shared" si="9"/>
        <v>0.33334831864772529</v>
      </c>
      <c r="F28" s="404">
        <f t="shared" si="12"/>
        <v>40</v>
      </c>
      <c r="G28" s="404">
        <f t="shared" si="10"/>
        <v>1.17</v>
      </c>
      <c r="H28" s="411">
        <f t="shared" si="11"/>
        <v>40</v>
      </c>
      <c r="I28" s="397"/>
      <c r="J28" s="411">
        <f t="shared" si="8"/>
        <v>6.8000000000000007</v>
      </c>
      <c r="K28" s="406">
        <f>K29*(1-A24)</f>
        <v>0.26694000000000001</v>
      </c>
      <c r="L28"/>
      <c r="M28"/>
      <c r="N28"/>
      <c r="O28" s="120"/>
      <c r="P28"/>
      <c r="Q28"/>
      <c r="R28"/>
      <c r="S28">
        <v>9.1321000000000002E-4</v>
      </c>
      <c r="T28">
        <v>0.03</v>
      </c>
      <c r="U28"/>
      <c r="V28"/>
      <c r="W28"/>
    </row>
    <row r="29" spans="1:30" s="1" customFormat="1" x14ac:dyDescent="0.3">
      <c r="B29" s="397" t="s">
        <v>176</v>
      </c>
      <c r="C29" s="398" t="s">
        <v>53</v>
      </c>
      <c r="D29" s="404">
        <f t="shared" si="13"/>
        <v>411</v>
      </c>
      <c r="E29" s="406">
        <f t="shared" si="9"/>
        <v>0.37038702071969476</v>
      </c>
      <c r="F29" s="404">
        <f t="shared" si="12"/>
        <v>152.22999999999999</v>
      </c>
      <c r="G29" s="404">
        <f t="shared" si="10"/>
        <v>4.45</v>
      </c>
      <c r="H29" s="411">
        <f t="shared" si="11"/>
        <v>152.22999999999999</v>
      </c>
      <c r="I29" s="397"/>
      <c r="J29" s="411">
        <f t="shared" si="8"/>
        <v>25.879100000000001</v>
      </c>
      <c r="K29" s="406">
        <f>IF(AND($B$13&lt;$F$2,$E$13&lt;$F$2),D6,IF($B$13&lt;$F$2,J6,G6))</f>
        <v>0.29660000000000003</v>
      </c>
      <c r="L29"/>
      <c r="M29"/>
      <c r="N29"/>
      <c r="O29" s="120"/>
      <c r="P29"/>
      <c r="Q29"/>
      <c r="R29"/>
      <c r="S29">
        <v>1.5655000000000001E-3</v>
      </c>
      <c r="T29">
        <v>0.11</v>
      </c>
      <c r="U29"/>
      <c r="V29"/>
      <c r="W29"/>
    </row>
    <row r="30" spans="1:30" s="1" customFormat="1" x14ac:dyDescent="0.3">
      <c r="B30" s="471" t="s">
        <v>210</v>
      </c>
      <c r="C30" s="398"/>
      <c r="D30" s="404">
        <v>30</v>
      </c>
      <c r="E30" s="406"/>
      <c r="F30" s="404">
        <v>0.58656003753984243</v>
      </c>
      <c r="G30" s="404">
        <v>0.02</v>
      </c>
      <c r="H30" s="411">
        <v>0.58656003753984243</v>
      </c>
      <c r="I30" s="397"/>
      <c r="J30" s="411">
        <v>9.9715206381773225E-2</v>
      </c>
      <c r="K30" s="406">
        <v>1.5620500000000001E-2</v>
      </c>
      <c r="O30" s="120"/>
      <c r="P30"/>
      <c r="Q30"/>
      <c r="R30"/>
      <c r="S30">
        <v>2.3482500000000001E-3</v>
      </c>
      <c r="T30">
        <v>0.28000000000000003</v>
      </c>
      <c r="U30"/>
      <c r="V30"/>
      <c r="W30"/>
    </row>
    <row r="31" spans="1:30" s="1" customFormat="1" x14ac:dyDescent="0.3">
      <c r="B31" s="471" t="s">
        <v>210</v>
      </c>
      <c r="C31" s="398"/>
      <c r="D31" s="404">
        <v>70</v>
      </c>
      <c r="E31" s="406"/>
      <c r="F31" s="404">
        <v>2.3337601493606499</v>
      </c>
      <c r="G31" s="404">
        <v>7.0000000000000007E-2</v>
      </c>
      <c r="H31" s="411">
        <v>2.3337601493606499</v>
      </c>
      <c r="I31" s="397"/>
      <c r="J31" s="411">
        <v>0.39673922539131051</v>
      </c>
      <c r="K31" s="406">
        <v>2.6778E-2</v>
      </c>
      <c r="L31" s="99"/>
      <c r="M31" s="99"/>
      <c r="N31" s="99"/>
      <c r="O31" s="120"/>
      <c r="P31"/>
      <c r="Q31" s="428"/>
      <c r="R31"/>
      <c r="S31">
        <v>2.6091700000000001E-3</v>
      </c>
      <c r="T31">
        <v>0.22</v>
      </c>
      <c r="U31"/>
      <c r="V31"/>
      <c r="W31"/>
    </row>
    <row r="32" spans="1:30" s="1" customFormat="1" x14ac:dyDescent="0.3">
      <c r="B32" s="471" t="s">
        <v>210</v>
      </c>
      <c r="C32" s="398"/>
      <c r="D32" s="404">
        <v>120</v>
      </c>
      <c r="E32" s="406"/>
      <c r="F32" s="404">
        <v>6.0153603849830652</v>
      </c>
      <c r="G32" s="404">
        <v>0.17</v>
      </c>
      <c r="H32" s="411">
        <v>6.0153603849830652</v>
      </c>
      <c r="I32" s="397"/>
      <c r="J32" s="411">
        <v>1.0226112654471211</v>
      </c>
      <c r="K32" s="406">
        <v>4.0167000000000001E-2</v>
      </c>
      <c r="L32" s="99"/>
      <c r="M32" s="99"/>
      <c r="N32" s="99"/>
      <c r="O32" s="120"/>
      <c r="P32" s="434"/>
      <c r="Q32" s="428"/>
      <c r="R32"/>
      <c r="S32"/>
      <c r="T32"/>
      <c r="U32"/>
      <c r="V32"/>
      <c r="W32"/>
    </row>
    <row r="33" spans="2:23" s="1" customFormat="1" x14ac:dyDescent="0.3">
      <c r="B33" s="471" t="s">
        <v>210</v>
      </c>
      <c r="C33" s="398"/>
      <c r="D33" s="404">
        <v>411</v>
      </c>
      <c r="E33" s="406"/>
      <c r="F33" s="404">
        <v>22.888321464852574</v>
      </c>
      <c r="G33" s="404">
        <v>0.66</v>
      </c>
      <c r="H33" s="411">
        <v>22.888321464852574</v>
      </c>
      <c r="I33" s="397"/>
      <c r="J33" s="411">
        <v>3.891014649024938</v>
      </c>
      <c r="K33" s="406">
        <v>4.4630000000000003E-2</v>
      </c>
      <c r="L33" s="99"/>
      <c r="M33" s="99"/>
      <c r="N33" s="99"/>
      <c r="O33" s="120"/>
      <c r="P33"/>
      <c r="Q33" s="429"/>
      <c r="R33"/>
      <c r="S33"/>
      <c r="T33"/>
      <c r="U33"/>
      <c r="V33"/>
      <c r="W33"/>
    </row>
    <row r="34" spans="2:23" s="1" customFormat="1" x14ac:dyDescent="0.3">
      <c r="B34" s="471"/>
      <c r="C34" s="398"/>
      <c r="D34" s="404"/>
      <c r="E34" s="406"/>
      <c r="F34" s="404"/>
      <c r="G34" s="404"/>
      <c r="H34" s="411"/>
      <c r="I34" s="397"/>
      <c r="J34" s="411"/>
      <c r="K34" s="406"/>
      <c r="L34" s="99"/>
      <c r="M34" s="99"/>
      <c r="N34" s="99"/>
      <c r="O34" s="120"/>
      <c r="P34"/>
      <c r="Q34" s="429"/>
      <c r="R34"/>
      <c r="S34"/>
      <c r="T34"/>
      <c r="U34"/>
      <c r="V34"/>
      <c r="W34"/>
    </row>
    <row r="35" spans="2:23" s="1" customFormat="1" x14ac:dyDescent="0.3">
      <c r="B35" s="471"/>
      <c r="C35" s="398"/>
      <c r="D35" s="404"/>
      <c r="E35" s="406"/>
      <c r="F35" s="404"/>
      <c r="G35" s="404"/>
      <c r="H35" s="411"/>
      <c r="I35" s="397"/>
      <c r="J35" s="411"/>
      <c r="K35" s="406"/>
      <c r="L35" s="99"/>
      <c r="M35" s="99"/>
      <c r="N35" s="99"/>
      <c r="O35" s="120"/>
      <c r="P35"/>
      <c r="Q35" s="429"/>
      <c r="R35"/>
      <c r="S35"/>
      <c r="T35"/>
      <c r="U35"/>
      <c r="V35"/>
      <c r="W35"/>
    </row>
    <row r="36" spans="2:23" s="1" customFormat="1" x14ac:dyDescent="0.3">
      <c r="B36" s="471"/>
      <c r="C36" s="398"/>
      <c r="D36" s="404"/>
      <c r="E36" s="406"/>
      <c r="F36" s="404"/>
      <c r="G36" s="404"/>
      <c r="H36" s="411"/>
      <c r="I36" s="397"/>
      <c r="J36" s="411"/>
      <c r="K36" s="406"/>
      <c r="L36" s="99"/>
      <c r="M36" s="99"/>
      <c r="N36" s="99"/>
      <c r="O36" s="120"/>
      <c r="P36"/>
      <c r="Q36" s="429"/>
      <c r="R36"/>
      <c r="S36"/>
      <c r="T36"/>
      <c r="U36"/>
      <c r="V36"/>
      <c r="W36"/>
    </row>
    <row r="37" spans="2:23" s="1" customFormat="1" x14ac:dyDescent="0.3">
      <c r="B37" s="471"/>
      <c r="C37" s="398"/>
      <c r="D37" s="404"/>
      <c r="E37" s="406"/>
      <c r="F37" s="404"/>
      <c r="G37" s="404"/>
      <c r="H37" s="411"/>
      <c r="I37" s="397"/>
      <c r="J37" s="411"/>
      <c r="K37" s="406"/>
      <c r="L37" s="99"/>
      <c r="M37" s="99"/>
      <c r="N37" s="99"/>
      <c r="O37" s="120"/>
      <c r="P37"/>
      <c r="Q37" s="429"/>
      <c r="R37"/>
      <c r="S37"/>
      <c r="T37"/>
      <c r="U37"/>
      <c r="V37"/>
      <c r="W37"/>
    </row>
    <row r="38" spans="2:23" s="1" customFormat="1" x14ac:dyDescent="0.3">
      <c r="B38" s="420"/>
      <c r="C38" s="421"/>
      <c r="D38" s="422"/>
      <c r="E38" s="423"/>
      <c r="F38" s="422"/>
      <c r="G38" s="422"/>
      <c r="H38" s="424"/>
      <c r="I38" s="420"/>
      <c r="J38" s="422"/>
      <c r="K38" s="423"/>
      <c r="L38" s="99"/>
      <c r="M38" s="99"/>
      <c r="N38" s="99"/>
      <c r="O38" s="120"/>
      <c r="P38"/>
      <c r="Q38"/>
      <c r="R38"/>
      <c r="S38"/>
      <c r="T38"/>
      <c r="U38"/>
      <c r="V38"/>
      <c r="W38"/>
    </row>
    <row r="39" spans="2:23" s="1" customFormat="1" x14ac:dyDescent="0.3">
      <c r="B39" s="397" t="s">
        <v>61</v>
      </c>
      <c r="C39" s="397"/>
      <c r="D39" s="397"/>
      <c r="E39" s="397"/>
      <c r="F39" s="402"/>
      <c r="G39" s="397"/>
      <c r="H39" s="397"/>
      <c r="I39" s="397"/>
      <c r="J39" s="397"/>
      <c r="K39" s="397"/>
      <c r="L39" s="99"/>
      <c r="M39" s="99"/>
      <c r="N39" s="99"/>
      <c r="O39" s="120"/>
      <c r="P39" s="12"/>
      <c r="Q39"/>
      <c r="R39"/>
      <c r="S39"/>
      <c r="T39"/>
      <c r="U39"/>
      <c r="V39"/>
      <c r="W39"/>
    </row>
    <row r="40" spans="2:23" s="1" customFormat="1" x14ac:dyDescent="0.3">
      <c r="B40" s="397" t="s">
        <v>62</v>
      </c>
      <c r="C40" s="397"/>
      <c r="D40" s="397"/>
      <c r="E40" s="397"/>
      <c r="F40" s="402"/>
      <c r="G40" s="397"/>
      <c r="H40" s="397"/>
      <c r="I40" s="397"/>
      <c r="J40" s="397"/>
      <c r="K40" s="397"/>
      <c r="L40" s="99"/>
      <c r="M40" s="99"/>
      <c r="N40" s="99"/>
      <c r="O40" s="120"/>
      <c r="P40"/>
      <c r="Q40"/>
      <c r="R40"/>
      <c r="S40"/>
      <c r="T40"/>
      <c r="U40"/>
      <c r="V40"/>
      <c r="W40"/>
    </row>
    <row r="41" spans="2:23" s="99" customFormat="1" x14ac:dyDescent="0.3">
      <c r="B41" s="397" t="s">
        <v>63</v>
      </c>
      <c r="C41" s="397"/>
      <c r="D41" s="438"/>
      <c r="E41" s="397"/>
      <c r="F41" s="402"/>
      <c r="G41" s="397"/>
      <c r="H41" s="397"/>
      <c r="I41" s="397"/>
      <c r="J41" s="397"/>
      <c r="K41" s="397"/>
      <c r="O41" s="120"/>
      <c r="S41" s="441"/>
    </row>
    <row r="42" spans="2:23" s="1" customFormat="1" x14ac:dyDescent="0.3">
      <c r="B42" s="397" t="s">
        <v>142</v>
      </c>
      <c r="C42" s="397"/>
      <c r="D42" s="397"/>
      <c r="E42" s="397"/>
      <c r="F42" s="402"/>
      <c r="G42" s="397"/>
      <c r="H42" s="397"/>
      <c r="I42" s="397"/>
      <c r="J42" s="397"/>
      <c r="K42" s="397"/>
      <c r="L42" s="99"/>
      <c r="M42" s="99"/>
      <c r="N42" s="99"/>
      <c r="O42" s="120"/>
      <c r="P42"/>
      <c r="Q42" s="46"/>
      <c r="R42"/>
      <c r="S42"/>
      <c r="T42"/>
      <c r="U42"/>
      <c r="V42"/>
      <c r="W42"/>
    </row>
    <row r="43" spans="2:23" s="1" customFormat="1" x14ac:dyDescent="0.3">
      <c r="B43" s="397" t="s">
        <v>65</v>
      </c>
      <c r="C43" s="397"/>
      <c r="D43" s="397"/>
      <c r="E43" s="397"/>
      <c r="F43" s="402"/>
      <c r="G43" s="397"/>
      <c r="H43" s="397"/>
      <c r="I43" s="397"/>
      <c r="J43" s="397"/>
      <c r="K43" s="397"/>
      <c r="L43" s="99"/>
      <c r="M43" s="99"/>
      <c r="N43" s="99"/>
      <c r="O43" s="120"/>
      <c r="P43"/>
      <c r="Q43"/>
      <c r="R43"/>
      <c r="S43"/>
      <c r="T43"/>
      <c r="U43"/>
      <c r="V43"/>
      <c r="W43"/>
    </row>
    <row r="44" spans="2:23" s="1" customFormat="1" x14ac:dyDescent="0.3"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99"/>
      <c r="M44" s="99"/>
      <c r="N44" s="99"/>
      <c r="O44" s="120"/>
      <c r="P44"/>
      <c r="Q44" s="46"/>
      <c r="R44"/>
      <c r="S44"/>
      <c r="T44"/>
      <c r="U44"/>
      <c r="V44"/>
      <c r="W44"/>
    </row>
    <row r="45" spans="2:23" s="1" customFormat="1" x14ac:dyDescent="0.3">
      <c r="B45" s="397"/>
      <c r="C45" s="397"/>
      <c r="D45" s="397"/>
      <c r="E45" s="397"/>
      <c r="F45" s="397"/>
      <c r="G45" s="397"/>
      <c r="H45" s="397"/>
      <c r="I45" s="397"/>
      <c r="J45" s="397"/>
      <c r="K45" s="397"/>
      <c r="L45" s="99"/>
      <c r="M45" s="99"/>
      <c r="N45" s="99"/>
      <c r="O45" s="120"/>
      <c r="P45"/>
      <c r="Q45"/>
      <c r="R45"/>
      <c r="S45"/>
      <c r="T45"/>
      <c r="U45"/>
      <c r="V45"/>
      <c r="W45"/>
    </row>
    <row r="46" spans="2:23" s="1" customFormat="1" x14ac:dyDescent="0.3">
      <c r="B46" s="405" t="s">
        <v>66</v>
      </c>
      <c r="C46" s="400"/>
      <c r="D46" s="400"/>
      <c r="E46" s="400"/>
      <c r="F46" s="407">
        <f>SUM(F20:F45)</f>
        <v>483.67223503090185</v>
      </c>
      <c r="G46" s="410">
        <f>SUM(G22:G45)</f>
        <v>13.88</v>
      </c>
      <c r="H46" s="412">
        <f>SUM(H20:H45)</f>
        <v>522.2830196494757</v>
      </c>
      <c r="I46" s="400"/>
      <c r="J46" s="412">
        <f>SUM(J20:J45)</f>
        <v>88.788113340410874</v>
      </c>
      <c r="K46" s="400"/>
      <c r="L46" s="127"/>
      <c r="M46" s="127"/>
      <c r="N46" s="127"/>
      <c r="O46" s="137"/>
      <c r="P46"/>
      <c r="Q46"/>
      <c r="R46"/>
      <c r="S46"/>
      <c r="T46"/>
      <c r="U46"/>
      <c r="V46"/>
      <c r="W46"/>
    </row>
    <row r="47" spans="2:23" s="1" customFormat="1" x14ac:dyDescent="0.3">
      <c r="B47" s="99"/>
      <c r="C47" s="99"/>
      <c r="D47" s="99"/>
      <c r="E47" s="99"/>
      <c r="F47" s="99"/>
      <c r="G47" s="99"/>
      <c r="H47" s="99"/>
      <c r="I47" s="99"/>
      <c r="J47" s="99"/>
      <c r="K47" s="99"/>
      <c r="L47" s="99"/>
      <c r="M47" s="99"/>
      <c r="N47" s="99"/>
      <c r="O47" s="99"/>
      <c r="P47"/>
      <c r="Q47"/>
      <c r="R47"/>
      <c r="S47"/>
      <c r="T47"/>
      <c r="U47"/>
      <c r="V47"/>
      <c r="W47"/>
    </row>
    <row r="48" spans="2:23" s="1" customFormat="1" x14ac:dyDescent="0.3">
      <c r="B48" s="415" t="s">
        <v>67</v>
      </c>
      <c r="C48" s="416"/>
      <c r="D48" s="417"/>
      <c r="E48" s="417"/>
      <c r="F48" s="415">
        <f>(D22*AK12)+(D23*AK13)+(D24*AK14)+(D25*AK15)</f>
        <v>0.68603284870914805</v>
      </c>
      <c r="G48" s="99"/>
      <c r="H48" s="99"/>
      <c r="I48" s="99"/>
      <c r="J48" s="99"/>
      <c r="K48" s="99"/>
      <c r="L48" s="99"/>
      <c r="M48" s="99"/>
      <c r="N48" s="99"/>
      <c r="O48" s="99"/>
      <c r="P48"/>
      <c r="Q48"/>
      <c r="R48"/>
      <c r="S48"/>
      <c r="T48"/>
      <c r="U48"/>
      <c r="V48"/>
      <c r="W48"/>
    </row>
    <row r="49" spans="2:23" s="1" customFormat="1" x14ac:dyDescent="0.3">
      <c r="B49" s="192"/>
      <c r="C49" s="193"/>
      <c r="D49" s="193"/>
      <c r="E49" s="192"/>
      <c r="G49"/>
      <c r="H49"/>
      <c r="I49"/>
      <c r="J49"/>
      <c r="K49"/>
      <c r="N49" s="194"/>
      <c r="O49" s="195"/>
      <c r="P49"/>
      <c r="Q49"/>
      <c r="R49"/>
      <c r="S49"/>
      <c r="T49"/>
      <c r="U49"/>
      <c r="V49"/>
      <c r="W49"/>
    </row>
    <row r="50" spans="2:23" s="1" customFormat="1" x14ac:dyDescent="0.3">
      <c r="B50" s="192"/>
      <c r="C50" s="193"/>
      <c r="D50" s="193"/>
      <c r="E50" s="192"/>
      <c r="G50"/>
      <c r="H50"/>
      <c r="I50"/>
      <c r="J50"/>
      <c r="K50"/>
      <c r="N50" s="194"/>
      <c r="O50" s="195"/>
      <c r="P50">
        <v>0.25</v>
      </c>
      <c r="Q50"/>
      <c r="R50"/>
      <c r="S50"/>
      <c r="T50"/>
      <c r="U50"/>
      <c r="V50"/>
      <c r="W50"/>
    </row>
    <row r="51" spans="2:23" x14ac:dyDescent="0.3">
      <c r="B51" s="499" t="s">
        <v>178</v>
      </c>
      <c r="C51" s="500"/>
      <c r="D51" s="500"/>
      <c r="E51" s="500"/>
      <c r="F51" s="500"/>
      <c r="G51" s="500"/>
      <c r="H51" s="500"/>
      <c r="I51" s="500"/>
      <c r="J51" s="500"/>
      <c r="K51" s="501"/>
      <c r="M51" s="302"/>
      <c r="P51" s="97">
        <v>0.32</v>
      </c>
    </row>
    <row r="52" spans="2:23" x14ac:dyDescent="0.3">
      <c r="B52" s="280"/>
      <c r="C52" s="281"/>
      <c r="D52" s="281"/>
      <c r="E52" s="282"/>
      <c r="F52" s="283"/>
      <c r="G52" s="282"/>
      <c r="H52" s="284"/>
      <c r="I52" s="285" t="s">
        <v>53</v>
      </c>
      <c r="J52" s="286"/>
      <c r="K52" s="287"/>
      <c r="P52" s="97">
        <v>1.23</v>
      </c>
    </row>
    <row r="53" spans="2:23" x14ac:dyDescent="0.3">
      <c r="B53" s="288" t="s">
        <v>73</v>
      </c>
      <c r="C53" s="289"/>
      <c r="D53" s="289"/>
      <c r="E53" s="290"/>
      <c r="F53" s="291"/>
      <c r="G53" s="290"/>
      <c r="H53" s="292"/>
      <c r="I53" s="293">
        <f>D16</f>
        <v>631</v>
      </c>
      <c r="J53" s="294"/>
      <c r="K53" s="295"/>
      <c r="P53" s="365">
        <f>SUM(P50:P52)</f>
        <v>1.8</v>
      </c>
    </row>
    <row r="54" spans="2:23" ht="10.5" customHeight="1" x14ac:dyDescent="0.3">
      <c r="B54" s="296"/>
      <c r="C54" s="297"/>
      <c r="D54" s="297"/>
      <c r="E54" s="297"/>
      <c r="F54" s="297"/>
      <c r="G54" s="297"/>
      <c r="H54" s="297"/>
      <c r="I54" s="298"/>
      <c r="J54" s="299"/>
      <c r="K54" s="300"/>
    </row>
    <row r="55" spans="2:23" x14ac:dyDescent="0.3">
      <c r="B55" s="240" t="s">
        <v>36</v>
      </c>
      <c r="C55" s="241"/>
      <c r="D55" s="241"/>
      <c r="E55" s="223" t="s">
        <v>69</v>
      </c>
      <c r="F55" s="109"/>
      <c r="G55" s="223" t="s">
        <v>70</v>
      </c>
      <c r="H55" s="223" t="s">
        <v>14</v>
      </c>
      <c r="I55" s="223" t="s">
        <v>15</v>
      </c>
      <c r="J55" s="223" t="s">
        <v>71</v>
      </c>
      <c r="K55" s="242" t="s">
        <v>179</v>
      </c>
    </row>
    <row r="56" spans="2:23" x14ac:dyDescent="0.3">
      <c r="B56" s="243" t="s">
        <v>72</v>
      </c>
      <c r="C56" s="244"/>
      <c r="D56" s="244"/>
      <c r="E56" s="245"/>
      <c r="F56" s="244"/>
      <c r="G56" s="246"/>
      <c r="H56" s="244"/>
      <c r="I56" s="247"/>
      <c r="J56" s="247"/>
      <c r="K56" s="248">
        <f>+SUM(J58:J71)</f>
        <v>454.60796725459056</v>
      </c>
      <c r="M56" s="174"/>
      <c r="R56" s="308" t="s">
        <v>50</v>
      </c>
      <c r="S56" s="308" t="s">
        <v>51</v>
      </c>
    </row>
    <row r="57" spans="2:23" ht="6" customHeight="1" x14ac:dyDescent="0.3">
      <c r="B57" s="249"/>
      <c r="C57" s="250"/>
      <c r="D57" s="250"/>
      <c r="E57" s="251"/>
      <c r="F57" s="250"/>
      <c r="G57" s="252"/>
      <c r="H57" s="250"/>
      <c r="I57" s="253"/>
      <c r="J57" s="253"/>
      <c r="K57" s="254"/>
    </row>
    <row r="58" spans="2:23" x14ac:dyDescent="0.3">
      <c r="B58" s="255">
        <v>0.65</v>
      </c>
      <c r="C58" s="138" t="s">
        <v>180</v>
      </c>
      <c r="D58" s="138"/>
      <c r="E58" s="256">
        <f>IF(I53&gt;0,30,0)</f>
        <v>30</v>
      </c>
      <c r="F58" s="138" t="s">
        <v>53</v>
      </c>
      <c r="G58" s="239">
        <f>G61*(1-B58)</f>
        <v>0.11390049999999999</v>
      </c>
      <c r="H58" s="239">
        <f>H61*(1-B58)</f>
        <v>0.10381</v>
      </c>
      <c r="I58" s="239">
        <f t="shared" ref="I58:I60" si="14">G58+H58</f>
        <v>0.21771049999999997</v>
      </c>
      <c r="J58" s="257">
        <f>ROUND(E58*G58,2)+ROUND(E58*H58,2)</f>
        <v>6.5299999999999994</v>
      </c>
      <c r="K58" s="254"/>
      <c r="M58"/>
      <c r="N58"/>
      <c r="O58"/>
      <c r="P58"/>
      <c r="R58" s="344">
        <f>IF(AND($B$13&lt;$F$2,$E$13&lt;$F$2),R6,IF($B$13&lt;$F$2,X6,U6))*(1-B58)</f>
        <v>7.1340752676126967E-2</v>
      </c>
      <c r="S58" s="330">
        <f>E58*R58</f>
        <v>2.1402225802838091</v>
      </c>
      <c r="U58" s="343">
        <f>E58*G58</f>
        <v>3.4170149999999997</v>
      </c>
    </row>
    <row r="59" spans="2:23" x14ac:dyDescent="0.3">
      <c r="B59" s="255">
        <v>0.4</v>
      </c>
      <c r="C59" s="138" t="s">
        <v>181</v>
      </c>
      <c r="D59" s="138"/>
      <c r="E59" s="256">
        <f>IF(I53&gt;30,IF(I53&gt;100,70,I53-30),0)</f>
        <v>70</v>
      </c>
      <c r="F59" s="138" t="s">
        <v>53</v>
      </c>
      <c r="G59" s="239">
        <f>G61*(1-B59)</f>
        <v>0.19525799999999999</v>
      </c>
      <c r="H59" s="239">
        <f>H61*(1-B59)</f>
        <v>0.17796000000000001</v>
      </c>
      <c r="I59" s="239">
        <f t="shared" si="14"/>
        <v>0.37321799999999999</v>
      </c>
      <c r="J59" s="257">
        <f t="shared" ref="J59:J61" si="15">ROUND(E59*G59,2)+ROUND(E59*H59,2)</f>
        <v>26.130000000000003</v>
      </c>
      <c r="K59" s="254"/>
      <c r="M59"/>
      <c r="N59"/>
      <c r="O59"/>
      <c r="P59"/>
      <c r="R59" s="344">
        <f>IF(AND($B$13&lt;$F$2,$E$13&lt;$F$2),R6,IF($B$13&lt;$F$2,X6,U6))*(1-B59)</f>
        <v>0.12229843315907481</v>
      </c>
      <c r="S59" s="330">
        <f>E59*R59</f>
        <v>8.5608903211352363</v>
      </c>
      <c r="U59" s="343">
        <f>E59*G59</f>
        <v>13.668059999999999</v>
      </c>
    </row>
    <row r="60" spans="2:23" x14ac:dyDescent="0.3">
      <c r="B60" s="255">
        <v>0.1</v>
      </c>
      <c r="C60" s="138" t="s">
        <v>182</v>
      </c>
      <c r="D60" s="138"/>
      <c r="E60" s="256">
        <f>IF(I53&gt;100,IF(I53&gt;220,220-100,I53-100),0)</f>
        <v>120</v>
      </c>
      <c r="F60" s="138" t="s">
        <v>53</v>
      </c>
      <c r="G60" s="239">
        <f>G61*(1-B60)</f>
        <v>0.29288700000000001</v>
      </c>
      <c r="H60" s="239">
        <f>H61*(1-B60)</f>
        <v>0.26694000000000001</v>
      </c>
      <c r="I60" s="239">
        <f t="shared" si="14"/>
        <v>0.55982700000000007</v>
      </c>
      <c r="J60" s="257">
        <f t="shared" si="15"/>
        <v>67.180000000000007</v>
      </c>
      <c r="K60" s="254"/>
      <c r="R60" s="344">
        <f>IF(AND($B$13&lt;$F$2,$E$13&lt;$F$2),R6,IF($B$13&lt;$F$2,X6,U6))*(1-B60)</f>
        <v>0.18344764973861222</v>
      </c>
      <c r="S60" s="330">
        <f>E60*R60</f>
        <v>22.013717968633465</v>
      </c>
      <c r="U60" s="343">
        <f>E60*G60</f>
        <v>35.146439999999998</v>
      </c>
    </row>
    <row r="61" spans="2:23" x14ac:dyDescent="0.3">
      <c r="B61" s="255">
        <v>0</v>
      </c>
      <c r="C61" s="138" t="s">
        <v>183</v>
      </c>
      <c r="D61" s="138"/>
      <c r="E61" s="256">
        <f>IF(I53&gt;220,I53-220,0)</f>
        <v>411</v>
      </c>
      <c r="F61" s="138" t="s">
        <v>53</v>
      </c>
      <c r="G61" s="239">
        <f>IF(AND($B$13&lt;$F$2,$E$13&lt;$F$2),C6,IF($B$13&lt;$F$2,I6,F6))</f>
        <v>0.32543</v>
      </c>
      <c r="H61" s="239">
        <f>IF(AND($B$13&lt;$F$2,$E$13&lt;$F$2),D6,IF($B$13&lt;$F$2,J6,G6))</f>
        <v>0.29660000000000003</v>
      </c>
      <c r="I61" s="239">
        <f>G61+H61</f>
        <v>0.62203000000000008</v>
      </c>
      <c r="J61" s="257">
        <f t="shared" si="15"/>
        <v>255.65</v>
      </c>
      <c r="K61" s="254"/>
      <c r="R61" s="344">
        <f>IF(AND($B$13&lt;$F$2,$E$13&lt;$F$2),R6,IF($B$13&lt;$F$2,X6,U6))*(1-B61)</f>
        <v>0.20383072193179136</v>
      </c>
      <c r="S61" s="330">
        <f>E61*R61</f>
        <v>83.77442671396625</v>
      </c>
      <c r="U61" s="343">
        <f>E61*G61</f>
        <v>133.75173000000001</v>
      </c>
    </row>
    <row r="62" spans="2:23" x14ac:dyDescent="0.3">
      <c r="B62" s="249"/>
      <c r="C62" s="138" t="s">
        <v>184</v>
      </c>
      <c r="D62" s="138"/>
      <c r="E62" s="256"/>
      <c r="F62" s="138"/>
      <c r="G62" s="258"/>
      <c r="H62" s="258"/>
      <c r="I62" s="259"/>
      <c r="J62" s="257">
        <f>AC85</f>
        <v>2.2200000000000002</v>
      </c>
      <c r="K62" s="254"/>
      <c r="R62" s="327"/>
      <c r="S62" s="330"/>
      <c r="U62" s="343">
        <f>SUM(U58:U61)</f>
        <v>185.98324500000001</v>
      </c>
    </row>
    <row r="63" spans="2:23" x14ac:dyDescent="0.3">
      <c r="B63" s="249"/>
      <c r="C63" s="138" t="s">
        <v>185</v>
      </c>
      <c r="D63" s="138"/>
      <c r="E63" s="256"/>
      <c r="F63" s="138"/>
      <c r="G63" s="258"/>
      <c r="H63" s="258"/>
      <c r="I63" s="259"/>
      <c r="J63" s="257">
        <f>AC94</f>
        <v>0</v>
      </c>
      <c r="K63" s="254"/>
    </row>
    <row r="64" spans="2:23" x14ac:dyDescent="0.3">
      <c r="B64" s="249"/>
      <c r="C64" s="138" t="s">
        <v>186</v>
      </c>
      <c r="D64" s="138"/>
      <c r="E64" s="256"/>
      <c r="F64" s="138"/>
      <c r="G64" s="258"/>
      <c r="H64" s="258"/>
      <c r="I64" s="259"/>
      <c r="J64" s="257">
        <f>+AC103</f>
        <v>0</v>
      </c>
      <c r="K64" s="254"/>
    </row>
    <row r="65" spans="2:31" x14ac:dyDescent="0.3">
      <c r="B65" s="249"/>
      <c r="C65" s="138" t="s">
        <v>187</v>
      </c>
      <c r="D65" s="138"/>
      <c r="E65" s="256"/>
      <c r="F65" s="138"/>
      <c r="G65" s="258"/>
      <c r="H65" s="258"/>
      <c r="I65" s="259"/>
      <c r="J65" s="257">
        <f>AC112</f>
        <v>0</v>
      </c>
      <c r="K65" s="254"/>
    </row>
    <row r="66" spans="2:31" ht="6" customHeight="1" x14ac:dyDescent="0.3">
      <c r="B66" s="249"/>
      <c r="C66" s="138"/>
      <c r="D66" s="138"/>
      <c r="E66" s="256"/>
      <c r="F66" s="138"/>
      <c r="G66" s="258"/>
      <c r="H66" s="258"/>
      <c r="I66" s="258"/>
      <c r="J66" s="257"/>
      <c r="K66" s="254"/>
    </row>
    <row r="67" spans="2:31" x14ac:dyDescent="0.3">
      <c r="B67" s="260" t="s">
        <v>46</v>
      </c>
      <c r="C67" s="138"/>
      <c r="D67" s="138"/>
      <c r="E67" s="252" t="s">
        <v>188</v>
      </c>
      <c r="F67" s="252"/>
      <c r="G67" s="252"/>
      <c r="H67" s="252" t="s">
        <v>189</v>
      </c>
      <c r="I67" s="258"/>
      <c r="J67" s="257"/>
      <c r="K67" s="254"/>
    </row>
    <row r="68" spans="2:31" x14ac:dyDescent="0.3">
      <c r="B68" s="249"/>
      <c r="C68" s="138" t="s">
        <v>76</v>
      </c>
      <c r="D68" s="138"/>
      <c r="E68" s="261">
        <f>SUM(J58:J65)/(1-H68-H69)</f>
        <v>370.76077943615263</v>
      </c>
      <c r="F68" s="138"/>
      <c r="G68" s="258"/>
      <c r="H68" s="262">
        <f>N22</f>
        <v>6.3E-3</v>
      </c>
      <c r="I68" s="258"/>
      <c r="J68" s="257">
        <f>E68*H68</f>
        <v>2.3357929104477617</v>
      </c>
      <c r="K68" s="254"/>
    </row>
    <row r="69" spans="2:31" x14ac:dyDescent="0.3">
      <c r="B69" s="249"/>
      <c r="C69" s="138" t="s">
        <v>190</v>
      </c>
      <c r="D69" s="138"/>
      <c r="E69" s="261">
        <f>E68</f>
        <v>370.76077943615263</v>
      </c>
      <c r="F69" s="138"/>
      <c r="G69" s="258"/>
      <c r="H69" s="262">
        <f>N23</f>
        <v>2.8899999999999999E-2</v>
      </c>
      <c r="I69" s="258"/>
      <c r="J69" s="257">
        <f t="shared" ref="J69:J71" si="16">E69*H69</f>
        <v>10.714986525704811</v>
      </c>
      <c r="K69" s="254"/>
    </row>
    <row r="70" spans="2:31" x14ac:dyDescent="0.3">
      <c r="B70" s="249"/>
      <c r="C70" s="138" t="s">
        <v>191</v>
      </c>
      <c r="D70" s="138"/>
      <c r="E70" s="264">
        <f>(E68)/(1-H70)</f>
        <v>446.69973426042486</v>
      </c>
      <c r="F70" s="138"/>
      <c r="G70" s="258"/>
      <c r="H70" s="312">
        <f>I21</f>
        <v>0.17</v>
      </c>
      <c r="I70" s="258"/>
      <c r="J70" s="257">
        <f t="shared" si="16"/>
        <v>75.93895482427223</v>
      </c>
      <c r="K70" s="254"/>
      <c r="M70" s="175"/>
    </row>
    <row r="71" spans="2:31" x14ac:dyDescent="0.3">
      <c r="B71" s="249"/>
      <c r="C71" s="263" t="s">
        <v>177</v>
      </c>
      <c r="D71" s="263"/>
      <c r="E71" s="264">
        <f>K102</f>
        <v>46.519017612739525</v>
      </c>
      <c r="F71" s="263"/>
      <c r="G71" s="265"/>
      <c r="H71" s="266">
        <f>H70</f>
        <v>0.17</v>
      </c>
      <c r="I71" s="265"/>
      <c r="J71" s="267">
        <f t="shared" si="16"/>
        <v>7.9082329941657195</v>
      </c>
      <c r="K71" s="254"/>
      <c r="M71" s="176"/>
      <c r="N71" s="176"/>
    </row>
    <row r="72" spans="2:31" ht="6" customHeight="1" x14ac:dyDescent="0.3">
      <c r="B72" s="249"/>
      <c r="C72" s="138"/>
      <c r="D72" s="138"/>
      <c r="E72" s="261"/>
      <c r="F72" s="138"/>
      <c r="G72" s="258"/>
      <c r="H72" s="268"/>
      <c r="I72" s="258"/>
      <c r="J72" s="269"/>
      <c r="K72" s="254"/>
      <c r="M72" s="177"/>
      <c r="N72" s="178"/>
    </row>
    <row r="73" spans="2:31" x14ac:dyDescent="0.3">
      <c r="B73" s="260" t="s">
        <v>192</v>
      </c>
      <c r="C73" s="138"/>
      <c r="D73" s="138"/>
      <c r="E73" s="261"/>
      <c r="F73" s="138"/>
      <c r="G73" s="258"/>
      <c r="H73" s="268"/>
      <c r="I73" s="258"/>
      <c r="J73" s="269"/>
      <c r="K73" s="254"/>
      <c r="M73"/>
      <c r="N73"/>
    </row>
    <row r="74" spans="2:31" x14ac:dyDescent="0.3">
      <c r="B74" s="249"/>
      <c r="C74" s="138"/>
      <c r="D74" s="138"/>
      <c r="E74" s="261"/>
      <c r="F74" s="138"/>
      <c r="G74" s="258"/>
      <c r="H74" s="268"/>
      <c r="I74" s="258"/>
      <c r="J74" s="269"/>
      <c r="K74" s="270"/>
      <c r="M74"/>
      <c r="N74"/>
    </row>
    <row r="75" spans="2:31" x14ac:dyDescent="0.3">
      <c r="B75" s="249"/>
      <c r="C75" s="138"/>
      <c r="D75" s="138"/>
      <c r="E75" s="261"/>
      <c r="F75" s="138"/>
      <c r="G75" s="258"/>
      <c r="H75" s="268"/>
      <c r="I75" s="258"/>
      <c r="J75" s="269"/>
      <c r="K75" s="270"/>
      <c r="M75"/>
      <c r="N75"/>
    </row>
    <row r="76" spans="2:31" x14ac:dyDescent="0.3">
      <c r="B76" s="271"/>
      <c r="C76" s="272"/>
      <c r="D76" s="272"/>
      <c r="E76" s="273"/>
      <c r="F76" s="272"/>
      <c r="G76" s="274"/>
      <c r="H76" s="275"/>
      <c r="I76" s="274"/>
      <c r="J76" s="276"/>
      <c r="K76" s="277"/>
      <c r="M76"/>
      <c r="N76"/>
      <c r="P76" s="97" t="s">
        <v>73</v>
      </c>
    </row>
    <row r="77" spans="2:31" ht="9" customHeight="1" x14ac:dyDescent="0.3">
      <c r="B77" s="138"/>
      <c r="C77" s="138"/>
      <c r="D77" s="138"/>
      <c r="E77" s="138"/>
      <c r="F77" s="138"/>
      <c r="G77" s="138"/>
      <c r="H77" s="138"/>
      <c r="I77" s="278"/>
      <c r="J77" s="278"/>
      <c r="K77" s="278"/>
      <c r="M77"/>
      <c r="N77"/>
    </row>
    <row r="78" spans="2:31" x14ac:dyDescent="0.3">
      <c r="B78" s="138"/>
      <c r="C78" s="138"/>
      <c r="D78" s="226"/>
      <c r="E78" s="250"/>
      <c r="F78" s="109"/>
      <c r="G78" s="109"/>
      <c r="H78" s="138"/>
      <c r="I78" s="491" t="s">
        <v>193</v>
      </c>
      <c r="J78" s="492"/>
      <c r="K78" s="493"/>
      <c r="P78" s="3" t="s">
        <v>12</v>
      </c>
      <c r="Q78" s="3"/>
      <c r="R78" s="3"/>
      <c r="S78" s="3"/>
      <c r="T78" s="3"/>
      <c r="U78" s="3"/>
      <c r="V78" s="8"/>
      <c r="W78" s="8"/>
      <c r="X78" s="9"/>
      <c r="Y78" s="426">
        <f>N4</f>
        <v>1.8849999999999999E-2</v>
      </c>
      <c r="Z78" s="50"/>
      <c r="AA78" s="6"/>
      <c r="AB78" s="6"/>
      <c r="AC78" s="11"/>
      <c r="AD78"/>
      <c r="AE78"/>
    </row>
    <row r="79" spans="2:31" ht="27.6" x14ac:dyDescent="0.3">
      <c r="B79" s="138"/>
      <c r="C79" s="138"/>
      <c r="D79" s="226"/>
      <c r="E79" s="279"/>
      <c r="F79" s="109"/>
      <c r="G79" s="138"/>
      <c r="H79" s="138"/>
      <c r="I79" s="494">
        <f>K56+K74+K75+K76</f>
        <v>454.60796725459056</v>
      </c>
      <c r="J79" s="495"/>
      <c r="K79" s="496"/>
      <c r="N79" s="179"/>
      <c r="P79"/>
      <c r="Q79" s="17" t="s">
        <v>73</v>
      </c>
      <c r="R79" s="497"/>
      <c r="S79" s="498"/>
      <c r="T79" s="64"/>
      <c r="U79" s="497"/>
      <c r="V79" s="498"/>
      <c r="W79" s="64"/>
      <c r="X79" s="497" t="s">
        <v>194</v>
      </c>
      <c r="Y79" s="498"/>
      <c r="Z79" s="64"/>
      <c r="AA79" s="497" t="s">
        <v>195</v>
      </c>
      <c r="AB79" s="498"/>
      <c r="AC79" s="18" t="s">
        <v>196</v>
      </c>
      <c r="AD79"/>
      <c r="AE79" s="2"/>
    </row>
    <row r="80" spans="2:31" x14ac:dyDescent="0.3">
      <c r="B80" s="97"/>
      <c r="C80" s="97"/>
      <c r="D80" s="97"/>
      <c r="E80" s="97"/>
      <c r="F80" s="97"/>
      <c r="G80" s="97"/>
      <c r="H80" s="97"/>
      <c r="I80" s="97"/>
      <c r="J80" s="97"/>
      <c r="K80" s="136"/>
      <c r="P80"/>
      <c r="Q80" s="19" t="s">
        <v>197</v>
      </c>
      <c r="R80" s="20"/>
      <c r="S80" s="20"/>
      <c r="T80" s="20"/>
      <c r="U80" s="20"/>
      <c r="V80" s="20"/>
      <c r="W80" s="20"/>
      <c r="X80" s="20"/>
      <c r="Y80" s="20" t="s">
        <v>14</v>
      </c>
      <c r="Z80" s="20"/>
      <c r="AA80" s="20" t="s">
        <v>13</v>
      </c>
      <c r="AB80" s="20" t="s">
        <v>14</v>
      </c>
      <c r="AC80" s="20" t="s">
        <v>198</v>
      </c>
      <c r="AD80"/>
      <c r="AE80" s="1"/>
    </row>
    <row r="81" spans="2:31" x14ac:dyDescent="0.3">
      <c r="B81" s="198" t="s">
        <v>199</v>
      </c>
      <c r="C81" s="199"/>
      <c r="D81" s="199"/>
      <c r="E81" s="199"/>
      <c r="F81" s="199"/>
      <c r="G81" s="199"/>
      <c r="H81" s="200">
        <f>K101</f>
        <v>37.010784999999998</v>
      </c>
      <c r="I81" s="96" t="s">
        <v>115</v>
      </c>
      <c r="J81" s="154"/>
      <c r="K81" s="180"/>
      <c r="L81" s="181"/>
      <c r="M81" s="181"/>
      <c r="N81" s="181"/>
      <c r="O81" s="181"/>
      <c r="P81"/>
      <c r="Q81" s="36">
        <f>IF($K$11=$P$78,(E58*($K$13)/($K$13+$L$13)),0)+IF($L$11=$P$78,(E58*($L$13)/($K$13+$L$13)),0)</f>
        <v>6.2068965517241379</v>
      </c>
      <c r="R81" s="34"/>
      <c r="S81" s="34"/>
      <c r="T81" s="34"/>
      <c r="U81" s="4"/>
      <c r="V81" s="4"/>
      <c r="W81" s="4"/>
      <c r="X81" s="4"/>
      <c r="Y81" s="4">
        <f>$Y$78*(1-AE81)</f>
        <v>6.5974999999999992E-3</v>
      </c>
      <c r="Z81" s="4"/>
      <c r="AA81" s="5"/>
      <c r="AB81" s="5">
        <f>ROUND((Q81*Y81),2)</f>
        <v>0.04</v>
      </c>
      <c r="AC81" s="10">
        <f>AA81+AB81</f>
        <v>0.04</v>
      </c>
      <c r="AD81" s="12"/>
      <c r="AE81" s="16">
        <v>0.65</v>
      </c>
    </row>
    <row r="82" spans="2:31" x14ac:dyDescent="0.3">
      <c r="B82" s="366" t="s">
        <v>78</v>
      </c>
      <c r="C82" s="367"/>
      <c r="D82" s="368"/>
      <c r="E82" s="369"/>
      <c r="F82" s="369"/>
      <c r="G82" s="367"/>
      <c r="H82" s="366">
        <f>IF(AND($B$13&lt;$F$2,$E$13&lt;$F$2),(E58*AK12)+(E59*AK13)+(E60*AK14)+(E61*AK15),(E58*AM12)+(E59*AM13)+(E60*AM14)+(E61*AM15))</f>
        <v>0.68603284870914805</v>
      </c>
      <c r="N82" s="179"/>
      <c r="P82"/>
      <c r="Q82" s="36">
        <f>IF($K$11=$P$78,(E59*($K$13)/($K$13+$L$13)),0)+IF($L$11=$P$78,(E59*($L$13)/($K$13+$L$13)),0)</f>
        <v>14.482758620689655</v>
      </c>
      <c r="R82" s="34"/>
      <c r="S82" s="34"/>
      <c r="T82" s="34"/>
      <c r="U82" s="4"/>
      <c r="V82" s="4"/>
      <c r="W82" s="4"/>
      <c r="X82" s="4"/>
      <c r="Y82" s="4">
        <f t="shared" ref="Y82:Y84" si="17">$Y$78*(1-AE82)</f>
        <v>1.1309999999999999E-2</v>
      </c>
      <c r="Z82" s="4"/>
      <c r="AA82" s="5"/>
      <c r="AB82" s="5">
        <f t="shared" ref="AB82:AB84" si="18">ROUND((Q82*Y82),2)</f>
        <v>0.16</v>
      </c>
      <c r="AC82" s="10">
        <f>AA82+AB82</f>
        <v>0.16</v>
      </c>
      <c r="AD82" s="12"/>
      <c r="AE82" s="16">
        <v>0.4</v>
      </c>
    </row>
    <row r="83" spans="2:31" x14ac:dyDescent="0.3">
      <c r="G83" s="97"/>
      <c r="H83" s="97"/>
      <c r="N83" s="179"/>
      <c r="P83"/>
      <c r="Q83" s="36">
        <f>IF($K$11=$P$78,(E60*($K$13)/($K$13+$L$13)),0)+IF($L$11=$P$78,(E60*($L$13)/($K$13+$L$13)),0)</f>
        <v>24.827586206896552</v>
      </c>
      <c r="R83" s="34"/>
      <c r="S83" s="34"/>
      <c r="T83" s="34"/>
      <c r="U83" s="4"/>
      <c r="V83" s="4"/>
      <c r="W83" s="4"/>
      <c r="X83" s="4"/>
      <c r="Y83" s="4">
        <f t="shared" si="17"/>
        <v>1.6965000000000001E-2</v>
      </c>
      <c r="Z83" s="4"/>
      <c r="AA83" s="5"/>
      <c r="AB83" s="5">
        <f t="shared" si="18"/>
        <v>0.42</v>
      </c>
      <c r="AC83" s="10">
        <f>AA83+AB83</f>
        <v>0.42</v>
      </c>
      <c r="AD83" s="12"/>
      <c r="AE83" s="16">
        <v>0.1</v>
      </c>
    </row>
    <row r="84" spans="2:31" x14ac:dyDescent="0.3">
      <c r="G84" s="97"/>
      <c r="H84" s="97"/>
      <c r="I84" s="173" t="s">
        <v>200</v>
      </c>
      <c r="J84" s="173" t="s">
        <v>201</v>
      </c>
      <c r="K84" s="11"/>
      <c r="N84" s="179"/>
      <c r="P84"/>
      <c r="Q84" s="36">
        <f>IF($K$11=$P$78,(E61*($K$13)/($K$13+$L$13)),0)+IF($L$11=$P$78,(E61*($L$13)/($K$13+$L$13)),0)</f>
        <v>85.034482758620683</v>
      </c>
      <c r="R84" s="34"/>
      <c r="S84" s="34"/>
      <c r="T84" s="34"/>
      <c r="U84" s="4"/>
      <c r="V84" s="4"/>
      <c r="W84" s="4"/>
      <c r="X84" s="4"/>
      <c r="Y84" s="4">
        <f t="shared" si="17"/>
        <v>1.8849999999999999E-2</v>
      </c>
      <c r="Z84" s="4"/>
      <c r="AA84" s="5"/>
      <c r="AB84" s="5">
        <f t="shared" si="18"/>
        <v>1.6</v>
      </c>
      <c r="AC84" s="10">
        <f>AA84+AB84</f>
        <v>1.6</v>
      </c>
      <c r="AD84" s="12"/>
      <c r="AE84" s="16">
        <v>0</v>
      </c>
    </row>
    <row r="85" spans="2:31" x14ac:dyDescent="0.3">
      <c r="G85" s="182" t="s">
        <v>202</v>
      </c>
      <c r="H85" s="183">
        <f>I53</f>
        <v>631</v>
      </c>
      <c r="I85" s="4">
        <f>G61</f>
        <v>0.32543</v>
      </c>
      <c r="J85" s="4">
        <f>H61</f>
        <v>0.29660000000000003</v>
      </c>
      <c r="K85" s="10">
        <f>H85*(I85+J85)</f>
        <v>392.50093000000004</v>
      </c>
      <c r="L85" s="447">
        <f>K85-K95</f>
        <v>37.010784999999998</v>
      </c>
      <c r="N85" s="179"/>
      <c r="P85"/>
      <c r="Q85" s="52" t="s">
        <v>66</v>
      </c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4"/>
      <c r="AC85" s="30">
        <f>SUM(AC81:AC84)</f>
        <v>2.2200000000000002</v>
      </c>
      <c r="AD85"/>
      <c r="AE85"/>
    </row>
    <row r="86" spans="2:31" x14ac:dyDescent="0.3">
      <c r="G86" s="15" t="s">
        <v>12</v>
      </c>
      <c r="H86" s="183">
        <f>IF($K$11=$P$78,(H85*($K$13)/($K$13+$L$13)),0)+IF($L$11=$P$78,(H85*($L$13)/($K$13+$L$13)),0)</f>
        <v>130.55172413793105</v>
      </c>
      <c r="I86" s="97"/>
      <c r="J86" s="4">
        <f>Y78</f>
        <v>1.8849999999999999E-2</v>
      </c>
      <c r="K86" s="185">
        <f>H86*(I86+J86)</f>
        <v>2.4609000000000001</v>
      </c>
      <c r="L86" s="343">
        <f>K86-K96</f>
        <v>0.24089999999999989</v>
      </c>
      <c r="P86" s="3"/>
      <c r="Q86" s="3"/>
      <c r="R86" s="3"/>
      <c r="S86" s="3"/>
      <c r="T86" s="3"/>
      <c r="U86" s="3"/>
      <c r="V86" s="8"/>
      <c r="W86" s="8"/>
      <c r="X86" s="9"/>
      <c r="Y86" s="9"/>
      <c r="Z86" s="9"/>
      <c r="AA86" s="6"/>
      <c r="AB86" s="6"/>
      <c r="AC86" s="31"/>
      <c r="AD86"/>
      <c r="AE86"/>
    </row>
    <row r="87" spans="2:31" x14ac:dyDescent="0.3">
      <c r="G87" s="15" t="s">
        <v>16</v>
      </c>
      <c r="H87" s="183">
        <f>IF($K$11=$P$87,(H85*($K$13)/($K$13+$L$13)),0)+IF($L$11=$P$87,(H85*($L$13)/($K$13+$L$13)),0)</f>
        <v>0</v>
      </c>
      <c r="I87" s="97"/>
      <c r="J87" s="4">
        <f>Y87</f>
        <v>4.4630000000000003E-2</v>
      </c>
      <c r="K87" s="185">
        <f>H87*(I87+J87)</f>
        <v>0</v>
      </c>
      <c r="L87" s="343">
        <f t="shared" ref="L87:L89" si="19">K87-K97</f>
        <v>0</v>
      </c>
      <c r="P87" s="3" t="s">
        <v>16</v>
      </c>
      <c r="Q87" s="3"/>
      <c r="R87" s="3"/>
      <c r="S87" s="3"/>
      <c r="T87" s="3"/>
      <c r="U87" s="3"/>
      <c r="V87" s="8"/>
      <c r="W87" s="8"/>
      <c r="X87" s="9"/>
      <c r="Y87" s="426">
        <f>N5</f>
        <v>4.4630000000000003E-2</v>
      </c>
      <c r="Z87" s="50"/>
      <c r="AA87" s="6"/>
      <c r="AB87" s="6"/>
      <c r="AC87" s="11"/>
      <c r="AD87"/>
      <c r="AE87"/>
    </row>
    <row r="88" spans="2:31" ht="27.6" x14ac:dyDescent="0.3">
      <c r="G88" s="15" t="s">
        <v>19</v>
      </c>
      <c r="H88" s="183">
        <f>IF($K$11=$P$96,(H85*($K$13)/($K$13+$L$13)),0)+IF($L$11=$P$96,(H85*($L$13)/($K$13+$L$13)),0)</f>
        <v>0</v>
      </c>
      <c r="J88" s="4">
        <f>Y96</f>
        <v>7.8770000000000007E-2</v>
      </c>
      <c r="K88" s="185">
        <f>H88*(I88+J88)</f>
        <v>0</v>
      </c>
      <c r="L88" s="343">
        <f t="shared" si="19"/>
        <v>0</v>
      </c>
      <c r="P88"/>
      <c r="Q88" s="17" t="s">
        <v>73</v>
      </c>
      <c r="R88" s="497"/>
      <c r="S88" s="498"/>
      <c r="T88" s="64"/>
      <c r="U88" s="497"/>
      <c r="V88" s="498"/>
      <c r="W88" s="64"/>
      <c r="X88" s="497" t="s">
        <v>11</v>
      </c>
      <c r="Y88" s="498"/>
      <c r="Z88" s="64"/>
      <c r="AA88" s="497" t="s">
        <v>195</v>
      </c>
      <c r="AB88" s="498"/>
      <c r="AC88" s="18" t="s">
        <v>196</v>
      </c>
      <c r="AD88"/>
      <c r="AE88" s="2"/>
    </row>
    <row r="89" spans="2:31" x14ac:dyDescent="0.3">
      <c r="G89" s="15" t="s">
        <v>21</v>
      </c>
      <c r="H89" s="183">
        <f>IF($K$11=$P$105,(H85*($K$13)/($K$13+$L$13)),0)+IF($L$11=$P$105,(H85*($L$13)/($K$13+$L$13)),0)</f>
        <v>0</v>
      </c>
      <c r="J89" s="4">
        <f>Y105</f>
        <v>0.14199999999999999</v>
      </c>
      <c r="K89" s="185">
        <f>H89*(I89+J89)</f>
        <v>0</v>
      </c>
      <c r="L89" s="343">
        <f t="shared" si="19"/>
        <v>0</v>
      </c>
      <c r="P89"/>
      <c r="Q89" s="19" t="s">
        <v>197</v>
      </c>
      <c r="R89" s="20"/>
      <c r="S89" s="20"/>
      <c r="T89" s="20"/>
      <c r="U89" s="20" t="s">
        <v>13</v>
      </c>
      <c r="V89" s="20" t="s">
        <v>14</v>
      </c>
      <c r="W89" s="20"/>
      <c r="X89" s="20" t="s">
        <v>13</v>
      </c>
      <c r="Y89" s="20" t="s">
        <v>14</v>
      </c>
      <c r="Z89" s="20"/>
      <c r="AA89" s="20" t="s">
        <v>13</v>
      </c>
      <c r="AB89" s="20" t="s">
        <v>14</v>
      </c>
      <c r="AC89" s="20" t="s">
        <v>198</v>
      </c>
      <c r="AD89"/>
      <c r="AE89" s="1"/>
    </row>
    <row r="90" spans="2:31" x14ac:dyDescent="0.3">
      <c r="G90"/>
      <c r="H90"/>
      <c r="I90"/>
      <c r="J90"/>
      <c r="K90"/>
      <c r="L90" s="343">
        <f>SUM(L85:L89)</f>
        <v>37.251684999999995</v>
      </c>
      <c r="M90"/>
      <c r="N90"/>
      <c r="P90"/>
      <c r="Q90" s="36">
        <f>IF($K$11=$P$87,(E58*($K$13)/($K$13+$L$13)),0)+IF($L$11=$P$87,(E58*($L$13)/($K$13+$L$13)),0)</f>
        <v>0</v>
      </c>
      <c r="R90" s="34"/>
      <c r="S90" s="34"/>
      <c r="T90" s="34"/>
      <c r="U90" s="4"/>
      <c r="V90" s="4"/>
      <c r="W90" s="4"/>
      <c r="X90" s="4"/>
      <c r="Y90" s="4">
        <f>$Y$87*(1-AE90)</f>
        <v>1.5620500000000001E-2</v>
      </c>
      <c r="Z90" s="4"/>
      <c r="AA90" s="5"/>
      <c r="AB90" s="5">
        <f>ROUND((Q90*Y90),2)</f>
        <v>0</v>
      </c>
      <c r="AC90" s="10">
        <f>AA90+AB90</f>
        <v>0</v>
      </c>
      <c r="AD90" s="12"/>
      <c r="AE90" s="16">
        <v>0.65</v>
      </c>
    </row>
    <row r="91" spans="2:31" x14ac:dyDescent="0.3">
      <c r="G91" s="138"/>
      <c r="H91" s="183">
        <f>IF(H85&gt;0,30,0)</f>
        <v>30</v>
      </c>
      <c r="I91" s="4">
        <f t="shared" ref="I91:J94" si="20">G58</f>
        <v>0.11390049999999999</v>
      </c>
      <c r="J91" s="4">
        <f t="shared" si="20"/>
        <v>0.10381</v>
      </c>
      <c r="K91" s="10">
        <f>H91*(I91+J91)</f>
        <v>6.5313149999999993</v>
      </c>
      <c r="P91"/>
      <c r="Q91" s="36">
        <f>IF($K$11=$P$87,(E59*($K$13)/($K$13+$L$13)),0)+IF($L$11=$P$87,(E59*($L$13)/($K$13+$L$13)),0)</f>
        <v>0</v>
      </c>
      <c r="R91" s="34"/>
      <c r="S91" s="34"/>
      <c r="T91" s="34"/>
      <c r="U91" s="4"/>
      <c r="V91" s="4"/>
      <c r="W91" s="4"/>
      <c r="X91" s="4"/>
      <c r="Y91" s="4">
        <f t="shared" ref="Y91:Y93" si="21">$Y$87*(1-AE91)</f>
        <v>2.6778E-2</v>
      </c>
      <c r="Z91" s="4"/>
      <c r="AA91" s="5"/>
      <c r="AB91" s="5">
        <f t="shared" ref="AB91:AB93" si="22">ROUND((Q91*Y91),2)</f>
        <v>0</v>
      </c>
      <c r="AC91" s="10">
        <f>AA91+AB91</f>
        <v>0</v>
      </c>
      <c r="AD91" s="12"/>
      <c r="AE91" s="16">
        <v>0.4</v>
      </c>
    </row>
    <row r="92" spans="2:31" x14ac:dyDescent="0.3">
      <c r="G92" s="138"/>
      <c r="H92" s="183">
        <f>IF(H85&gt;30,IF(H85&gt;100,70,H85-30),0)</f>
        <v>70</v>
      </c>
      <c r="I92" s="4">
        <f t="shared" si="20"/>
        <v>0.19525799999999999</v>
      </c>
      <c r="J92" s="4">
        <f t="shared" si="20"/>
        <v>0.17796000000000001</v>
      </c>
      <c r="K92" s="10">
        <f>H92*(I92+J92)</f>
        <v>26.125260000000001</v>
      </c>
      <c r="P92"/>
      <c r="Q92" s="36">
        <f>IF($K$11=$P$87,(E60*($K$13)/($K$13+$L$13)),0)+IF($L$11=$P$87,(E60*($L$13)/($K$13+$L$13)),0)</f>
        <v>0</v>
      </c>
      <c r="R92" s="34"/>
      <c r="S92" s="34"/>
      <c r="T92" s="34"/>
      <c r="U92" s="4"/>
      <c r="V92" s="4"/>
      <c r="W92" s="4"/>
      <c r="X92" s="4"/>
      <c r="Y92" s="4">
        <f t="shared" si="21"/>
        <v>4.0167000000000001E-2</v>
      </c>
      <c r="Z92" s="4"/>
      <c r="AA92" s="5"/>
      <c r="AB92" s="5">
        <f t="shared" si="22"/>
        <v>0</v>
      </c>
      <c r="AC92" s="10">
        <f>AA92+AB92</f>
        <v>0</v>
      </c>
      <c r="AD92" s="12"/>
      <c r="AE92" s="16">
        <v>0.1</v>
      </c>
    </row>
    <row r="93" spans="2:31" x14ac:dyDescent="0.3">
      <c r="G93" s="138"/>
      <c r="H93" s="183">
        <f>IF(H85&gt;100,IF(H85&gt;220,220-100,H85-100),0)</f>
        <v>120</v>
      </c>
      <c r="I93" s="4">
        <f t="shared" si="20"/>
        <v>0.29288700000000001</v>
      </c>
      <c r="J93" s="4">
        <f t="shared" si="20"/>
        <v>0.26694000000000001</v>
      </c>
      <c r="K93" s="10">
        <f>H93*(I93+J93)</f>
        <v>67.179240000000007</v>
      </c>
      <c r="P93"/>
      <c r="Q93" s="36">
        <f>IF($K$11=$P$87,(E61*($K$13)/($K$13+$L$13)),0)+IF($L$11=$P$87,(E61*($L$13)/($K$13+$L$13)),0)</f>
        <v>0</v>
      </c>
      <c r="R93" s="34"/>
      <c r="S93" s="34"/>
      <c r="T93" s="34"/>
      <c r="U93" s="4"/>
      <c r="V93" s="4"/>
      <c r="W93" s="4"/>
      <c r="X93" s="4"/>
      <c r="Y93" s="4">
        <f t="shared" si="21"/>
        <v>4.4630000000000003E-2</v>
      </c>
      <c r="Z93" s="4"/>
      <c r="AA93" s="5"/>
      <c r="AB93" s="5">
        <f t="shared" si="22"/>
        <v>0</v>
      </c>
      <c r="AC93" s="10">
        <f>AA93+AB93</f>
        <v>0</v>
      </c>
      <c r="AD93" s="12"/>
      <c r="AE93" s="16">
        <v>0</v>
      </c>
    </row>
    <row r="94" spans="2:31" x14ac:dyDescent="0.3">
      <c r="G94" s="138"/>
      <c r="H94" s="183">
        <f>IF(H85&gt;220,H85-220,0)</f>
        <v>411</v>
      </c>
      <c r="I94" s="4">
        <f t="shared" si="20"/>
        <v>0.32543</v>
      </c>
      <c r="J94" s="4">
        <f t="shared" si="20"/>
        <v>0.29660000000000003</v>
      </c>
      <c r="K94" s="10">
        <f>H94*(I94+J94)</f>
        <v>255.65433000000004</v>
      </c>
      <c r="P94"/>
      <c r="Q94" s="52" t="s">
        <v>66</v>
      </c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4"/>
      <c r="AC94" s="30">
        <f>SUM(AC90:AC93)</f>
        <v>0</v>
      </c>
      <c r="AD94"/>
      <c r="AE94"/>
    </row>
    <row r="95" spans="2:31" x14ac:dyDescent="0.3">
      <c r="G95"/>
      <c r="K95" s="10">
        <f>SUM(K91:K94)</f>
        <v>355.49014500000004</v>
      </c>
      <c r="P95" s="3"/>
      <c r="Q95" s="3"/>
      <c r="R95" s="3"/>
      <c r="S95" s="3"/>
      <c r="T95" s="3"/>
      <c r="U95" s="3"/>
      <c r="V95" s="8"/>
      <c r="W95" s="8"/>
      <c r="X95" s="9"/>
      <c r="Y95" s="9"/>
      <c r="Z95" s="9"/>
      <c r="AA95" s="6"/>
      <c r="AB95" s="6"/>
      <c r="AC95" s="11"/>
      <c r="AD95"/>
      <c r="AE95"/>
    </row>
    <row r="96" spans="2:31" x14ac:dyDescent="0.3">
      <c r="G96" s="15" t="s">
        <v>12</v>
      </c>
      <c r="H96"/>
      <c r="I96"/>
      <c r="J96"/>
      <c r="K96" s="185">
        <f>AC85</f>
        <v>2.2200000000000002</v>
      </c>
      <c r="P96" s="3" t="s">
        <v>19</v>
      </c>
      <c r="Q96" s="3"/>
      <c r="R96" s="3"/>
      <c r="S96" s="3"/>
      <c r="T96" s="3"/>
      <c r="U96" s="3"/>
      <c r="V96" s="8"/>
      <c r="W96" s="8"/>
      <c r="X96" s="9"/>
      <c r="Y96" s="426">
        <f>N6</f>
        <v>7.8770000000000007E-2</v>
      </c>
      <c r="Z96" s="50"/>
      <c r="AA96" s="6"/>
      <c r="AB96" s="6"/>
      <c r="AC96" s="11"/>
      <c r="AD96"/>
      <c r="AE96"/>
    </row>
    <row r="97" spans="2:33" ht="27.6" x14ac:dyDescent="0.3">
      <c r="G97" s="15" t="s">
        <v>16</v>
      </c>
      <c r="H97"/>
      <c r="I97"/>
      <c r="J97"/>
      <c r="K97" s="185">
        <f>AC94</f>
        <v>0</v>
      </c>
      <c r="P97"/>
      <c r="Q97" s="17" t="s">
        <v>73</v>
      </c>
      <c r="R97" s="497"/>
      <c r="S97" s="498"/>
      <c r="T97" s="64"/>
      <c r="U97" s="497"/>
      <c r="V97" s="498"/>
      <c r="W97" s="64"/>
      <c r="X97" s="497" t="s">
        <v>11</v>
      </c>
      <c r="Y97" s="498"/>
      <c r="Z97" s="64"/>
      <c r="AA97" s="497" t="s">
        <v>195</v>
      </c>
      <c r="AB97" s="498"/>
      <c r="AC97" s="18" t="s">
        <v>196</v>
      </c>
      <c r="AD97"/>
      <c r="AE97" s="2"/>
    </row>
    <row r="98" spans="2:33" x14ac:dyDescent="0.3">
      <c r="G98" s="15" t="s">
        <v>19</v>
      </c>
      <c r="H98"/>
      <c r="I98"/>
      <c r="J98"/>
      <c r="K98" s="185">
        <f>AC103</f>
        <v>0</v>
      </c>
      <c r="P98"/>
      <c r="Q98" s="19" t="s">
        <v>197</v>
      </c>
      <c r="R98" s="20"/>
      <c r="S98" s="20"/>
      <c r="T98" s="20"/>
      <c r="U98" s="20" t="s">
        <v>13</v>
      </c>
      <c r="V98" s="20" t="s">
        <v>14</v>
      </c>
      <c r="W98" s="20"/>
      <c r="X98" s="20" t="s">
        <v>13</v>
      </c>
      <c r="Y98" s="20" t="s">
        <v>14</v>
      </c>
      <c r="Z98" s="20"/>
      <c r="AA98" s="20" t="s">
        <v>13</v>
      </c>
      <c r="AB98" s="20" t="s">
        <v>14</v>
      </c>
      <c r="AC98" s="20" t="s">
        <v>198</v>
      </c>
      <c r="AD98"/>
      <c r="AE98" s="1"/>
    </row>
    <row r="99" spans="2:33" x14ac:dyDescent="0.3">
      <c r="G99" s="15" t="s">
        <v>21</v>
      </c>
      <c r="K99" s="185">
        <f>AC112</f>
        <v>0</v>
      </c>
      <c r="P99"/>
      <c r="Q99" s="36">
        <f>IF($K$11=$P$96,(E58*($K$13)/($K$13+$L$13)),0)+IF($L$11=$P$96,(E58*($L$13)/($K$13+$L$13)),0)</f>
        <v>0</v>
      </c>
      <c r="R99" s="34"/>
      <c r="S99" s="34"/>
      <c r="T99" s="34"/>
      <c r="U99" s="4"/>
      <c r="V99" s="4"/>
      <c r="W99" s="4"/>
      <c r="X99" s="4"/>
      <c r="Y99" s="4">
        <f>$Y$96*(1-AE99)</f>
        <v>2.75695E-2</v>
      </c>
      <c r="Z99" s="4"/>
      <c r="AA99" s="5"/>
      <c r="AB99" s="5">
        <f>ROUND((Q99*Y99),2)</f>
        <v>0</v>
      </c>
      <c r="AC99" s="10">
        <f>AA99+AB99</f>
        <v>0</v>
      </c>
      <c r="AD99" s="12"/>
      <c r="AE99" s="16">
        <v>0.65</v>
      </c>
    </row>
    <row r="100" spans="2:33" x14ac:dyDescent="0.3">
      <c r="G100" s="15"/>
      <c r="P100"/>
      <c r="Q100" s="36">
        <f>IF($K$11=$P$96,(E59*($K$13)/($K$13+$L$13)),0)+IF($L$11=$P$96,(E59*($L$13)/($K$13+$L$13)),0)</f>
        <v>0</v>
      </c>
      <c r="R100" s="34"/>
      <c r="S100" s="34"/>
      <c r="T100" s="34"/>
      <c r="U100" s="4"/>
      <c r="V100" s="4"/>
      <c r="W100" s="4"/>
      <c r="X100" s="4"/>
      <c r="Y100" s="4">
        <f t="shared" ref="Y100:Y102" si="23">$Y$96*(1-AE100)</f>
        <v>4.7262000000000005E-2</v>
      </c>
      <c r="Z100" s="4"/>
      <c r="AA100" s="5"/>
      <c r="AB100" s="5">
        <f t="shared" ref="AB100:AB102" si="24">ROUND((Q100*Y100),2)</f>
        <v>0</v>
      </c>
      <c r="AC100" s="10">
        <f>AA100+AB100</f>
        <v>0</v>
      </c>
      <c r="AD100" s="12"/>
      <c r="AE100" s="16">
        <v>0.4</v>
      </c>
    </row>
    <row r="101" spans="2:33" x14ac:dyDescent="0.3">
      <c r="J101" s="186" t="s">
        <v>199</v>
      </c>
      <c r="K101" s="187">
        <f>K85-K95</f>
        <v>37.010784999999998</v>
      </c>
      <c r="L101" s="51" t="s">
        <v>203</v>
      </c>
      <c r="P101"/>
      <c r="Q101" s="36">
        <f>IF($K$11=$P$96,(E60*($K$13)/($K$13+$L$13)),0)+IF($L$11=$P$96,(E60*($L$13)/($K$13+$L$13)),0)</f>
        <v>0</v>
      </c>
      <c r="R101" s="34"/>
      <c r="S101" s="34"/>
      <c r="T101" s="34"/>
      <c r="U101" s="4"/>
      <c r="V101" s="4"/>
      <c r="W101" s="4"/>
      <c r="X101" s="4"/>
      <c r="Y101" s="4">
        <f t="shared" si="23"/>
        <v>7.0893000000000012E-2</v>
      </c>
      <c r="Z101" s="4"/>
      <c r="AA101" s="5"/>
      <c r="AB101" s="5">
        <f t="shared" si="24"/>
        <v>0</v>
      </c>
      <c r="AC101" s="10">
        <f>AA101+AB101</f>
        <v>0</v>
      </c>
      <c r="AD101" s="12"/>
      <c r="AE101" s="16">
        <v>0.1</v>
      </c>
    </row>
    <row r="102" spans="2:33" x14ac:dyDescent="0.3">
      <c r="J102" s="188" t="s">
        <v>102</v>
      </c>
      <c r="K102" s="189">
        <f>K105</f>
        <v>46.519017612739525</v>
      </c>
      <c r="L102" s="51" t="s">
        <v>204</v>
      </c>
      <c r="P102"/>
      <c r="Q102" s="36">
        <f>IF($K$11=$P$96,(E61*($K$13)/($K$13+$L$13)),0)+IF($L$11=$P$96,(E61*($L$13)/($K$13+$L$13)),0)</f>
        <v>0</v>
      </c>
      <c r="R102" s="34"/>
      <c r="S102" s="34"/>
      <c r="T102" s="34"/>
      <c r="U102" s="4"/>
      <c r="V102" s="4"/>
      <c r="W102" s="4"/>
      <c r="X102" s="4"/>
      <c r="Y102" s="4">
        <f t="shared" si="23"/>
        <v>7.8770000000000007E-2</v>
      </c>
      <c r="Z102" s="4"/>
      <c r="AA102" s="5"/>
      <c r="AB102" s="5">
        <f t="shared" si="24"/>
        <v>0</v>
      </c>
      <c r="AC102" s="10">
        <f>AA102+AB102</f>
        <v>0</v>
      </c>
      <c r="AD102" s="12"/>
      <c r="AE102" s="16">
        <v>0</v>
      </c>
    </row>
    <row r="103" spans="2:33" x14ac:dyDescent="0.3">
      <c r="J103" s="15" t="s">
        <v>54</v>
      </c>
      <c r="K103" s="190">
        <f>(K101+K86+K87+K88+K89-K96-K97-K98-K99)/(1-H68-H69)</f>
        <v>38.610784618573803</v>
      </c>
      <c r="L103" s="46"/>
      <c r="P103"/>
      <c r="Q103" s="52" t="s">
        <v>66</v>
      </c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4"/>
      <c r="AC103" s="30">
        <f>SUM(AC99:AC102)</f>
        <v>0</v>
      </c>
      <c r="AD103"/>
      <c r="AE103"/>
    </row>
    <row r="104" spans="2:33" x14ac:dyDescent="0.3">
      <c r="J104" s="15" t="s">
        <v>56</v>
      </c>
      <c r="K104" s="191">
        <f>K103</f>
        <v>38.610784618573803</v>
      </c>
      <c r="L104" s="46"/>
    </row>
    <row r="105" spans="2:33" x14ac:dyDescent="0.3">
      <c r="J105" s="15" t="s">
        <v>77</v>
      </c>
      <c r="K105" s="313">
        <f>(K103)/(1-H71)</f>
        <v>46.519017612739525</v>
      </c>
      <c r="L105"/>
      <c r="P105" t="s">
        <v>21</v>
      </c>
      <c r="Q105" s="3"/>
      <c r="R105" s="3"/>
      <c r="S105" s="3"/>
      <c r="T105" s="3"/>
      <c r="U105" s="3"/>
      <c r="V105" s="8"/>
      <c r="W105" s="8"/>
      <c r="X105" s="9"/>
      <c r="Y105" s="426">
        <f>N7</f>
        <v>0.14199999999999999</v>
      </c>
      <c r="Z105" s="50"/>
      <c r="AA105" s="6"/>
      <c r="AB105" s="6"/>
      <c r="AC105" s="11"/>
      <c r="AD105"/>
      <c r="AE105"/>
    </row>
    <row r="106" spans="2:33" ht="27.6" x14ac:dyDescent="0.3">
      <c r="P106"/>
      <c r="Q106" s="17" t="s">
        <v>73</v>
      </c>
      <c r="R106" s="497"/>
      <c r="S106" s="498"/>
      <c r="T106" s="64"/>
      <c r="U106" s="497"/>
      <c r="V106" s="498"/>
      <c r="W106" s="64"/>
      <c r="X106" s="497" t="s">
        <v>11</v>
      </c>
      <c r="Y106" s="498"/>
      <c r="Z106" s="64"/>
      <c r="AA106" s="497" t="s">
        <v>195</v>
      </c>
      <c r="AB106" s="498"/>
      <c r="AC106" s="18" t="s">
        <v>196</v>
      </c>
      <c r="AD106"/>
      <c r="AE106" s="2"/>
    </row>
    <row r="107" spans="2:33" x14ac:dyDescent="0.3">
      <c r="B107" s="63" t="s">
        <v>79</v>
      </c>
      <c r="C107" s="1"/>
      <c r="D107" s="13"/>
      <c r="E107" s="13"/>
      <c r="P107"/>
      <c r="Q107" s="19" t="s">
        <v>197</v>
      </c>
      <c r="R107" s="20"/>
      <c r="S107" s="20"/>
      <c r="T107" s="20"/>
      <c r="U107" s="20" t="s">
        <v>13</v>
      </c>
      <c r="V107" s="20" t="s">
        <v>14</v>
      </c>
      <c r="W107" s="20"/>
      <c r="X107" s="20" t="s">
        <v>13</v>
      </c>
      <c r="Y107" s="20" t="s">
        <v>14</v>
      </c>
      <c r="Z107" s="20"/>
      <c r="AA107" s="20" t="s">
        <v>13</v>
      </c>
      <c r="AB107" s="20" t="s">
        <v>14</v>
      </c>
      <c r="AC107" s="20" t="s">
        <v>198</v>
      </c>
      <c r="AD107"/>
      <c r="AE107" s="1"/>
      <c r="AF107"/>
      <c r="AG107"/>
    </row>
    <row r="108" spans="2:33" x14ac:dyDescent="0.3">
      <c r="B108" s="56"/>
      <c r="C108" s="57" t="s">
        <v>71</v>
      </c>
      <c r="D108" s="1"/>
      <c r="E108" s="1"/>
      <c r="F108" s="13"/>
      <c r="P108"/>
      <c r="Q108" s="36">
        <f>IF($K$11=$P$105,(E58*($K$13)/($K$13+$L$13)),0)+IF($L$11=$P$105,(E58*($L$13)/($K$13+$L$13)),0)</f>
        <v>0</v>
      </c>
      <c r="R108" s="34"/>
      <c r="S108" s="34"/>
      <c r="T108" s="34"/>
      <c r="U108" s="4"/>
      <c r="V108" s="4"/>
      <c r="W108" s="4"/>
      <c r="X108" s="4"/>
      <c r="Y108" s="4">
        <f>$Y$105*(1-AE108)</f>
        <v>4.9699999999999994E-2</v>
      </c>
      <c r="Z108" s="4"/>
      <c r="AA108" s="5"/>
      <c r="AB108" s="5">
        <f>ROUND((Q108*Y108),2)</f>
        <v>0</v>
      </c>
      <c r="AC108" s="10">
        <f>AA108+AB108</f>
        <v>0</v>
      </c>
      <c r="AD108" s="12"/>
      <c r="AE108" s="16">
        <v>0.65</v>
      </c>
      <c r="AF108"/>
      <c r="AG108"/>
    </row>
    <row r="109" spans="2:33" x14ac:dyDescent="0.3">
      <c r="B109" s="56" t="s">
        <v>80</v>
      </c>
      <c r="C109" s="141">
        <f>SUM(J58:J65)*IF($B$13&lt;$F$2,D148,D120)</f>
        <v>190.12134783898472</v>
      </c>
      <c r="D109" s="1"/>
      <c r="E109" s="1"/>
      <c r="F109" s="1"/>
      <c r="G109" s="13"/>
      <c r="P109"/>
      <c r="Q109" s="36">
        <f>IF($K$11=$P$105,(E59*($K$13)/($K$13+$L$13)),0)+IF($L$11=$P$105,(E59*($L$13)/($K$13+$L$13)),0)</f>
        <v>0</v>
      </c>
      <c r="R109" s="34"/>
      <c r="S109" s="34"/>
      <c r="T109" s="34"/>
      <c r="U109" s="4"/>
      <c r="V109" s="4"/>
      <c r="W109" s="4"/>
      <c r="X109" s="4"/>
      <c r="Y109" s="4">
        <f t="shared" ref="Y109:Y111" si="25">$Y$105*(1-AE109)</f>
        <v>8.5199999999999984E-2</v>
      </c>
      <c r="Z109" s="4"/>
      <c r="AA109" s="5"/>
      <c r="AB109" s="5">
        <f t="shared" ref="AB109:AB111" si="26">ROUND((Q109*Y109),2)</f>
        <v>0</v>
      </c>
      <c r="AC109" s="10">
        <f>AA109+AB109</f>
        <v>0</v>
      </c>
      <c r="AD109" s="12"/>
      <c r="AE109" s="16">
        <v>0.4</v>
      </c>
      <c r="AF109"/>
      <c r="AG109"/>
    </row>
    <row r="110" spans="2:33" x14ac:dyDescent="0.3">
      <c r="B110" s="56" t="s">
        <v>81</v>
      </c>
      <c r="C110" s="141">
        <f>SUM(J58:J65)*IF($B$13&lt;$F$2,F148,F120)</f>
        <v>115.55634862714925</v>
      </c>
      <c r="D110" s="1"/>
      <c r="E110" s="1"/>
      <c r="F110" s="1"/>
      <c r="G110" s="1"/>
      <c r="P110"/>
      <c r="Q110" s="36">
        <f>IF($K$11=$P$105,(E60*($K$13)/($K$13+$L$13)),0)+IF($L$11=$P$105,(E60*($L$13)/($K$13+$L$13)),0)</f>
        <v>0</v>
      </c>
      <c r="R110" s="34"/>
      <c r="S110" s="34"/>
      <c r="T110" s="34"/>
      <c r="U110" s="4"/>
      <c r="V110" s="4"/>
      <c r="W110" s="4"/>
      <c r="X110" s="4"/>
      <c r="Y110" s="4">
        <f t="shared" si="25"/>
        <v>0.1278</v>
      </c>
      <c r="Z110" s="4"/>
      <c r="AA110" s="5"/>
      <c r="AB110" s="5">
        <f t="shared" si="26"/>
        <v>0</v>
      </c>
      <c r="AC110" s="10">
        <f>AA110+AB110</f>
        <v>0</v>
      </c>
      <c r="AD110" s="12"/>
      <c r="AE110" s="16">
        <v>0.1</v>
      </c>
      <c r="AF110"/>
      <c r="AG110"/>
    </row>
    <row r="111" spans="2:33" x14ac:dyDescent="0.3">
      <c r="B111" s="56" t="s">
        <v>82</v>
      </c>
      <c r="C111" s="141">
        <f>SUM(J58:J65)*IF($B$13&lt;$F$2,E148,E120)</f>
        <v>31.077075206773905</v>
      </c>
      <c r="D111" s="1"/>
      <c r="E111" s="1"/>
      <c r="F111" s="1"/>
      <c r="G111" s="1"/>
      <c r="P111"/>
      <c r="Q111" s="36">
        <f>IF($K$11=$P$105,(E61*($K$13)/($K$13+$L$13)),0)+IF($L$11=$P$105,(E61*($L$13)/($K$13+$L$13)),0)</f>
        <v>0</v>
      </c>
      <c r="R111" s="34"/>
      <c r="S111" s="34"/>
      <c r="T111" s="34"/>
      <c r="U111" s="4"/>
      <c r="V111" s="4"/>
      <c r="W111" s="4"/>
      <c r="X111" s="4"/>
      <c r="Y111" s="4">
        <f t="shared" si="25"/>
        <v>0.14199999999999999</v>
      </c>
      <c r="Z111" s="4"/>
      <c r="AA111" s="5"/>
      <c r="AB111" s="5">
        <f t="shared" si="26"/>
        <v>0</v>
      </c>
      <c r="AC111" s="10">
        <f>AA111+AB111</f>
        <v>0</v>
      </c>
      <c r="AD111" s="12"/>
      <c r="AE111" s="16">
        <v>0</v>
      </c>
      <c r="AF111"/>
      <c r="AG111"/>
    </row>
    <row r="112" spans="2:33" x14ac:dyDescent="0.3">
      <c r="B112" s="139" t="s">
        <v>83</v>
      </c>
      <c r="C112" s="141">
        <f>SUM(J58:J65)*IF($B$13&lt;$F$2,G148,G120)</f>
        <v>20.955228327092183</v>
      </c>
      <c r="D112" s="1"/>
      <c r="E112" s="1"/>
      <c r="F112" s="1"/>
      <c r="G112" s="1"/>
      <c r="P112"/>
      <c r="Q112" s="52" t="s">
        <v>66</v>
      </c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4"/>
      <c r="AC112" s="30">
        <f>SUM(AC108:AC111)</f>
        <v>0</v>
      </c>
      <c r="AD112"/>
      <c r="AE112"/>
      <c r="AF112"/>
      <c r="AG112"/>
    </row>
    <row r="113" spans="2:33" x14ac:dyDescent="0.3">
      <c r="B113" s="56" t="s">
        <v>84</v>
      </c>
      <c r="C113" s="59">
        <f>J68+J69+J70+J71</f>
        <v>96.897967254590512</v>
      </c>
      <c r="D113" s="1"/>
      <c r="E113" s="1"/>
      <c r="F113" s="1"/>
      <c r="G113" s="1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2:33" x14ac:dyDescent="0.3">
      <c r="B114" s="60" t="s">
        <v>85</v>
      </c>
      <c r="C114" s="61">
        <f>SUM(C109:C113)</f>
        <v>454.60796725459056</v>
      </c>
      <c r="D114" s="1"/>
      <c r="E114" s="1"/>
      <c r="F114" s="1"/>
      <c r="G114" s="1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2:33" x14ac:dyDescent="0.3">
      <c r="B115" s="1"/>
      <c r="C115" s="1"/>
      <c r="D115" s="1"/>
      <c r="E115" s="1"/>
      <c r="F115" s="1"/>
      <c r="G115" s="1"/>
      <c r="I115" s="472" t="s">
        <v>57</v>
      </c>
      <c r="J115" s="466"/>
      <c r="K115" s="467">
        <f>Q81</f>
        <v>6.2068965517241379</v>
      </c>
      <c r="L115" s="468"/>
      <c r="M115" s="467">
        <f>AC81/(1-$N$22-$N$23)/(1-$I$21)</f>
        <v>4.9951047972986475E-2</v>
      </c>
      <c r="N115" s="467">
        <f t="shared" ref="N115:N130" si="27">ROUND(((K115*R115)/(1-$N$22-$N$23))*($N$22+$N$23),2)</f>
        <v>0</v>
      </c>
      <c r="O115" s="469">
        <f>M115</f>
        <v>4.9951047972986475E-2</v>
      </c>
      <c r="P115" s="470"/>
      <c r="Q115" s="469">
        <f t="shared" ref="Q115:Q130" si="28">O115*$I$21</f>
        <v>8.4916781554077014E-3</v>
      </c>
      <c r="R115" s="468">
        <f>Y81</f>
        <v>6.5974999999999992E-3</v>
      </c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2:33" x14ac:dyDescent="0.3">
      <c r="B116" s="15">
        <f>'Fatura B1 (Res) OK'!$B$68</f>
        <v>2024</v>
      </c>
      <c r="C116" s="15"/>
      <c r="D116" s="15" t="str">
        <f>'Fatura B1 (Res) OK'!$D$68</f>
        <v>Energia</v>
      </c>
      <c r="E116" s="15" t="str">
        <f>'Fatura B1 (Res) OK'!$E$68</f>
        <v>Transmissão</v>
      </c>
      <c r="F116" s="15" t="str">
        <f>'Fatura B1 (Res) OK'!$F$68</f>
        <v>Distribuição</v>
      </c>
      <c r="G116" s="15" t="str">
        <f>'Fatura B1 (Res) OK'!$G$68</f>
        <v>Setoriais</v>
      </c>
      <c r="I116" s="472" t="s">
        <v>57</v>
      </c>
      <c r="J116" s="466"/>
      <c r="K116" s="467">
        <f t="shared" ref="K116:K118" si="29">Q82</f>
        <v>14.482758620689655</v>
      </c>
      <c r="L116" s="468"/>
      <c r="M116" s="467">
        <f t="shared" ref="M116:M118" si="30">AC82/(1-$N$22-$N$23)/(1-$I$21)</f>
        <v>0.1998041918919459</v>
      </c>
      <c r="N116" s="467">
        <f t="shared" si="27"/>
        <v>0.01</v>
      </c>
      <c r="O116" s="469">
        <f t="shared" ref="O116:O130" si="31">M116</f>
        <v>0.1998041918919459</v>
      </c>
      <c r="P116" s="470"/>
      <c r="Q116" s="469">
        <f t="shared" si="28"/>
        <v>3.3966712621630805E-2</v>
      </c>
      <c r="R116" s="468">
        <f t="shared" ref="R116:R118" si="32">Y82</f>
        <v>1.1309999999999999E-2</v>
      </c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2:33" x14ac:dyDescent="0.3">
      <c r="B117" s="15" t="str">
        <f>'Fatura B1 (Res) OK'!$B$69</f>
        <v>Grupo B</v>
      </c>
      <c r="C117" s="15"/>
      <c r="D117" s="15" t="str">
        <f>'Fatura B1 (Res) OK'!$D$69</f>
        <v>%</v>
      </c>
      <c r="E117" s="15" t="str">
        <f>'Fatura B1 (Res) OK'!$E$69</f>
        <v>%</v>
      </c>
      <c r="F117" s="15" t="str">
        <f>'Fatura B1 (Res) OK'!$F$69</f>
        <v>%</v>
      </c>
      <c r="G117" s="15" t="str">
        <f>'Fatura B1 (Res) OK'!$G$69</f>
        <v>%</v>
      </c>
      <c r="I117" s="472" t="s">
        <v>57</v>
      </c>
      <c r="J117" s="466"/>
      <c r="K117" s="467">
        <f t="shared" si="29"/>
        <v>24.827586206896552</v>
      </c>
      <c r="L117" s="468"/>
      <c r="M117" s="467">
        <f t="shared" si="30"/>
        <v>0.5244860037163579</v>
      </c>
      <c r="N117" s="467">
        <f t="shared" si="27"/>
        <v>0.02</v>
      </c>
      <c r="O117" s="469">
        <f t="shared" si="31"/>
        <v>0.5244860037163579</v>
      </c>
      <c r="P117" s="470"/>
      <c r="Q117" s="469">
        <f t="shared" si="28"/>
        <v>8.9162620631780848E-2</v>
      </c>
      <c r="R117" s="468">
        <f t="shared" si="32"/>
        <v>1.6965000000000001E-2</v>
      </c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2:33" x14ac:dyDescent="0.3">
      <c r="B118" s="15"/>
      <c r="C118" s="15"/>
      <c r="D118" s="15"/>
      <c r="E118" s="15"/>
      <c r="F118" s="15"/>
      <c r="G118" s="15"/>
      <c r="I118" s="472" t="s">
        <v>57</v>
      </c>
      <c r="J118" s="466"/>
      <c r="K118" s="467">
        <f t="shared" si="29"/>
        <v>85.034482758620683</v>
      </c>
      <c r="L118" s="468"/>
      <c r="M118" s="467">
        <f t="shared" si="30"/>
        <v>1.9980419189194589</v>
      </c>
      <c r="N118" s="467">
        <f t="shared" si="27"/>
        <v>0.06</v>
      </c>
      <c r="O118" s="469">
        <f t="shared" si="31"/>
        <v>1.9980419189194589</v>
      </c>
      <c r="P118" s="470"/>
      <c r="Q118" s="469">
        <f t="shared" si="28"/>
        <v>0.33966712621630807</v>
      </c>
      <c r="R118" s="468">
        <f t="shared" si="32"/>
        <v>1.8849999999999999E-2</v>
      </c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2:33" x14ac:dyDescent="0.3">
      <c r="B119" s="15" t="str">
        <f>'Fatura B1 (Res) OK'!$B$71</f>
        <v>B1 - Residencial</v>
      </c>
      <c r="C119" s="15"/>
      <c r="D119" s="62">
        <f>'Fatura B1 (Res) OK'!$D$71</f>
        <v>0.45246416638672077</v>
      </c>
      <c r="E119" s="62">
        <f>'Fatura B1 (Res) OK'!$E$71</f>
        <v>7.39594111182032E-2</v>
      </c>
      <c r="F119" s="62">
        <f>'Fatura B1 (Res) OK'!$F$71</f>
        <v>0.27500913257019954</v>
      </c>
      <c r="G119" s="62">
        <f>'Fatura B1 (Res) OK'!$G$71</f>
        <v>0.19856728992487654</v>
      </c>
      <c r="I119" s="472" t="s">
        <v>210</v>
      </c>
      <c r="J119" s="466"/>
      <c r="K119" s="467">
        <f>Q90</f>
        <v>0</v>
      </c>
      <c r="L119" s="468"/>
      <c r="M119" s="467">
        <f>AC90/(1-$N$22-$N$23)/(1-$I$21)</f>
        <v>0</v>
      </c>
      <c r="N119" s="467">
        <f t="shared" si="27"/>
        <v>0</v>
      </c>
      <c r="O119" s="469">
        <f t="shared" si="31"/>
        <v>0</v>
      </c>
      <c r="P119" s="470"/>
      <c r="Q119" s="469">
        <f t="shared" si="28"/>
        <v>0</v>
      </c>
      <c r="R119" s="468">
        <f>Y90</f>
        <v>1.5620500000000001E-2</v>
      </c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2:33" x14ac:dyDescent="0.3">
      <c r="B120" s="15" t="str">
        <f>'Fatura B1 (Res) OK'!$B$72</f>
        <v>B1 - Residencial Baixa Renda</v>
      </c>
      <c r="C120" s="15"/>
      <c r="D120" s="62">
        <f>'Fatura B1 (Res) OK'!$D$72</f>
        <v>0.53149575868436638</v>
      </c>
      <c r="E120" s="62">
        <f>'Fatura B1 (Res) OK'!$E$72</f>
        <v>8.6877848555460851E-2</v>
      </c>
      <c r="F120" s="62">
        <f>'Fatura B1 (Res) OK'!$F$72</f>
        <v>0.32304478104372042</v>
      </c>
      <c r="G120" s="62">
        <f>'Fatura B1 (Res) OK'!$G$72</f>
        <v>5.8581611716452382E-2</v>
      </c>
      <c r="I120" s="472" t="s">
        <v>210</v>
      </c>
      <c r="J120" s="466"/>
      <c r="K120" s="467">
        <f t="shared" ref="K120:K122" si="33">Q91</f>
        <v>0</v>
      </c>
      <c r="L120" s="468"/>
      <c r="M120" s="467">
        <f t="shared" ref="M120:M122" si="34">AC91/(1-$N$22-$N$23)/(1-$I$21)</f>
        <v>0</v>
      </c>
      <c r="N120" s="467">
        <f t="shared" si="27"/>
        <v>0</v>
      </c>
      <c r="O120" s="469">
        <f t="shared" si="31"/>
        <v>0</v>
      </c>
      <c r="P120" s="470"/>
      <c r="Q120" s="469">
        <f t="shared" si="28"/>
        <v>0</v>
      </c>
      <c r="R120" s="468">
        <f t="shared" ref="R120:R122" si="35">Y91</f>
        <v>2.6778E-2</v>
      </c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2:33" x14ac:dyDescent="0.3">
      <c r="B121" s="15" t="str">
        <f>'Fatura B1 (Res) OK'!$B$73</f>
        <v>B2 - Rural</v>
      </c>
      <c r="C121" s="15"/>
      <c r="D121" s="62">
        <f>'Fatura B1 (Res) OK'!$D$73</f>
        <v>0.45246416638672077</v>
      </c>
      <c r="E121" s="62">
        <f>'Fatura B1 (Res) OK'!$E$73</f>
        <v>7.39594111182032E-2</v>
      </c>
      <c r="F121" s="62">
        <f>'Fatura B1 (Res) OK'!$F$73</f>
        <v>0.27500913257019954</v>
      </c>
      <c r="G121" s="62">
        <f>'Fatura B1 (Res) OK'!$G$73</f>
        <v>0.19856728992487654</v>
      </c>
      <c r="I121" s="472" t="s">
        <v>210</v>
      </c>
      <c r="J121" s="466"/>
      <c r="K121" s="467">
        <f t="shared" si="33"/>
        <v>0</v>
      </c>
      <c r="L121" s="468"/>
      <c r="M121" s="467">
        <f t="shared" si="34"/>
        <v>0</v>
      </c>
      <c r="N121" s="467">
        <f t="shared" si="27"/>
        <v>0</v>
      </c>
      <c r="O121" s="469">
        <f t="shared" si="31"/>
        <v>0</v>
      </c>
      <c r="P121" s="470"/>
      <c r="Q121" s="469">
        <f t="shared" si="28"/>
        <v>0</v>
      </c>
      <c r="R121" s="468">
        <f t="shared" si="35"/>
        <v>4.0167000000000001E-2</v>
      </c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2:33" x14ac:dyDescent="0.3">
      <c r="B122" s="15" t="str">
        <f>'Fatura B1 (Res) OK'!$B$74</f>
        <v>B2 - Cooperativa Eletrificação Rural</v>
      </c>
      <c r="C122" s="15"/>
      <c r="D122" s="62">
        <f>'Fatura B1 (Res) OK'!$D$74</f>
        <v>0.45246416638672077</v>
      </c>
      <c r="E122" s="62">
        <f>'Fatura B1 (Res) OK'!$E$74</f>
        <v>7.39594111182032E-2</v>
      </c>
      <c r="F122" s="62">
        <f>'Fatura B1 (Res) OK'!$F$74</f>
        <v>0.27500913257019954</v>
      </c>
      <c r="G122" s="62">
        <f>'Fatura B1 (Res) OK'!$G$74</f>
        <v>0.19856728992487654</v>
      </c>
      <c r="I122" s="472" t="s">
        <v>210</v>
      </c>
      <c r="J122" s="466"/>
      <c r="K122" s="467">
        <f t="shared" si="33"/>
        <v>0</v>
      </c>
      <c r="L122" s="468"/>
      <c r="M122" s="467">
        <f t="shared" si="34"/>
        <v>0</v>
      </c>
      <c r="N122" s="467">
        <f t="shared" si="27"/>
        <v>0</v>
      </c>
      <c r="O122" s="469">
        <f t="shared" si="31"/>
        <v>0</v>
      </c>
      <c r="P122" s="470"/>
      <c r="Q122" s="469">
        <f t="shared" si="28"/>
        <v>0</v>
      </c>
      <c r="R122" s="468">
        <f t="shared" si="35"/>
        <v>4.4630000000000003E-2</v>
      </c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2:33" x14ac:dyDescent="0.3">
      <c r="B123" s="15" t="str">
        <f>'Fatura B1 (Res) OK'!$B$75</f>
        <v>B2 - Serviço de Irrigação</v>
      </c>
      <c r="C123" s="15"/>
      <c r="D123" s="62">
        <f>'Fatura B1 (Res) OK'!$D$75</f>
        <v>0.45246416638672077</v>
      </c>
      <c r="E123" s="62">
        <f>'Fatura B1 (Res) OK'!$E$75</f>
        <v>7.39594111182032E-2</v>
      </c>
      <c r="F123" s="62">
        <f>'Fatura B1 (Res) OK'!$F$75</f>
        <v>0.27500913257019954</v>
      </c>
      <c r="G123" s="62">
        <f>'Fatura B1 (Res) OK'!$G$75</f>
        <v>0.19856728992487654</v>
      </c>
      <c r="I123" s="472" t="s">
        <v>211</v>
      </c>
      <c r="J123" s="466"/>
      <c r="K123" s="467">
        <f>Q99</f>
        <v>0</v>
      </c>
      <c r="L123" s="468"/>
      <c r="M123" s="467">
        <f>AC99/(1-$N$22-$N$23)/(1-$I$21)</f>
        <v>0</v>
      </c>
      <c r="N123" s="467">
        <f t="shared" si="27"/>
        <v>0</v>
      </c>
      <c r="O123" s="469">
        <f t="shared" si="31"/>
        <v>0</v>
      </c>
      <c r="P123" s="470"/>
      <c r="Q123" s="469">
        <f t="shared" si="28"/>
        <v>0</v>
      </c>
      <c r="R123" s="468">
        <f>Y99</f>
        <v>2.75695E-2</v>
      </c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2:33" x14ac:dyDescent="0.3">
      <c r="B124" s="15" t="str">
        <f>'Fatura B1 (Res) OK'!$B$76</f>
        <v>B3 - Demais Classes</v>
      </c>
      <c r="C124" s="15"/>
      <c r="D124" s="62">
        <f>'Fatura B1 (Res) OK'!$D$76</f>
        <v>0.45246416638672077</v>
      </c>
      <c r="E124" s="62">
        <f>'Fatura B1 (Res) OK'!$E$76</f>
        <v>7.39594111182032E-2</v>
      </c>
      <c r="F124" s="62">
        <f>'Fatura B1 (Res) OK'!$F$76</f>
        <v>0.27500913257019954</v>
      </c>
      <c r="G124" s="62">
        <f>'Fatura B1 (Res) OK'!$G$76</f>
        <v>0.19856728992487654</v>
      </c>
      <c r="I124" s="472" t="s">
        <v>211</v>
      </c>
      <c r="J124" s="466"/>
      <c r="K124" s="467">
        <f t="shared" ref="K124:K126" si="36">Q100</f>
        <v>0</v>
      </c>
      <c r="L124" s="468"/>
      <c r="M124" s="467">
        <f t="shared" ref="M124:M125" si="37">AC100/(1-$N$22-$N$23)/(1-$I$21)</f>
        <v>0</v>
      </c>
      <c r="N124" s="467">
        <f t="shared" si="27"/>
        <v>0</v>
      </c>
      <c r="O124" s="469">
        <f t="shared" si="31"/>
        <v>0</v>
      </c>
      <c r="P124" s="470"/>
      <c r="Q124" s="469">
        <f t="shared" si="28"/>
        <v>0</v>
      </c>
      <c r="R124" s="468">
        <f t="shared" ref="R124:R126" si="38">Y100</f>
        <v>4.7262000000000005E-2</v>
      </c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2:33" x14ac:dyDescent="0.3">
      <c r="B125" s="15" t="str">
        <f>'Fatura B1 (Res) OK'!$B$77</f>
        <v>B4 - Iluminação Pública</v>
      </c>
      <c r="C125" s="15"/>
      <c r="D125" s="62">
        <f>'Fatura B1 (Res) OK'!$D$77</f>
        <v>0.45246416638672071</v>
      </c>
      <c r="E125" s="62">
        <f>'Fatura B1 (Res) OK'!$E$77</f>
        <v>7.3959411118203186E-2</v>
      </c>
      <c r="F125" s="62">
        <f>'Fatura B1 (Res) OK'!$F$77</f>
        <v>0.27500913257019949</v>
      </c>
      <c r="G125" s="62">
        <f>'Fatura B1 (Res) OK'!$G$77</f>
        <v>0.19856728992487654</v>
      </c>
      <c r="I125" s="472" t="s">
        <v>211</v>
      </c>
      <c r="J125" s="466"/>
      <c r="K125" s="467">
        <f t="shared" si="36"/>
        <v>0</v>
      </c>
      <c r="L125" s="468"/>
      <c r="M125" s="467">
        <f t="shared" si="37"/>
        <v>0</v>
      </c>
      <c r="N125" s="467">
        <f t="shared" si="27"/>
        <v>0</v>
      </c>
      <c r="O125" s="469">
        <f t="shared" si="31"/>
        <v>0</v>
      </c>
      <c r="P125" s="470"/>
      <c r="Q125" s="469">
        <f t="shared" si="28"/>
        <v>0</v>
      </c>
      <c r="R125" s="468">
        <f t="shared" si="38"/>
        <v>7.0893000000000012E-2</v>
      </c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2:33" x14ac:dyDescent="0.3">
      <c r="B126" s="15" t="str">
        <f>'Fatura B1 (Res) OK'!$B$78</f>
        <v>B4a - Rede de Distribuição</v>
      </c>
      <c r="C126" s="15"/>
      <c r="D126" s="62">
        <f>'Fatura B1 (Res) OK'!$D$78</f>
        <v>0.45246416638672071</v>
      </c>
      <c r="E126" s="62">
        <f>'Fatura B1 (Res) OK'!$E$78</f>
        <v>7.3959411118203186E-2</v>
      </c>
      <c r="F126" s="62">
        <f>'Fatura B1 (Res) OK'!$F$78</f>
        <v>0.27500913257019949</v>
      </c>
      <c r="G126" s="62">
        <f>'Fatura B1 (Res) OK'!$G$78</f>
        <v>0.19856728992487654</v>
      </c>
      <c r="I126" s="472" t="s">
        <v>211</v>
      </c>
      <c r="J126" s="466"/>
      <c r="K126" s="467">
        <f t="shared" si="36"/>
        <v>0</v>
      </c>
      <c r="L126" s="468"/>
      <c r="M126" s="467">
        <f>AC102/(1-$N$22-$N$23)/(1-$I$21)</f>
        <v>0</v>
      </c>
      <c r="N126" s="467">
        <f t="shared" si="27"/>
        <v>0</v>
      </c>
      <c r="O126" s="469">
        <f t="shared" si="31"/>
        <v>0</v>
      </c>
      <c r="P126" s="470"/>
      <c r="Q126" s="469">
        <f t="shared" si="28"/>
        <v>0</v>
      </c>
      <c r="R126" s="468">
        <f t="shared" si="38"/>
        <v>7.8770000000000007E-2</v>
      </c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2:33" x14ac:dyDescent="0.3">
      <c r="B127" s="15" t="str">
        <f>'Fatura B1 (Res) OK'!$B$79</f>
        <v>B4b - Bulbo de Lâmpada</v>
      </c>
      <c r="C127" s="15"/>
      <c r="D127" s="62">
        <f>'Fatura B1 (Res) OK'!$D$79</f>
        <v>0.45246416638672071</v>
      </c>
      <c r="E127" s="62">
        <f>'Fatura B1 (Res) OK'!$E$79</f>
        <v>7.39594111182032E-2</v>
      </c>
      <c r="F127" s="62">
        <f>'Fatura B1 (Res) OK'!$F$79</f>
        <v>0.27500913257019954</v>
      </c>
      <c r="G127" s="62">
        <f>'Fatura B1 (Res) OK'!$G$79</f>
        <v>0.19856728992487657</v>
      </c>
      <c r="I127" s="472" t="s">
        <v>74</v>
      </c>
      <c r="J127" s="466"/>
      <c r="K127" s="467">
        <f>Q108</f>
        <v>0</v>
      </c>
      <c r="L127" s="468"/>
      <c r="M127" s="467">
        <f>AC108/(1-$N$22-$N$23)/(1-$I$21)</f>
        <v>0</v>
      </c>
      <c r="N127" s="467">
        <f t="shared" si="27"/>
        <v>0</v>
      </c>
      <c r="O127" s="469">
        <f t="shared" si="31"/>
        <v>0</v>
      </c>
      <c r="P127" s="470"/>
      <c r="Q127" s="469">
        <f t="shared" si="28"/>
        <v>0</v>
      </c>
      <c r="R127" s="468">
        <f>Y108</f>
        <v>4.9699999999999994E-2</v>
      </c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2:33" x14ac:dyDescent="0.3">
      <c r="B128" s="63"/>
      <c r="C128" s="63"/>
      <c r="D128" s="63"/>
      <c r="E128" s="63"/>
      <c r="F128" s="63"/>
      <c r="G128" s="63"/>
      <c r="I128" s="472" t="s">
        <v>74</v>
      </c>
      <c r="J128" s="466"/>
      <c r="K128" s="467">
        <f t="shared" ref="K128:K130" si="39">Q109</f>
        <v>0</v>
      </c>
      <c r="L128" s="468"/>
      <c r="M128" s="467">
        <f t="shared" ref="M128:M130" si="40">AC109/(1-$N$22-$N$23)/(1-$I$21)</f>
        <v>0</v>
      </c>
      <c r="N128" s="467">
        <f t="shared" si="27"/>
        <v>0</v>
      </c>
      <c r="O128" s="469">
        <f t="shared" si="31"/>
        <v>0</v>
      </c>
      <c r="P128" s="470"/>
      <c r="Q128" s="469">
        <f t="shared" si="28"/>
        <v>0</v>
      </c>
      <c r="R128" s="468">
        <f t="shared" ref="R128:R130" si="41">Y109</f>
        <v>8.5199999999999984E-2</v>
      </c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2:33" x14ac:dyDescent="0.3">
      <c r="B129" s="63"/>
      <c r="C129" s="63"/>
      <c r="D129" s="63"/>
      <c r="E129" s="63"/>
      <c r="F129" s="63"/>
      <c r="G129" s="63"/>
      <c r="I129" s="472" t="s">
        <v>74</v>
      </c>
      <c r="J129" s="466"/>
      <c r="K129" s="467">
        <f t="shared" si="39"/>
        <v>0</v>
      </c>
      <c r="L129" s="468"/>
      <c r="M129" s="467">
        <f t="shared" si="40"/>
        <v>0</v>
      </c>
      <c r="N129" s="467">
        <f t="shared" si="27"/>
        <v>0</v>
      </c>
      <c r="O129" s="469">
        <f t="shared" si="31"/>
        <v>0</v>
      </c>
      <c r="P129" s="470"/>
      <c r="Q129" s="469">
        <f t="shared" si="28"/>
        <v>0</v>
      </c>
      <c r="R129" s="468">
        <f t="shared" si="41"/>
        <v>0.1278</v>
      </c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2:33" x14ac:dyDescent="0.3">
      <c r="B130" s="63">
        <f>'Fatura B1 (Res) OK'!$B$82</f>
        <v>2023</v>
      </c>
      <c r="C130" s="63"/>
      <c r="D130" s="15" t="str">
        <f>'Fatura B1 (Res) OK'!$D$68</f>
        <v>Energia</v>
      </c>
      <c r="E130" s="15" t="str">
        <f>'Fatura B1 (Res) OK'!$E$68</f>
        <v>Transmissão</v>
      </c>
      <c r="F130" s="15" t="str">
        <f>'Fatura B1 (Res) OK'!$F$68</f>
        <v>Distribuição</v>
      </c>
      <c r="G130" s="15" t="str">
        <f>'Fatura B1 (Res) OK'!$G$68</f>
        <v>Setoriais</v>
      </c>
      <c r="I130" s="472" t="s">
        <v>74</v>
      </c>
      <c r="J130" s="466"/>
      <c r="K130" s="467">
        <f t="shared" si="39"/>
        <v>0</v>
      </c>
      <c r="L130" s="468"/>
      <c r="M130" s="467">
        <f t="shared" si="40"/>
        <v>0</v>
      </c>
      <c r="N130" s="467">
        <f t="shared" si="27"/>
        <v>0</v>
      </c>
      <c r="O130" s="469">
        <f t="shared" si="31"/>
        <v>0</v>
      </c>
      <c r="P130" s="470"/>
      <c r="Q130" s="469">
        <f t="shared" si="28"/>
        <v>0</v>
      </c>
      <c r="R130" s="468">
        <f t="shared" si="41"/>
        <v>0.14199999999999999</v>
      </c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2:33" x14ac:dyDescent="0.3">
      <c r="B131" s="63" t="str">
        <f>'Fatura B1 (Res) OK'!$B$83</f>
        <v>Grupo B</v>
      </c>
      <c r="C131" s="63"/>
      <c r="D131" s="15" t="str">
        <f>'Fatura B1 (Res) OK'!$D$69</f>
        <v>%</v>
      </c>
      <c r="E131" s="15" t="str">
        <f>'Fatura B1 (Res) OK'!$E$69</f>
        <v>%</v>
      </c>
      <c r="F131" s="15" t="str">
        <f>'Fatura B1 (Res) OK'!$F$69</f>
        <v>%</v>
      </c>
      <c r="G131" s="15" t="str">
        <f>'Fatura B1 (Res) OK'!$G$69</f>
        <v>%</v>
      </c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2:33" x14ac:dyDescent="0.3">
      <c r="B132" s="15"/>
      <c r="C132" s="15"/>
      <c r="D132" s="15"/>
      <c r="E132" s="15"/>
      <c r="F132" s="15"/>
      <c r="G132" s="15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2:33" x14ac:dyDescent="0.3">
      <c r="B133" s="15" t="str">
        <f>'Fatura B1 (Res) OK'!$B$85</f>
        <v>B1 - Residencial</v>
      </c>
      <c r="C133" s="15"/>
      <c r="D133" s="62">
        <f>'Fatura B1 (Res) OK'!$D$85</f>
        <v>0.43939696077133034</v>
      </c>
      <c r="E133" s="62">
        <f>'Fatura B1 (Res) OK'!$E$85</f>
        <v>9.2697585625348772E-2</v>
      </c>
      <c r="F133" s="62">
        <f>'Fatura B1 (Res) OK'!$F$85</f>
        <v>0.25285207888477268</v>
      </c>
      <c r="G133" s="62">
        <f>'Fatura B1 (Res) OK'!$G$85</f>
        <v>0.21506308252114117</v>
      </c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2:33" x14ac:dyDescent="0.3">
      <c r="B134" s="15" t="str">
        <f>'Fatura B1 (Res) OK'!$B$86</f>
        <v>B1 - Residencial Baixa Renda</v>
      </c>
      <c r="C134" s="15"/>
      <c r="D134" s="62">
        <f>'Fatura B1 (Res) OK'!$D$86</f>
        <v>0.52691619996872485</v>
      </c>
      <c r="E134" s="62">
        <f>'Fatura B1 (Res) OK'!$E$86</f>
        <v>0.11116112291319068</v>
      </c>
      <c r="F134" s="62">
        <f>'Fatura B1 (Res) OK'!$F$86</f>
        <v>0.30321524374287334</v>
      </c>
      <c r="G134" s="62">
        <f>'Fatura B1 (Res) OK'!$G$86</f>
        <v>5.8707433375211129E-2</v>
      </c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2:33" x14ac:dyDescent="0.3">
      <c r="B135" s="15" t="str">
        <f>'Fatura B1 (Res) OK'!$B$87</f>
        <v>B2 - Rural</v>
      </c>
      <c r="C135" s="15"/>
      <c r="D135" s="62">
        <f>'Fatura B1 (Res) OK'!$D$87</f>
        <v>0.43939300245552615</v>
      </c>
      <c r="E135" s="62">
        <f>'Fatura B1 (Res) OK'!$E$87</f>
        <v>9.2696750557401245E-2</v>
      </c>
      <c r="F135" s="62">
        <f>'Fatura B1 (Res) OK'!$F$87</f>
        <v>0.25284980106205335</v>
      </c>
      <c r="G135" s="62">
        <f>'Fatura B1 (Res) OK'!$G$87</f>
        <v>0.21506044592501908</v>
      </c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2:33" x14ac:dyDescent="0.3">
      <c r="B136" s="15" t="str">
        <f>'Fatura B1 (Res) OK'!$B$88</f>
        <v>B2 - Cooperativa Eletrificação Rural</v>
      </c>
      <c r="C136" s="15"/>
      <c r="D136" s="62">
        <f>'Fatura B1 (Res) OK'!$D$88</f>
        <v>0.43939300245552615</v>
      </c>
      <c r="E136" s="62">
        <f>'Fatura B1 (Res) OK'!$E$88</f>
        <v>9.2696750557401245E-2</v>
      </c>
      <c r="F136" s="62">
        <f>'Fatura B1 (Res) OK'!$F$88</f>
        <v>0.25284980106205335</v>
      </c>
      <c r="G136" s="62">
        <f>'Fatura B1 (Res) OK'!$G$88</f>
        <v>0.21506044592501908</v>
      </c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2:33" x14ac:dyDescent="0.3">
      <c r="B137" s="15" t="str">
        <f>'Fatura B1 (Res) OK'!$B$89</f>
        <v>B2 - Serviço de Irrigação</v>
      </c>
      <c r="C137" s="15"/>
      <c r="D137" s="62">
        <f>'Fatura B1 (Res) OK'!$D$89</f>
        <v>0.43939300245552615</v>
      </c>
      <c r="E137" s="62">
        <f>'Fatura B1 (Res) OK'!$E$89</f>
        <v>9.2696750557401328E-2</v>
      </c>
      <c r="F137" s="62">
        <f>'Fatura B1 (Res) OK'!$F$89</f>
        <v>0.25284980106205335</v>
      </c>
      <c r="G137" s="62">
        <f>'Fatura B1 (Res) OK'!$G$89</f>
        <v>0.21506044592501908</v>
      </c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2:33" x14ac:dyDescent="0.3">
      <c r="B138" s="15" t="str">
        <f>'Fatura B1 (Res) OK'!$B$90</f>
        <v>B3 - Demais Classes</v>
      </c>
      <c r="C138" s="15"/>
      <c r="D138" s="62">
        <f>'Fatura B1 (Res) OK'!$D$90</f>
        <v>0.43939300245552615</v>
      </c>
      <c r="E138" s="62">
        <f>'Fatura B1 (Res) OK'!$E$90</f>
        <v>9.2696750557401328E-2</v>
      </c>
      <c r="F138" s="62">
        <f>'Fatura B1 (Res) OK'!$F$90</f>
        <v>0.25284980106205335</v>
      </c>
      <c r="G138" s="62">
        <f>'Fatura B1 (Res) OK'!$G$90</f>
        <v>0.21506044592501908</v>
      </c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2:33" x14ac:dyDescent="0.3">
      <c r="B139" s="15" t="str">
        <f>'Fatura B1 (Res) OK'!$B$91</f>
        <v>B4 - Iluminação Pública</v>
      </c>
      <c r="C139" s="15"/>
      <c r="D139" s="62">
        <f>'Fatura B1 (Res) OK'!$D$91</f>
        <v>0</v>
      </c>
      <c r="E139" s="62">
        <f>'Fatura B1 (Res) OK'!$E$91</f>
        <v>0</v>
      </c>
      <c r="F139" s="62">
        <f>'Fatura B1 (Res) OK'!$F$91</f>
        <v>0</v>
      </c>
      <c r="G139" s="62">
        <f>'Fatura B1 (Res) OK'!$G$91</f>
        <v>0</v>
      </c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2:33" x14ac:dyDescent="0.3">
      <c r="B140" s="15" t="str">
        <f>'Fatura B1 (Res) OK'!$B$92</f>
        <v>B4a - Rede de Distribuição</v>
      </c>
      <c r="C140" s="15"/>
      <c r="D140" s="62">
        <f>'Fatura B1 (Res) OK'!$D$92</f>
        <v>0.43938945729126549</v>
      </c>
      <c r="E140" s="62">
        <f>'Fatura B1 (Res) OK'!$E$92</f>
        <v>9.2697336752737058E-2</v>
      </c>
      <c r="F140" s="62">
        <f>'Fatura B1 (Res) OK'!$F$92</f>
        <v>0.25285140003260154</v>
      </c>
      <c r="G140" s="62">
        <f>'Fatura B1 (Res) OK'!$G$92</f>
        <v>0.21506180592339591</v>
      </c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2:33" x14ac:dyDescent="0.3">
      <c r="B141" s="15" t="str">
        <f>'Fatura B1 (Res) OK'!$B$93</f>
        <v>B4b - Bulbo de Lâmpada</v>
      </c>
      <c r="C141" s="15"/>
      <c r="D141" s="62">
        <f>'Fatura B1 (Res) OK'!$D$93</f>
        <v>0.43938945729126527</v>
      </c>
      <c r="E141" s="62">
        <f>'Fatura B1 (Res) OK'!$E$93</f>
        <v>9.2697336752736934E-2</v>
      </c>
      <c r="F141" s="62">
        <f>'Fatura B1 (Res) OK'!$F$93</f>
        <v>0.25285140003260193</v>
      </c>
      <c r="G141" s="62">
        <f>'Fatura B1 (Res) OK'!$G$93</f>
        <v>0.21506180592339585</v>
      </c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2:33" x14ac:dyDescent="0.3">
      <c r="B142" s="63"/>
      <c r="C142" s="63"/>
      <c r="D142" s="63"/>
      <c r="E142" s="63"/>
      <c r="F142" s="63"/>
      <c r="G142" s="63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2:33" x14ac:dyDescent="0.3">
      <c r="B143" s="101" t="s">
        <v>98</v>
      </c>
      <c r="C143" s="63"/>
      <c r="D143" s="63"/>
      <c r="E143" s="63"/>
      <c r="F143" s="63"/>
      <c r="G143" s="6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2:33" x14ac:dyDescent="0.3">
      <c r="B144" s="15"/>
      <c r="C144" s="15"/>
      <c r="D144" s="15" t="s">
        <v>80</v>
      </c>
      <c r="E144" s="15" t="s">
        <v>82</v>
      </c>
      <c r="F144" s="15" t="s">
        <v>81</v>
      </c>
      <c r="G144" s="15" t="s">
        <v>86</v>
      </c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2:33" x14ac:dyDescent="0.3">
      <c r="B145" s="15" t="s">
        <v>87</v>
      </c>
      <c r="C145" s="15"/>
      <c r="D145" s="62" t="s">
        <v>88</v>
      </c>
      <c r="E145" s="62" t="s">
        <v>88</v>
      </c>
      <c r="F145" s="62" t="s">
        <v>88</v>
      </c>
      <c r="G145" s="62" t="s">
        <v>88</v>
      </c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2:33" x14ac:dyDescent="0.3">
      <c r="B146" s="15"/>
      <c r="C146" s="15"/>
      <c r="D146" s="62"/>
      <c r="E146" s="62"/>
      <c r="F146" s="62"/>
      <c r="G146" s="62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2:33" x14ac:dyDescent="0.3">
      <c r="B147" s="15" t="s">
        <v>89</v>
      </c>
      <c r="C147" s="15"/>
      <c r="D147" s="62">
        <f>((D133*$C$13)+(D119*$D$13))/($C$13+$D$13)</f>
        <v>0.45246416638672077</v>
      </c>
      <c r="E147" s="62">
        <f t="shared" ref="E147:G147" si="42">((E133*$C$13)+(E119*$D$13))/($C$13+$D$13)</f>
        <v>7.39594111182032E-2</v>
      </c>
      <c r="F147" s="62">
        <f t="shared" si="42"/>
        <v>0.27500913257019954</v>
      </c>
      <c r="G147" s="62">
        <f t="shared" si="42"/>
        <v>0.19856728992487654</v>
      </c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2:33" x14ac:dyDescent="0.3">
      <c r="B148" s="15" t="s">
        <v>90</v>
      </c>
      <c r="C148" s="15"/>
      <c r="D148" s="62">
        <f t="shared" ref="D148:G155" si="43">((D134*$C$13)+(D120*$D$13))/($C$13+$D$13)</f>
        <v>0.53149575868436638</v>
      </c>
      <c r="E148" s="62">
        <f t="shared" si="43"/>
        <v>8.6877848555460851E-2</v>
      </c>
      <c r="F148" s="62">
        <f t="shared" si="43"/>
        <v>0.32304478104372042</v>
      </c>
      <c r="G148" s="62">
        <f t="shared" si="43"/>
        <v>5.8581611716452382E-2</v>
      </c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2:33" x14ac:dyDescent="0.3">
      <c r="B149" s="15" t="s">
        <v>91</v>
      </c>
      <c r="C149" s="15"/>
      <c r="D149" s="62">
        <f t="shared" si="43"/>
        <v>0.45246416638672077</v>
      </c>
      <c r="E149" s="62">
        <f t="shared" si="43"/>
        <v>7.39594111182032E-2</v>
      </c>
      <c r="F149" s="62">
        <f t="shared" si="43"/>
        <v>0.27500913257019954</v>
      </c>
      <c r="G149" s="62">
        <f t="shared" si="43"/>
        <v>0.19856728992487654</v>
      </c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2:33" x14ac:dyDescent="0.3">
      <c r="B150" s="15" t="s">
        <v>92</v>
      </c>
      <c r="C150" s="15"/>
      <c r="D150" s="62">
        <f t="shared" si="43"/>
        <v>0.45246416638672077</v>
      </c>
      <c r="E150" s="62">
        <f t="shared" si="43"/>
        <v>7.39594111182032E-2</v>
      </c>
      <c r="F150" s="62">
        <f t="shared" si="43"/>
        <v>0.27500913257019954</v>
      </c>
      <c r="G150" s="62">
        <f t="shared" si="43"/>
        <v>0.19856728992487654</v>
      </c>
      <c r="M150" s="302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2:33" x14ac:dyDescent="0.3">
      <c r="B151" s="15" t="s">
        <v>93</v>
      </c>
      <c r="C151" s="15"/>
      <c r="D151" s="62">
        <f t="shared" si="43"/>
        <v>0.45246416638672077</v>
      </c>
      <c r="E151" s="62">
        <f t="shared" si="43"/>
        <v>7.39594111182032E-2</v>
      </c>
      <c r="F151" s="62">
        <f t="shared" si="43"/>
        <v>0.27500913257019954</v>
      </c>
      <c r="G151" s="62">
        <f t="shared" si="43"/>
        <v>0.19856728992487654</v>
      </c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2:33" x14ac:dyDescent="0.3">
      <c r="B152" s="15" t="s">
        <v>94</v>
      </c>
      <c r="C152" s="15"/>
      <c r="D152" s="62">
        <f t="shared" si="43"/>
        <v>0.45246416638672077</v>
      </c>
      <c r="E152" s="62">
        <f t="shared" si="43"/>
        <v>7.39594111182032E-2</v>
      </c>
      <c r="F152" s="62">
        <f t="shared" si="43"/>
        <v>0.27500913257019954</v>
      </c>
      <c r="G152" s="62">
        <f t="shared" si="43"/>
        <v>0.19856728992487654</v>
      </c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2:33" x14ac:dyDescent="0.3">
      <c r="B153" s="15" t="s">
        <v>95</v>
      </c>
      <c r="C153" s="15"/>
      <c r="D153" s="62">
        <f t="shared" si="43"/>
        <v>0.45246416638672071</v>
      </c>
      <c r="E153" s="62">
        <f t="shared" si="43"/>
        <v>7.3959411118203186E-2</v>
      </c>
      <c r="F153" s="62">
        <f t="shared" si="43"/>
        <v>0.27500913257019949</v>
      </c>
      <c r="G153" s="62">
        <f t="shared" si="43"/>
        <v>0.19856728992487654</v>
      </c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2:33" x14ac:dyDescent="0.3">
      <c r="B154" s="15" t="s">
        <v>96</v>
      </c>
      <c r="C154" s="15"/>
      <c r="D154" s="62">
        <f t="shared" si="43"/>
        <v>0.45246416638672071</v>
      </c>
      <c r="E154" s="62">
        <f t="shared" si="43"/>
        <v>7.3959411118203186E-2</v>
      </c>
      <c r="F154" s="62">
        <f t="shared" si="43"/>
        <v>0.27500913257019949</v>
      </c>
      <c r="G154" s="62">
        <f t="shared" si="43"/>
        <v>0.19856728992487654</v>
      </c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2:33" x14ac:dyDescent="0.3">
      <c r="B155" s="15" t="s">
        <v>97</v>
      </c>
      <c r="C155" s="15"/>
      <c r="D155" s="62">
        <f t="shared" si="43"/>
        <v>0.45246416638672071</v>
      </c>
      <c r="E155" s="62">
        <f t="shared" si="43"/>
        <v>7.39594111182032E-2</v>
      </c>
      <c r="F155" s="62">
        <f t="shared" si="43"/>
        <v>0.27500913257019954</v>
      </c>
      <c r="G155" s="62">
        <f t="shared" si="43"/>
        <v>0.19856728992487657</v>
      </c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2:33" x14ac:dyDescent="0.3"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2:33" x14ac:dyDescent="0.3"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2:33" x14ac:dyDescent="0.3"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2:33" x14ac:dyDescent="0.3"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2:33" x14ac:dyDescent="0.3"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6:33" x14ac:dyDescent="0.3"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6:33" x14ac:dyDescent="0.3"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6:33" x14ac:dyDescent="0.3"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6:33" x14ac:dyDescent="0.3"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6:33" x14ac:dyDescent="0.3"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6:33" x14ac:dyDescent="0.3"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6:33" x14ac:dyDescent="0.3"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6:33" x14ac:dyDescent="0.3"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6:33" x14ac:dyDescent="0.3"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6:33" x14ac:dyDescent="0.3"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6:33" x14ac:dyDescent="0.3"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6:33" x14ac:dyDescent="0.3"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6:33" x14ac:dyDescent="0.3"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6:33" x14ac:dyDescent="0.3"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6:33" x14ac:dyDescent="0.3"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6:33" x14ac:dyDescent="0.3"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6:33" x14ac:dyDescent="0.3"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6:33" x14ac:dyDescent="0.3"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6:33" x14ac:dyDescent="0.3"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6:33" x14ac:dyDescent="0.3"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6:33" x14ac:dyDescent="0.3"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6:33" x14ac:dyDescent="0.3"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6:33" x14ac:dyDescent="0.3"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6:33" x14ac:dyDescent="0.3"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6:33" x14ac:dyDescent="0.3"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6:33" x14ac:dyDescent="0.3"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6:33" x14ac:dyDescent="0.3"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6:33" x14ac:dyDescent="0.3"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6:33" x14ac:dyDescent="0.3"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6:33" x14ac:dyDescent="0.3"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6:33" x14ac:dyDescent="0.3"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6:33" x14ac:dyDescent="0.3"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6:33" x14ac:dyDescent="0.3"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6:33" x14ac:dyDescent="0.3"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6:33" x14ac:dyDescent="0.3"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6:33" x14ac:dyDescent="0.3"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6:33" x14ac:dyDescent="0.3"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6:33" x14ac:dyDescent="0.3"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6:33" x14ac:dyDescent="0.3"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6:33" x14ac:dyDescent="0.3"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6:33" x14ac:dyDescent="0.3"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6:33" x14ac:dyDescent="0.3"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6:33" x14ac:dyDescent="0.3"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6:33" x14ac:dyDescent="0.3"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6:33" x14ac:dyDescent="0.3"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6:33" x14ac:dyDescent="0.3"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6:33" x14ac:dyDescent="0.3"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6:33" x14ac:dyDescent="0.3"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6:33" x14ac:dyDescent="0.3"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6:33" x14ac:dyDescent="0.3"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6:33" x14ac:dyDescent="0.3"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6:33" x14ac:dyDescent="0.3"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6:33" x14ac:dyDescent="0.3"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6:33" x14ac:dyDescent="0.3"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6:33" x14ac:dyDescent="0.3"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6:33" x14ac:dyDescent="0.3"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6:33" x14ac:dyDescent="0.3"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6:33" x14ac:dyDescent="0.3"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6:33" x14ac:dyDescent="0.3"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6:33" x14ac:dyDescent="0.3"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6:33" x14ac:dyDescent="0.3"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6:33" x14ac:dyDescent="0.3"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6:33" x14ac:dyDescent="0.3"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6:33" x14ac:dyDescent="0.3"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6:33" x14ac:dyDescent="0.3"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6:33" x14ac:dyDescent="0.3"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6:33" x14ac:dyDescent="0.3"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6:33" x14ac:dyDescent="0.3"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6:33" x14ac:dyDescent="0.3"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6:33" x14ac:dyDescent="0.3"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6:33" x14ac:dyDescent="0.3"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6:33" x14ac:dyDescent="0.3"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6:33" x14ac:dyDescent="0.3"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6:33" x14ac:dyDescent="0.3"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6:33" x14ac:dyDescent="0.3"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6:33" x14ac:dyDescent="0.3"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6:33" x14ac:dyDescent="0.3"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6:33" x14ac:dyDescent="0.3"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6:33" x14ac:dyDescent="0.3"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6:33" x14ac:dyDescent="0.3"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6:33" x14ac:dyDescent="0.3"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6:33" x14ac:dyDescent="0.3"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6:33" x14ac:dyDescent="0.3"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6:33" x14ac:dyDescent="0.3"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6:33" x14ac:dyDescent="0.3"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6:33" x14ac:dyDescent="0.3"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6:33" x14ac:dyDescent="0.3"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6:33" x14ac:dyDescent="0.3"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6:33" x14ac:dyDescent="0.3"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6:33" x14ac:dyDescent="0.3"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6:33" x14ac:dyDescent="0.3"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6:33" x14ac:dyDescent="0.3"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6:33" x14ac:dyDescent="0.3"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6:33" x14ac:dyDescent="0.3"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6:33" x14ac:dyDescent="0.3"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6:33" x14ac:dyDescent="0.3"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6:33" x14ac:dyDescent="0.3"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6:33" x14ac:dyDescent="0.3"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</sheetData>
  <customSheetViews>
    <customSheetView guid="{D812A0C8-60A1-4775-A604-FC65C9DC40BF}" scale="80" showGridLines="0" topLeftCell="F1">
      <selection activeCell="Q32" sqref="Q32"/>
      <pageMargins left="0" right="0" top="0" bottom="0" header="0" footer="0"/>
      <pageSetup paperSize="9" orientation="portrait" r:id="rId1"/>
    </customSheetView>
    <customSheetView guid="{8D3CE498-0ABB-4BB0-92D1-93DA2BDD5EDF}" scale="80" showGridLines="0" topLeftCell="A18">
      <selection activeCell="F43" sqref="F43"/>
      <pageMargins left="0" right="0" top="0" bottom="0" header="0" footer="0"/>
      <pageSetup paperSize="9" orientation="portrait" r:id="rId2"/>
    </customSheetView>
    <customSheetView guid="{8AD5A21B-3743-481B-8B5E-3FEE10EB7B2F}" scale="80" showGridLines="0">
      <selection activeCell="U11" sqref="U11"/>
      <pageMargins left="0" right="0" top="0" bottom="0" header="0" footer="0"/>
      <pageSetup paperSize="9" orientation="portrait" r:id="rId3"/>
    </customSheetView>
  </customSheetViews>
  <mergeCells count="27">
    <mergeCell ref="U4:W4"/>
    <mergeCell ref="K10:L10"/>
    <mergeCell ref="B51:K51"/>
    <mergeCell ref="I78:K78"/>
    <mergeCell ref="I79:K79"/>
    <mergeCell ref="R79:S79"/>
    <mergeCell ref="U79:V79"/>
    <mergeCell ref="B4:B5"/>
    <mergeCell ref="C4:E4"/>
    <mergeCell ref="F4:H4"/>
    <mergeCell ref="I4:K4"/>
    <mergeCell ref="Q4:Q5"/>
    <mergeCell ref="R4:T4"/>
    <mergeCell ref="X79:Y79"/>
    <mergeCell ref="AA79:AB79"/>
    <mergeCell ref="R88:S88"/>
    <mergeCell ref="U88:V88"/>
    <mergeCell ref="X88:Y88"/>
    <mergeCell ref="AA88:AB88"/>
    <mergeCell ref="R97:S97"/>
    <mergeCell ref="U97:V97"/>
    <mergeCell ref="X97:Y97"/>
    <mergeCell ref="AA97:AB97"/>
    <mergeCell ref="R106:S106"/>
    <mergeCell ref="U106:V106"/>
    <mergeCell ref="X106:Y106"/>
    <mergeCell ref="AA106:AB106"/>
  </mergeCells>
  <conditionalFormatting sqref="K11:L11">
    <cfRule type="cellIs" dxfId="83" priority="1" operator="equal">
      <formula>"Escassez Hídrica"</formula>
    </cfRule>
    <cfRule type="cellIs" dxfId="82" priority="2" operator="equal">
      <formula>"VERDE"</formula>
    </cfRule>
    <cfRule type="cellIs" dxfId="81" priority="3" operator="equal">
      <formula>"BVM2"</formula>
    </cfRule>
    <cfRule type="cellIs" dxfId="80" priority="4" operator="equal">
      <formula>"BVM1"</formula>
    </cfRule>
    <cfRule type="cellIs" dxfId="79" priority="5" operator="equal">
      <formula>"BAM"</formula>
    </cfRule>
  </conditionalFormatting>
  <conditionalFormatting sqref="M3">
    <cfRule type="cellIs" dxfId="78" priority="16" operator="equal">
      <formula>"VERDE"</formula>
    </cfRule>
    <cfRule type="cellIs" dxfId="77" priority="17" operator="equal">
      <formula>"BVM2"</formula>
    </cfRule>
    <cfRule type="cellIs" dxfId="76" priority="18" operator="equal">
      <formula>"BVM1"</formula>
    </cfRule>
    <cfRule type="cellIs" dxfId="75" priority="19" operator="equal">
      <formula>"BAM"</formula>
    </cfRule>
  </conditionalFormatting>
  <conditionalFormatting sqref="M7:M8">
    <cfRule type="containsText" dxfId="74" priority="11" operator="containsText" text="Escassez Hídrica">
      <formula>NOT(ISERROR(SEARCH("Escassez Hídrica",M7)))</formula>
    </cfRule>
    <cfRule type="cellIs" dxfId="73" priority="12" operator="equal">
      <formula>"VERDE"</formula>
    </cfRule>
    <cfRule type="cellIs" dxfId="72" priority="13" operator="equal">
      <formula>"BVM2"</formula>
    </cfRule>
    <cfRule type="cellIs" dxfId="71" priority="14" operator="equal">
      <formula>"BVM1"</formula>
    </cfRule>
    <cfRule type="cellIs" dxfId="70" priority="15" operator="equal">
      <formula>"BAM"</formula>
    </cfRule>
  </conditionalFormatting>
  <dataValidations count="1">
    <dataValidation type="list" allowBlank="1" showInputMessage="1" showErrorMessage="1" sqref="K11:L11" xr:uid="{321922B2-6611-4749-9EFD-858BB22E6B06}">
      <formula1>$M$3:$M$7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4"/>
  <ignoredErrors>
    <ignoredError sqref="G46" formula="1"/>
  </ignoredErrors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CambiarCeldas_Bai_Ren_3">
                <anchor moveWithCells="1" sizeWithCells="1">
                  <from>
                    <xdr:col>11</xdr:col>
                    <xdr:colOff>480060</xdr:colOff>
                    <xdr:row>13</xdr:row>
                    <xdr:rowOff>121920</xdr:rowOff>
                  </from>
                  <to>
                    <xdr:col>13</xdr:col>
                    <xdr:colOff>335280</xdr:colOff>
                    <xdr:row>15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DEAB7-F9B6-4EC5-90DD-F1B9FC39BBA1}">
  <sheetPr codeName="Planilha16"/>
  <dimension ref="A1:AV232"/>
  <sheetViews>
    <sheetView showGridLines="0" topLeftCell="B12" zoomScale="80" zoomScaleNormal="80" workbookViewId="0">
      <selection activeCell="Q17" sqref="Q17"/>
    </sheetView>
  </sheetViews>
  <sheetFormatPr defaultColWidth="9.109375" defaultRowHeight="14.4" x14ac:dyDescent="0.3"/>
  <cols>
    <col min="1" max="1" width="5.88671875" style="97" bestFit="1" customWidth="1"/>
    <col min="2" max="2" width="25.6640625" style="99" customWidth="1"/>
    <col min="3" max="10" width="12.6640625" style="99" customWidth="1"/>
    <col min="11" max="11" width="14.33203125" style="99" customWidth="1"/>
    <col min="12" max="12" width="14.33203125" style="97" customWidth="1"/>
    <col min="13" max="14" width="12.6640625" style="97" customWidth="1"/>
    <col min="15" max="15" width="13.88671875" style="97" customWidth="1"/>
    <col min="16" max="16" width="12.6640625" style="97" customWidth="1"/>
    <col min="17" max="17" width="14" style="97" customWidth="1"/>
    <col min="18" max="18" width="13.109375" style="97" bestFit="1" customWidth="1"/>
    <col min="19" max="19" width="13.88671875" style="97" customWidth="1"/>
    <col min="20" max="20" width="9.109375" style="97"/>
    <col min="21" max="21" width="13.109375" style="97" bestFit="1" customWidth="1"/>
    <col min="22" max="22" width="3" style="97" bestFit="1" customWidth="1"/>
    <col min="23" max="23" width="9.109375" style="97"/>
    <col min="24" max="24" width="13.109375" style="97" bestFit="1" customWidth="1"/>
    <col min="25" max="36" width="9.109375" style="97"/>
    <col min="37" max="37" width="12.109375" style="97" customWidth="1"/>
    <col min="38" max="16384" width="9.109375" style="97"/>
  </cols>
  <sheetData>
    <row r="1" spans="1:48" s="1" customFormat="1" x14ac:dyDescent="0.3">
      <c r="A1" s="1" t="s">
        <v>0</v>
      </c>
      <c r="C1" s="99"/>
      <c r="D1" s="99"/>
      <c r="E1" s="99"/>
      <c r="F1" s="99"/>
      <c r="G1" s="97"/>
      <c r="H1" s="97"/>
      <c r="I1" s="97"/>
      <c r="J1" s="97"/>
      <c r="K1" s="97"/>
      <c r="L1" s="99"/>
      <c r="M1" s="99"/>
      <c r="N1" s="99"/>
      <c r="O1" s="99"/>
      <c r="P1" s="99"/>
    </row>
    <row r="2" spans="1:48" s="1" customFormat="1" ht="18" x14ac:dyDescent="0.3">
      <c r="B2" s="43" t="s">
        <v>159</v>
      </c>
      <c r="C2" s="99"/>
      <c r="E2" s="102" t="s">
        <v>2</v>
      </c>
      <c r="F2" s="104">
        <f>'Fatura B1 (Res) OK'!$F$2</f>
        <v>45876</v>
      </c>
      <c r="G2" s="97"/>
      <c r="H2" s="97"/>
      <c r="I2" s="97"/>
      <c r="J2" s="97"/>
      <c r="K2" s="97"/>
      <c r="L2" s="99"/>
      <c r="M2" s="47" t="s">
        <v>3</v>
      </c>
      <c r="N2" s="47" t="s">
        <v>4</v>
      </c>
      <c r="Q2" s="308" t="s">
        <v>6</v>
      </c>
      <c r="R2" s="326"/>
      <c r="S2" s="99"/>
      <c r="T2" s="99"/>
      <c r="U2" s="99"/>
      <c r="V2" s="99"/>
      <c r="W2" s="99"/>
      <c r="X2" s="99"/>
    </row>
    <row r="3" spans="1:48" customFormat="1" x14ac:dyDescent="0.3">
      <c r="M3" s="93" t="s">
        <v>7</v>
      </c>
      <c r="N3" s="48">
        <v>0</v>
      </c>
      <c r="Q3" s="99"/>
      <c r="R3" s="99"/>
      <c r="S3" s="99"/>
      <c r="T3" s="99"/>
      <c r="U3" s="99"/>
      <c r="V3" s="99"/>
      <c r="W3" s="99"/>
      <c r="X3" s="99"/>
    </row>
    <row r="4" spans="1:48" customFormat="1" ht="15" customHeight="1" x14ac:dyDescent="0.3">
      <c r="B4" s="489" t="s">
        <v>140</v>
      </c>
      <c r="C4" s="481" t="str">
        <f>'Fatura B1 (Res) OK'!C4:E4</f>
        <v>TARIFA ANTIGA - REH 3370/2024</v>
      </c>
      <c r="D4" s="481"/>
      <c r="E4" s="481"/>
      <c r="F4" s="481" t="str">
        <f>'Fatura B1 (Res) OK'!F4:H4</f>
        <v>TARIFA NOVA - REH xxxx/2025</v>
      </c>
      <c r="G4" s="481"/>
      <c r="H4" s="481"/>
      <c r="I4" s="482" t="s">
        <v>11</v>
      </c>
      <c r="J4" s="482"/>
      <c r="K4" s="482"/>
      <c r="M4" s="229" t="s">
        <v>12</v>
      </c>
      <c r="N4" s="230">
        <v>1.8849999999999999E-2</v>
      </c>
      <c r="Q4" s="483" t="s">
        <v>8</v>
      </c>
      <c r="R4" s="478" t="str">
        <f>C4</f>
        <v>TARIFA ANTIGA - REH 3370/2024</v>
      </c>
      <c r="S4" s="479"/>
      <c r="T4" s="480"/>
      <c r="U4" s="478" t="str">
        <f>F4</f>
        <v>TARIFA NOVA - REH xxxx/2025</v>
      </c>
      <c r="V4" s="479"/>
      <c r="W4" s="480"/>
      <c r="X4" s="99"/>
    </row>
    <row r="5" spans="1:48" customFormat="1" x14ac:dyDescent="0.3">
      <c r="B5" s="490"/>
      <c r="C5" s="202" t="s">
        <v>13</v>
      </c>
      <c r="D5" s="202" t="s">
        <v>14</v>
      </c>
      <c r="E5" s="202" t="s">
        <v>15</v>
      </c>
      <c r="F5" s="202" t="s">
        <v>13</v>
      </c>
      <c r="G5" s="202" t="s">
        <v>14</v>
      </c>
      <c r="H5" s="202" t="s">
        <v>15</v>
      </c>
      <c r="I5" s="201" t="s">
        <v>13</v>
      </c>
      <c r="J5" s="201" t="s">
        <v>14</v>
      </c>
      <c r="K5" s="201" t="s">
        <v>15</v>
      </c>
      <c r="M5" s="231" t="s">
        <v>16</v>
      </c>
      <c r="N5" s="232">
        <v>4.4630000000000003E-2</v>
      </c>
      <c r="Q5" s="484"/>
      <c r="R5" s="204" t="s">
        <v>17</v>
      </c>
      <c r="U5" s="204" t="s">
        <v>17</v>
      </c>
      <c r="X5" s="204" t="s">
        <v>17</v>
      </c>
    </row>
    <row r="6" spans="1:48" customFormat="1" x14ac:dyDescent="0.3">
      <c r="B6" s="207" t="s">
        <v>160</v>
      </c>
      <c r="C6" s="196">
        <f>'TABELA DE TARIFAS ANTIGAS'!G72/1000</f>
        <v>0.28935</v>
      </c>
      <c r="D6" s="196">
        <f>'TABELA DE TARIFAS ANTIGAS'!H72/1000</f>
        <v>0.29333999999999999</v>
      </c>
      <c r="E6" s="196">
        <f t="shared" ref="E6" si="0">C6+D6</f>
        <v>0.58268999999999993</v>
      </c>
      <c r="F6" s="196">
        <f>'TABELA DE TARIFAS NOVAS'!G72/1000</f>
        <v>0.32543</v>
      </c>
      <c r="G6" s="196">
        <f>'TABELA DE TARIFAS NOVAS'!H72/1000</f>
        <v>0.29660000000000003</v>
      </c>
      <c r="H6" s="196">
        <f t="shared" ref="H6:H7" si="1">F6+G6</f>
        <v>0.62203000000000008</v>
      </c>
      <c r="I6" s="196">
        <f>((C6*$C$13)+(F6*$D$13))/($D$13+$C$13)</f>
        <v>0.32543</v>
      </c>
      <c r="J6" s="196">
        <f>((D6*$C$13)+(G6*$D$13))/($D$13+$C$13)</f>
        <v>0.29660000000000003</v>
      </c>
      <c r="K6" s="197">
        <f t="shared" ref="K6:K7" si="2">I6+J6</f>
        <v>0.62203000000000008</v>
      </c>
      <c r="M6" s="39" t="s">
        <v>19</v>
      </c>
      <c r="N6" s="40">
        <v>7.8770000000000007E-2</v>
      </c>
      <c r="Q6" s="207" t="str">
        <f>B6</f>
        <v>Baixa renda</v>
      </c>
      <c r="R6" s="203">
        <f>'FIO B'!H13/1000</f>
        <v>0.18823431351264014</v>
      </c>
      <c r="U6" s="203">
        <f>'FIO B'!K13/1000</f>
        <v>0.20383072193179136</v>
      </c>
      <c r="X6" s="203">
        <f>((R6*$C$13)+(U6*$D$13))/($D$13+$C$13)</f>
        <v>0.20383072193179136</v>
      </c>
    </row>
    <row r="7" spans="1:48" customFormat="1" x14ac:dyDescent="0.3">
      <c r="B7" s="370" t="s">
        <v>20</v>
      </c>
      <c r="C7" s="387">
        <v>0.17567285996534901</v>
      </c>
      <c r="D7" s="393">
        <v>4.0179200000000003E-3</v>
      </c>
      <c r="E7" s="206">
        <v>4.0179200000000003E-3</v>
      </c>
      <c r="F7" s="206">
        <f>T11</f>
        <v>0</v>
      </c>
      <c r="G7" s="206">
        <f>U11</f>
        <v>-4.4031307414479802E-3</v>
      </c>
      <c r="H7" s="206">
        <f t="shared" si="1"/>
        <v>-4.4031307414479802E-3</v>
      </c>
      <c r="I7" s="203">
        <f>((C7*$C$13)+(F7*$D$13))/($D$13+$C$13)</f>
        <v>0</v>
      </c>
      <c r="J7" s="203">
        <f>((D7*$C$13)+(G7*$D$13))/($D$13+$C$13)</f>
        <v>-4.4031307414479802E-3</v>
      </c>
      <c r="K7" s="206">
        <f t="shared" si="2"/>
        <v>-4.4031307414479802E-3</v>
      </c>
      <c r="M7" s="93" t="s">
        <v>21</v>
      </c>
      <c r="N7" s="305">
        <v>0.14199999999999999</v>
      </c>
      <c r="AM7" s="97"/>
      <c r="AN7" s="97"/>
      <c r="AO7" s="97"/>
      <c r="AP7" s="97"/>
      <c r="AQ7" s="97"/>
      <c r="AR7" s="97"/>
      <c r="AS7" s="97"/>
      <c r="AT7" s="97"/>
      <c r="AU7" s="97"/>
      <c r="AV7" s="97"/>
    </row>
    <row r="8" spans="1:48" customFormat="1" x14ac:dyDescent="0.3">
      <c r="P8" s="99"/>
      <c r="Q8" s="99"/>
      <c r="R8" s="99"/>
      <c r="S8" s="99"/>
      <c r="T8" s="99"/>
      <c r="U8" s="99"/>
      <c r="AM8" s="97"/>
      <c r="AN8" s="97"/>
      <c r="AO8" s="97"/>
      <c r="AP8" s="97"/>
      <c r="AQ8" s="97"/>
      <c r="AR8" s="97"/>
      <c r="AS8" s="97"/>
      <c r="AT8" s="97"/>
      <c r="AU8" s="97"/>
      <c r="AV8" s="97"/>
    </row>
    <row r="9" spans="1:48" customFormat="1" x14ac:dyDescent="0.3">
      <c r="B9" s="131"/>
      <c r="C9" s="132"/>
      <c r="D9" s="209"/>
      <c r="E9" s="132"/>
      <c r="F9" s="132"/>
      <c r="G9" s="132"/>
      <c r="H9" s="210" t="s">
        <v>22</v>
      </c>
      <c r="L9" s="102" t="s">
        <v>161</v>
      </c>
      <c r="M9" s="104">
        <f>EOMONTH(B13,0)+1</f>
        <v>46143</v>
      </c>
      <c r="P9" t="s">
        <v>205</v>
      </c>
      <c r="X9" t="s">
        <v>206</v>
      </c>
      <c r="AF9" t="s">
        <v>207</v>
      </c>
      <c r="AM9" s="97"/>
      <c r="AN9" s="97"/>
      <c r="AO9" s="97"/>
      <c r="AP9" s="97"/>
      <c r="AQ9" s="97"/>
      <c r="AR9" s="97"/>
      <c r="AS9" s="97"/>
      <c r="AT9" s="97"/>
      <c r="AU9" s="97"/>
      <c r="AV9" s="97"/>
    </row>
    <row r="10" spans="1:48" s="1" customFormat="1" x14ac:dyDescent="0.3">
      <c r="B10" s="211" t="s">
        <v>24</v>
      </c>
      <c r="C10" s="342">
        <v>61272</v>
      </c>
      <c r="D10" s="99"/>
      <c r="E10" s="97"/>
      <c r="F10" s="97"/>
      <c r="G10" s="97"/>
      <c r="H10" s="212">
        <f>E13</f>
        <v>46148</v>
      </c>
      <c r="J10" s="99"/>
      <c r="K10" s="485" t="s">
        <v>25</v>
      </c>
      <c r="L10" s="485"/>
      <c r="M10" s="99"/>
      <c r="P10" s="374" t="s">
        <v>26</v>
      </c>
      <c r="Q10" s="375"/>
      <c r="R10" s="371" t="s">
        <v>27</v>
      </c>
      <c r="S10" s="371" t="s">
        <v>28</v>
      </c>
      <c r="T10" s="371" t="s">
        <v>17</v>
      </c>
      <c r="U10" s="371" t="s">
        <v>29</v>
      </c>
      <c r="X10" s="374" t="s">
        <v>26</v>
      </c>
      <c r="Y10" s="375"/>
      <c r="Z10" s="371" t="s">
        <v>27</v>
      </c>
      <c r="AA10" s="371" t="s">
        <v>28</v>
      </c>
      <c r="AB10" s="371" t="s">
        <v>17</v>
      </c>
      <c r="AC10" s="371" t="s">
        <v>29</v>
      </c>
      <c r="AF10" s="374" t="s">
        <v>26</v>
      </c>
      <c r="AG10" s="375"/>
      <c r="AH10" s="371" t="s">
        <v>27</v>
      </c>
      <c r="AI10" s="371" t="s">
        <v>28</v>
      </c>
      <c r="AJ10" s="371" t="s">
        <v>17</v>
      </c>
      <c r="AK10" s="371" t="s">
        <v>29</v>
      </c>
    </row>
    <row r="11" spans="1:48" s="1" customFormat="1" x14ac:dyDescent="0.3">
      <c r="B11" s="112"/>
      <c r="C11" s="99"/>
      <c r="D11" s="99"/>
      <c r="E11" s="99"/>
      <c r="F11" s="99"/>
      <c r="G11" s="99"/>
      <c r="H11" s="213"/>
      <c r="J11" s="99"/>
      <c r="K11" s="93" t="str">
        <f>'Fatura B1 (Res) OK'!K11</f>
        <v>VERDE</v>
      </c>
      <c r="L11" s="93" t="str">
        <f>'Fatura B1 (Res) OK'!L11</f>
        <v>BAM</v>
      </c>
      <c r="M11" s="99"/>
      <c r="P11" s="376" t="s">
        <v>30</v>
      </c>
      <c r="Q11" s="377"/>
      <c r="R11" s="373"/>
      <c r="S11" s="373"/>
      <c r="T11" s="387">
        <v>0</v>
      </c>
      <c r="U11" s="393">
        <v>-4.4031307414479802E-3</v>
      </c>
      <c r="X11" s="376" t="s">
        <v>30</v>
      </c>
      <c r="Y11" s="377"/>
      <c r="Z11" s="373"/>
      <c r="AA11" s="373"/>
      <c r="AB11" s="387">
        <v>0</v>
      </c>
      <c r="AC11" s="393">
        <v>1.2004100000000001E-3</v>
      </c>
      <c r="AF11" s="376" t="s">
        <v>30</v>
      </c>
      <c r="AG11" s="377"/>
      <c r="AH11" s="373"/>
      <c r="AI11" s="373"/>
      <c r="AJ11" s="387">
        <f>((T11*$C$13)+(AB11*$D$13))/($D$13+$C$13)</f>
        <v>0</v>
      </c>
      <c r="AK11" s="393">
        <f>((U11*$D$13)+(AC11*$C$13))/($D$13+$C$13)</f>
        <v>-4.4031307414479802E-3</v>
      </c>
    </row>
    <row r="12" spans="1:48" s="1" customFormat="1" ht="27.6" x14ac:dyDescent="0.3">
      <c r="B12" s="94" t="s">
        <v>31</v>
      </c>
      <c r="C12" s="94" t="s">
        <v>32</v>
      </c>
      <c r="D12" s="94" t="s">
        <v>33</v>
      </c>
      <c r="E12" s="94" t="s">
        <v>34</v>
      </c>
      <c r="F12" s="97"/>
      <c r="G12" s="97"/>
      <c r="H12" s="214"/>
      <c r="I12" s="97"/>
      <c r="J12" s="94" t="s">
        <v>31</v>
      </c>
      <c r="K12" s="94" t="s">
        <v>162</v>
      </c>
      <c r="L12" s="94" t="s">
        <v>163</v>
      </c>
      <c r="M12" s="94" t="s">
        <v>34</v>
      </c>
      <c r="P12" s="380" t="s">
        <v>212</v>
      </c>
      <c r="Q12" s="381">
        <v>1</v>
      </c>
      <c r="U12" s="453">
        <f>$U$11*(1-Q12)</f>
        <v>0</v>
      </c>
      <c r="W12" s="455">
        <f>((T12*$C$13)+(U12*$D$13))/($D$13+$C$13)</f>
        <v>0</v>
      </c>
      <c r="X12" s="380" t="s">
        <v>164</v>
      </c>
      <c r="Y12" s="381">
        <v>0.65</v>
      </c>
      <c r="AC12" s="372">
        <f>$AC$11*(1-Y12)</f>
        <v>4.201435E-4</v>
      </c>
      <c r="AE12" s="455">
        <f>((AB12*$C$13)+(AC12*$D$13))/($D$13+$C$13)</f>
        <v>4.201435E-4</v>
      </c>
      <c r="AF12" s="380" t="s">
        <v>212</v>
      </c>
      <c r="AG12" s="381">
        <v>1</v>
      </c>
      <c r="AK12" s="453">
        <f>$AK$11*(1-AG12)</f>
        <v>0</v>
      </c>
    </row>
    <row r="13" spans="1:48" s="1" customFormat="1" x14ac:dyDescent="0.3">
      <c r="B13" s="227">
        <f>'Fatura B1 (Res) OK'!B13</f>
        <v>46119</v>
      </c>
      <c r="C13" s="106">
        <f>IF((F2-B13-1)&lt;0,0,(F2-B13-1))</f>
        <v>0</v>
      </c>
      <c r="D13" s="106">
        <f>E13-F2+1</f>
        <v>273</v>
      </c>
      <c r="E13" s="227">
        <f>'Fatura B1 (Res) OK'!E13</f>
        <v>46148</v>
      </c>
      <c r="F13" s="215"/>
      <c r="G13" s="215"/>
      <c r="H13" s="216"/>
      <c r="I13" s="97"/>
      <c r="J13" s="107">
        <f>B13</f>
        <v>46119</v>
      </c>
      <c r="K13" s="108">
        <f>IF((M9-J13-1)&lt;0,0,(M9-J13-1))</f>
        <v>23</v>
      </c>
      <c r="L13" s="108">
        <f>M13-M9+1</f>
        <v>6</v>
      </c>
      <c r="M13" s="107">
        <f>E13</f>
        <v>46148</v>
      </c>
      <c r="P13" s="385" t="s">
        <v>213</v>
      </c>
      <c r="Q13" s="386">
        <v>0</v>
      </c>
      <c r="U13" s="453">
        <f>$U$11*(1-Q13)</f>
        <v>-4.4031307414479802E-3</v>
      </c>
      <c r="W13" s="455" t="e">
        <f>((#REF!*$C$13)+(#REF!*$D$13))/($D$13+$C$13)</f>
        <v>#REF!</v>
      </c>
      <c r="X13" s="382" t="s">
        <v>165</v>
      </c>
      <c r="Y13" s="383">
        <v>0.4</v>
      </c>
      <c r="AC13" s="372">
        <f t="shared" ref="AC13:AC15" si="3">$AC$11*(1-Y13)</f>
        <v>7.2024600000000002E-4</v>
      </c>
      <c r="AE13" s="455">
        <f>((AB15*$C$13)+(AC15*$D$13))/($D$13+$C$13)</f>
        <v>1.2004100000000001E-3</v>
      </c>
      <c r="AF13" s="385" t="s">
        <v>213</v>
      </c>
      <c r="AG13" s="386">
        <v>0</v>
      </c>
      <c r="AI13"/>
      <c r="AJ13" s="178"/>
      <c r="AK13" s="453">
        <f>$AK$11*(1-AG13)</f>
        <v>-4.4031307414479802E-3</v>
      </c>
    </row>
    <row r="14" spans="1:48" s="1" customFormat="1" x14ac:dyDescent="0.3">
      <c r="B14" s="192"/>
      <c r="C14" s="193"/>
      <c r="D14" s="193"/>
      <c r="E14" s="192"/>
      <c r="G14"/>
      <c r="H14"/>
      <c r="I14"/>
      <c r="J14"/>
      <c r="K14"/>
      <c r="N14" s="194"/>
      <c r="O14" s="195"/>
      <c r="W14" s="455" t="e">
        <f>((#REF!*$C$13)+(#REF!*$D$13))/($D$13+$C$13)</f>
        <v>#REF!</v>
      </c>
      <c r="X14" s="384" t="s">
        <v>166</v>
      </c>
      <c r="Y14" s="383">
        <v>0.1</v>
      </c>
      <c r="AA14"/>
      <c r="AB14" s="178"/>
      <c r="AC14" s="372">
        <f t="shared" si="3"/>
        <v>1.0803690000000001E-3</v>
      </c>
    </row>
    <row r="15" spans="1:48" s="1" customFormat="1" x14ac:dyDescent="0.3">
      <c r="B15" s="192"/>
      <c r="C15" s="193"/>
      <c r="D15" s="193"/>
      <c r="E15" s="192"/>
      <c r="G15"/>
      <c r="H15"/>
      <c r="I15"/>
      <c r="J15"/>
      <c r="K15"/>
      <c r="N15" s="194"/>
      <c r="O15" s="195"/>
      <c r="V15" s="97"/>
      <c r="W15" s="455">
        <f>((T13*$C$13)+(U13*$D$13))/($D$13+$C$13)</f>
        <v>-4.4031307414479802E-3</v>
      </c>
      <c r="X15" s="385" t="s">
        <v>167</v>
      </c>
      <c r="Y15" s="386">
        <v>0</v>
      </c>
      <c r="AA15"/>
      <c r="AB15" s="178"/>
      <c r="AC15" s="372">
        <f t="shared" si="3"/>
        <v>1.2004100000000001E-3</v>
      </c>
      <c r="AD15" s="97"/>
      <c r="AL15" s="97"/>
    </row>
    <row r="16" spans="1:48" s="1" customFormat="1" x14ac:dyDescent="0.3">
      <c r="B16" s="419" t="s">
        <v>168</v>
      </c>
      <c r="D16" s="293">
        <v>102</v>
      </c>
      <c r="E16" s="193"/>
      <c r="G16"/>
      <c r="H16"/>
      <c r="I16"/>
      <c r="J16"/>
      <c r="K16"/>
      <c r="N16" s="194"/>
      <c r="O16" s="195"/>
      <c r="P16"/>
      <c r="Q16"/>
      <c r="S16"/>
      <c r="T16" s="178"/>
      <c r="U16"/>
      <c r="V16"/>
      <c r="W16"/>
    </row>
    <row r="17" spans="1:30" s="1" customFormat="1" x14ac:dyDescent="0.3">
      <c r="B17" s="192"/>
      <c r="C17" s="193"/>
      <c r="D17" s="193"/>
      <c r="E17" s="192"/>
      <c r="G17"/>
      <c r="H17"/>
      <c r="I17"/>
      <c r="J17"/>
      <c r="K17"/>
      <c r="N17" s="194"/>
      <c r="O17" s="302" t="s">
        <v>35</v>
      </c>
      <c r="P17" s="97"/>
      <c r="Q17" s="461">
        <v>1024563371</v>
      </c>
      <c r="S17"/>
      <c r="T17" s="178"/>
      <c r="U17"/>
      <c r="V17"/>
      <c r="W17"/>
    </row>
    <row r="18" spans="1:30" s="1" customFormat="1" ht="41.4" x14ac:dyDescent="0.3">
      <c r="B18" s="394" t="s">
        <v>36</v>
      </c>
      <c r="C18" s="394" t="s">
        <v>37</v>
      </c>
      <c r="D18" s="394" t="s">
        <v>38</v>
      </c>
      <c r="E18" s="395" t="s">
        <v>39</v>
      </c>
      <c r="F18" s="395" t="s">
        <v>40</v>
      </c>
      <c r="G18" s="395" t="s">
        <v>41</v>
      </c>
      <c r="H18" s="395" t="s">
        <v>42</v>
      </c>
      <c r="I18" s="395" t="s">
        <v>43</v>
      </c>
      <c r="J18" s="395" t="s">
        <v>44</v>
      </c>
      <c r="K18" s="396" t="s">
        <v>45</v>
      </c>
      <c r="L18" s="394" t="s">
        <v>46</v>
      </c>
      <c r="M18" s="395" t="s">
        <v>47</v>
      </c>
      <c r="N18" s="395" t="s">
        <v>48</v>
      </c>
      <c r="O18" s="395" t="s">
        <v>49</v>
      </c>
      <c r="R18" s="97"/>
      <c r="S18" s="97"/>
      <c r="T18" s="97"/>
      <c r="Y18"/>
      <c r="Z18"/>
      <c r="AA18"/>
      <c r="AB18"/>
      <c r="AC18"/>
      <c r="AD18"/>
    </row>
    <row r="19" spans="1:30" s="1" customFormat="1" x14ac:dyDescent="0.3">
      <c r="B19" s="401"/>
      <c r="C19" s="401"/>
      <c r="D19" s="401"/>
      <c r="E19" s="401"/>
      <c r="F19" s="401"/>
      <c r="G19" s="401"/>
      <c r="H19" s="401"/>
      <c r="I19" s="401"/>
      <c r="J19" s="401"/>
      <c r="K19" s="401"/>
      <c r="L19" s="120"/>
      <c r="M19" s="397"/>
      <c r="N19" s="397"/>
      <c r="O19" s="397"/>
      <c r="P19"/>
      <c r="T19"/>
      <c r="U19"/>
      <c r="V19"/>
      <c r="W19"/>
    </row>
    <row r="20" spans="1:30" s="1" customFormat="1" x14ac:dyDescent="0.3">
      <c r="B20" s="430" t="s">
        <v>208</v>
      </c>
      <c r="C20" s="430"/>
      <c r="D20" s="435">
        <f>-L80</f>
        <v>-50.070200000000007</v>
      </c>
      <c r="E20" s="436">
        <v>1</v>
      </c>
      <c r="F20" s="433">
        <f>D20*E20</f>
        <v>-50.070200000000007</v>
      </c>
      <c r="G20" s="432">
        <v>0</v>
      </c>
      <c r="H20" s="433">
        <v>0</v>
      </c>
      <c r="I20" s="432">
        <v>0</v>
      </c>
      <c r="J20" s="433"/>
      <c r="K20" s="406">
        <v>1</v>
      </c>
      <c r="L20" s="120"/>
      <c r="M20" s="397"/>
      <c r="N20" s="397"/>
      <c r="O20" s="397"/>
      <c r="P20"/>
      <c r="Q20" s="302"/>
      <c r="R20" s="97"/>
      <c r="S20" s="427"/>
      <c r="T20"/>
      <c r="U20"/>
      <c r="V20"/>
      <c r="W20"/>
    </row>
    <row r="21" spans="1:30" s="1" customFormat="1" x14ac:dyDescent="0.3">
      <c r="B21" s="430" t="s">
        <v>209</v>
      </c>
      <c r="C21" s="430"/>
      <c r="D21" s="432">
        <f>D20</f>
        <v>-50.070200000000007</v>
      </c>
      <c r="E21" s="431">
        <f>F21/D21</f>
        <v>-1.2122919538851926</v>
      </c>
      <c r="F21" s="433">
        <f>-1*(F20-J21)</f>
        <v>60.699700589422378</v>
      </c>
      <c r="G21" s="432">
        <v>0</v>
      </c>
      <c r="H21" s="433">
        <f>K90</f>
        <v>62.526474055425687</v>
      </c>
      <c r="I21" s="403">
        <v>0.17</v>
      </c>
      <c r="J21" s="433">
        <f t="shared" ref="J21:J25" si="4">H21*$I$21</f>
        <v>10.629500589422367</v>
      </c>
      <c r="K21" s="406">
        <v>1</v>
      </c>
      <c r="L21" s="169" t="s">
        <v>54</v>
      </c>
      <c r="M21" s="404">
        <f>E58</f>
        <v>14.282752902155888</v>
      </c>
      <c r="N21" s="399">
        <f>'Fatura B1 (Res) OK'!N18</f>
        <v>6.3E-3</v>
      </c>
      <c r="O21" s="413">
        <f>ROUND(M21*N21,2)</f>
        <v>0.09</v>
      </c>
      <c r="P21"/>
      <c r="Q21" s="308" t="s">
        <v>50</v>
      </c>
      <c r="R21" s="308" t="s">
        <v>51</v>
      </c>
      <c r="S21" s="427"/>
      <c r="T21"/>
      <c r="U21"/>
      <c r="V21"/>
      <c r="W21"/>
    </row>
    <row r="22" spans="1:30" s="1" customFormat="1" x14ac:dyDescent="0.3">
      <c r="A22" s="255">
        <v>1</v>
      </c>
      <c r="B22" s="397" t="s">
        <v>214</v>
      </c>
      <c r="C22" s="398" t="s">
        <v>53</v>
      </c>
      <c r="D22" s="404" cm="1">
        <f t="array" ref="D22">_xlfn.IFS(80&gt;=D16,D16,D16&gt;80,80)</f>
        <v>80</v>
      </c>
      <c r="E22" s="406">
        <f>IFERROR((ROUND(D22*K22,2)+ROUND(G22,2)+ROUND(J22,2))/ROUND(D22,4),0)</f>
        <v>0</v>
      </c>
      <c r="F22" s="404">
        <f>ROUND(D22*E22,2)</f>
        <v>0</v>
      </c>
      <c r="G22" s="404">
        <f>ROUND(((D22*K22)/(1-$N$21-$N$22))*($N$21+$N$22),2)</f>
        <v>0</v>
      </c>
      <c r="H22" s="411">
        <f>ROUND((D22*K22)/(1-$N$21-$N$22)/(1-$I$21),2)</f>
        <v>0</v>
      </c>
      <c r="J22" s="411">
        <f t="shared" si="4"/>
        <v>0</v>
      </c>
      <c r="K22" s="406">
        <f>K23*(1-A22)</f>
        <v>0</v>
      </c>
      <c r="L22" s="169" t="s">
        <v>56</v>
      </c>
      <c r="M22" s="404">
        <f>M21</f>
        <v>14.282752902155888</v>
      </c>
      <c r="N22" s="399">
        <f>'Fatura B1 (Res) OK'!N19</f>
        <v>2.8899999999999999E-2</v>
      </c>
      <c r="O22" s="413">
        <f>ROUND(M22*N22,2)</f>
        <v>0.41</v>
      </c>
      <c r="P22"/>
      <c r="Q22" s="97"/>
      <c r="R22" s="97"/>
      <c r="S22" s="97"/>
      <c r="T22"/>
      <c r="U22"/>
      <c r="V22"/>
      <c r="W22"/>
    </row>
    <row r="23" spans="1:30" s="1" customFormat="1" x14ac:dyDescent="0.3">
      <c r="A23" s="255">
        <v>0</v>
      </c>
      <c r="B23" s="397" t="s">
        <v>215</v>
      </c>
      <c r="C23" s="398" t="s">
        <v>53</v>
      </c>
      <c r="D23" s="404">
        <f>IF(D16&gt;80,D16-80,0)</f>
        <v>22</v>
      </c>
      <c r="E23" s="406">
        <f t="shared" ref="E23:E25" si="5">IFERROR((ROUND(D23*K23,2)+ROUND(G23,2)+ROUND(J23,2))/ROUND(D23,4),0)</f>
        <v>0.40636363636363632</v>
      </c>
      <c r="F23" s="404">
        <f t="shared" ref="F23:F25" si="6">ROUND(D23*E23,2)</f>
        <v>8.94</v>
      </c>
      <c r="G23" s="404">
        <f>ROUND(((D23*K23)/(1-$N$21-$N$22))*($N$21+$N$22),2)</f>
        <v>0.26</v>
      </c>
      <c r="H23" s="411">
        <f>ROUND((D23*K23)/(1-$N$21-$N$22)/(1-$I$21),2)</f>
        <v>8.94</v>
      </c>
      <c r="I23" s="397"/>
      <c r="J23" s="411">
        <f t="shared" si="4"/>
        <v>1.5198</v>
      </c>
      <c r="K23" s="406">
        <f>IF(AND($B$13&lt;$F$2,$E$13&lt;$F$2),C6,IF($B$13&lt;$F$2,I6,F6))</f>
        <v>0.32543</v>
      </c>
      <c r="L23" s="127"/>
      <c r="M23" s="127"/>
      <c r="N23" s="127"/>
      <c r="O23" s="137"/>
      <c r="P23"/>
      <c r="Q23" s="344">
        <f>IF(AND($B$13&lt;$F$2,$E$13&lt;$F$2),R6,IF($B$13&lt;$F$2,X6,U6))*(1-B50)</f>
        <v>0</v>
      </c>
      <c r="R23" s="330">
        <f>E52*Q23</f>
        <v>0</v>
      </c>
      <c r="S23"/>
      <c r="T23"/>
      <c r="U23"/>
      <c r="V23"/>
      <c r="W23"/>
    </row>
    <row r="24" spans="1:30" s="1" customFormat="1" x14ac:dyDescent="0.3">
      <c r="B24" s="397" t="s">
        <v>216</v>
      </c>
      <c r="C24" s="398" t="s">
        <v>53</v>
      </c>
      <c r="D24" s="404">
        <f>D22</f>
        <v>80</v>
      </c>
      <c r="E24" s="406">
        <f t="shared" si="5"/>
        <v>0</v>
      </c>
      <c r="F24" s="404">
        <f t="shared" si="6"/>
        <v>0</v>
      </c>
      <c r="G24" s="404">
        <f>ROUND(((D24*K24)/(1-$N$21-$N$22))*($N$21+$N$22),2)</f>
        <v>0</v>
      </c>
      <c r="H24" s="411">
        <f>ROUND((D24*K24)/(1-$N$21-$N$22)/(1-$I$21),2)</f>
        <v>0</v>
      </c>
      <c r="I24" s="397"/>
      <c r="J24" s="411">
        <f t="shared" si="4"/>
        <v>0</v>
      </c>
      <c r="K24" s="406">
        <f>K25*(1-A22)</f>
        <v>0</v>
      </c>
      <c r="L24"/>
      <c r="M24"/>
      <c r="N24"/>
      <c r="O24" s="120"/>
      <c r="P24"/>
      <c r="Q24" s="344">
        <f>IF(AND($B$13&lt;$F$2,$E$13&lt;$F$2),R6,IF($B$13&lt;$F$2,X6,U6))*(1-B51)</f>
        <v>0.20383072193179136</v>
      </c>
      <c r="R24" s="330">
        <f>E53*Q24</f>
        <v>0</v>
      </c>
      <c r="S24"/>
      <c r="T24"/>
      <c r="U24"/>
      <c r="V24"/>
      <c r="W24"/>
    </row>
    <row r="25" spans="1:30" s="1" customFormat="1" x14ac:dyDescent="0.3">
      <c r="B25" s="397" t="s">
        <v>217</v>
      </c>
      <c r="C25" s="398" t="s">
        <v>53</v>
      </c>
      <c r="D25" s="404">
        <f>D23</f>
        <v>22</v>
      </c>
      <c r="E25" s="406">
        <f t="shared" si="5"/>
        <v>0.37090909090909091</v>
      </c>
      <c r="F25" s="404">
        <f t="shared" si="6"/>
        <v>8.16</v>
      </c>
      <c r="G25" s="404">
        <f>ROUND(((D25*K25)/(1-$N$21-$N$22))*($N$21+$N$22),2)</f>
        <v>0.24</v>
      </c>
      <c r="H25" s="411">
        <f>ROUND((D25*K25)/(1-$N$21-$N$22)/(1-$I$21),2)</f>
        <v>8.15</v>
      </c>
      <c r="I25" s="397"/>
      <c r="J25" s="411">
        <f t="shared" si="4"/>
        <v>1.3855000000000002</v>
      </c>
      <c r="K25" s="406">
        <f>IF(AND($B$13&lt;$F$2,$E$13&lt;$F$2),D6,IF($B$13&lt;$F$2,J6,G6))</f>
        <v>0.29660000000000003</v>
      </c>
      <c r="L25"/>
      <c r="M25"/>
      <c r="N25"/>
      <c r="O25" s="120"/>
      <c r="P25"/>
      <c r="Q25" s="344">
        <v>0</v>
      </c>
      <c r="R25" s="330">
        <v>0</v>
      </c>
      <c r="S25">
        <v>1.5655000000000001E-3</v>
      </c>
      <c r="T25">
        <v>0.11</v>
      </c>
      <c r="U25"/>
      <c r="V25"/>
      <c r="W25"/>
    </row>
    <row r="26" spans="1:30" s="1" customFormat="1" x14ac:dyDescent="0.3">
      <c r="B26" s="471" t="s">
        <v>210</v>
      </c>
      <c r="C26" s="398"/>
      <c r="D26" s="404">
        <v>80</v>
      </c>
      <c r="E26" s="406">
        <v>0</v>
      </c>
      <c r="F26" s="477">
        <v>7.0000000000000007E-2</v>
      </c>
      <c r="G26" s="404">
        <v>0</v>
      </c>
      <c r="H26" s="411">
        <v>0</v>
      </c>
      <c r="I26" s="397"/>
      <c r="J26" s="411">
        <v>0</v>
      </c>
      <c r="K26" s="406">
        <v>0</v>
      </c>
      <c r="O26" s="120"/>
      <c r="P26"/>
      <c r="Q26" s="344">
        <v>0</v>
      </c>
      <c r="R26" s="330">
        <f>E53*Q26</f>
        <v>0</v>
      </c>
      <c r="S26">
        <v>2.3482500000000001E-3</v>
      </c>
      <c r="T26">
        <v>0.28000000000000003</v>
      </c>
      <c r="U26"/>
      <c r="V26"/>
      <c r="W26"/>
    </row>
    <row r="27" spans="1:30" s="1" customFormat="1" x14ac:dyDescent="0.3">
      <c r="B27" s="471" t="s">
        <v>210</v>
      </c>
      <c r="C27" s="398"/>
      <c r="D27" s="404">
        <v>46</v>
      </c>
      <c r="E27" s="406">
        <v>5.7173913043478256E-2</v>
      </c>
      <c r="F27" s="477">
        <v>1.07</v>
      </c>
      <c r="G27" s="404">
        <v>0.13</v>
      </c>
      <c r="H27" s="411">
        <v>2.63</v>
      </c>
      <c r="I27" s="397"/>
      <c r="J27" s="411">
        <v>0.4471</v>
      </c>
      <c r="K27" s="406">
        <v>4.4630000000000003E-2</v>
      </c>
      <c r="L27" s="99"/>
      <c r="M27" s="99"/>
      <c r="N27" s="99"/>
      <c r="O27" s="120"/>
      <c r="P27"/>
      <c r="Q27" s="428"/>
      <c r="R27"/>
      <c r="S27">
        <v>2.6091700000000001E-3</v>
      </c>
      <c r="T27">
        <v>0.22</v>
      </c>
      <c r="U27"/>
      <c r="V27"/>
      <c r="W27"/>
    </row>
    <row r="28" spans="1:30" s="1" customFormat="1" x14ac:dyDescent="0.3">
      <c r="B28" s="471"/>
      <c r="C28" s="398"/>
      <c r="D28" s="404"/>
      <c r="E28" s="406"/>
      <c r="F28" s="404"/>
      <c r="G28" s="404"/>
      <c r="H28" s="411"/>
      <c r="I28" s="397"/>
      <c r="J28" s="411"/>
      <c r="K28" s="406"/>
      <c r="L28" s="99"/>
      <c r="M28" s="99"/>
      <c r="N28" s="99"/>
      <c r="O28" s="120"/>
      <c r="P28" s="434"/>
      <c r="Q28" s="428"/>
      <c r="R28"/>
      <c r="S28"/>
      <c r="T28"/>
      <c r="U28"/>
      <c r="V28"/>
      <c r="W28"/>
    </row>
    <row r="29" spans="1:30" s="1" customFormat="1" x14ac:dyDescent="0.3">
      <c r="B29" s="471"/>
      <c r="C29" s="398"/>
      <c r="D29" s="404"/>
      <c r="E29" s="406"/>
      <c r="F29" s="404"/>
      <c r="G29" s="404"/>
      <c r="H29" s="411"/>
      <c r="I29" s="397"/>
      <c r="J29" s="411"/>
      <c r="K29" s="406"/>
      <c r="L29" s="99"/>
      <c r="M29" s="99"/>
      <c r="N29" s="99"/>
      <c r="O29" s="120"/>
      <c r="P29"/>
      <c r="Q29" s="429"/>
      <c r="R29"/>
      <c r="S29"/>
      <c r="T29"/>
      <c r="U29"/>
      <c r="V29"/>
      <c r="W29"/>
    </row>
    <row r="30" spans="1:30" s="1" customFormat="1" x14ac:dyDescent="0.3">
      <c r="B30" s="420"/>
      <c r="C30" s="421"/>
      <c r="D30" s="422"/>
      <c r="E30" s="423"/>
      <c r="F30" s="422"/>
      <c r="G30" s="422"/>
      <c r="H30" s="424"/>
      <c r="I30" s="420"/>
      <c r="J30" s="422"/>
      <c r="K30" s="423"/>
      <c r="L30" s="99"/>
      <c r="M30" s="99"/>
      <c r="N30" s="99"/>
      <c r="O30" s="120"/>
      <c r="P30"/>
      <c r="Q30"/>
      <c r="R30"/>
      <c r="S30"/>
      <c r="T30"/>
      <c r="U30"/>
      <c r="V30"/>
      <c r="W30"/>
    </row>
    <row r="31" spans="1:30" s="1" customFormat="1" x14ac:dyDescent="0.3">
      <c r="B31" s="397" t="s">
        <v>61</v>
      </c>
      <c r="C31" s="397"/>
      <c r="D31" s="397"/>
      <c r="E31" s="397"/>
      <c r="F31" s="402">
        <v>0.05</v>
      </c>
      <c r="G31" s="397"/>
      <c r="H31" s="397"/>
      <c r="I31" s="397"/>
      <c r="J31" s="397"/>
      <c r="K31" s="397"/>
      <c r="L31" s="99"/>
      <c r="M31" s="99"/>
      <c r="N31" s="99"/>
      <c r="O31" s="120"/>
      <c r="P31" s="12"/>
      <c r="Q31"/>
      <c r="R31"/>
      <c r="S31"/>
      <c r="T31"/>
      <c r="U31"/>
      <c r="V31"/>
      <c r="W31"/>
    </row>
    <row r="32" spans="1:30" s="1" customFormat="1" x14ac:dyDescent="0.3">
      <c r="B32" s="397" t="s">
        <v>62</v>
      </c>
      <c r="C32" s="397"/>
      <c r="D32" s="397"/>
      <c r="E32" s="397"/>
      <c r="F32" s="402">
        <v>1.02</v>
      </c>
      <c r="G32" s="397"/>
      <c r="H32" s="397"/>
      <c r="I32" s="397"/>
      <c r="J32" s="397"/>
      <c r="K32" s="397"/>
      <c r="L32" s="99"/>
      <c r="M32" s="99"/>
      <c r="N32" s="99"/>
      <c r="O32" s="120"/>
      <c r="P32"/>
      <c r="Q32"/>
      <c r="R32"/>
      <c r="S32"/>
      <c r="T32"/>
      <c r="U32"/>
      <c r="V32"/>
      <c r="W32"/>
    </row>
    <row r="33" spans="2:23" s="99" customFormat="1" x14ac:dyDescent="0.3">
      <c r="B33" s="397" t="s">
        <v>63</v>
      </c>
      <c r="C33" s="397"/>
      <c r="D33" s="438"/>
      <c r="E33" s="397"/>
      <c r="F33" s="402"/>
      <c r="G33" s="397"/>
      <c r="H33" s="397"/>
      <c r="I33" s="397"/>
      <c r="J33" s="397"/>
      <c r="K33" s="397"/>
      <c r="O33" s="120"/>
      <c r="S33" s="441"/>
    </row>
    <row r="34" spans="2:23" s="1" customFormat="1" x14ac:dyDescent="0.3">
      <c r="B34" s="397" t="s">
        <v>64</v>
      </c>
      <c r="C34" s="397"/>
      <c r="D34" s="397"/>
      <c r="E34" s="397"/>
      <c r="F34" s="402"/>
      <c r="G34" s="397"/>
      <c r="H34" s="397"/>
      <c r="I34" s="397"/>
      <c r="J34" s="397"/>
      <c r="K34" s="397"/>
      <c r="L34" s="99"/>
      <c r="M34" s="99"/>
      <c r="N34" s="99"/>
      <c r="O34" s="120"/>
      <c r="P34"/>
      <c r="Q34" s="46"/>
      <c r="R34"/>
      <c r="S34"/>
      <c r="T34"/>
      <c r="U34"/>
      <c r="V34"/>
      <c r="W34"/>
    </row>
    <row r="35" spans="2:23" s="1" customFormat="1" x14ac:dyDescent="0.3">
      <c r="B35" s="397" t="s">
        <v>65</v>
      </c>
      <c r="C35" s="397"/>
      <c r="D35" s="397"/>
      <c r="E35" s="397"/>
      <c r="F35" s="402">
        <v>26.05</v>
      </c>
      <c r="G35" s="397"/>
      <c r="H35" s="397"/>
      <c r="I35" s="397"/>
      <c r="J35" s="397"/>
      <c r="K35" s="397"/>
      <c r="L35" s="99"/>
      <c r="M35" s="99"/>
      <c r="N35" s="99"/>
      <c r="O35" s="120"/>
      <c r="P35"/>
      <c r="Q35"/>
      <c r="R35"/>
      <c r="S35"/>
      <c r="T35"/>
      <c r="U35"/>
      <c r="V35"/>
      <c r="W35"/>
    </row>
    <row r="36" spans="2:23" s="1" customFormat="1" x14ac:dyDescent="0.3">
      <c r="B36" s="397"/>
      <c r="C36" s="397"/>
      <c r="D36" s="397"/>
      <c r="E36" s="397"/>
      <c r="F36" s="397"/>
      <c r="G36" s="397"/>
      <c r="H36" s="397"/>
      <c r="I36" s="397"/>
      <c r="J36" s="397"/>
      <c r="K36" s="397"/>
      <c r="L36" s="99"/>
      <c r="M36" s="99"/>
      <c r="N36" s="99"/>
      <c r="O36" s="120"/>
      <c r="P36"/>
      <c r="Q36" s="46"/>
      <c r="R36"/>
      <c r="S36"/>
      <c r="T36"/>
      <c r="U36"/>
      <c r="V36"/>
      <c r="W36"/>
    </row>
    <row r="37" spans="2:23" s="1" customFormat="1" x14ac:dyDescent="0.3">
      <c r="B37" s="397"/>
      <c r="C37" s="397"/>
      <c r="D37" s="397"/>
      <c r="E37" s="397"/>
      <c r="F37" s="397"/>
      <c r="G37" s="397"/>
      <c r="H37" s="397"/>
      <c r="I37" s="397"/>
      <c r="J37" s="397"/>
      <c r="K37" s="397"/>
      <c r="L37" s="99"/>
      <c r="M37" s="99"/>
      <c r="N37" s="99"/>
      <c r="O37" s="120"/>
      <c r="P37"/>
      <c r="Q37"/>
      <c r="R37"/>
      <c r="S37"/>
      <c r="T37"/>
      <c r="U37"/>
      <c r="V37"/>
      <c r="W37"/>
    </row>
    <row r="38" spans="2:23" s="1" customFormat="1" x14ac:dyDescent="0.3">
      <c r="B38" s="405" t="s">
        <v>66</v>
      </c>
      <c r="C38" s="400"/>
      <c r="D38" s="400"/>
      <c r="E38" s="400"/>
      <c r="F38" s="407">
        <f>SUM(F20:F37)</f>
        <v>55.98950058942237</v>
      </c>
      <c r="G38" s="410">
        <f>SUM(G22:G37)</f>
        <v>0.63</v>
      </c>
      <c r="H38" s="412">
        <f>SUM(H20:H37)</f>
        <v>82.246474055425693</v>
      </c>
      <c r="I38" s="400"/>
      <c r="J38" s="412">
        <f>SUM(J20:J37)</f>
        <v>13.981900589422368</v>
      </c>
      <c r="K38" s="400"/>
      <c r="L38" s="127"/>
      <c r="M38" s="127"/>
      <c r="N38" s="127"/>
      <c r="O38" s="137"/>
      <c r="P38"/>
      <c r="Q38"/>
      <c r="R38"/>
      <c r="S38"/>
      <c r="T38"/>
      <c r="U38"/>
      <c r="V38"/>
      <c r="W38"/>
    </row>
    <row r="39" spans="2:23" s="1" customFormat="1" x14ac:dyDescent="0.3"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/>
      <c r="Q39"/>
      <c r="R39"/>
      <c r="S39"/>
      <c r="T39"/>
      <c r="U39"/>
      <c r="V39"/>
      <c r="W39"/>
    </row>
    <row r="40" spans="2:23" s="1" customFormat="1" x14ac:dyDescent="0.3">
      <c r="B40" s="415" t="s">
        <v>67</v>
      </c>
      <c r="C40" s="416"/>
      <c r="D40" s="417"/>
      <c r="E40" s="417"/>
      <c r="F40" s="415">
        <f>(D22*AK12)+(D23*AK13)</f>
        <v>-9.6868876311855562E-2</v>
      </c>
      <c r="G40" s="99"/>
      <c r="H40" s="99"/>
      <c r="I40" s="99"/>
      <c r="J40" s="99"/>
      <c r="K40" s="99"/>
      <c r="L40" s="99"/>
      <c r="M40" s="99"/>
      <c r="N40" s="99"/>
      <c r="O40" s="99"/>
      <c r="P40"/>
      <c r="Q40"/>
      <c r="R40"/>
      <c r="S40"/>
      <c r="T40"/>
      <c r="U40"/>
      <c r="V40"/>
      <c r="W40"/>
    </row>
    <row r="41" spans="2:23" s="1" customFormat="1" x14ac:dyDescent="0.3">
      <c r="B41" s="192"/>
      <c r="C41" s="193"/>
      <c r="D41" s="193"/>
      <c r="E41" s="192"/>
      <c r="G41"/>
      <c r="H41"/>
      <c r="I41"/>
      <c r="J41"/>
      <c r="K41"/>
      <c r="N41" s="194"/>
      <c r="O41" s="195"/>
      <c r="P41"/>
      <c r="Q41"/>
      <c r="R41"/>
      <c r="S41"/>
      <c r="T41"/>
      <c r="U41"/>
      <c r="V41"/>
      <c r="W41"/>
    </row>
    <row r="42" spans="2:23" s="1" customFormat="1" x14ac:dyDescent="0.3">
      <c r="B42" s="192"/>
      <c r="C42" s="193"/>
      <c r="D42" s="193"/>
      <c r="E42" s="192"/>
      <c r="G42"/>
      <c r="H42"/>
      <c r="I42"/>
      <c r="J42"/>
      <c r="K42"/>
      <c r="N42" s="194"/>
      <c r="O42" s="195"/>
      <c r="P42">
        <v>0.25</v>
      </c>
      <c r="Q42"/>
      <c r="R42"/>
      <c r="S42"/>
      <c r="T42"/>
      <c r="U42"/>
      <c r="V42"/>
      <c r="W42"/>
    </row>
    <row r="43" spans="2:23" x14ac:dyDescent="0.3">
      <c r="B43" s="499" t="s">
        <v>178</v>
      </c>
      <c r="C43" s="500"/>
      <c r="D43" s="500"/>
      <c r="E43" s="500"/>
      <c r="F43" s="500"/>
      <c r="G43" s="500"/>
      <c r="H43" s="500"/>
      <c r="I43" s="500"/>
      <c r="J43" s="500"/>
      <c r="K43" s="501"/>
      <c r="L43" s="1"/>
      <c r="M43" s="302"/>
      <c r="P43" s="97">
        <v>0.32</v>
      </c>
    </row>
    <row r="44" spans="2:23" x14ac:dyDescent="0.3">
      <c r="B44" s="280"/>
      <c r="C44" s="281"/>
      <c r="D44" s="281"/>
      <c r="E44" s="282"/>
      <c r="F44" s="283"/>
      <c r="G44" s="282"/>
      <c r="H44" s="284"/>
      <c r="I44" s="285" t="s">
        <v>53</v>
      </c>
      <c r="J44" s="286"/>
      <c r="K44" s="287"/>
      <c r="P44" s="97">
        <v>1.23</v>
      </c>
    </row>
    <row r="45" spans="2:23" x14ac:dyDescent="0.3">
      <c r="B45" s="288" t="s">
        <v>73</v>
      </c>
      <c r="C45" s="289"/>
      <c r="D45" s="289"/>
      <c r="E45" s="290"/>
      <c r="F45" s="291"/>
      <c r="G45" s="290"/>
      <c r="H45" s="292"/>
      <c r="I45" s="293">
        <f>D16</f>
        <v>102</v>
      </c>
      <c r="J45" s="294"/>
      <c r="K45" s="295"/>
      <c r="P45" s="365">
        <f>SUM(P42:P44)</f>
        <v>1.8</v>
      </c>
    </row>
    <row r="46" spans="2:23" ht="10.5" customHeight="1" x14ac:dyDescent="0.3">
      <c r="B46" s="296"/>
      <c r="C46" s="297"/>
      <c r="D46" s="297"/>
      <c r="E46" s="297"/>
      <c r="F46" s="297"/>
      <c r="G46" s="297"/>
      <c r="H46" s="297"/>
      <c r="I46" s="298"/>
      <c r="J46" s="299"/>
      <c r="K46" s="300"/>
    </row>
    <row r="47" spans="2:23" x14ac:dyDescent="0.3">
      <c r="B47" s="240" t="s">
        <v>36</v>
      </c>
      <c r="C47" s="241"/>
      <c r="D47" s="241"/>
      <c r="E47" s="223" t="s">
        <v>69</v>
      </c>
      <c r="F47" s="109"/>
      <c r="G47" s="223" t="s">
        <v>70</v>
      </c>
      <c r="H47" s="223" t="s">
        <v>14</v>
      </c>
      <c r="I47" s="223" t="s">
        <v>15</v>
      </c>
      <c r="J47" s="223" t="s">
        <v>71</v>
      </c>
      <c r="K47" s="242" t="s">
        <v>179</v>
      </c>
    </row>
    <row r="48" spans="2:23" x14ac:dyDescent="0.3">
      <c r="B48" s="243" t="s">
        <v>72</v>
      </c>
      <c r="C48" s="244"/>
      <c r="D48" s="244"/>
      <c r="E48" s="245"/>
      <c r="F48" s="244"/>
      <c r="G48" s="246"/>
      <c r="H48" s="244"/>
      <c r="I48" s="247"/>
      <c r="J48" s="247"/>
      <c r="K48" s="248">
        <f>+SUM(J50:J61)</f>
        <v>27.83763661611621</v>
      </c>
      <c r="M48" s="174"/>
    </row>
    <row r="49" spans="2:16" ht="6" customHeight="1" x14ac:dyDescent="0.3">
      <c r="B49" s="249"/>
      <c r="C49" s="250"/>
      <c r="D49" s="250"/>
      <c r="E49" s="251"/>
      <c r="F49" s="250"/>
      <c r="G49" s="252"/>
      <c r="H49" s="250"/>
      <c r="I49" s="253"/>
      <c r="J49" s="253"/>
      <c r="K49" s="254"/>
    </row>
    <row r="50" spans="2:16" x14ac:dyDescent="0.3">
      <c r="B50" s="255">
        <v>1</v>
      </c>
      <c r="C50" s="138" t="s">
        <v>218</v>
      </c>
      <c r="D50" s="138"/>
      <c r="E50" s="256">
        <f>D22</f>
        <v>80</v>
      </c>
      <c r="F50" s="138" t="s">
        <v>53</v>
      </c>
      <c r="G50" s="239">
        <f>G51*(1-B50)</f>
        <v>0</v>
      </c>
      <c r="H50" s="239">
        <f>H51*(1-B50)</f>
        <v>0</v>
      </c>
      <c r="I50" s="239">
        <f t="shared" ref="I50" si="7">G50+H50</f>
        <v>0</v>
      </c>
      <c r="J50" s="257">
        <f>ROUND(E50*G50,2)+ROUND(E50*H50,2)</f>
        <v>0</v>
      </c>
      <c r="K50" s="254"/>
      <c r="M50"/>
      <c r="N50"/>
      <c r="O50"/>
      <c r="P50"/>
    </row>
    <row r="51" spans="2:16" x14ac:dyDescent="0.3">
      <c r="B51" s="255">
        <v>0</v>
      </c>
      <c r="C51" s="138" t="s">
        <v>183</v>
      </c>
      <c r="D51" s="138"/>
      <c r="E51" s="256">
        <f>D25</f>
        <v>22</v>
      </c>
      <c r="F51" s="138" t="s">
        <v>53</v>
      </c>
      <c r="G51" s="239">
        <f>IF(AND($B$13&lt;$F$2,$E$13&lt;$F$2),C6,IF($B$13&lt;$F$2,I6,F6))</f>
        <v>0.32543</v>
      </c>
      <c r="H51" s="239">
        <f>IF(AND($B$13&lt;$F$2,$E$13&lt;$F$2),D6,IF($B$13&lt;$F$2,J6,G6))</f>
        <v>0.29660000000000003</v>
      </c>
      <c r="I51" s="239">
        <f>G51+H51</f>
        <v>0.62203000000000008</v>
      </c>
      <c r="J51" s="257">
        <f t="shared" ref="J51" si="8">ROUND(E51*G51,2)+ROUND(E51*H51,2)</f>
        <v>13.690000000000001</v>
      </c>
      <c r="K51" s="254"/>
    </row>
    <row r="52" spans="2:16" x14ac:dyDescent="0.3">
      <c r="B52" s="249"/>
      <c r="C52" s="138" t="s">
        <v>184</v>
      </c>
      <c r="D52" s="138"/>
      <c r="E52" s="256"/>
      <c r="F52" s="138"/>
      <c r="G52" s="258"/>
      <c r="H52" s="258"/>
      <c r="I52" s="259"/>
      <c r="J52" s="257">
        <f>J164</f>
        <v>0.09</v>
      </c>
      <c r="K52" s="254"/>
    </row>
    <row r="53" spans="2:16" x14ac:dyDescent="0.3">
      <c r="B53" s="249"/>
      <c r="C53" s="138" t="s">
        <v>185</v>
      </c>
      <c r="D53" s="138"/>
      <c r="E53" s="256"/>
      <c r="F53" s="138"/>
      <c r="G53" s="258"/>
      <c r="H53" s="258"/>
      <c r="I53" s="259"/>
      <c r="J53" s="257">
        <f>J171</f>
        <v>0</v>
      </c>
      <c r="K53" s="254"/>
    </row>
    <row r="54" spans="2:16" x14ac:dyDescent="0.3">
      <c r="B54" s="249"/>
      <c r="C54" s="138" t="s">
        <v>186</v>
      </c>
      <c r="D54" s="138"/>
      <c r="E54" s="256"/>
      <c r="F54" s="138"/>
      <c r="G54" s="258"/>
      <c r="H54" s="258"/>
      <c r="I54" s="259"/>
      <c r="J54" s="257">
        <f>+J178</f>
        <v>0</v>
      </c>
      <c r="K54" s="254"/>
    </row>
    <row r="55" spans="2:16" x14ac:dyDescent="0.3">
      <c r="B55" s="249"/>
      <c r="C55" s="138" t="s">
        <v>187</v>
      </c>
      <c r="D55" s="138"/>
      <c r="E55" s="256"/>
      <c r="F55" s="138"/>
      <c r="G55" s="258"/>
      <c r="H55" s="258"/>
      <c r="I55" s="259"/>
      <c r="J55" s="257">
        <f>J185</f>
        <v>0</v>
      </c>
      <c r="K55" s="254"/>
    </row>
    <row r="56" spans="2:16" ht="6" customHeight="1" x14ac:dyDescent="0.3">
      <c r="B56" s="249"/>
      <c r="C56" s="138"/>
      <c r="D56" s="138"/>
      <c r="E56" s="256"/>
      <c r="F56" s="138"/>
      <c r="G56" s="258"/>
      <c r="H56" s="258"/>
      <c r="I56" s="258"/>
      <c r="J56" s="257"/>
      <c r="K56" s="254"/>
    </row>
    <row r="57" spans="2:16" x14ac:dyDescent="0.3">
      <c r="B57" s="260" t="s">
        <v>46</v>
      </c>
      <c r="C57" s="138"/>
      <c r="D57" s="138"/>
      <c r="E57" s="252" t="s">
        <v>188</v>
      </c>
      <c r="F57" s="252"/>
      <c r="G57" s="252"/>
      <c r="H57" s="252" t="s">
        <v>189</v>
      </c>
      <c r="I57" s="258"/>
      <c r="J57" s="257"/>
      <c r="K57" s="254"/>
    </row>
    <row r="58" spans="2:16" x14ac:dyDescent="0.3">
      <c r="B58" s="249"/>
      <c r="C58" s="138" t="s">
        <v>76</v>
      </c>
      <c r="D58" s="138"/>
      <c r="E58" s="261">
        <f>SUM(J50:J55)/(1-H58-H59)</f>
        <v>14.282752902155888</v>
      </c>
      <c r="F58" s="138"/>
      <c r="G58" s="258"/>
      <c r="H58" s="262">
        <f>N21</f>
        <v>6.3E-3</v>
      </c>
      <c r="I58" s="258"/>
      <c r="J58" s="257">
        <f>E58*H58</f>
        <v>8.9981343283582094E-2</v>
      </c>
      <c r="K58" s="254"/>
    </row>
    <row r="59" spans="2:16" x14ac:dyDescent="0.3">
      <c r="B59" s="249"/>
      <c r="C59" s="138" t="s">
        <v>190</v>
      </c>
      <c r="D59" s="138"/>
      <c r="E59" s="261">
        <f>E58</f>
        <v>14.282752902155888</v>
      </c>
      <c r="F59" s="138"/>
      <c r="G59" s="258"/>
      <c r="H59" s="262">
        <f>N22</f>
        <v>2.8899999999999999E-2</v>
      </c>
      <c r="I59" s="258"/>
      <c r="J59" s="257">
        <f t="shared" ref="J59:J61" si="9">E59*H59</f>
        <v>0.41277155887230516</v>
      </c>
      <c r="K59" s="254"/>
    </row>
    <row r="60" spans="2:16" x14ac:dyDescent="0.3">
      <c r="B60" s="249"/>
      <c r="C60" s="138" t="s">
        <v>191</v>
      </c>
      <c r="D60" s="138"/>
      <c r="E60" s="264">
        <f>(E58)/(1-H60)</f>
        <v>17.208136026693843</v>
      </c>
      <c r="F60" s="138"/>
      <c r="G60" s="258"/>
      <c r="H60" s="312">
        <f>I21</f>
        <v>0.17</v>
      </c>
      <c r="I60" s="258"/>
      <c r="J60" s="257">
        <f t="shared" si="9"/>
        <v>2.9253831245379533</v>
      </c>
      <c r="K60" s="254"/>
      <c r="M60" s="175"/>
    </row>
    <row r="61" spans="2:16" x14ac:dyDescent="0.3">
      <c r="B61" s="249"/>
      <c r="C61" s="263" t="s">
        <v>177</v>
      </c>
      <c r="D61" s="263"/>
      <c r="E61" s="264">
        <f>K90</f>
        <v>62.526474055425687</v>
      </c>
      <c r="F61" s="263"/>
      <c r="G61" s="265"/>
      <c r="H61" s="266">
        <f>H60</f>
        <v>0.17</v>
      </c>
      <c r="I61" s="265"/>
      <c r="J61" s="267">
        <f t="shared" si="9"/>
        <v>10.629500589422367</v>
      </c>
      <c r="K61" s="254"/>
      <c r="M61" s="176"/>
      <c r="N61" s="176"/>
    </row>
    <row r="62" spans="2:16" ht="6" customHeight="1" x14ac:dyDescent="0.3">
      <c r="B62" s="249"/>
      <c r="C62" s="138"/>
      <c r="D62" s="138"/>
      <c r="E62" s="261"/>
      <c r="F62" s="138"/>
      <c r="G62" s="258"/>
      <c r="H62" s="268"/>
      <c r="I62" s="258"/>
      <c r="J62" s="269"/>
      <c r="K62" s="254"/>
      <c r="M62" s="177"/>
      <c r="N62" s="178"/>
    </row>
    <row r="63" spans="2:16" x14ac:dyDescent="0.3">
      <c r="B63" s="260" t="s">
        <v>192</v>
      </c>
      <c r="C63" s="138"/>
      <c r="D63" s="138"/>
      <c r="E63" s="261"/>
      <c r="F63" s="138"/>
      <c r="G63" s="258"/>
      <c r="H63" s="268"/>
      <c r="I63" s="258"/>
      <c r="J63" s="269"/>
      <c r="K63" s="254"/>
      <c r="M63"/>
      <c r="N63"/>
    </row>
    <row r="64" spans="2:16" x14ac:dyDescent="0.3">
      <c r="B64" s="249"/>
      <c r="C64" s="138"/>
      <c r="D64" s="138"/>
      <c r="E64" s="261"/>
      <c r="F64" s="138"/>
      <c r="G64" s="258"/>
      <c r="H64" s="268"/>
      <c r="I64" s="258"/>
      <c r="J64" s="269"/>
      <c r="K64" s="270"/>
      <c r="M64"/>
      <c r="N64"/>
    </row>
    <row r="65" spans="2:16" x14ac:dyDescent="0.3">
      <c r="B65" s="249"/>
      <c r="C65" s="138"/>
      <c r="D65" s="138"/>
      <c r="E65" s="261"/>
      <c r="F65" s="138"/>
      <c r="G65" s="258"/>
      <c r="H65" s="268"/>
      <c r="I65" s="258"/>
      <c r="J65" s="269"/>
      <c r="K65" s="270"/>
      <c r="M65"/>
      <c r="N65"/>
    </row>
    <row r="66" spans="2:16" x14ac:dyDescent="0.3">
      <c r="B66" s="271"/>
      <c r="C66" s="272"/>
      <c r="D66" s="272"/>
      <c r="E66" s="273"/>
      <c r="F66" s="272"/>
      <c r="G66" s="274"/>
      <c r="H66" s="275"/>
      <c r="I66" s="274"/>
      <c r="J66" s="276"/>
      <c r="K66" s="277"/>
      <c r="M66"/>
      <c r="N66"/>
    </row>
    <row r="67" spans="2:16" ht="9" customHeight="1" x14ac:dyDescent="0.3">
      <c r="B67" s="138"/>
      <c r="C67" s="138"/>
      <c r="D67" s="138"/>
      <c r="E67" s="138"/>
      <c r="F67" s="138"/>
      <c r="G67" s="138"/>
      <c r="H67" s="138"/>
      <c r="I67" s="278"/>
      <c r="J67" s="278"/>
      <c r="K67" s="278"/>
      <c r="M67"/>
      <c r="N67"/>
    </row>
    <row r="68" spans="2:16" x14ac:dyDescent="0.3">
      <c r="B68" s="138"/>
      <c r="C68" s="138"/>
      <c r="D68" s="226"/>
      <c r="E68" s="250"/>
      <c r="F68" s="109"/>
      <c r="G68" s="109"/>
      <c r="H68" s="138"/>
      <c r="I68" s="491" t="s">
        <v>193</v>
      </c>
      <c r="J68" s="492"/>
      <c r="K68" s="493"/>
      <c r="M68" s="308" t="s">
        <v>50</v>
      </c>
      <c r="N68" s="308" t="s">
        <v>51</v>
      </c>
    </row>
    <row r="69" spans="2:16" x14ac:dyDescent="0.3">
      <c r="B69" s="138"/>
      <c r="C69" s="138"/>
      <c r="D69" s="226"/>
      <c r="E69" s="279"/>
      <c r="F69" s="109"/>
      <c r="G69" s="138"/>
      <c r="H69" s="138"/>
      <c r="I69" s="494">
        <f>K48+K64+K65+K66</f>
        <v>27.83763661611621</v>
      </c>
      <c r="J69" s="495"/>
      <c r="K69" s="496"/>
    </row>
    <row r="70" spans="2:16" x14ac:dyDescent="0.3">
      <c r="B70" s="97"/>
      <c r="C70" s="97"/>
      <c r="D70" s="97"/>
      <c r="E70" s="97"/>
      <c r="F70" s="97"/>
      <c r="G70" s="97"/>
      <c r="H70" s="97"/>
      <c r="I70" s="97"/>
      <c r="J70" s="97"/>
      <c r="K70" s="136"/>
      <c r="M70" s="344">
        <f>IF(AND($B$13&lt;$F$2,$E$13&lt;$F$2),R6,IF($B$13&lt;$F$2,X6,U6))*(1-B50)</f>
        <v>0</v>
      </c>
      <c r="N70" s="330">
        <f>E50*M70</f>
        <v>0</v>
      </c>
      <c r="P70" s="343">
        <f>E50*G50</f>
        <v>0</v>
      </c>
    </row>
    <row r="71" spans="2:16" x14ac:dyDescent="0.3">
      <c r="B71" s="198" t="s">
        <v>199</v>
      </c>
      <c r="C71" s="199"/>
      <c r="D71" s="199"/>
      <c r="E71" s="199"/>
      <c r="F71" s="199"/>
      <c r="G71" s="199"/>
      <c r="H71" s="200">
        <f>K89</f>
        <v>49.762400000000007</v>
      </c>
      <c r="I71" s="96" t="s">
        <v>115</v>
      </c>
      <c r="J71" s="154"/>
      <c r="K71" s="180"/>
      <c r="L71" s="181"/>
      <c r="M71" s="344" t="e">
        <f>IF(AND($B$13&lt;$F$2,$E$13&lt;$F$2),R6,IF($B$13&lt;$F$2,X6,U6))*(1-#REF!)</f>
        <v>#REF!</v>
      </c>
      <c r="N71" s="330" t="e">
        <f>#REF!*M71</f>
        <v>#REF!</v>
      </c>
      <c r="P71" s="343" t="e">
        <f>#REF!*#REF!</f>
        <v>#REF!</v>
      </c>
    </row>
    <row r="72" spans="2:16" x14ac:dyDescent="0.3">
      <c r="B72" s="366" t="s">
        <v>78</v>
      </c>
      <c r="C72" s="367"/>
      <c r="D72" s="368"/>
      <c r="E72" s="369"/>
      <c r="F72" s="369"/>
      <c r="G72" s="367"/>
      <c r="H72" s="366">
        <f>IF(AND($B$13&gt;$F$2,$E$13&gt;$F$2),(E50*AK12)+(E51*AK13),0)</f>
        <v>-9.6868876311855562E-2</v>
      </c>
      <c r="M72" s="344" t="e">
        <f>IF(AND($B$13&lt;$F$2,$E$13&lt;$F$2),R6,IF($B$13&lt;$F$2,X6,U6))*(1-#REF!)</f>
        <v>#REF!</v>
      </c>
      <c r="N72" s="330" t="e">
        <f>#REF!*M72</f>
        <v>#REF!</v>
      </c>
      <c r="P72" s="343" t="e">
        <f>#REF!*#REF!</f>
        <v>#REF!</v>
      </c>
    </row>
    <row r="73" spans="2:16" x14ac:dyDescent="0.3">
      <c r="G73" s="97"/>
      <c r="H73" s="97"/>
      <c r="M73" s="344">
        <f>IF(AND($B$13&lt;$F$2,$E$13&lt;$F$2),R6,IF($B$13&lt;$F$2,X6,U6))*(1-B51)</f>
        <v>0.20383072193179136</v>
      </c>
      <c r="N73" s="330">
        <f>E51*M73</f>
        <v>4.4842758824994098</v>
      </c>
      <c r="P73" s="343">
        <f>E51*G51</f>
        <v>7.1594600000000002</v>
      </c>
    </row>
    <row r="74" spans="2:16" x14ac:dyDescent="0.3">
      <c r="G74" s="97"/>
      <c r="H74" s="97"/>
      <c r="I74" s="173" t="s">
        <v>200</v>
      </c>
      <c r="J74" s="173" t="s">
        <v>201</v>
      </c>
      <c r="K74" s="11"/>
      <c r="M74" s="327"/>
      <c r="N74" s="330"/>
      <c r="P74" s="343" t="e">
        <f>SUM(P70:P73)</f>
        <v>#REF!</v>
      </c>
    </row>
    <row r="75" spans="2:16" x14ac:dyDescent="0.3">
      <c r="G75" s="182" t="s">
        <v>202</v>
      </c>
      <c r="H75" s="183">
        <f>I45</f>
        <v>102</v>
      </c>
      <c r="I75" s="4">
        <f>G51</f>
        <v>0.32543</v>
      </c>
      <c r="J75" s="4">
        <f>H51</f>
        <v>0.29660000000000003</v>
      </c>
      <c r="K75" s="10">
        <f>H75*(I75+J75)</f>
        <v>63.447060000000008</v>
      </c>
      <c r="L75" s="447">
        <f>K75-K83</f>
        <v>49.762400000000007</v>
      </c>
      <c r="N75" s="179"/>
    </row>
    <row r="76" spans="2:16" x14ac:dyDescent="0.3">
      <c r="G76" s="15" t="s">
        <v>12</v>
      </c>
      <c r="H76" s="183">
        <f>IF($K$11=$C$159,(H75*($K$13)/($K$13+$L$13)),0)+IF($L$11=$C$159,(H75*($L$13)/($K$13+$L$13)),0)</f>
        <v>21.103448275862068</v>
      </c>
      <c r="I76" s="97"/>
      <c r="J76" s="4">
        <f>F159</f>
        <v>1.8849999999999999E-2</v>
      </c>
      <c r="K76" s="185">
        <f>H76*(I76+J76)</f>
        <v>0.39779999999999993</v>
      </c>
      <c r="L76" s="343">
        <f>K76-K84</f>
        <v>0.30779999999999996</v>
      </c>
    </row>
    <row r="77" spans="2:16" x14ac:dyDescent="0.3">
      <c r="G77" s="15" t="s">
        <v>16</v>
      </c>
      <c r="H77" s="183">
        <f>IF($K$11=$C$166,(H75*($K$13)/($K$13+$L$13)),0)+IF($L$11=$C$166,(H75*($L$13)/($K$13+$L$13)),0)</f>
        <v>0</v>
      </c>
      <c r="I77" s="97"/>
      <c r="J77" s="4">
        <f>F166</f>
        <v>4.4630000000000003E-2</v>
      </c>
      <c r="K77" s="185">
        <f>H77*(I77+J77)</f>
        <v>0</v>
      </c>
      <c r="L77" s="343">
        <f>K77-K85</f>
        <v>0</v>
      </c>
    </row>
    <row r="78" spans="2:16" x14ac:dyDescent="0.3">
      <c r="G78" s="15" t="s">
        <v>19</v>
      </c>
      <c r="H78" s="183">
        <f>IF($K$11=$C$173,(H75*($K$13)/($K$13+$L$13)),0)+IF($L$11=$C$173,(H75*($L$13)/($K$13+$L$13)),0)</f>
        <v>0</v>
      </c>
      <c r="J78" s="4">
        <f>F173</f>
        <v>7.8770000000000007E-2</v>
      </c>
      <c r="K78" s="185">
        <f>H78*(I78+J78)</f>
        <v>0</v>
      </c>
      <c r="L78" s="343">
        <f>K78-K86</f>
        <v>0</v>
      </c>
    </row>
    <row r="79" spans="2:16" x14ac:dyDescent="0.3">
      <c r="G79" s="15" t="s">
        <v>21</v>
      </c>
      <c r="H79" s="183">
        <f>IF($K$11=$C$180,(H75*($K$13)/($K$13+$L$13)),0)+IF($L$11=$C$180,(H75*($L$13)/($K$13+$L$13)),0)</f>
        <v>0</v>
      </c>
      <c r="J79" s="4">
        <f>F180</f>
        <v>0.14199999999999999</v>
      </c>
      <c r="K79" s="185">
        <f>H79*(I79+J79)</f>
        <v>0</v>
      </c>
      <c r="L79" s="343">
        <f>K79-K87</f>
        <v>0</v>
      </c>
    </row>
    <row r="80" spans="2:16" x14ac:dyDescent="0.3">
      <c r="G80"/>
      <c r="H80"/>
      <c r="I80"/>
      <c r="J80"/>
      <c r="K80"/>
      <c r="L80" s="343">
        <f>SUM(L75:L79)</f>
        <v>50.070200000000007</v>
      </c>
      <c r="M80"/>
      <c r="N80"/>
    </row>
    <row r="81" spans="2:33" x14ac:dyDescent="0.3">
      <c r="G81" s="138"/>
      <c r="H81" s="183">
        <f>D22</f>
        <v>80</v>
      </c>
      <c r="I81" s="4">
        <f>G50</f>
        <v>0</v>
      </c>
      <c r="J81" s="4">
        <f>H50</f>
        <v>0</v>
      </c>
      <c r="K81" s="10">
        <f>H81*(I81+J81)</f>
        <v>0</v>
      </c>
    </row>
    <row r="82" spans="2:33" x14ac:dyDescent="0.3">
      <c r="G82" s="138"/>
      <c r="H82" s="183">
        <f>D23</f>
        <v>22</v>
      </c>
      <c r="I82" s="4">
        <f>G51</f>
        <v>0.32543</v>
      </c>
      <c r="J82" s="4">
        <f>H51</f>
        <v>0.29660000000000003</v>
      </c>
      <c r="K82" s="10">
        <f>H82*(I82+J82)</f>
        <v>13.684660000000001</v>
      </c>
    </row>
    <row r="83" spans="2:33" x14ac:dyDescent="0.3">
      <c r="G83"/>
      <c r="K83" s="10">
        <f>SUM(K81:K82)</f>
        <v>13.684660000000001</v>
      </c>
    </row>
    <row r="84" spans="2:33" x14ac:dyDescent="0.3">
      <c r="G84" s="15" t="s">
        <v>12</v>
      </c>
      <c r="H84"/>
      <c r="I84"/>
      <c r="J84"/>
      <c r="K84" s="185">
        <f>J164</f>
        <v>0.09</v>
      </c>
    </row>
    <row r="85" spans="2:33" x14ac:dyDescent="0.3">
      <c r="G85" s="15" t="s">
        <v>16</v>
      </c>
      <c r="H85"/>
      <c r="I85"/>
      <c r="J85"/>
      <c r="K85" s="185">
        <f>J171</f>
        <v>0</v>
      </c>
    </row>
    <row r="86" spans="2:33" x14ac:dyDescent="0.3">
      <c r="G86" s="15" t="s">
        <v>19</v>
      </c>
      <c r="H86"/>
      <c r="I86"/>
      <c r="J86"/>
      <c r="K86" s="185">
        <f>J178</f>
        <v>0</v>
      </c>
    </row>
    <row r="87" spans="2:33" x14ac:dyDescent="0.3">
      <c r="G87" s="15" t="s">
        <v>21</v>
      </c>
      <c r="K87" s="185">
        <f>J185</f>
        <v>0</v>
      </c>
    </row>
    <row r="88" spans="2:33" x14ac:dyDescent="0.3">
      <c r="G88" s="15"/>
    </row>
    <row r="89" spans="2:33" x14ac:dyDescent="0.3">
      <c r="J89" s="186" t="s">
        <v>199</v>
      </c>
      <c r="K89" s="187">
        <f>K75-K83</f>
        <v>49.762400000000007</v>
      </c>
      <c r="L89" s="51" t="s">
        <v>203</v>
      </c>
    </row>
    <row r="90" spans="2:33" x14ac:dyDescent="0.3">
      <c r="J90" s="188" t="s">
        <v>102</v>
      </c>
      <c r="K90" s="189">
        <f>K93</f>
        <v>62.526474055425687</v>
      </c>
      <c r="L90" s="51" t="s">
        <v>204</v>
      </c>
    </row>
    <row r="91" spans="2:33" x14ac:dyDescent="0.3">
      <c r="J91" s="15" t="s">
        <v>54</v>
      </c>
      <c r="K91" s="190">
        <f>(K89+K76+K77+K78+K79-K84-K85-K86-K87)/(1-H58-H59)</f>
        <v>51.896973466003317</v>
      </c>
      <c r="L91" s="46"/>
    </row>
    <row r="92" spans="2:33" x14ac:dyDescent="0.3">
      <c r="J92" s="15" t="s">
        <v>56</v>
      </c>
      <c r="K92" s="191">
        <f>K91</f>
        <v>51.896973466003317</v>
      </c>
      <c r="L92" s="46"/>
    </row>
    <row r="93" spans="2:33" x14ac:dyDescent="0.3">
      <c r="J93" s="15" t="s">
        <v>77</v>
      </c>
      <c r="K93" s="313">
        <f>(K91)/(1-H61)</f>
        <v>62.526474055425687</v>
      </c>
      <c r="L93"/>
    </row>
    <row r="95" spans="2:33" x14ac:dyDescent="0.3">
      <c r="B95" s="63" t="s">
        <v>79</v>
      </c>
      <c r="C95" s="1"/>
      <c r="D95" s="13"/>
      <c r="E95" s="13"/>
      <c r="AF95"/>
      <c r="AG95"/>
    </row>
    <row r="96" spans="2:33" x14ac:dyDescent="0.3">
      <c r="B96" s="56"/>
      <c r="C96" s="57" t="s">
        <v>71</v>
      </c>
      <c r="D96" s="1"/>
      <c r="E96" s="1"/>
      <c r="F96" s="13"/>
      <c r="AF96"/>
      <c r="AG96"/>
    </row>
    <row r="97" spans="2:33" x14ac:dyDescent="0.3">
      <c r="B97" s="56" t="s">
        <v>80</v>
      </c>
      <c r="C97" s="141">
        <f>SUM(J50:J55)*IF($B$13&lt;$F$2,D136,D108)</f>
        <v>7.3240115546705695</v>
      </c>
      <c r="D97" s="1"/>
      <c r="E97" s="1"/>
      <c r="F97" s="1"/>
      <c r="G97" s="13"/>
      <c r="AF97"/>
      <c r="AG97"/>
    </row>
    <row r="98" spans="2:33" x14ac:dyDescent="0.3">
      <c r="B98" s="56" t="s">
        <v>81</v>
      </c>
      <c r="C98" s="141">
        <f>SUM(J50:J55)*IF($B$13&lt;$F$2,F136,F108)</f>
        <v>4.4515570827824673</v>
      </c>
      <c r="D98" s="1"/>
      <c r="E98" s="1"/>
      <c r="F98" s="1"/>
      <c r="G98" s="1"/>
      <c r="AF98"/>
      <c r="AG98"/>
    </row>
    <row r="99" spans="2:33" x14ac:dyDescent="0.3">
      <c r="B99" s="56" t="s">
        <v>82</v>
      </c>
      <c r="C99" s="141">
        <f>SUM(J50:J55)*IF($B$13&lt;$F$2,E136,E108)</f>
        <v>1.1971767530942505</v>
      </c>
      <c r="D99" s="1"/>
      <c r="E99" s="1"/>
      <c r="F99" s="1"/>
      <c r="G99" s="1"/>
      <c r="AF99"/>
      <c r="AG99"/>
    </row>
    <row r="100" spans="2:33" x14ac:dyDescent="0.3">
      <c r="B100" s="139" t="s">
        <v>83</v>
      </c>
      <c r="C100" s="141">
        <f>SUM(J50:J55)*IF($B$13&lt;$F$2,G136,G108)</f>
        <v>0.80725460945271388</v>
      </c>
      <c r="D100" s="1"/>
      <c r="E100" s="1"/>
      <c r="F100" s="1"/>
      <c r="G100" s="1"/>
      <c r="AF100"/>
      <c r="AG100"/>
    </row>
    <row r="101" spans="2:33" x14ac:dyDescent="0.3">
      <c r="B101" s="56" t="s">
        <v>84</v>
      </c>
      <c r="C101" s="59">
        <f>J58+J59+J60+J61</f>
        <v>14.057636616116207</v>
      </c>
      <c r="D101" s="1"/>
      <c r="E101" s="1"/>
      <c r="F101" s="1"/>
      <c r="G101" s="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2:33" x14ac:dyDescent="0.3">
      <c r="B102" s="60" t="s">
        <v>85</v>
      </c>
      <c r="C102" s="61">
        <f>SUM(C97:C101)</f>
        <v>27.83763661611621</v>
      </c>
      <c r="D102" s="1"/>
      <c r="E102" s="1"/>
      <c r="F102" s="1"/>
      <c r="G102" s="1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2:33" x14ac:dyDescent="0.3">
      <c r="B103" s="1"/>
      <c r="C103" s="1"/>
      <c r="D103" s="1"/>
      <c r="E103" s="1"/>
      <c r="F103" s="1"/>
      <c r="G103" s="1"/>
      <c r="I103" s="97"/>
      <c r="J103" s="97"/>
      <c r="K103" s="97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2:33" x14ac:dyDescent="0.3">
      <c r="B104" s="15">
        <v>2024</v>
      </c>
      <c r="C104" s="15"/>
      <c r="D104" s="15" t="s">
        <v>80</v>
      </c>
      <c r="E104" s="15" t="s">
        <v>82</v>
      </c>
      <c r="F104" s="15" t="s">
        <v>81</v>
      </c>
      <c r="G104" s="15" t="s">
        <v>86</v>
      </c>
      <c r="I104" s="97"/>
      <c r="J104" s="97"/>
      <c r="K104" s="97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2:33" x14ac:dyDescent="0.3">
      <c r="B105" s="15" t="s">
        <v>87</v>
      </c>
      <c r="C105" s="15"/>
      <c r="D105" s="15" t="s">
        <v>88</v>
      </c>
      <c r="E105" s="15" t="s">
        <v>88</v>
      </c>
      <c r="F105" s="15" t="s">
        <v>88</v>
      </c>
      <c r="G105" s="15" t="s">
        <v>88</v>
      </c>
      <c r="I105" s="97"/>
      <c r="J105" s="97"/>
      <c r="K105" s="97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2:33" x14ac:dyDescent="0.3">
      <c r="B106" s="15"/>
      <c r="C106" s="15"/>
      <c r="D106" s="15"/>
      <c r="E106" s="15"/>
      <c r="F106" s="15"/>
      <c r="G106" s="15"/>
      <c r="I106" s="97"/>
      <c r="J106" s="97"/>
      <c r="K106" s="97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2:33" x14ac:dyDescent="0.3">
      <c r="B107" s="15" t="s">
        <v>89</v>
      </c>
      <c r="C107" s="15"/>
      <c r="D107" s="62">
        <v>0.45246416638672077</v>
      </c>
      <c r="E107" s="62">
        <v>7.39594111182032E-2</v>
      </c>
      <c r="F107" s="62">
        <v>0.27500913257019954</v>
      </c>
      <c r="G107" s="62">
        <v>0.19856728992487654</v>
      </c>
      <c r="I107" s="97"/>
      <c r="J107" s="97"/>
      <c r="K107" s="9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2:33" x14ac:dyDescent="0.3">
      <c r="B108" s="15" t="s">
        <v>90</v>
      </c>
      <c r="C108" s="15"/>
      <c r="D108" s="62">
        <v>0.53149575868436638</v>
      </c>
      <c r="E108" s="62">
        <v>8.6877848555460851E-2</v>
      </c>
      <c r="F108" s="62">
        <v>0.32304478104372042</v>
      </c>
      <c r="G108" s="62">
        <v>5.8581611716452382E-2</v>
      </c>
      <c r="I108" s="97"/>
      <c r="J108" s="97"/>
      <c r="K108" s="97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2:33" x14ac:dyDescent="0.3">
      <c r="B109" s="15" t="s">
        <v>91</v>
      </c>
      <c r="C109" s="15"/>
      <c r="D109" s="62">
        <v>0.45246416638672077</v>
      </c>
      <c r="E109" s="62">
        <v>7.39594111182032E-2</v>
      </c>
      <c r="F109" s="62">
        <v>0.27500913257019954</v>
      </c>
      <c r="G109" s="62">
        <v>0.19856728992487654</v>
      </c>
      <c r="I109" s="97"/>
      <c r="J109" s="97"/>
      <c r="K109" s="97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2:33" x14ac:dyDescent="0.3">
      <c r="B110" s="15" t="s">
        <v>92</v>
      </c>
      <c r="C110" s="15"/>
      <c r="D110" s="62">
        <v>0.45246416638672077</v>
      </c>
      <c r="E110" s="62">
        <v>7.39594111182032E-2</v>
      </c>
      <c r="F110" s="62">
        <v>0.27500913257019954</v>
      </c>
      <c r="G110" s="62">
        <v>0.19856728992487654</v>
      </c>
      <c r="I110" s="97"/>
      <c r="J110" s="97"/>
      <c r="K110" s="97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2:33" x14ac:dyDescent="0.3">
      <c r="B111" s="15" t="s">
        <v>93</v>
      </c>
      <c r="C111" s="15"/>
      <c r="D111" s="62">
        <v>0.45246416638672077</v>
      </c>
      <c r="E111" s="62">
        <v>7.39594111182032E-2</v>
      </c>
      <c r="F111" s="62">
        <v>0.27500913257019954</v>
      </c>
      <c r="G111" s="62">
        <v>0.19856728992487654</v>
      </c>
      <c r="I111" s="97"/>
      <c r="J111" s="97"/>
      <c r="K111" s="97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2:33" x14ac:dyDescent="0.3">
      <c r="B112" s="15" t="s">
        <v>94</v>
      </c>
      <c r="C112" s="15"/>
      <c r="D112" s="62">
        <v>0.45246416638672077</v>
      </c>
      <c r="E112" s="62">
        <v>7.39594111182032E-2</v>
      </c>
      <c r="F112" s="62">
        <v>0.27500913257019954</v>
      </c>
      <c r="G112" s="62">
        <v>0.19856728992487654</v>
      </c>
      <c r="I112" s="97"/>
      <c r="J112" s="97"/>
      <c r="K112" s="97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2:33" x14ac:dyDescent="0.3">
      <c r="B113" s="15" t="s">
        <v>95</v>
      </c>
      <c r="C113" s="15"/>
      <c r="D113" s="62">
        <v>0.45246416638672071</v>
      </c>
      <c r="E113" s="62">
        <v>7.3959411118203186E-2</v>
      </c>
      <c r="F113" s="62">
        <v>0.27500913257019949</v>
      </c>
      <c r="G113" s="62">
        <v>0.19856728992487654</v>
      </c>
      <c r="I113" s="97"/>
      <c r="J113" s="97"/>
      <c r="K113" s="97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2:33" x14ac:dyDescent="0.3">
      <c r="B114" s="15" t="s">
        <v>96</v>
      </c>
      <c r="C114" s="15"/>
      <c r="D114" s="62">
        <v>0.45246416638672071</v>
      </c>
      <c r="E114" s="62">
        <v>7.3959411118203186E-2</v>
      </c>
      <c r="F114" s="62">
        <v>0.27500913257019949</v>
      </c>
      <c r="G114" s="62">
        <v>0.19856728992487654</v>
      </c>
      <c r="I114" s="97"/>
      <c r="J114" s="97"/>
      <c r="K114" s="97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2:33" x14ac:dyDescent="0.3">
      <c r="B115" s="15" t="s">
        <v>97</v>
      </c>
      <c r="C115" s="15"/>
      <c r="D115" s="62">
        <v>0.45246416638672071</v>
      </c>
      <c r="E115" s="62">
        <v>7.39594111182032E-2</v>
      </c>
      <c r="F115" s="62">
        <v>0.27500913257019954</v>
      </c>
      <c r="G115" s="62">
        <v>0.19856728992487657</v>
      </c>
      <c r="I115" s="97"/>
      <c r="J115" s="97"/>
      <c r="K115" s="97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2:33" x14ac:dyDescent="0.3">
      <c r="B116" s="63"/>
      <c r="C116" s="63"/>
      <c r="D116" s="63"/>
      <c r="E116" s="63"/>
      <c r="F116" s="63"/>
      <c r="G116" s="63"/>
      <c r="I116" s="97"/>
      <c r="J116" s="97"/>
      <c r="K116" s="97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2:33" x14ac:dyDescent="0.3">
      <c r="B117" s="63"/>
      <c r="C117" s="63"/>
      <c r="D117" s="63"/>
      <c r="E117" s="63"/>
      <c r="F117" s="63"/>
      <c r="G117" s="63"/>
      <c r="I117" s="97"/>
      <c r="J117" s="97"/>
      <c r="K117" s="9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2:33" x14ac:dyDescent="0.3">
      <c r="B118" s="63">
        <v>2023</v>
      </c>
      <c r="C118" s="63"/>
      <c r="D118" s="15" t="s">
        <v>80</v>
      </c>
      <c r="E118" s="15" t="s">
        <v>82</v>
      </c>
      <c r="F118" s="15" t="s">
        <v>81</v>
      </c>
      <c r="G118" s="15" t="s">
        <v>86</v>
      </c>
      <c r="I118" s="97"/>
      <c r="J118" s="97"/>
      <c r="K118" s="97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2:33" x14ac:dyDescent="0.3">
      <c r="B119" s="63" t="s">
        <v>87</v>
      </c>
      <c r="C119" s="63"/>
      <c r="D119" s="15" t="s">
        <v>88</v>
      </c>
      <c r="E119" s="15" t="s">
        <v>88</v>
      </c>
      <c r="F119" s="15" t="s">
        <v>88</v>
      </c>
      <c r="G119" s="15" t="s">
        <v>88</v>
      </c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2:33" x14ac:dyDescent="0.3">
      <c r="B120" s="15"/>
      <c r="C120" s="15"/>
      <c r="D120" s="15"/>
      <c r="E120" s="15"/>
      <c r="F120" s="15"/>
      <c r="G120" s="15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2:33" x14ac:dyDescent="0.3">
      <c r="B121" s="15" t="s">
        <v>89</v>
      </c>
      <c r="C121" s="15"/>
      <c r="D121" s="62">
        <v>0.43939696077133034</v>
      </c>
      <c r="E121" s="62">
        <v>9.2697585625348772E-2</v>
      </c>
      <c r="F121" s="62">
        <v>0.25285207888477268</v>
      </c>
      <c r="G121" s="62">
        <v>0.21506308252114117</v>
      </c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2:33" x14ac:dyDescent="0.3">
      <c r="B122" s="15" t="s">
        <v>90</v>
      </c>
      <c r="C122" s="15"/>
      <c r="D122" s="62">
        <v>0.52691619996872485</v>
      </c>
      <c r="E122" s="62">
        <v>0.11116112291319068</v>
      </c>
      <c r="F122" s="62">
        <v>0.30321524374287334</v>
      </c>
      <c r="G122" s="62">
        <v>5.8707433375211129E-2</v>
      </c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2:33" x14ac:dyDescent="0.3">
      <c r="B123" s="15" t="s">
        <v>91</v>
      </c>
      <c r="C123" s="15"/>
      <c r="D123" s="62">
        <v>0.43939300245552615</v>
      </c>
      <c r="E123" s="62">
        <v>9.2696750557401245E-2</v>
      </c>
      <c r="F123" s="62">
        <v>0.25284980106205335</v>
      </c>
      <c r="G123" s="62">
        <v>0.21506044592501908</v>
      </c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2:33" x14ac:dyDescent="0.3">
      <c r="B124" s="15" t="s">
        <v>92</v>
      </c>
      <c r="C124" s="15"/>
      <c r="D124" s="62">
        <v>0.43939300245552615</v>
      </c>
      <c r="E124" s="62">
        <v>9.2696750557401245E-2</v>
      </c>
      <c r="F124" s="62">
        <v>0.25284980106205335</v>
      </c>
      <c r="G124" s="62">
        <v>0.21506044592501908</v>
      </c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2:33" x14ac:dyDescent="0.3">
      <c r="B125" s="15" t="s">
        <v>93</v>
      </c>
      <c r="C125" s="15"/>
      <c r="D125" s="62">
        <v>0.43939300245552615</v>
      </c>
      <c r="E125" s="62">
        <v>9.2696750557401328E-2</v>
      </c>
      <c r="F125" s="62">
        <v>0.25284980106205335</v>
      </c>
      <c r="G125" s="62">
        <v>0.21506044592501908</v>
      </c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2:33" x14ac:dyDescent="0.3">
      <c r="B126" s="15" t="s">
        <v>94</v>
      </c>
      <c r="C126" s="15"/>
      <c r="D126" s="62">
        <v>0.43939300245552615</v>
      </c>
      <c r="E126" s="62">
        <v>9.2696750557401328E-2</v>
      </c>
      <c r="F126" s="62">
        <v>0.25284980106205335</v>
      </c>
      <c r="G126" s="62">
        <v>0.21506044592501908</v>
      </c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2:33" x14ac:dyDescent="0.3">
      <c r="B127" s="15" t="s">
        <v>95</v>
      </c>
      <c r="C127" s="15"/>
      <c r="D127" s="62">
        <v>0</v>
      </c>
      <c r="E127" s="62">
        <v>0</v>
      </c>
      <c r="F127" s="62">
        <v>0</v>
      </c>
      <c r="G127" s="62">
        <v>0</v>
      </c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2:33" x14ac:dyDescent="0.3">
      <c r="B128" s="15" t="s">
        <v>96</v>
      </c>
      <c r="C128" s="15"/>
      <c r="D128" s="62">
        <v>0.43938945729126549</v>
      </c>
      <c r="E128" s="62">
        <v>9.2697336752737058E-2</v>
      </c>
      <c r="F128" s="62">
        <v>0.25285140003260154</v>
      </c>
      <c r="G128" s="62">
        <v>0.21506180592339591</v>
      </c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2:33" x14ac:dyDescent="0.3">
      <c r="B129" s="15" t="s">
        <v>97</v>
      </c>
      <c r="C129" s="15"/>
      <c r="D129" s="62">
        <v>0.43938945729126527</v>
      </c>
      <c r="E129" s="62">
        <v>9.2697336752736934E-2</v>
      </c>
      <c r="F129" s="62">
        <v>0.25285140003260193</v>
      </c>
      <c r="G129" s="62">
        <v>0.21506180592339585</v>
      </c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2:33" x14ac:dyDescent="0.3">
      <c r="B130" s="63"/>
      <c r="C130" s="63"/>
      <c r="D130" s="63"/>
      <c r="E130" s="63"/>
      <c r="F130" s="63"/>
      <c r="G130" s="63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2:33" x14ac:dyDescent="0.3">
      <c r="B131" s="101" t="s">
        <v>98</v>
      </c>
      <c r="C131" s="63"/>
      <c r="D131" s="63"/>
      <c r="E131" s="63"/>
      <c r="F131" s="63"/>
      <c r="G131" s="63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2:33" x14ac:dyDescent="0.3">
      <c r="B132" s="15"/>
      <c r="C132" s="15"/>
      <c r="D132" s="15" t="s">
        <v>80</v>
      </c>
      <c r="E132" s="15" t="s">
        <v>82</v>
      </c>
      <c r="F132" s="15" t="s">
        <v>81</v>
      </c>
      <c r="G132" s="15" t="s">
        <v>86</v>
      </c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2:33" x14ac:dyDescent="0.3">
      <c r="B133" s="15" t="s">
        <v>87</v>
      </c>
      <c r="C133" s="15"/>
      <c r="D133" s="62" t="s">
        <v>88</v>
      </c>
      <c r="E133" s="62" t="s">
        <v>88</v>
      </c>
      <c r="F133" s="62" t="s">
        <v>88</v>
      </c>
      <c r="G133" s="62" t="s">
        <v>88</v>
      </c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2:33" x14ac:dyDescent="0.3">
      <c r="B134" s="15"/>
      <c r="C134" s="15"/>
      <c r="D134" s="62"/>
      <c r="E134" s="62"/>
      <c r="F134" s="62"/>
      <c r="G134" s="62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2:33" x14ac:dyDescent="0.3">
      <c r="B135" s="15" t="s">
        <v>89</v>
      </c>
      <c r="C135" s="15"/>
      <c r="D135" s="62">
        <f>((D121*$C$13)+(D107*$D$13))/($C$13+$D$13)</f>
        <v>0.45246416638672077</v>
      </c>
      <c r="E135" s="62">
        <f t="shared" ref="E135:G135" si="10">((E121*$C$13)+(E107*$D$13))/($C$13+$D$13)</f>
        <v>7.39594111182032E-2</v>
      </c>
      <c r="F135" s="62">
        <f t="shared" si="10"/>
        <v>0.27500913257019954</v>
      </c>
      <c r="G135" s="62">
        <f t="shared" si="10"/>
        <v>0.19856728992487654</v>
      </c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2:33" x14ac:dyDescent="0.3">
      <c r="B136" s="15" t="s">
        <v>90</v>
      </c>
      <c r="C136" s="15"/>
      <c r="D136" s="62">
        <f t="shared" ref="D136:G143" si="11">((D122*$C$13)+(D108*$D$13))/($C$13+$D$13)</f>
        <v>0.53149575868436638</v>
      </c>
      <c r="E136" s="62">
        <f t="shared" si="11"/>
        <v>8.6877848555460851E-2</v>
      </c>
      <c r="F136" s="62">
        <f t="shared" si="11"/>
        <v>0.32304478104372042</v>
      </c>
      <c r="G136" s="62">
        <f t="shared" si="11"/>
        <v>5.8581611716452382E-2</v>
      </c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2:33" x14ac:dyDescent="0.3">
      <c r="B137" s="15" t="s">
        <v>91</v>
      </c>
      <c r="C137" s="15"/>
      <c r="D137" s="62">
        <f t="shared" si="11"/>
        <v>0.45246416638672077</v>
      </c>
      <c r="E137" s="62">
        <f t="shared" si="11"/>
        <v>7.39594111182032E-2</v>
      </c>
      <c r="F137" s="62">
        <f t="shared" si="11"/>
        <v>0.27500913257019954</v>
      </c>
      <c r="G137" s="62">
        <f t="shared" si="11"/>
        <v>0.19856728992487654</v>
      </c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2:33" x14ac:dyDescent="0.3">
      <c r="B138" s="15" t="s">
        <v>92</v>
      </c>
      <c r="C138" s="15"/>
      <c r="D138" s="62">
        <f t="shared" si="11"/>
        <v>0.45246416638672077</v>
      </c>
      <c r="E138" s="62">
        <f t="shared" si="11"/>
        <v>7.39594111182032E-2</v>
      </c>
      <c r="F138" s="62">
        <f t="shared" si="11"/>
        <v>0.27500913257019954</v>
      </c>
      <c r="G138" s="62">
        <f t="shared" si="11"/>
        <v>0.19856728992487654</v>
      </c>
      <c r="M138" s="302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2:33" x14ac:dyDescent="0.3">
      <c r="B139" s="15" t="s">
        <v>93</v>
      </c>
      <c r="C139" s="15"/>
      <c r="D139" s="62">
        <f t="shared" si="11"/>
        <v>0.45246416638672077</v>
      </c>
      <c r="E139" s="62">
        <f t="shared" si="11"/>
        <v>7.39594111182032E-2</v>
      </c>
      <c r="F139" s="62">
        <f t="shared" si="11"/>
        <v>0.27500913257019954</v>
      </c>
      <c r="G139" s="62">
        <f t="shared" si="11"/>
        <v>0.19856728992487654</v>
      </c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2:33" x14ac:dyDescent="0.3">
      <c r="B140" s="15" t="s">
        <v>94</v>
      </c>
      <c r="C140" s="15"/>
      <c r="D140" s="62">
        <f t="shared" si="11"/>
        <v>0.45246416638672077</v>
      </c>
      <c r="E140" s="62">
        <f t="shared" si="11"/>
        <v>7.39594111182032E-2</v>
      </c>
      <c r="F140" s="62">
        <f t="shared" si="11"/>
        <v>0.27500913257019954</v>
      </c>
      <c r="G140" s="62">
        <f t="shared" si="11"/>
        <v>0.19856728992487654</v>
      </c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2:33" x14ac:dyDescent="0.3">
      <c r="B141" s="15" t="s">
        <v>95</v>
      </c>
      <c r="C141" s="15"/>
      <c r="D141" s="62">
        <f t="shared" si="11"/>
        <v>0.45246416638672071</v>
      </c>
      <c r="E141" s="62">
        <f t="shared" si="11"/>
        <v>7.3959411118203186E-2</v>
      </c>
      <c r="F141" s="62">
        <f t="shared" si="11"/>
        <v>0.27500913257019949</v>
      </c>
      <c r="G141" s="62">
        <f t="shared" si="11"/>
        <v>0.19856728992487654</v>
      </c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2:33" x14ac:dyDescent="0.3">
      <c r="B142" s="15" t="s">
        <v>96</v>
      </c>
      <c r="C142" s="15"/>
      <c r="D142" s="62">
        <f t="shared" si="11"/>
        <v>0.45246416638672071</v>
      </c>
      <c r="E142" s="62">
        <f t="shared" si="11"/>
        <v>7.3959411118203186E-2</v>
      </c>
      <c r="F142" s="62">
        <f t="shared" si="11"/>
        <v>0.27500913257019949</v>
      </c>
      <c r="G142" s="62">
        <f t="shared" si="11"/>
        <v>0.19856728992487654</v>
      </c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2:33" x14ac:dyDescent="0.3">
      <c r="B143" s="15" t="s">
        <v>97</v>
      </c>
      <c r="C143" s="15"/>
      <c r="D143" s="62">
        <f t="shared" si="11"/>
        <v>0.45246416638672071</v>
      </c>
      <c r="E143" s="62">
        <f t="shared" si="11"/>
        <v>7.39594111182032E-2</v>
      </c>
      <c r="F143" s="62">
        <f t="shared" si="11"/>
        <v>0.27500913257019954</v>
      </c>
      <c r="G143" s="62">
        <f t="shared" si="11"/>
        <v>0.19856728992487657</v>
      </c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2:33" x14ac:dyDescent="0.3">
      <c r="B144" s="15"/>
      <c r="C144" s="15"/>
      <c r="D144" s="62"/>
      <c r="E144" s="62"/>
      <c r="F144" s="62"/>
      <c r="G144" s="62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2:33" x14ac:dyDescent="0.3">
      <c r="B145" s="472" t="s">
        <v>57</v>
      </c>
      <c r="C145" s="466"/>
      <c r="D145" s="467">
        <f>D162</f>
        <v>16.551724137931036</v>
      </c>
      <c r="E145" s="468">
        <f t="shared" ref="E145:E152" si="12">IFERROR((ROUND(D145*K145,2)+ROUND(G145,2)+ROUND(J145,2))/ROUND(D145,4),0)</f>
        <v>0</v>
      </c>
      <c r="F145" s="467">
        <f>D145*E145</f>
        <v>0</v>
      </c>
      <c r="G145" s="467">
        <f t="shared" ref="G145:G152" si="13">ROUND(((D145*K145)/(1-$N$21-$N$22))*($N$21+$N$22),2)</f>
        <v>0</v>
      </c>
      <c r="H145" s="469">
        <f>ROUND((D145*K145)/(1-$N$21-$N$22)/(1-$I$21),2)</f>
        <v>0</v>
      </c>
      <c r="I145" s="470"/>
      <c r="J145" s="469">
        <f t="shared" ref="J145:J152" si="14">H145*$I$21</f>
        <v>0</v>
      </c>
      <c r="K145" s="468">
        <f>F162</f>
        <v>0</v>
      </c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2:33" x14ac:dyDescent="0.3">
      <c r="B146" s="472" t="s">
        <v>57</v>
      </c>
      <c r="C146" s="466"/>
      <c r="D146" s="467">
        <f>D163</f>
        <v>4.5517241379310338</v>
      </c>
      <c r="E146" s="468">
        <f t="shared" si="12"/>
        <v>2.4166794823911944E-2</v>
      </c>
      <c r="F146" s="467">
        <f t="shared" ref="F146:F152" si="15">D146*E146</f>
        <v>0.11000058333642676</v>
      </c>
      <c r="G146" s="467">
        <f t="shared" si="13"/>
        <v>0</v>
      </c>
      <c r="H146" s="469">
        <f t="shared" ref="H146:H152" si="16">ROUND((D146*K146)/(1-$N$21-$N$22)/(1-$I$21),2)</f>
        <v>0.11</v>
      </c>
      <c r="I146" s="470"/>
      <c r="J146" s="469">
        <f t="shared" si="14"/>
        <v>1.8700000000000001E-2</v>
      </c>
      <c r="K146" s="468">
        <f>F163</f>
        <v>1.8849999999999999E-2</v>
      </c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2:33" x14ac:dyDescent="0.3">
      <c r="B147" s="472" t="s">
        <v>210</v>
      </c>
      <c r="C147" s="466"/>
      <c r="D147" s="467">
        <f>D169</f>
        <v>0</v>
      </c>
      <c r="E147" s="468">
        <f t="shared" si="12"/>
        <v>0</v>
      </c>
      <c r="F147" s="467">
        <f t="shared" si="15"/>
        <v>0</v>
      </c>
      <c r="G147" s="467">
        <f t="shared" si="13"/>
        <v>0</v>
      </c>
      <c r="H147" s="469">
        <f t="shared" si="16"/>
        <v>0</v>
      </c>
      <c r="I147" s="470"/>
      <c r="J147" s="469">
        <f t="shared" si="14"/>
        <v>0</v>
      </c>
      <c r="K147" s="468">
        <f>F169</f>
        <v>0</v>
      </c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2:33" x14ac:dyDescent="0.3">
      <c r="B148" s="472" t="s">
        <v>210</v>
      </c>
      <c r="C148" s="466"/>
      <c r="D148" s="467">
        <f>D170</f>
        <v>0</v>
      </c>
      <c r="E148" s="468">
        <f t="shared" si="12"/>
        <v>0</v>
      </c>
      <c r="F148" s="467">
        <f t="shared" si="15"/>
        <v>0</v>
      </c>
      <c r="G148" s="467">
        <f t="shared" si="13"/>
        <v>0</v>
      </c>
      <c r="H148" s="469">
        <f t="shared" si="16"/>
        <v>0</v>
      </c>
      <c r="I148" s="470"/>
      <c r="J148" s="469">
        <f t="shared" si="14"/>
        <v>0</v>
      </c>
      <c r="K148" s="468">
        <f>F170</f>
        <v>4.4630000000000003E-2</v>
      </c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2:33" x14ac:dyDescent="0.3">
      <c r="B149" s="472" t="s">
        <v>211</v>
      </c>
      <c r="C149" s="466"/>
      <c r="D149" s="467">
        <f>D176</f>
        <v>0</v>
      </c>
      <c r="E149" s="468">
        <f t="shared" si="12"/>
        <v>0</v>
      </c>
      <c r="F149" s="467">
        <f t="shared" si="15"/>
        <v>0</v>
      </c>
      <c r="G149" s="467">
        <f t="shared" si="13"/>
        <v>0</v>
      </c>
      <c r="H149" s="469">
        <f t="shared" si="16"/>
        <v>0</v>
      </c>
      <c r="I149" s="470"/>
      <c r="J149" s="469">
        <f t="shared" si="14"/>
        <v>0</v>
      </c>
      <c r="K149" s="468">
        <f>F176</f>
        <v>0</v>
      </c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2:33" x14ac:dyDescent="0.3">
      <c r="B150" s="472" t="s">
        <v>211</v>
      </c>
      <c r="C150" s="466"/>
      <c r="D150" s="467">
        <f>D177</f>
        <v>0</v>
      </c>
      <c r="E150" s="468">
        <f t="shared" si="12"/>
        <v>0</v>
      </c>
      <c r="F150" s="467">
        <f t="shared" si="15"/>
        <v>0</v>
      </c>
      <c r="G150" s="467">
        <f t="shared" si="13"/>
        <v>0</v>
      </c>
      <c r="H150" s="469">
        <f t="shared" si="16"/>
        <v>0</v>
      </c>
      <c r="I150" s="470"/>
      <c r="J150" s="469">
        <f t="shared" si="14"/>
        <v>0</v>
      </c>
      <c r="K150" s="468">
        <f>F177</f>
        <v>7.8770000000000007E-2</v>
      </c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2:33" x14ac:dyDescent="0.3">
      <c r="B151" s="472" t="s">
        <v>74</v>
      </c>
      <c r="C151" s="466"/>
      <c r="D151" s="467">
        <f>D183</f>
        <v>0</v>
      </c>
      <c r="E151" s="468">
        <f t="shared" si="12"/>
        <v>0</v>
      </c>
      <c r="F151" s="467">
        <f t="shared" si="15"/>
        <v>0</v>
      </c>
      <c r="G151" s="467">
        <f t="shared" si="13"/>
        <v>0</v>
      </c>
      <c r="H151" s="469">
        <f t="shared" si="16"/>
        <v>0</v>
      </c>
      <c r="I151" s="470"/>
      <c r="J151" s="469">
        <f t="shared" si="14"/>
        <v>0</v>
      </c>
      <c r="K151" s="468">
        <f>F183</f>
        <v>0</v>
      </c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2:33" x14ac:dyDescent="0.3">
      <c r="B152" s="472" t="s">
        <v>74</v>
      </c>
      <c r="C152" s="466"/>
      <c r="D152" s="467">
        <f>D184</f>
        <v>0</v>
      </c>
      <c r="E152" s="468">
        <f t="shared" si="12"/>
        <v>0</v>
      </c>
      <c r="F152" s="467">
        <f t="shared" si="15"/>
        <v>0</v>
      </c>
      <c r="G152" s="467">
        <f t="shared" si="13"/>
        <v>0</v>
      </c>
      <c r="H152" s="469">
        <f t="shared" si="16"/>
        <v>0</v>
      </c>
      <c r="I152" s="470"/>
      <c r="J152" s="469">
        <f t="shared" si="14"/>
        <v>0</v>
      </c>
      <c r="K152" s="468">
        <f>F184</f>
        <v>0.14199999999999999</v>
      </c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2:33" x14ac:dyDescent="0.3"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2:33" x14ac:dyDescent="0.3"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2:33" x14ac:dyDescent="0.3"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2:33" x14ac:dyDescent="0.3"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2:33" x14ac:dyDescent="0.3">
      <c r="C157" s="97" t="s">
        <v>73</v>
      </c>
      <c r="D157" s="97"/>
      <c r="E157" s="97"/>
      <c r="F157" s="97"/>
      <c r="G157" s="97"/>
      <c r="H157" s="97"/>
      <c r="I157" s="97"/>
      <c r="J157" s="97"/>
      <c r="K157" s="9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2:33" x14ac:dyDescent="0.3">
      <c r="C158" s="97"/>
      <c r="D158" s="97"/>
      <c r="E158" s="97"/>
      <c r="F158" s="97"/>
      <c r="G158" s="97"/>
      <c r="H158" s="97"/>
      <c r="I158" s="97"/>
      <c r="J158" s="97"/>
      <c r="K158" s="97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2:33" x14ac:dyDescent="0.3">
      <c r="C159" s="3" t="s">
        <v>12</v>
      </c>
      <c r="D159" s="3"/>
      <c r="E159" s="9"/>
      <c r="F159" s="426">
        <f>N4</f>
        <v>1.8849999999999999E-2</v>
      </c>
      <c r="G159" s="50"/>
      <c r="H159" s="6"/>
      <c r="I159" s="6"/>
      <c r="J159" s="11"/>
      <c r="K159"/>
      <c r="L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2:33" x14ac:dyDescent="0.3">
      <c r="C160"/>
      <c r="D160" s="17" t="s">
        <v>73</v>
      </c>
      <c r="E160" s="497" t="s">
        <v>194</v>
      </c>
      <c r="F160" s="498"/>
      <c r="G160" s="64"/>
      <c r="H160" s="497" t="s">
        <v>195</v>
      </c>
      <c r="I160" s="498"/>
      <c r="J160" s="18" t="s">
        <v>196</v>
      </c>
      <c r="K160"/>
      <c r="L160" s="2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3:33" x14ac:dyDescent="0.3">
      <c r="C161"/>
      <c r="D161" s="19" t="s">
        <v>197</v>
      </c>
      <c r="E161" s="20"/>
      <c r="F161" s="20" t="s">
        <v>14</v>
      </c>
      <c r="G161" s="20"/>
      <c r="H161" s="20" t="s">
        <v>13</v>
      </c>
      <c r="I161" s="20" t="s">
        <v>14</v>
      </c>
      <c r="J161" s="20" t="s">
        <v>198</v>
      </c>
      <c r="K161"/>
      <c r="L161" s="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3:33" x14ac:dyDescent="0.3">
      <c r="C162"/>
      <c r="D162" s="36">
        <f>IF($K$11=$C$159,(E50/($K$13+$L$13)*($K$13)),0)+IF($L$11=$C$159,(E50/($K$13+$L$13)*($L$13)),0)</f>
        <v>16.551724137931036</v>
      </c>
      <c r="E162" s="4"/>
      <c r="F162" s="4">
        <f>$F$159*(1-L162)</f>
        <v>0</v>
      </c>
      <c r="G162" s="4"/>
      <c r="H162" s="5"/>
      <c r="I162" s="5">
        <f>ROUND((D162*F162),2)</f>
        <v>0</v>
      </c>
      <c r="J162" s="10">
        <f>H162+I162</f>
        <v>0</v>
      </c>
      <c r="K162" s="12"/>
      <c r="L162" s="16">
        <v>1</v>
      </c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3:33" x14ac:dyDescent="0.3">
      <c r="C163"/>
      <c r="D163" s="36">
        <f>IF($K$11=$C$159,(E51/($K$13+$L$13)*($K$13)),0)+IF($L$11=$C$159,(E51/($K$13+$L$13)*($L$13)),0)</f>
        <v>4.5517241379310338</v>
      </c>
      <c r="E163" s="4"/>
      <c r="F163" s="4">
        <f>$F$159*(1-L163)</f>
        <v>1.8849999999999999E-2</v>
      </c>
      <c r="G163" s="4"/>
      <c r="H163" s="5"/>
      <c r="I163" s="5">
        <f>ROUND((D163*F163),2)</f>
        <v>0.09</v>
      </c>
      <c r="J163" s="10">
        <f>H163+I163</f>
        <v>0.09</v>
      </c>
      <c r="K163" s="12"/>
      <c r="L163" s="16">
        <v>0</v>
      </c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3:33" x14ac:dyDescent="0.3">
      <c r="C164"/>
      <c r="D164" s="52" t="s">
        <v>66</v>
      </c>
      <c r="E164" s="53"/>
      <c r="F164" s="53"/>
      <c r="G164" s="53"/>
      <c r="H164" s="53"/>
      <c r="I164" s="54"/>
      <c r="J164" s="30">
        <f>SUM(J162:J163)</f>
        <v>0.09</v>
      </c>
      <c r="K164"/>
      <c r="L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3:33" x14ac:dyDescent="0.3">
      <c r="C165" s="3"/>
      <c r="D165" s="3"/>
      <c r="E165" s="9"/>
      <c r="F165" s="9"/>
      <c r="G165" s="9"/>
      <c r="H165" s="6"/>
      <c r="I165" s="6"/>
      <c r="J165" s="31"/>
      <c r="K165"/>
      <c r="L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3:33" x14ac:dyDescent="0.3">
      <c r="C166" s="3" t="s">
        <v>16</v>
      </c>
      <c r="D166" s="3"/>
      <c r="E166" s="9"/>
      <c r="F166" s="426">
        <f>N5</f>
        <v>4.4630000000000003E-2</v>
      </c>
      <c r="G166" s="50"/>
      <c r="H166" s="6"/>
      <c r="I166" s="6"/>
      <c r="J166" s="11"/>
      <c r="K166"/>
      <c r="L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3:33" x14ac:dyDescent="0.3">
      <c r="C167"/>
      <c r="D167" s="17" t="s">
        <v>73</v>
      </c>
      <c r="E167" s="497" t="s">
        <v>11</v>
      </c>
      <c r="F167" s="498"/>
      <c r="G167" s="64"/>
      <c r="H167" s="497" t="s">
        <v>195</v>
      </c>
      <c r="I167" s="498"/>
      <c r="J167" s="18" t="s">
        <v>196</v>
      </c>
      <c r="K167"/>
      <c r="L167" s="2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3:33" x14ac:dyDescent="0.3">
      <c r="C168"/>
      <c r="D168" s="19" t="s">
        <v>197</v>
      </c>
      <c r="E168" s="20" t="s">
        <v>13</v>
      </c>
      <c r="F168" s="20" t="s">
        <v>14</v>
      </c>
      <c r="G168" s="20"/>
      <c r="H168" s="20" t="s">
        <v>13</v>
      </c>
      <c r="I168" s="20" t="s">
        <v>14</v>
      </c>
      <c r="J168" s="20" t="s">
        <v>198</v>
      </c>
      <c r="K168"/>
      <c r="L168" s="1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3:33" x14ac:dyDescent="0.3">
      <c r="C169"/>
      <c r="D169" s="36">
        <f>IF($K$11=$C$166,(E50/($K$13+$L$13)*($K$13)),0)+IF($L$11=$C$166,(E50/($K$13+$L$13)*($L$13)),0)</f>
        <v>0</v>
      </c>
      <c r="E169" s="4"/>
      <c r="F169" s="4">
        <f>$F$166*(1-L169)</f>
        <v>0</v>
      </c>
      <c r="G169" s="4"/>
      <c r="H169" s="5"/>
      <c r="I169" s="5">
        <f>ROUND((D169*F169),2)</f>
        <v>0</v>
      </c>
      <c r="J169" s="10">
        <f>H169+I169</f>
        <v>0</v>
      </c>
      <c r="K169" s="12"/>
      <c r="L169" s="16">
        <v>1</v>
      </c>
      <c r="N169" s="97">
        <f>IF($K$11=$C$166,(E50/($K$13+$L$13)*($K$13)),0)+IF($L$11=$C$166,(E50/($K$13+$L$13)*($L$13)),0)</f>
        <v>0</v>
      </c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3:33" x14ac:dyDescent="0.3">
      <c r="C170"/>
      <c r="D170" s="36">
        <f>IF($K$11=$C$166,(E51/($K$13+$L$13)*($K$13)),0)+IF($L$11=$C$166,(E51/($K$13+$L$13)*($L$13)),0)</f>
        <v>0</v>
      </c>
      <c r="E170" s="4"/>
      <c r="F170" s="4">
        <f>$F$166*(1-L170)</f>
        <v>4.4630000000000003E-2</v>
      </c>
      <c r="G170" s="4"/>
      <c r="H170" s="5"/>
      <c r="I170" s="5">
        <f>ROUND((D170*F170),2)</f>
        <v>0</v>
      </c>
      <c r="J170" s="10">
        <f>H170+I170</f>
        <v>0</v>
      </c>
      <c r="K170" s="12"/>
      <c r="L170" s="16">
        <v>0</v>
      </c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3:33" x14ac:dyDescent="0.3">
      <c r="C171"/>
      <c r="D171" s="52" t="s">
        <v>66</v>
      </c>
      <c r="E171" s="53"/>
      <c r="F171" s="53"/>
      <c r="G171" s="53"/>
      <c r="H171" s="53"/>
      <c r="I171" s="54"/>
      <c r="J171" s="30">
        <f>SUM(J169:J170)</f>
        <v>0</v>
      </c>
      <c r="K171"/>
      <c r="L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3:33" x14ac:dyDescent="0.3">
      <c r="C172" s="3"/>
      <c r="D172" s="3"/>
      <c r="E172" s="9"/>
      <c r="F172" s="9"/>
      <c r="G172" s="9"/>
      <c r="H172" s="6"/>
      <c r="I172" s="6"/>
      <c r="J172" s="11"/>
      <c r="K172"/>
      <c r="L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3:33" x14ac:dyDescent="0.3">
      <c r="C173" s="3" t="s">
        <v>19</v>
      </c>
      <c r="D173" s="3"/>
      <c r="E173" s="9"/>
      <c r="F173" s="426">
        <f>N6</f>
        <v>7.8770000000000007E-2</v>
      </c>
      <c r="G173" s="50"/>
      <c r="H173" s="6"/>
      <c r="I173" s="6"/>
      <c r="J173" s="11"/>
      <c r="K173"/>
      <c r="L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3:33" x14ac:dyDescent="0.3">
      <c r="C174"/>
      <c r="D174" s="17" t="s">
        <v>73</v>
      </c>
      <c r="E174" s="497" t="s">
        <v>11</v>
      </c>
      <c r="F174" s="498"/>
      <c r="G174" s="64"/>
      <c r="H174" s="497" t="s">
        <v>195</v>
      </c>
      <c r="I174" s="498"/>
      <c r="J174" s="18" t="s">
        <v>196</v>
      </c>
      <c r="K174"/>
      <c r="L174" s="2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3:33" x14ac:dyDescent="0.3">
      <c r="C175"/>
      <c r="D175" s="19" t="s">
        <v>197</v>
      </c>
      <c r="E175" s="20" t="s">
        <v>13</v>
      </c>
      <c r="F175" s="20" t="s">
        <v>14</v>
      </c>
      <c r="G175" s="20"/>
      <c r="H175" s="20" t="s">
        <v>13</v>
      </c>
      <c r="I175" s="20" t="s">
        <v>14</v>
      </c>
      <c r="J175" s="20" t="s">
        <v>198</v>
      </c>
      <c r="K175"/>
      <c r="L175" s="1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3:33" x14ac:dyDescent="0.3">
      <c r="C176"/>
      <c r="D176" s="36">
        <f>IF($K$11=$C$173,(E50/($K$13+$L$13)*($K$13)),0)+IF($L$11=$C$173,(E50/($K$13+$L$13)*($L$13)),0)</f>
        <v>0</v>
      </c>
      <c r="E176" s="4"/>
      <c r="F176" s="4">
        <f>$F$173*(1-L176)</f>
        <v>0</v>
      </c>
      <c r="G176" s="4"/>
      <c r="H176" s="5"/>
      <c r="I176" s="5">
        <f>ROUND((D176*F176),2)</f>
        <v>0</v>
      </c>
      <c r="J176" s="10">
        <f>H176+I176</f>
        <v>0</v>
      </c>
      <c r="K176" s="12"/>
      <c r="L176" s="16">
        <v>1</v>
      </c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3:33" x14ac:dyDescent="0.3">
      <c r="C177"/>
      <c r="D177" s="36">
        <f>IF($K$11=$C$173,(E51/($K$13+$L$13)*($K$13)),0)+IF($L$11=$C$173,(E51/($K$13+$L$13)*($L$13)),0)</f>
        <v>0</v>
      </c>
      <c r="E177" s="4"/>
      <c r="F177" s="4">
        <f>$F$173*(1-L177)</f>
        <v>7.8770000000000007E-2</v>
      </c>
      <c r="G177" s="4"/>
      <c r="H177" s="5"/>
      <c r="I177" s="5">
        <f>ROUND((D177*F177),2)</f>
        <v>0</v>
      </c>
      <c r="J177" s="10">
        <f>H177+I177</f>
        <v>0</v>
      </c>
      <c r="K177" s="12"/>
      <c r="L177" s="16">
        <v>0</v>
      </c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3:33" x14ac:dyDescent="0.3">
      <c r="C178"/>
      <c r="D178" s="52" t="s">
        <v>66</v>
      </c>
      <c r="E178" s="53"/>
      <c r="F178" s="53"/>
      <c r="G178" s="53"/>
      <c r="H178" s="53"/>
      <c r="I178" s="54"/>
      <c r="J178" s="30">
        <f>SUM(J176:J177)</f>
        <v>0</v>
      </c>
      <c r="K178"/>
      <c r="L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3:33" x14ac:dyDescent="0.3">
      <c r="C179" s="97"/>
      <c r="D179" s="97"/>
      <c r="E179" s="97"/>
      <c r="F179" s="97"/>
      <c r="G179" s="97"/>
      <c r="H179" s="97"/>
      <c r="I179" s="97"/>
      <c r="J179" s="97"/>
      <c r="K179" s="97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3:33" x14ac:dyDescent="0.3">
      <c r="C180" t="s">
        <v>21</v>
      </c>
      <c r="D180" s="3"/>
      <c r="E180" s="9"/>
      <c r="F180" s="426">
        <f>N7</f>
        <v>0.14199999999999999</v>
      </c>
      <c r="G180" s="50"/>
      <c r="H180" s="6"/>
      <c r="I180" s="6"/>
      <c r="J180" s="11"/>
      <c r="K180"/>
      <c r="L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3:33" x14ac:dyDescent="0.3">
      <c r="C181"/>
      <c r="D181" s="17" t="s">
        <v>73</v>
      </c>
      <c r="E181" s="497" t="s">
        <v>11</v>
      </c>
      <c r="F181" s="498"/>
      <c r="G181" s="64"/>
      <c r="H181" s="497" t="s">
        <v>195</v>
      </c>
      <c r="I181" s="498"/>
      <c r="J181" s="18" t="s">
        <v>196</v>
      </c>
      <c r="K181"/>
      <c r="L181" s="2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3:33" x14ac:dyDescent="0.3">
      <c r="C182"/>
      <c r="D182" s="19" t="s">
        <v>197</v>
      </c>
      <c r="E182" s="20" t="s">
        <v>13</v>
      </c>
      <c r="F182" s="20" t="s">
        <v>14</v>
      </c>
      <c r="G182" s="20"/>
      <c r="H182" s="20" t="s">
        <v>13</v>
      </c>
      <c r="I182" s="20" t="s">
        <v>14</v>
      </c>
      <c r="J182" s="20" t="s">
        <v>198</v>
      </c>
      <c r="K182"/>
      <c r="L182" s="1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3:33" x14ac:dyDescent="0.3">
      <c r="C183"/>
      <c r="D183" s="36">
        <f>IF($K$11=$C$180,(E50/($K$13+$L$13)*($K$13)),0)+IF($L$11=$C$180,(E50/($K$13+$L$13)*($L$13)),0)</f>
        <v>0</v>
      </c>
      <c r="E183" s="4"/>
      <c r="F183" s="4">
        <f>$F$180*(1-L183)</f>
        <v>0</v>
      </c>
      <c r="G183" s="4"/>
      <c r="H183" s="5"/>
      <c r="I183" s="5">
        <f>ROUND((D183*F183),2)</f>
        <v>0</v>
      </c>
      <c r="J183" s="10">
        <f>H183+I183</f>
        <v>0</v>
      </c>
      <c r="K183" s="12"/>
      <c r="L183" s="16">
        <v>1</v>
      </c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3:33" x14ac:dyDescent="0.3">
      <c r="C184"/>
      <c r="D184" s="36">
        <f>IF($K$11=$C$180,(E51/($K$13+$L$13)*($K$13)),0)+IF($L$11=$C$180,(E51/($K$13+$L$13)*($L$13)),0)</f>
        <v>0</v>
      </c>
      <c r="E184" s="4"/>
      <c r="F184" s="4">
        <f>$F$180*(1-L184)</f>
        <v>0.14199999999999999</v>
      </c>
      <c r="G184" s="4"/>
      <c r="H184" s="5"/>
      <c r="I184" s="5">
        <f>ROUND((D184*F184),2)</f>
        <v>0</v>
      </c>
      <c r="J184" s="10">
        <f>H184+I184</f>
        <v>0</v>
      </c>
      <c r="K184" s="12"/>
      <c r="L184" s="16">
        <v>0</v>
      </c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3:33" x14ac:dyDescent="0.3">
      <c r="C185"/>
      <c r="D185" s="52" t="s">
        <v>66</v>
      </c>
      <c r="E185" s="53"/>
      <c r="F185" s="53"/>
      <c r="G185" s="53"/>
      <c r="H185" s="53"/>
      <c r="I185" s="54"/>
      <c r="J185" s="30">
        <f>SUM(J183:J184)</f>
        <v>0</v>
      </c>
      <c r="K185"/>
      <c r="L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3:33" x14ac:dyDescent="0.3"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3:33" x14ac:dyDescent="0.3"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3:33" x14ac:dyDescent="0.3"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3:33" x14ac:dyDescent="0.3"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3:33" x14ac:dyDescent="0.3"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3:33" x14ac:dyDescent="0.3"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3:33" x14ac:dyDescent="0.3"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6:33" x14ac:dyDescent="0.3"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6:33" x14ac:dyDescent="0.3"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6:33" x14ac:dyDescent="0.3"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6:33" x14ac:dyDescent="0.3"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6:33" x14ac:dyDescent="0.3"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6:33" x14ac:dyDescent="0.3"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6:33" x14ac:dyDescent="0.3"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6:33" x14ac:dyDescent="0.3"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6:33" x14ac:dyDescent="0.3"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6:33" x14ac:dyDescent="0.3"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6:33" x14ac:dyDescent="0.3"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6:33" x14ac:dyDescent="0.3"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6:33" x14ac:dyDescent="0.3"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6:33" x14ac:dyDescent="0.3"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6:33" x14ac:dyDescent="0.3"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6:33" x14ac:dyDescent="0.3"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6:33" x14ac:dyDescent="0.3"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6:33" x14ac:dyDescent="0.3"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6:33" x14ac:dyDescent="0.3"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6:33" x14ac:dyDescent="0.3"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6:33" x14ac:dyDescent="0.3"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6:33" x14ac:dyDescent="0.3"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6:33" x14ac:dyDescent="0.3"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6:33" x14ac:dyDescent="0.3"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6:33" x14ac:dyDescent="0.3"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6:33" x14ac:dyDescent="0.3"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6:33" x14ac:dyDescent="0.3"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6:33" x14ac:dyDescent="0.3"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6:33" x14ac:dyDescent="0.3"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6:33" x14ac:dyDescent="0.3"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6:33" x14ac:dyDescent="0.3"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6:33" x14ac:dyDescent="0.3"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6:33" x14ac:dyDescent="0.3"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6:33" x14ac:dyDescent="0.3"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6:33" x14ac:dyDescent="0.3"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6:33" x14ac:dyDescent="0.3"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6:33" x14ac:dyDescent="0.3"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6:33" x14ac:dyDescent="0.3"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6:33" x14ac:dyDescent="0.3"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6:33" x14ac:dyDescent="0.3"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</sheetData>
  <mergeCells count="19">
    <mergeCell ref="E167:F167"/>
    <mergeCell ref="H167:I167"/>
    <mergeCell ref="E174:F174"/>
    <mergeCell ref="H174:I174"/>
    <mergeCell ref="E181:F181"/>
    <mergeCell ref="H181:I181"/>
    <mergeCell ref="U4:W4"/>
    <mergeCell ref="K10:L10"/>
    <mergeCell ref="B43:K43"/>
    <mergeCell ref="I68:K68"/>
    <mergeCell ref="I69:K69"/>
    <mergeCell ref="Q4:Q5"/>
    <mergeCell ref="R4:T4"/>
    <mergeCell ref="E160:F160"/>
    <mergeCell ref="H160:I160"/>
    <mergeCell ref="B4:B5"/>
    <mergeCell ref="C4:E4"/>
    <mergeCell ref="F4:H4"/>
    <mergeCell ref="I4:K4"/>
  </mergeCells>
  <conditionalFormatting sqref="K11:L11">
    <cfRule type="cellIs" dxfId="69" priority="1" operator="equal">
      <formula>"Escassez Hídrica"</formula>
    </cfRule>
    <cfRule type="cellIs" dxfId="68" priority="2" operator="equal">
      <formula>"VERDE"</formula>
    </cfRule>
    <cfRule type="cellIs" dxfId="67" priority="3" operator="equal">
      <formula>"BVM2"</formula>
    </cfRule>
    <cfRule type="cellIs" dxfId="66" priority="4" operator="equal">
      <formula>"BVM1"</formula>
    </cfRule>
    <cfRule type="cellIs" dxfId="65" priority="5" operator="equal">
      <formula>"BAM"</formula>
    </cfRule>
  </conditionalFormatting>
  <conditionalFormatting sqref="M3">
    <cfRule type="cellIs" dxfId="64" priority="11" operator="equal">
      <formula>"VERDE"</formula>
    </cfRule>
    <cfRule type="cellIs" dxfId="63" priority="12" operator="equal">
      <formula>"BVM2"</formula>
    </cfRule>
    <cfRule type="cellIs" dxfId="62" priority="13" operator="equal">
      <formula>"BVM1"</formula>
    </cfRule>
    <cfRule type="cellIs" dxfId="61" priority="14" operator="equal">
      <formula>"BAM"</formula>
    </cfRule>
  </conditionalFormatting>
  <conditionalFormatting sqref="M7:M8">
    <cfRule type="containsText" dxfId="60" priority="6" operator="containsText" text="Escassez Hídrica">
      <formula>NOT(ISERROR(SEARCH("Escassez Hídrica",M7)))</formula>
    </cfRule>
    <cfRule type="cellIs" dxfId="59" priority="7" operator="equal">
      <formula>"VERDE"</formula>
    </cfRule>
    <cfRule type="cellIs" dxfId="58" priority="8" operator="equal">
      <formula>"BVM2"</formula>
    </cfRule>
    <cfRule type="cellIs" dxfId="57" priority="9" operator="equal">
      <formula>"BVM1"</formula>
    </cfRule>
    <cfRule type="cellIs" dxfId="56" priority="10" operator="equal">
      <formula>"BAM"</formula>
    </cfRule>
  </conditionalFormatting>
  <dataValidations disablePrompts="1" count="1">
    <dataValidation type="list" allowBlank="1" showInputMessage="1" showErrorMessage="1" sqref="K11:L11" xr:uid="{A08B5C6B-748A-4B0C-87F1-7A1778EB9E4E}">
      <formula1>$M$3:$M$7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CambiarCeldas_Bai_Ren_4">
                <anchor moveWithCells="1" sizeWithCells="1">
                  <from>
                    <xdr:col>11</xdr:col>
                    <xdr:colOff>480060</xdr:colOff>
                    <xdr:row>13</xdr:row>
                    <xdr:rowOff>121920</xdr:rowOff>
                  </from>
                  <to>
                    <xdr:col>13</xdr:col>
                    <xdr:colOff>335280</xdr:colOff>
                    <xdr:row>15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Q90"/>
  <sheetViews>
    <sheetView topLeftCell="A63" zoomScale="90" zoomScaleNormal="90" workbookViewId="0">
      <selection activeCell="F68" sqref="F68:M90"/>
    </sheetView>
  </sheetViews>
  <sheetFormatPr defaultColWidth="15" defaultRowHeight="14.4" x14ac:dyDescent="0.3"/>
  <cols>
    <col min="1" max="1" width="35.44140625" style="38" bestFit="1" customWidth="1"/>
    <col min="2" max="2" width="16" style="38" bestFit="1" customWidth="1"/>
    <col min="3" max="3" width="17.5546875" style="38" bestFit="1" customWidth="1"/>
    <col min="4" max="4" width="17.6640625" style="38" bestFit="1" customWidth="1"/>
    <col min="5" max="5" width="12.6640625" style="38" bestFit="1" customWidth="1"/>
    <col min="6" max="6" width="8.44140625" style="38" bestFit="1" customWidth="1"/>
    <col min="7" max="7" width="12" style="38" bestFit="1" customWidth="1"/>
    <col min="8" max="8" width="12.109375" style="38" bestFit="1" customWidth="1"/>
    <col min="9" max="9" width="12.44140625" style="38" bestFit="1" customWidth="1"/>
    <col min="10" max="10" width="12.33203125" style="38" bestFit="1" customWidth="1"/>
    <col min="11" max="11" width="8.44140625" style="38" bestFit="1" customWidth="1"/>
    <col min="12" max="12" width="7.33203125" style="38" bestFit="1" customWidth="1"/>
    <col min="13" max="13" width="7.33203125" bestFit="1" customWidth="1"/>
    <col min="14" max="14" width="9" bestFit="1" customWidth="1"/>
    <col min="15" max="15" width="4" bestFit="1" customWidth="1"/>
    <col min="16" max="16" width="4.88671875" bestFit="1" customWidth="1"/>
    <col min="17" max="17" width="5.5546875" bestFit="1" customWidth="1"/>
  </cols>
  <sheetData>
    <row r="1" spans="1:17" ht="15" thickBot="1" x14ac:dyDescent="0.35">
      <c r="A1" s="511" t="s">
        <v>219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3"/>
    </row>
    <row r="2" spans="1:17" ht="15.75" customHeight="1" thickBot="1" x14ac:dyDescent="0.35">
      <c r="A2" s="526" t="s">
        <v>220</v>
      </c>
      <c r="B2" s="526" t="s">
        <v>221</v>
      </c>
      <c r="C2" s="526" t="s">
        <v>222</v>
      </c>
      <c r="D2" s="323" t="s">
        <v>223</v>
      </c>
      <c r="E2" s="529" t="s">
        <v>224</v>
      </c>
      <c r="F2" s="530"/>
      <c r="G2" s="530"/>
      <c r="H2" s="530"/>
      <c r="I2" s="531"/>
      <c r="J2" s="529" t="s">
        <v>225</v>
      </c>
      <c r="K2" s="530"/>
      <c r="L2" s="531"/>
      <c r="N2" s="65" t="s">
        <v>226</v>
      </c>
      <c r="O2" s="65" t="s">
        <v>227</v>
      </c>
      <c r="P2" s="65" t="s">
        <v>228</v>
      </c>
      <c r="Q2" s="65" t="s">
        <v>229</v>
      </c>
    </row>
    <row r="3" spans="1:17" ht="15" thickBot="1" x14ac:dyDescent="0.35">
      <c r="A3" s="527"/>
      <c r="B3" s="527"/>
      <c r="C3" s="527"/>
      <c r="D3" s="66"/>
      <c r="E3" s="529" t="s">
        <v>70</v>
      </c>
      <c r="F3" s="531"/>
      <c r="G3" s="529" t="s">
        <v>230</v>
      </c>
      <c r="H3" s="530"/>
      <c r="I3" s="531"/>
      <c r="J3" s="529" t="s">
        <v>70</v>
      </c>
      <c r="K3" s="531"/>
      <c r="L3" s="66" t="s">
        <v>14</v>
      </c>
      <c r="N3" s="67" t="s">
        <v>231</v>
      </c>
      <c r="O3" s="68" t="s">
        <v>232</v>
      </c>
      <c r="P3" s="68" t="s">
        <v>233</v>
      </c>
      <c r="Q3" s="69">
        <v>2023</v>
      </c>
    </row>
    <row r="4" spans="1:17" ht="15" thickBot="1" x14ac:dyDescent="0.35">
      <c r="A4" s="528"/>
      <c r="B4" s="528"/>
      <c r="C4" s="528"/>
      <c r="D4" s="66"/>
      <c r="E4" s="66" t="s">
        <v>234</v>
      </c>
      <c r="F4" s="66" t="s">
        <v>235</v>
      </c>
      <c r="G4" s="70" t="s">
        <v>236</v>
      </c>
      <c r="H4" s="71" t="s">
        <v>237</v>
      </c>
      <c r="I4" s="72" t="s">
        <v>238</v>
      </c>
      <c r="J4" s="66" t="s">
        <v>234</v>
      </c>
      <c r="K4" s="66" t="s">
        <v>235</v>
      </c>
      <c r="L4" s="66" t="s">
        <v>235</v>
      </c>
      <c r="N4" s="67" t="s">
        <v>239</v>
      </c>
      <c r="O4" s="73" t="s">
        <v>240</v>
      </c>
      <c r="P4" s="73" t="s">
        <v>233</v>
      </c>
      <c r="Q4" s="74">
        <v>2024</v>
      </c>
    </row>
    <row r="5" spans="1:17" ht="15" thickBot="1" x14ac:dyDescent="0.35">
      <c r="A5" s="75"/>
      <c r="B5" s="508" t="s">
        <v>241</v>
      </c>
      <c r="C5" s="508" t="s">
        <v>242</v>
      </c>
      <c r="D5" s="76" t="s">
        <v>243</v>
      </c>
      <c r="E5" s="77"/>
      <c r="F5" s="77"/>
      <c r="G5" s="77"/>
      <c r="H5" s="77"/>
      <c r="I5" s="77"/>
      <c r="J5" s="77"/>
      <c r="K5" s="77"/>
      <c r="L5" s="77"/>
      <c r="M5" s="78"/>
      <c r="N5" s="12"/>
      <c r="O5" s="12"/>
    </row>
    <row r="6" spans="1:17" ht="15" thickBot="1" x14ac:dyDescent="0.35">
      <c r="A6" s="75" t="s">
        <v>244</v>
      </c>
      <c r="B6" s="509"/>
      <c r="C6" s="509"/>
      <c r="D6" s="76" t="s">
        <v>245</v>
      </c>
      <c r="E6" s="77"/>
      <c r="F6" s="77"/>
      <c r="G6" s="77"/>
      <c r="H6" s="77"/>
      <c r="I6" s="77"/>
      <c r="J6" s="77"/>
      <c r="K6" s="77"/>
      <c r="L6" s="77"/>
      <c r="M6" s="78"/>
      <c r="N6" s="12"/>
      <c r="O6" s="12"/>
    </row>
    <row r="7" spans="1:17" ht="15" thickBot="1" x14ac:dyDescent="0.35">
      <c r="A7" s="75"/>
      <c r="B7" s="508" t="s">
        <v>246</v>
      </c>
      <c r="C7" s="508" t="s">
        <v>242</v>
      </c>
      <c r="D7" s="76" t="s">
        <v>243</v>
      </c>
      <c r="E7" s="77"/>
      <c r="F7" s="77"/>
      <c r="G7" s="77"/>
      <c r="H7" s="77"/>
      <c r="I7" s="77"/>
      <c r="J7" s="77"/>
      <c r="K7" s="77"/>
      <c r="L7" s="77"/>
      <c r="M7" s="79"/>
      <c r="N7" s="12"/>
      <c r="O7" s="12"/>
    </row>
    <row r="8" spans="1:17" ht="15" thickBot="1" x14ac:dyDescent="0.35">
      <c r="A8" s="75"/>
      <c r="B8" s="509"/>
      <c r="C8" s="509"/>
      <c r="D8" s="76" t="s">
        <v>245</v>
      </c>
      <c r="E8" s="77"/>
      <c r="F8" s="77"/>
      <c r="G8" s="77"/>
      <c r="H8" s="77"/>
      <c r="I8" s="77"/>
      <c r="J8" s="77"/>
      <c r="K8" s="77"/>
      <c r="L8" s="77"/>
      <c r="M8" s="12"/>
      <c r="N8" s="12"/>
      <c r="O8" s="12"/>
    </row>
    <row r="9" spans="1:17" ht="15.75" customHeight="1" thickBot="1" x14ac:dyDescent="0.35">
      <c r="A9" s="502" t="s">
        <v>247</v>
      </c>
      <c r="B9" s="508" t="s">
        <v>241</v>
      </c>
      <c r="C9" s="508" t="s">
        <v>242</v>
      </c>
      <c r="D9" s="76" t="s">
        <v>243</v>
      </c>
      <c r="E9" s="390"/>
      <c r="F9" s="390"/>
      <c r="G9" s="390"/>
      <c r="H9" s="389"/>
      <c r="I9" s="389"/>
      <c r="J9" s="390"/>
      <c r="K9" s="390"/>
      <c r="L9" s="390"/>
      <c r="M9" s="78"/>
      <c r="N9" s="12"/>
      <c r="O9" s="12"/>
    </row>
    <row r="10" spans="1:17" ht="15" thickBot="1" x14ac:dyDescent="0.35">
      <c r="A10" s="503"/>
      <c r="B10" s="509"/>
      <c r="C10" s="509"/>
      <c r="D10" s="76" t="s">
        <v>245</v>
      </c>
      <c r="E10" s="390"/>
      <c r="F10" s="390"/>
      <c r="G10" s="390"/>
      <c r="H10" s="389"/>
      <c r="I10" s="389"/>
      <c r="J10" s="390"/>
      <c r="K10" s="390"/>
      <c r="L10" s="390"/>
      <c r="M10" s="78"/>
      <c r="N10" s="80"/>
      <c r="O10" s="80"/>
    </row>
    <row r="11" spans="1:17" ht="15" thickBot="1" x14ac:dyDescent="0.35">
      <c r="A11" s="503"/>
      <c r="B11" s="508" t="s">
        <v>246</v>
      </c>
      <c r="C11" s="508" t="s">
        <v>242</v>
      </c>
      <c r="D11" s="76" t="s">
        <v>243</v>
      </c>
      <c r="E11" s="390"/>
      <c r="F11" s="390"/>
      <c r="G11" s="390"/>
      <c r="H11" s="389"/>
      <c r="I11" s="389"/>
      <c r="J11" s="390"/>
      <c r="K11" s="390"/>
      <c r="L11" s="390"/>
      <c r="M11" s="78"/>
      <c r="N11" s="12"/>
      <c r="O11" s="12"/>
    </row>
    <row r="12" spans="1:17" ht="15" thickBot="1" x14ac:dyDescent="0.35">
      <c r="A12" s="503"/>
      <c r="B12" s="509"/>
      <c r="C12" s="509"/>
      <c r="D12" s="76" t="s">
        <v>245</v>
      </c>
      <c r="E12" s="390"/>
      <c r="F12" s="390"/>
      <c r="G12" s="390"/>
      <c r="H12" s="389"/>
      <c r="I12" s="389"/>
      <c r="J12" s="390"/>
      <c r="K12" s="390"/>
      <c r="L12" s="390"/>
      <c r="M12" s="12"/>
    </row>
    <row r="13" spans="1:17" ht="15" thickBot="1" x14ac:dyDescent="0.35">
      <c r="A13" s="503"/>
      <c r="B13" s="508" t="s">
        <v>248</v>
      </c>
      <c r="C13" s="508" t="s">
        <v>249</v>
      </c>
      <c r="D13" s="76" t="s">
        <v>243</v>
      </c>
      <c r="E13" s="388"/>
      <c r="F13" s="388"/>
      <c r="G13" s="388"/>
      <c r="H13" s="389"/>
      <c r="I13" s="389"/>
      <c r="J13" s="388"/>
      <c r="K13" s="388"/>
      <c r="L13" s="388"/>
    </row>
    <row r="14" spans="1:17" ht="15" thickBot="1" x14ac:dyDescent="0.35">
      <c r="A14" s="503"/>
      <c r="B14" s="510"/>
      <c r="C14" s="510"/>
      <c r="D14" s="76" t="s">
        <v>245</v>
      </c>
      <c r="E14" s="388"/>
      <c r="F14" s="388"/>
      <c r="G14" s="388"/>
      <c r="H14" s="389"/>
      <c r="I14" s="389"/>
      <c r="J14" s="388"/>
      <c r="K14" s="388"/>
      <c r="L14" s="388"/>
    </row>
    <row r="15" spans="1:17" ht="15" thickBot="1" x14ac:dyDescent="0.35">
      <c r="A15" s="503"/>
      <c r="B15" s="509"/>
      <c r="C15" s="509"/>
      <c r="D15" s="76" t="s">
        <v>242</v>
      </c>
      <c r="E15" s="388"/>
      <c r="F15" s="388"/>
      <c r="G15" s="388"/>
      <c r="H15" s="389"/>
      <c r="I15" s="389"/>
      <c r="J15" s="388"/>
      <c r="K15" s="388"/>
      <c r="L15" s="388"/>
      <c r="M15" s="81"/>
    </row>
    <row r="16" spans="1:17" ht="15" thickBot="1" x14ac:dyDescent="0.35">
      <c r="A16" s="503"/>
      <c r="B16" s="508" t="s">
        <v>250</v>
      </c>
      <c r="C16" s="82" t="s">
        <v>251</v>
      </c>
      <c r="D16" s="76" t="s">
        <v>242</v>
      </c>
      <c r="E16" s="391"/>
      <c r="F16" s="390"/>
      <c r="G16" s="390"/>
      <c r="H16" s="389"/>
      <c r="I16" s="389"/>
      <c r="J16" s="391"/>
      <c r="K16" s="390"/>
      <c r="L16" s="392"/>
      <c r="M16" s="81"/>
      <c r="N16" s="12"/>
    </row>
    <row r="17" spans="1:15" ht="15" thickBot="1" x14ac:dyDescent="0.35">
      <c r="A17" s="503"/>
      <c r="B17" s="510"/>
      <c r="C17" s="82" t="s">
        <v>252</v>
      </c>
      <c r="D17" s="76" t="s">
        <v>242</v>
      </c>
      <c r="E17" s="391"/>
      <c r="F17" s="390"/>
      <c r="G17" s="390"/>
      <c r="H17" s="389"/>
      <c r="I17" s="389"/>
      <c r="J17" s="388"/>
      <c r="K17" s="390"/>
      <c r="L17" s="390"/>
      <c r="M17" s="12"/>
      <c r="N17" s="12"/>
      <c r="O17" s="12"/>
    </row>
    <row r="18" spans="1:15" ht="15" thickBot="1" x14ac:dyDescent="0.35">
      <c r="A18" s="503"/>
      <c r="B18" s="510"/>
      <c r="C18" s="82" t="s">
        <v>253</v>
      </c>
      <c r="D18" s="76" t="s">
        <v>242</v>
      </c>
      <c r="E18" s="391"/>
      <c r="F18" s="390"/>
      <c r="G18" s="390"/>
      <c r="H18" s="389"/>
      <c r="I18" s="389"/>
      <c r="J18" s="391"/>
      <c r="K18" s="390"/>
      <c r="L18" s="390"/>
      <c r="N18" s="12"/>
      <c r="O18" s="12"/>
    </row>
    <row r="19" spans="1:15" ht="15" thickBot="1" x14ac:dyDescent="0.35">
      <c r="A19" s="503"/>
      <c r="B19" s="510"/>
      <c r="C19" s="82" t="s">
        <v>254</v>
      </c>
      <c r="D19" s="76" t="s">
        <v>242</v>
      </c>
      <c r="E19" s="388"/>
      <c r="F19" s="390"/>
      <c r="G19" s="390"/>
      <c r="H19" s="389"/>
      <c r="I19" s="389"/>
      <c r="J19" s="391"/>
      <c r="K19" s="390"/>
      <c r="L19" s="390"/>
      <c r="N19" s="12"/>
      <c r="O19" s="12"/>
    </row>
    <row r="20" spans="1:15" ht="15" thickBot="1" x14ac:dyDescent="0.35">
      <c r="A20" s="503"/>
      <c r="B20" s="510"/>
      <c r="C20" s="82" t="s">
        <v>255</v>
      </c>
      <c r="D20" s="76" t="s">
        <v>242</v>
      </c>
      <c r="E20" s="388"/>
      <c r="F20" s="390"/>
      <c r="G20" s="390"/>
      <c r="H20" s="389"/>
      <c r="I20" s="389"/>
      <c r="J20" s="391"/>
      <c r="K20" s="390"/>
      <c r="L20" s="390"/>
      <c r="N20" s="12"/>
      <c r="O20" s="12"/>
    </row>
    <row r="21" spans="1:15" ht="15" thickBot="1" x14ac:dyDescent="0.35">
      <c r="A21" s="503"/>
      <c r="B21" s="510"/>
      <c r="C21" s="82" t="s">
        <v>256</v>
      </c>
      <c r="D21" s="76" t="s">
        <v>242</v>
      </c>
      <c r="E21" s="388"/>
      <c r="F21" s="390"/>
      <c r="G21" s="390"/>
      <c r="H21" s="389"/>
      <c r="I21" s="389"/>
      <c r="J21" s="391"/>
      <c r="K21" s="390"/>
      <c r="L21" s="390"/>
      <c r="N21" s="12"/>
      <c r="O21" s="12"/>
    </row>
    <row r="22" spans="1:15" ht="15" thickBot="1" x14ac:dyDescent="0.35">
      <c r="A22" s="503"/>
      <c r="B22" s="510"/>
      <c r="C22" s="82" t="s">
        <v>257</v>
      </c>
      <c r="D22" s="76" t="s">
        <v>242</v>
      </c>
      <c r="E22" s="388"/>
      <c r="F22" s="390"/>
      <c r="G22" s="390"/>
      <c r="H22" s="389"/>
      <c r="I22" s="389"/>
      <c r="J22" s="391"/>
      <c r="K22" s="390"/>
      <c r="L22" s="390"/>
      <c r="N22" s="12"/>
      <c r="O22" s="12"/>
    </row>
    <row r="23" spans="1:15" ht="15" thickBot="1" x14ac:dyDescent="0.35">
      <c r="A23" s="503"/>
      <c r="B23" s="510"/>
      <c r="C23" s="82" t="s">
        <v>258</v>
      </c>
      <c r="D23" s="76" t="s">
        <v>242</v>
      </c>
      <c r="E23" s="388"/>
      <c r="F23" s="390"/>
      <c r="G23" s="390"/>
      <c r="H23" s="389"/>
      <c r="I23" s="389"/>
      <c r="J23" s="391"/>
      <c r="K23" s="390"/>
      <c r="L23" s="390"/>
      <c r="N23" s="12"/>
      <c r="O23" s="12"/>
    </row>
    <row r="24" spans="1:15" ht="15" thickBot="1" x14ac:dyDescent="0.35">
      <c r="A24" s="503"/>
      <c r="B24" s="510"/>
      <c r="C24" s="82" t="s">
        <v>259</v>
      </c>
      <c r="D24" s="76" t="s">
        <v>242</v>
      </c>
      <c r="E24" s="391"/>
      <c r="F24" s="390"/>
      <c r="G24" s="390"/>
      <c r="H24" s="389"/>
      <c r="I24" s="389"/>
      <c r="J24" s="391"/>
      <c r="K24" s="390"/>
      <c r="L24" s="390"/>
      <c r="N24" s="12"/>
      <c r="O24" s="12"/>
    </row>
    <row r="25" spans="1:15" ht="15" thickBot="1" x14ac:dyDescent="0.35">
      <c r="A25" s="503"/>
      <c r="B25" s="510"/>
      <c r="C25" s="82" t="s">
        <v>260</v>
      </c>
      <c r="D25" s="76" t="s">
        <v>242</v>
      </c>
      <c r="E25" s="391"/>
      <c r="F25" s="390"/>
      <c r="G25" s="390"/>
      <c r="H25" s="389"/>
      <c r="I25" s="389"/>
      <c r="J25" s="391"/>
      <c r="K25" s="390"/>
      <c r="L25" s="390"/>
      <c r="N25" s="12"/>
      <c r="O25" s="12"/>
    </row>
    <row r="26" spans="1:15" ht="15" thickBot="1" x14ac:dyDescent="0.35">
      <c r="A26" s="503"/>
      <c r="B26" s="510"/>
      <c r="C26" s="82" t="s">
        <v>261</v>
      </c>
      <c r="D26" s="76" t="s">
        <v>242</v>
      </c>
      <c r="E26" s="388"/>
      <c r="F26" s="390"/>
      <c r="G26" s="390"/>
      <c r="H26" s="389"/>
      <c r="I26" s="389"/>
      <c r="J26" s="391"/>
      <c r="K26" s="390"/>
      <c r="L26" s="390"/>
      <c r="N26" s="12"/>
      <c r="O26" s="12"/>
    </row>
    <row r="27" spans="1:15" ht="15" thickBot="1" x14ac:dyDescent="0.35">
      <c r="A27" s="504"/>
      <c r="B27" s="509"/>
      <c r="C27" s="82" t="s">
        <v>262</v>
      </c>
      <c r="D27" s="76" t="s">
        <v>242</v>
      </c>
      <c r="E27" s="391"/>
      <c r="F27" s="390"/>
      <c r="G27" s="390"/>
      <c r="H27" s="389"/>
      <c r="I27" s="389"/>
      <c r="J27" s="391"/>
      <c r="K27" s="390"/>
      <c r="L27" s="390"/>
      <c r="N27" s="12"/>
      <c r="O27" s="12"/>
    </row>
    <row r="28" spans="1:15" ht="15.75" customHeight="1" thickBot="1" x14ac:dyDescent="0.35">
      <c r="A28" s="502" t="s">
        <v>263</v>
      </c>
      <c r="B28" s="508" t="s">
        <v>241</v>
      </c>
      <c r="C28" s="508" t="s">
        <v>242</v>
      </c>
      <c r="D28" s="76" t="s">
        <v>243</v>
      </c>
      <c r="E28" s="388"/>
      <c r="F28" s="388"/>
      <c r="G28" s="388"/>
      <c r="H28" s="389"/>
      <c r="I28" s="389"/>
      <c r="J28" s="388"/>
      <c r="K28" s="388"/>
      <c r="L28" s="388"/>
      <c r="N28" s="12"/>
      <c r="O28" s="12"/>
    </row>
    <row r="29" spans="1:15" ht="15" thickBot="1" x14ac:dyDescent="0.35">
      <c r="A29" s="503"/>
      <c r="B29" s="509"/>
      <c r="C29" s="509"/>
      <c r="D29" s="76" t="s">
        <v>245</v>
      </c>
      <c r="E29" s="388"/>
      <c r="F29" s="388"/>
      <c r="G29" s="388"/>
      <c r="H29" s="389"/>
      <c r="I29" s="389"/>
      <c r="J29" s="388"/>
      <c r="K29" s="388"/>
      <c r="L29" s="388"/>
      <c r="N29" s="12"/>
      <c r="O29" s="12"/>
    </row>
    <row r="30" spans="1:15" ht="15" thickBot="1" x14ac:dyDescent="0.35">
      <c r="A30" s="503"/>
      <c r="B30" s="508" t="s">
        <v>246</v>
      </c>
      <c r="C30" s="508" t="s">
        <v>242</v>
      </c>
      <c r="D30" s="76" t="s">
        <v>243</v>
      </c>
      <c r="E30" s="388"/>
      <c r="F30" s="388"/>
      <c r="G30" s="390"/>
      <c r="H30" s="389"/>
      <c r="I30" s="389"/>
      <c r="J30" s="388"/>
      <c r="K30" s="388"/>
      <c r="L30" s="390"/>
      <c r="N30" s="12"/>
      <c r="O30" s="12"/>
    </row>
    <row r="31" spans="1:15" ht="15" thickBot="1" x14ac:dyDescent="0.35">
      <c r="A31" s="503"/>
      <c r="B31" s="509"/>
      <c r="C31" s="509"/>
      <c r="D31" s="76" t="s">
        <v>245</v>
      </c>
      <c r="E31" s="388"/>
      <c r="F31" s="388"/>
      <c r="G31" s="390"/>
      <c r="H31" s="389"/>
      <c r="I31" s="389"/>
      <c r="J31" s="388"/>
      <c r="K31" s="388"/>
      <c r="L31" s="390"/>
      <c r="N31" s="12"/>
      <c r="O31" s="12"/>
    </row>
    <row r="32" spans="1:15" ht="15" thickBot="1" x14ac:dyDescent="0.35">
      <c r="A32" s="503"/>
      <c r="B32" s="508" t="s">
        <v>248</v>
      </c>
      <c r="C32" s="508"/>
      <c r="D32" s="76" t="s">
        <v>243</v>
      </c>
      <c r="E32" s="388"/>
      <c r="F32" s="388"/>
      <c r="G32" s="388"/>
      <c r="H32" s="389"/>
      <c r="I32" s="389"/>
      <c r="J32" s="388"/>
      <c r="K32" s="388"/>
      <c r="L32" s="388"/>
      <c r="N32" s="12"/>
      <c r="O32" s="12"/>
    </row>
    <row r="33" spans="1:15" ht="15" thickBot="1" x14ac:dyDescent="0.35">
      <c r="A33" s="503"/>
      <c r="B33" s="510"/>
      <c r="C33" s="510"/>
      <c r="D33" s="76" t="s">
        <v>245</v>
      </c>
      <c r="E33" s="388"/>
      <c r="F33" s="388"/>
      <c r="G33" s="388"/>
      <c r="H33" s="389"/>
      <c r="I33" s="389"/>
      <c r="J33" s="388"/>
      <c r="K33" s="388"/>
      <c r="L33" s="388"/>
      <c r="N33" s="12"/>
      <c r="O33" s="12"/>
    </row>
    <row r="34" spans="1:15" ht="15" thickBot="1" x14ac:dyDescent="0.35">
      <c r="A34" s="503"/>
      <c r="B34" s="509"/>
      <c r="C34" s="509"/>
      <c r="D34" s="76" t="s">
        <v>242</v>
      </c>
      <c r="E34" s="388"/>
      <c r="F34" s="388"/>
      <c r="G34" s="388"/>
      <c r="H34" s="389"/>
      <c r="I34" s="389"/>
      <c r="J34" s="388"/>
      <c r="K34" s="388"/>
      <c r="L34" s="388"/>
      <c r="N34" s="12"/>
      <c r="O34" s="12"/>
    </row>
    <row r="35" spans="1:15" ht="15" thickBot="1" x14ac:dyDescent="0.35">
      <c r="A35" s="504"/>
      <c r="B35" s="76" t="s">
        <v>250</v>
      </c>
      <c r="C35" s="76" t="s">
        <v>242</v>
      </c>
      <c r="D35" s="76" t="s">
        <v>242</v>
      </c>
      <c r="E35" s="388"/>
      <c r="F35" s="388"/>
      <c r="G35" s="388"/>
      <c r="H35" s="389"/>
      <c r="I35" s="389"/>
      <c r="J35" s="388"/>
      <c r="K35" s="388"/>
      <c r="L35" s="388"/>
      <c r="N35" s="12"/>
      <c r="O35" s="12"/>
    </row>
    <row r="36" spans="1:15" ht="15.75" customHeight="1" thickBot="1" x14ac:dyDescent="0.35">
      <c r="A36" s="502" t="s">
        <v>264</v>
      </c>
      <c r="B36" s="508" t="s">
        <v>241</v>
      </c>
      <c r="C36" s="508" t="s">
        <v>242</v>
      </c>
      <c r="D36" s="76" t="s">
        <v>243</v>
      </c>
      <c r="E36" s="388"/>
      <c r="F36" s="388"/>
      <c r="G36" s="388"/>
      <c r="H36" s="389"/>
      <c r="I36" s="389"/>
      <c r="J36" s="388"/>
      <c r="K36" s="388"/>
      <c r="L36" s="388"/>
      <c r="M36" s="78"/>
      <c r="N36" s="12"/>
      <c r="O36" s="12"/>
    </row>
    <row r="37" spans="1:15" ht="15" thickBot="1" x14ac:dyDescent="0.35">
      <c r="A37" s="503"/>
      <c r="B37" s="509"/>
      <c r="C37" s="509"/>
      <c r="D37" s="76" t="s">
        <v>245</v>
      </c>
      <c r="E37" s="388"/>
      <c r="F37" s="388"/>
      <c r="G37" s="388"/>
      <c r="H37" s="389"/>
      <c r="I37" s="389"/>
      <c r="J37" s="388"/>
      <c r="K37" s="388"/>
      <c r="L37" s="388"/>
      <c r="M37" s="78"/>
      <c r="N37" s="12"/>
      <c r="O37" s="12"/>
    </row>
    <row r="38" spans="1:15" ht="15" thickBot="1" x14ac:dyDescent="0.35">
      <c r="A38" s="503"/>
      <c r="B38" s="508" t="s">
        <v>246</v>
      </c>
      <c r="C38" s="508" t="s">
        <v>242</v>
      </c>
      <c r="D38" s="76" t="s">
        <v>243</v>
      </c>
      <c r="E38" s="388"/>
      <c r="F38" s="388"/>
      <c r="G38" s="388"/>
      <c r="H38" s="389"/>
      <c r="I38" s="389"/>
      <c r="J38" s="388"/>
      <c r="K38" s="388"/>
      <c r="L38" s="388"/>
      <c r="M38" s="79"/>
      <c r="N38" s="12"/>
      <c r="O38" s="12"/>
    </row>
    <row r="39" spans="1:15" ht="15" thickBot="1" x14ac:dyDescent="0.35">
      <c r="A39" s="503"/>
      <c r="B39" s="509"/>
      <c r="C39" s="509"/>
      <c r="D39" s="76" t="s">
        <v>245</v>
      </c>
      <c r="E39" s="388"/>
      <c r="F39" s="388"/>
      <c r="G39" s="388"/>
      <c r="H39" s="389"/>
      <c r="I39" s="389"/>
      <c r="J39" s="388"/>
      <c r="K39" s="388"/>
      <c r="L39" s="388"/>
      <c r="M39" s="12"/>
      <c r="N39" s="12"/>
      <c r="O39" s="12"/>
    </row>
    <row r="40" spans="1:15" ht="15" thickBot="1" x14ac:dyDescent="0.35">
      <c r="A40" s="503"/>
      <c r="B40" s="508" t="s">
        <v>7</v>
      </c>
      <c r="C40" s="508" t="s">
        <v>242</v>
      </c>
      <c r="D40" s="76" t="s">
        <v>242</v>
      </c>
      <c r="E40" s="388"/>
      <c r="F40" s="388"/>
      <c r="G40" s="388"/>
      <c r="H40" s="389"/>
      <c r="I40" s="389"/>
      <c r="J40" s="388"/>
      <c r="K40" s="388"/>
      <c r="L40" s="388"/>
      <c r="M40" s="78"/>
      <c r="N40" s="12"/>
      <c r="O40" s="12"/>
    </row>
    <row r="41" spans="1:15" ht="15" thickBot="1" x14ac:dyDescent="0.35">
      <c r="A41" s="503"/>
      <c r="B41" s="510"/>
      <c r="C41" s="510"/>
      <c r="D41" s="76" t="s">
        <v>243</v>
      </c>
      <c r="E41" s="388"/>
      <c r="F41" s="388"/>
      <c r="G41" s="388"/>
      <c r="H41" s="389"/>
      <c r="I41" s="389"/>
      <c r="J41" s="388"/>
      <c r="K41" s="388"/>
      <c r="L41" s="388"/>
      <c r="M41" s="78"/>
      <c r="N41" s="12"/>
      <c r="O41" s="12"/>
    </row>
    <row r="42" spans="1:15" ht="15" thickBot="1" x14ac:dyDescent="0.35">
      <c r="A42" s="503"/>
      <c r="B42" s="509"/>
      <c r="C42" s="509"/>
      <c r="D42" s="76" t="s">
        <v>245</v>
      </c>
      <c r="E42" s="388"/>
      <c r="F42" s="388"/>
      <c r="G42" s="388"/>
      <c r="H42" s="389"/>
      <c r="I42" s="389"/>
      <c r="J42" s="388"/>
      <c r="K42" s="388"/>
      <c r="L42" s="388"/>
      <c r="M42" s="78"/>
      <c r="N42" s="12"/>
      <c r="O42" s="12"/>
    </row>
    <row r="43" spans="1:15" ht="15" thickBot="1" x14ac:dyDescent="0.35">
      <c r="A43" s="503"/>
      <c r="B43" s="508" t="s">
        <v>265</v>
      </c>
      <c r="C43" s="508" t="s">
        <v>242</v>
      </c>
      <c r="D43" s="76" t="s">
        <v>242</v>
      </c>
      <c r="E43" s="388"/>
      <c r="F43" s="388"/>
      <c r="G43" s="388"/>
      <c r="H43" s="389"/>
      <c r="I43" s="389"/>
      <c r="J43" s="388"/>
      <c r="K43" s="388"/>
      <c r="L43" s="388"/>
      <c r="M43" s="12"/>
      <c r="N43" s="12"/>
      <c r="O43" s="12"/>
    </row>
    <row r="44" spans="1:15" ht="15" thickBot="1" x14ac:dyDescent="0.35">
      <c r="A44" s="503"/>
      <c r="B44" s="510"/>
      <c r="C44" s="510"/>
      <c r="D44" s="76" t="s">
        <v>243</v>
      </c>
      <c r="E44" s="388"/>
      <c r="F44" s="388"/>
      <c r="G44" s="388"/>
      <c r="H44" s="389"/>
      <c r="I44" s="389"/>
      <c r="J44" s="388"/>
      <c r="K44" s="388"/>
      <c r="L44" s="388"/>
      <c r="N44" s="12"/>
      <c r="O44" s="12"/>
    </row>
    <row r="45" spans="1:15" ht="15" thickBot="1" x14ac:dyDescent="0.35">
      <c r="A45" s="503"/>
      <c r="B45" s="509"/>
      <c r="C45" s="509"/>
      <c r="D45" s="76" t="s">
        <v>245</v>
      </c>
      <c r="E45" s="388"/>
      <c r="F45" s="388"/>
      <c r="G45" s="388"/>
      <c r="H45" s="389"/>
      <c r="I45" s="389"/>
      <c r="J45" s="388"/>
      <c r="K45" s="388"/>
      <c r="L45" s="388"/>
      <c r="N45" s="12"/>
      <c r="O45" s="12"/>
    </row>
    <row r="46" spans="1:15" ht="15" thickBot="1" x14ac:dyDescent="0.35">
      <c r="A46" s="503"/>
      <c r="B46" s="83" t="s">
        <v>266</v>
      </c>
      <c r="C46" s="83" t="s">
        <v>242</v>
      </c>
      <c r="D46" s="83" t="s">
        <v>242</v>
      </c>
      <c r="E46" s="388"/>
      <c r="F46" s="390"/>
      <c r="G46" s="390"/>
      <c r="H46" s="389"/>
      <c r="I46" s="389"/>
      <c r="J46" s="388"/>
      <c r="K46" s="388"/>
      <c r="L46" s="388"/>
      <c r="N46" s="12"/>
      <c r="O46" s="12"/>
    </row>
    <row r="47" spans="1:15" ht="15" thickBot="1" x14ac:dyDescent="0.35">
      <c r="A47" s="504"/>
      <c r="B47" s="76" t="s">
        <v>250</v>
      </c>
      <c r="C47" s="76" t="s">
        <v>242</v>
      </c>
      <c r="D47" s="76" t="s">
        <v>242</v>
      </c>
      <c r="E47" s="388"/>
      <c r="F47" s="388"/>
      <c r="G47" s="388"/>
      <c r="H47" s="389"/>
      <c r="I47" s="389"/>
      <c r="J47" s="388"/>
      <c r="K47" s="388"/>
      <c r="L47" s="388"/>
      <c r="N47" s="12"/>
      <c r="O47" s="12"/>
    </row>
    <row r="48" spans="1:15" ht="15.75" customHeight="1" thickBot="1" x14ac:dyDescent="0.35">
      <c r="A48" s="502" t="s">
        <v>267</v>
      </c>
      <c r="B48" s="508" t="s">
        <v>241</v>
      </c>
      <c r="C48" s="508" t="s">
        <v>242</v>
      </c>
      <c r="D48" s="76" t="s">
        <v>243</v>
      </c>
      <c r="E48" s="388"/>
      <c r="F48" s="388"/>
      <c r="G48" s="388"/>
      <c r="H48" s="389"/>
      <c r="I48" s="389"/>
      <c r="J48" s="388"/>
      <c r="K48" s="388"/>
      <c r="L48" s="388"/>
      <c r="N48" s="12"/>
      <c r="O48" s="12"/>
    </row>
    <row r="49" spans="1:15" ht="15" thickBot="1" x14ac:dyDescent="0.35">
      <c r="A49" s="503"/>
      <c r="B49" s="509"/>
      <c r="C49" s="509"/>
      <c r="D49" s="76" t="s">
        <v>245</v>
      </c>
      <c r="E49" s="388"/>
      <c r="F49" s="388"/>
      <c r="G49" s="388"/>
      <c r="H49" s="389"/>
      <c r="I49" s="389"/>
      <c r="J49" s="388"/>
      <c r="K49" s="388"/>
      <c r="L49" s="388"/>
      <c r="M49" s="78"/>
      <c r="N49" s="12"/>
      <c r="O49" s="12"/>
    </row>
    <row r="50" spans="1:15" ht="15" thickBot="1" x14ac:dyDescent="0.35">
      <c r="A50" s="503"/>
      <c r="B50" s="508" t="s">
        <v>246</v>
      </c>
      <c r="C50" s="508" t="s">
        <v>242</v>
      </c>
      <c r="D50" s="76" t="s">
        <v>243</v>
      </c>
      <c r="E50" s="388"/>
      <c r="F50" s="388"/>
      <c r="G50" s="388"/>
      <c r="H50" s="389"/>
      <c r="I50" s="389"/>
      <c r="J50" s="388"/>
      <c r="K50" s="388"/>
      <c r="L50" s="388"/>
      <c r="M50" s="78"/>
      <c r="N50" s="12"/>
      <c r="O50" s="12"/>
    </row>
    <row r="51" spans="1:15" ht="15" thickBot="1" x14ac:dyDescent="0.35">
      <c r="A51" s="503"/>
      <c r="B51" s="509"/>
      <c r="C51" s="509"/>
      <c r="D51" s="76" t="s">
        <v>245</v>
      </c>
      <c r="E51" s="388"/>
      <c r="F51" s="388"/>
      <c r="G51" s="388"/>
      <c r="H51" s="389"/>
      <c r="I51" s="389"/>
      <c r="J51" s="388"/>
      <c r="K51" s="388"/>
      <c r="L51" s="388"/>
      <c r="M51" s="79"/>
      <c r="N51" s="12"/>
      <c r="O51" s="12"/>
    </row>
    <row r="52" spans="1:15" ht="15" thickBot="1" x14ac:dyDescent="0.35">
      <c r="A52" s="503"/>
      <c r="B52" s="508" t="s">
        <v>7</v>
      </c>
      <c r="C52" s="508" t="s">
        <v>242</v>
      </c>
      <c r="D52" s="76" t="s">
        <v>242</v>
      </c>
      <c r="E52" s="388"/>
      <c r="F52" s="388"/>
      <c r="G52" s="388"/>
      <c r="H52" s="389"/>
      <c r="I52" s="389"/>
      <c r="J52" s="388"/>
      <c r="K52" s="388"/>
      <c r="L52" s="388"/>
      <c r="M52" s="12"/>
      <c r="N52" s="12"/>
      <c r="O52" s="12"/>
    </row>
    <row r="53" spans="1:15" ht="15" thickBot="1" x14ac:dyDescent="0.35">
      <c r="A53" s="503"/>
      <c r="B53" s="510"/>
      <c r="C53" s="510"/>
      <c r="D53" s="76" t="s">
        <v>243</v>
      </c>
      <c r="E53" s="388"/>
      <c r="F53" s="388"/>
      <c r="G53" s="388"/>
      <c r="H53" s="389"/>
      <c r="I53" s="389"/>
      <c r="J53" s="388"/>
      <c r="K53" s="388"/>
      <c r="L53" s="388"/>
      <c r="M53" s="78"/>
      <c r="N53" s="12"/>
      <c r="O53" s="12"/>
    </row>
    <row r="54" spans="1:15" ht="15" thickBot="1" x14ac:dyDescent="0.35">
      <c r="A54" s="503"/>
      <c r="B54" s="509"/>
      <c r="C54" s="509"/>
      <c r="D54" s="76" t="s">
        <v>245</v>
      </c>
      <c r="E54" s="388"/>
      <c r="F54" s="388"/>
      <c r="G54" s="388"/>
      <c r="H54" s="389"/>
      <c r="I54" s="389"/>
      <c r="J54" s="388"/>
      <c r="K54" s="388"/>
      <c r="L54" s="388"/>
      <c r="M54" s="78"/>
      <c r="N54" s="12"/>
      <c r="O54" s="12"/>
    </row>
    <row r="55" spans="1:15" ht="15" thickBot="1" x14ac:dyDescent="0.35">
      <c r="A55" s="503"/>
      <c r="B55" s="508" t="s">
        <v>265</v>
      </c>
      <c r="C55" s="508" t="s">
        <v>242</v>
      </c>
      <c r="D55" s="76" t="s">
        <v>242</v>
      </c>
      <c r="E55" s="388"/>
      <c r="F55" s="388"/>
      <c r="G55" s="388"/>
      <c r="H55" s="389"/>
      <c r="I55" s="389"/>
      <c r="J55" s="388"/>
      <c r="K55" s="388"/>
      <c r="L55" s="388"/>
      <c r="M55" s="78"/>
      <c r="N55" s="12"/>
      <c r="O55" s="12"/>
    </row>
    <row r="56" spans="1:15" ht="15" thickBot="1" x14ac:dyDescent="0.35">
      <c r="A56" s="503"/>
      <c r="B56" s="510"/>
      <c r="C56" s="510"/>
      <c r="D56" s="76" t="s">
        <v>243</v>
      </c>
      <c r="E56" s="388"/>
      <c r="F56" s="388"/>
      <c r="G56" s="388"/>
      <c r="H56" s="389"/>
      <c r="I56" s="389"/>
      <c r="J56" s="388"/>
      <c r="K56" s="388"/>
      <c r="L56" s="388"/>
      <c r="M56" s="12"/>
      <c r="N56" s="12"/>
      <c r="O56" s="12"/>
    </row>
    <row r="57" spans="1:15" ht="15" thickBot="1" x14ac:dyDescent="0.35">
      <c r="A57" s="503"/>
      <c r="B57" s="509"/>
      <c r="C57" s="509"/>
      <c r="D57" s="76" t="s">
        <v>245</v>
      </c>
      <c r="E57" s="388"/>
      <c r="F57" s="388"/>
      <c r="G57" s="388"/>
      <c r="H57" s="389"/>
      <c r="I57" s="389"/>
      <c r="J57" s="388"/>
      <c r="K57" s="388"/>
      <c r="L57" s="388"/>
      <c r="N57" s="12"/>
      <c r="O57" s="12"/>
    </row>
    <row r="58" spans="1:15" ht="15" thickBot="1" x14ac:dyDescent="0.35">
      <c r="A58" s="503"/>
      <c r="B58" s="76" t="s">
        <v>266</v>
      </c>
      <c r="C58" s="76" t="s">
        <v>242</v>
      </c>
      <c r="D58" s="76" t="s">
        <v>242</v>
      </c>
      <c r="E58" s="388"/>
      <c r="F58" s="388"/>
      <c r="G58" s="388"/>
      <c r="H58" s="389"/>
      <c r="I58" s="389"/>
      <c r="J58" s="388"/>
      <c r="K58" s="388"/>
      <c r="L58" s="388"/>
      <c r="N58" s="12"/>
      <c r="O58" s="12"/>
    </row>
    <row r="59" spans="1:15" ht="15" thickBot="1" x14ac:dyDescent="0.35">
      <c r="A59" s="503"/>
      <c r="B59" s="508" t="s">
        <v>248</v>
      </c>
      <c r="C59" s="523" t="s">
        <v>268</v>
      </c>
      <c r="D59" s="76" t="s">
        <v>243</v>
      </c>
      <c r="E59" s="388"/>
      <c r="F59" s="388"/>
      <c r="G59" s="388"/>
      <c r="H59" s="389"/>
      <c r="I59" s="389"/>
      <c r="J59" s="388"/>
      <c r="K59" s="388"/>
      <c r="L59" s="388"/>
      <c r="N59" s="12"/>
      <c r="O59" s="12"/>
    </row>
    <row r="60" spans="1:15" ht="15" thickBot="1" x14ac:dyDescent="0.35">
      <c r="A60" s="503"/>
      <c r="B60" s="510"/>
      <c r="C60" s="524"/>
      <c r="D60" s="76" t="s">
        <v>245</v>
      </c>
      <c r="E60" s="388"/>
      <c r="F60" s="388"/>
      <c r="G60" s="388"/>
      <c r="H60" s="389"/>
      <c r="I60" s="389"/>
      <c r="J60" s="388"/>
      <c r="K60" s="388"/>
      <c r="L60" s="388"/>
      <c r="N60" s="12"/>
      <c r="O60" s="12"/>
    </row>
    <row r="61" spans="1:15" ht="15" thickBot="1" x14ac:dyDescent="0.35">
      <c r="A61" s="503"/>
      <c r="B61" s="509"/>
      <c r="C61" s="525"/>
      <c r="D61" s="76" t="s">
        <v>242</v>
      </c>
      <c r="E61" s="388"/>
      <c r="F61" s="388"/>
      <c r="G61" s="388"/>
      <c r="H61" s="389"/>
      <c r="I61" s="389"/>
      <c r="J61" s="388"/>
      <c r="K61" s="388"/>
      <c r="L61" s="388"/>
      <c r="N61" s="12"/>
      <c r="O61" s="12"/>
    </row>
    <row r="62" spans="1:15" ht="15" thickBot="1" x14ac:dyDescent="0.35">
      <c r="A62" s="504"/>
      <c r="B62" s="76" t="s">
        <v>250</v>
      </c>
      <c r="C62" s="76" t="s">
        <v>242</v>
      </c>
      <c r="D62" s="76" t="s">
        <v>242</v>
      </c>
      <c r="E62" s="388"/>
      <c r="F62" s="388"/>
      <c r="G62" s="388"/>
      <c r="H62" s="389"/>
      <c r="I62" s="389"/>
      <c r="J62" s="388"/>
      <c r="K62" s="388"/>
      <c r="L62" s="388"/>
      <c r="N62" s="12"/>
      <c r="O62" s="12"/>
    </row>
    <row r="63" spans="1:15" ht="15" thickBot="1" x14ac:dyDescent="0.35">
      <c r="A63" s="84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</row>
    <row r="64" spans="1:15" ht="15" thickBot="1" x14ac:dyDescent="0.35">
      <c r="A64" s="511" t="s">
        <v>269</v>
      </c>
      <c r="B64" s="512"/>
      <c r="C64" s="512"/>
      <c r="D64" s="512"/>
      <c r="E64" s="512"/>
      <c r="F64" s="512"/>
      <c r="G64" s="512"/>
      <c r="H64" s="512"/>
      <c r="I64" s="512"/>
      <c r="J64" s="512"/>
      <c r="K64" s="512"/>
      <c r="L64" s="512"/>
      <c r="M64" s="513"/>
    </row>
    <row r="65" spans="1:17" ht="15.75" customHeight="1" thickBot="1" x14ac:dyDescent="0.35">
      <c r="A65" s="514" t="s">
        <v>220</v>
      </c>
      <c r="B65" s="514" t="s">
        <v>221</v>
      </c>
      <c r="C65" s="514" t="s">
        <v>270</v>
      </c>
      <c r="D65" s="514" t="s">
        <v>271</v>
      </c>
      <c r="E65" s="514" t="s">
        <v>223</v>
      </c>
      <c r="F65" s="517" t="s">
        <v>224</v>
      </c>
      <c r="G65" s="518"/>
      <c r="H65" s="518"/>
      <c r="I65" s="518"/>
      <c r="J65" s="519"/>
      <c r="K65" s="517" t="s">
        <v>272</v>
      </c>
      <c r="L65" s="518"/>
      <c r="M65" s="519"/>
    </row>
    <row r="66" spans="1:17" ht="15" thickBot="1" x14ac:dyDescent="0.35">
      <c r="A66" s="515"/>
      <c r="B66" s="515"/>
      <c r="C66" s="515"/>
      <c r="D66" s="515"/>
      <c r="E66" s="515"/>
      <c r="F66" s="520" t="s">
        <v>70</v>
      </c>
      <c r="G66" s="521"/>
      <c r="H66" s="520" t="s">
        <v>14</v>
      </c>
      <c r="I66" s="522"/>
      <c r="J66" s="521"/>
      <c r="K66" s="520" t="s">
        <v>70</v>
      </c>
      <c r="L66" s="521"/>
      <c r="M66" s="85" t="s">
        <v>14</v>
      </c>
    </row>
    <row r="67" spans="1:17" ht="15.75" customHeight="1" thickBot="1" x14ac:dyDescent="0.35">
      <c r="A67" s="516"/>
      <c r="B67" s="516"/>
      <c r="C67" s="516"/>
      <c r="D67" s="516"/>
      <c r="E67" s="516"/>
      <c r="F67" s="86" t="s">
        <v>234</v>
      </c>
      <c r="G67" s="86" t="s">
        <v>235</v>
      </c>
      <c r="H67" s="87" t="s">
        <v>236</v>
      </c>
      <c r="I67" s="88" t="s">
        <v>237</v>
      </c>
      <c r="J67" s="89" t="s">
        <v>238</v>
      </c>
      <c r="K67" s="86" t="s">
        <v>234</v>
      </c>
      <c r="L67" s="86" t="s">
        <v>235</v>
      </c>
      <c r="M67" s="86" t="s">
        <v>235</v>
      </c>
      <c r="O67" s="78"/>
    </row>
    <row r="68" spans="1:17" ht="15" thickBot="1" x14ac:dyDescent="0.35">
      <c r="A68" s="502" t="s">
        <v>18</v>
      </c>
      <c r="B68" s="505" t="s">
        <v>273</v>
      </c>
      <c r="C68" s="505" t="s">
        <v>274</v>
      </c>
      <c r="D68" s="505" t="s">
        <v>274</v>
      </c>
      <c r="E68" s="90" t="s">
        <v>243</v>
      </c>
      <c r="F68" s="388">
        <v>0</v>
      </c>
      <c r="G68" s="388">
        <v>809.35</v>
      </c>
      <c r="H68" s="388">
        <v>456.11</v>
      </c>
      <c r="I68" s="389"/>
      <c r="J68" s="389"/>
      <c r="K68" s="388">
        <v>0</v>
      </c>
      <c r="L68" s="388">
        <v>809.43</v>
      </c>
      <c r="M68" s="388">
        <v>472.29</v>
      </c>
      <c r="O68" s="78"/>
      <c r="P68" s="12"/>
      <c r="Q68" s="91"/>
    </row>
    <row r="69" spans="1:17" ht="15" thickBot="1" x14ac:dyDescent="0.35">
      <c r="A69" s="503"/>
      <c r="B69" s="506"/>
      <c r="C69" s="506"/>
      <c r="D69" s="506"/>
      <c r="E69" s="90" t="s">
        <v>275</v>
      </c>
      <c r="F69" s="388">
        <v>0</v>
      </c>
      <c r="G69" s="388">
        <v>546.94000000000005</v>
      </c>
      <c r="H69" s="388">
        <v>286.86</v>
      </c>
      <c r="I69" s="389"/>
      <c r="J69" s="389"/>
      <c r="K69" s="388">
        <v>0</v>
      </c>
      <c r="L69" s="388">
        <v>550.95000000000005</v>
      </c>
      <c r="M69" s="388">
        <v>294.58</v>
      </c>
      <c r="O69" s="79"/>
      <c r="P69" s="12"/>
    </row>
    <row r="70" spans="1:17" ht="15" thickBot="1" x14ac:dyDescent="0.35">
      <c r="A70" s="503"/>
      <c r="B70" s="507"/>
      <c r="C70" s="507"/>
      <c r="D70" s="507"/>
      <c r="E70" s="90" t="s">
        <v>245</v>
      </c>
      <c r="F70" s="388">
        <v>0</v>
      </c>
      <c r="G70" s="388">
        <v>284.52999999999997</v>
      </c>
      <c r="H70" s="388">
        <v>286.86</v>
      </c>
      <c r="I70" s="389"/>
      <c r="J70" s="389"/>
      <c r="K70" s="388">
        <v>0</v>
      </c>
      <c r="L70" s="388">
        <v>292.47000000000003</v>
      </c>
      <c r="M70" s="388">
        <v>294.58</v>
      </c>
      <c r="O70" s="12"/>
      <c r="P70" s="12"/>
    </row>
    <row r="71" spans="1:17" ht="15" thickBot="1" x14ac:dyDescent="0.35">
      <c r="A71" s="503"/>
      <c r="B71" s="505" t="s">
        <v>266</v>
      </c>
      <c r="C71" s="505" t="s">
        <v>274</v>
      </c>
      <c r="D71" s="92" t="s">
        <v>274</v>
      </c>
      <c r="E71" s="90" t="s">
        <v>242</v>
      </c>
      <c r="F71" s="390">
        <v>0</v>
      </c>
      <c r="G71" s="388">
        <v>383.51</v>
      </c>
      <c r="H71" s="388">
        <v>300.95999999999998</v>
      </c>
      <c r="I71" s="389"/>
      <c r="J71" s="389"/>
      <c r="K71" s="390">
        <v>0</v>
      </c>
      <c r="L71" s="388">
        <v>389.97</v>
      </c>
      <c r="M71" s="388">
        <v>309.39</v>
      </c>
      <c r="O71" s="78"/>
      <c r="P71" s="12"/>
    </row>
    <row r="72" spans="1:17" ht="15" thickBot="1" x14ac:dyDescent="0.35">
      <c r="A72" s="504"/>
      <c r="B72" s="507"/>
      <c r="C72" s="507"/>
      <c r="D72" s="92" t="s">
        <v>276</v>
      </c>
      <c r="E72" s="90" t="s">
        <v>242</v>
      </c>
      <c r="F72" s="390">
        <v>0</v>
      </c>
      <c r="G72" s="388">
        <v>289.35000000000002</v>
      </c>
      <c r="H72" s="388">
        <v>293.33999999999997</v>
      </c>
      <c r="I72" s="389"/>
      <c r="J72" s="389"/>
      <c r="K72" s="390">
        <v>0</v>
      </c>
      <c r="L72" s="388">
        <v>288.8</v>
      </c>
      <c r="M72" s="388">
        <v>301.48</v>
      </c>
      <c r="O72" s="78"/>
      <c r="P72" s="12"/>
    </row>
    <row r="73" spans="1:17" ht="15" thickBot="1" x14ac:dyDescent="0.35">
      <c r="A73" s="502" t="s">
        <v>100</v>
      </c>
      <c r="B73" s="505" t="s">
        <v>273</v>
      </c>
      <c r="C73" s="505" t="s">
        <v>277</v>
      </c>
      <c r="D73" s="505" t="s">
        <v>242</v>
      </c>
      <c r="E73" s="90" t="s">
        <v>243</v>
      </c>
      <c r="F73" s="388">
        <v>0</v>
      </c>
      <c r="G73" s="388">
        <v>855.39</v>
      </c>
      <c r="H73" s="388">
        <v>456.11</v>
      </c>
      <c r="I73" s="389"/>
      <c r="J73" s="389"/>
      <c r="K73" s="388">
        <v>0</v>
      </c>
      <c r="L73" s="388">
        <v>854.78</v>
      </c>
      <c r="M73" s="388">
        <v>472.29</v>
      </c>
      <c r="O73" s="78"/>
      <c r="P73" s="12"/>
    </row>
    <row r="74" spans="1:17" ht="15" thickBot="1" x14ac:dyDescent="0.35">
      <c r="A74" s="503"/>
      <c r="B74" s="506"/>
      <c r="C74" s="506"/>
      <c r="D74" s="506"/>
      <c r="E74" s="90" t="s">
        <v>275</v>
      </c>
      <c r="F74" s="388">
        <v>0</v>
      </c>
      <c r="G74" s="388">
        <v>574.55999999999995</v>
      </c>
      <c r="H74" s="388">
        <v>286.86</v>
      </c>
      <c r="I74" s="389"/>
      <c r="J74" s="389"/>
      <c r="K74" s="388">
        <v>0</v>
      </c>
      <c r="L74" s="388">
        <v>578.16</v>
      </c>
      <c r="M74" s="388">
        <v>294.58</v>
      </c>
      <c r="O74" s="12"/>
      <c r="P74" s="12"/>
    </row>
    <row r="75" spans="1:17" ht="15" thickBot="1" x14ac:dyDescent="0.35">
      <c r="A75" s="503"/>
      <c r="B75" s="507"/>
      <c r="C75" s="507"/>
      <c r="D75" s="507"/>
      <c r="E75" s="90" t="s">
        <v>245</v>
      </c>
      <c r="F75" s="388">
        <v>0</v>
      </c>
      <c r="G75" s="388">
        <v>293.73</v>
      </c>
      <c r="H75" s="388">
        <v>286.86</v>
      </c>
      <c r="I75" s="389"/>
      <c r="J75" s="389"/>
      <c r="K75" s="388">
        <v>0</v>
      </c>
      <c r="L75" s="388">
        <v>301.54000000000002</v>
      </c>
      <c r="M75" s="388">
        <v>294.58</v>
      </c>
      <c r="O75" s="12"/>
      <c r="P75" s="12"/>
    </row>
    <row r="76" spans="1:17" ht="15" thickBot="1" x14ac:dyDescent="0.35">
      <c r="A76" s="503"/>
      <c r="B76" s="92" t="s">
        <v>266</v>
      </c>
      <c r="C76" s="92" t="s">
        <v>277</v>
      </c>
      <c r="D76" s="92" t="s">
        <v>242</v>
      </c>
      <c r="E76" s="90" t="s">
        <v>242</v>
      </c>
      <c r="F76" s="388">
        <v>0</v>
      </c>
      <c r="G76" s="388">
        <v>383.51</v>
      </c>
      <c r="H76" s="388">
        <v>300.95999999999998</v>
      </c>
      <c r="I76" s="389"/>
      <c r="J76" s="389"/>
      <c r="K76" s="388">
        <v>0</v>
      </c>
      <c r="L76" s="388">
        <v>389.97</v>
      </c>
      <c r="M76" s="388">
        <v>309.39</v>
      </c>
      <c r="O76" s="12"/>
      <c r="P76" s="12"/>
    </row>
    <row r="77" spans="1:17" ht="15.75" customHeight="1" thickBot="1" x14ac:dyDescent="0.35">
      <c r="A77" s="503"/>
      <c r="B77" s="505" t="s">
        <v>273</v>
      </c>
      <c r="C77" s="505" t="s">
        <v>277</v>
      </c>
      <c r="D77" s="505" t="s">
        <v>278</v>
      </c>
      <c r="E77" s="90" t="s">
        <v>243</v>
      </c>
      <c r="F77" s="388">
        <v>0</v>
      </c>
      <c r="G77" s="388">
        <v>855.39</v>
      </c>
      <c r="H77" s="388">
        <v>456.11</v>
      </c>
      <c r="I77" s="389"/>
      <c r="J77" s="389"/>
      <c r="K77" s="388">
        <v>0</v>
      </c>
      <c r="L77" s="388">
        <v>854.78</v>
      </c>
      <c r="M77" s="388">
        <v>472.29</v>
      </c>
      <c r="O77" s="12"/>
      <c r="P77" s="12"/>
    </row>
    <row r="78" spans="1:17" ht="15" thickBot="1" x14ac:dyDescent="0.35">
      <c r="A78" s="503"/>
      <c r="B78" s="506"/>
      <c r="C78" s="506"/>
      <c r="D78" s="506"/>
      <c r="E78" s="90" t="s">
        <v>275</v>
      </c>
      <c r="F78" s="388">
        <v>0</v>
      </c>
      <c r="G78" s="388">
        <v>574.55999999999995</v>
      </c>
      <c r="H78" s="388">
        <v>286.86</v>
      </c>
      <c r="I78" s="389"/>
      <c r="J78" s="389"/>
      <c r="K78" s="388">
        <v>0</v>
      </c>
      <c r="L78" s="388">
        <v>578.16</v>
      </c>
      <c r="M78" s="388">
        <v>294.58</v>
      </c>
      <c r="O78" s="12"/>
      <c r="P78" s="12"/>
    </row>
    <row r="79" spans="1:17" ht="15" thickBot="1" x14ac:dyDescent="0.35">
      <c r="A79" s="503"/>
      <c r="B79" s="507"/>
      <c r="C79" s="507"/>
      <c r="D79" s="507"/>
      <c r="E79" s="90" t="s">
        <v>245</v>
      </c>
      <c r="F79" s="388">
        <v>0</v>
      </c>
      <c r="G79" s="388">
        <v>293.73</v>
      </c>
      <c r="H79" s="388">
        <v>286.86</v>
      </c>
      <c r="I79" s="389"/>
      <c r="J79" s="389"/>
      <c r="K79" s="388">
        <v>0</v>
      </c>
      <c r="L79" s="388">
        <v>301.54000000000002</v>
      </c>
      <c r="M79" s="388">
        <v>294.58</v>
      </c>
      <c r="O79" s="12"/>
      <c r="P79" s="12"/>
    </row>
    <row r="80" spans="1:17" ht="21" thickBot="1" x14ac:dyDescent="0.35">
      <c r="A80" s="503"/>
      <c r="B80" s="92" t="s">
        <v>266</v>
      </c>
      <c r="C80" s="92" t="s">
        <v>277</v>
      </c>
      <c r="D80" s="92" t="s">
        <v>278</v>
      </c>
      <c r="E80" s="90" t="s">
        <v>242</v>
      </c>
      <c r="F80" s="388">
        <v>0</v>
      </c>
      <c r="G80" s="388">
        <v>383.51</v>
      </c>
      <c r="H80" s="388">
        <v>300.95999999999998</v>
      </c>
      <c r="I80" s="389"/>
      <c r="J80" s="389"/>
      <c r="K80" s="388">
        <v>0</v>
      </c>
      <c r="L80" s="388">
        <v>389.97</v>
      </c>
      <c r="M80" s="388">
        <v>309.39</v>
      </c>
      <c r="O80" s="78"/>
      <c r="P80" s="12"/>
    </row>
    <row r="81" spans="1:16" ht="15.75" customHeight="1" thickBot="1" x14ac:dyDescent="0.35">
      <c r="A81" s="503"/>
      <c r="B81" s="505" t="s">
        <v>273</v>
      </c>
      <c r="C81" s="505" t="s">
        <v>277</v>
      </c>
      <c r="D81" s="505" t="s">
        <v>279</v>
      </c>
      <c r="E81" s="90" t="s">
        <v>243</v>
      </c>
      <c r="F81" s="388">
        <v>0</v>
      </c>
      <c r="G81" s="388">
        <v>855.39</v>
      </c>
      <c r="H81" s="388">
        <v>456.11</v>
      </c>
      <c r="I81" s="389"/>
      <c r="J81" s="389"/>
      <c r="K81" s="388">
        <v>0</v>
      </c>
      <c r="L81" s="388">
        <v>854.78</v>
      </c>
      <c r="M81" s="388">
        <v>472.29</v>
      </c>
      <c r="O81" s="78"/>
      <c r="P81" s="12"/>
    </row>
    <row r="82" spans="1:16" ht="15" thickBot="1" x14ac:dyDescent="0.35">
      <c r="A82" s="503"/>
      <c r="B82" s="506"/>
      <c r="C82" s="506"/>
      <c r="D82" s="506"/>
      <c r="E82" s="90" t="s">
        <v>275</v>
      </c>
      <c r="F82" s="388">
        <v>0</v>
      </c>
      <c r="G82" s="388">
        <v>574.55999999999995</v>
      </c>
      <c r="H82" s="388">
        <v>286.86</v>
      </c>
      <c r="I82" s="389"/>
      <c r="J82" s="389"/>
      <c r="K82" s="388">
        <v>0</v>
      </c>
      <c r="L82" s="388">
        <v>578.16</v>
      </c>
      <c r="M82" s="388">
        <v>294.58</v>
      </c>
      <c r="O82" s="79"/>
      <c r="P82" s="12"/>
    </row>
    <row r="83" spans="1:16" ht="15" thickBot="1" x14ac:dyDescent="0.35">
      <c r="A83" s="503"/>
      <c r="B83" s="507"/>
      <c r="C83" s="507"/>
      <c r="D83" s="507"/>
      <c r="E83" s="90" t="s">
        <v>245</v>
      </c>
      <c r="F83" s="388">
        <v>0</v>
      </c>
      <c r="G83" s="388">
        <v>293.73</v>
      </c>
      <c r="H83" s="388">
        <v>286.86</v>
      </c>
      <c r="I83" s="389"/>
      <c r="J83" s="389"/>
      <c r="K83" s="388">
        <v>0</v>
      </c>
      <c r="L83" s="388">
        <v>301.54000000000002</v>
      </c>
      <c r="M83" s="388">
        <v>294.58</v>
      </c>
      <c r="O83" s="12"/>
      <c r="P83" s="12"/>
    </row>
    <row r="84" spans="1:16" ht="21" thickBot="1" x14ac:dyDescent="0.35">
      <c r="A84" s="504"/>
      <c r="B84" s="92" t="s">
        <v>266</v>
      </c>
      <c r="C84" s="92" t="s">
        <v>277</v>
      </c>
      <c r="D84" s="92" t="s">
        <v>279</v>
      </c>
      <c r="E84" s="90" t="s">
        <v>242</v>
      </c>
      <c r="F84" s="390">
        <v>0</v>
      </c>
      <c r="G84" s="388">
        <v>383.51</v>
      </c>
      <c r="H84" s="388">
        <v>300.95999999999998</v>
      </c>
      <c r="I84" s="389"/>
      <c r="J84" s="389"/>
      <c r="K84" s="388">
        <v>0</v>
      </c>
      <c r="L84" s="388">
        <v>389.97</v>
      </c>
      <c r="M84" s="388">
        <v>309.39</v>
      </c>
      <c r="O84" s="78"/>
      <c r="P84" s="12"/>
    </row>
    <row r="85" spans="1:16" ht="15" thickBot="1" x14ac:dyDescent="0.35">
      <c r="A85" s="502" t="s">
        <v>141</v>
      </c>
      <c r="B85" s="505" t="s">
        <v>273</v>
      </c>
      <c r="C85" s="505" t="s">
        <v>242</v>
      </c>
      <c r="D85" s="505" t="s">
        <v>242</v>
      </c>
      <c r="E85" s="90" t="s">
        <v>243</v>
      </c>
      <c r="F85" s="388">
        <v>0</v>
      </c>
      <c r="G85" s="388">
        <v>958.97</v>
      </c>
      <c r="H85" s="388">
        <v>456.11</v>
      </c>
      <c r="I85" s="389"/>
      <c r="J85" s="389"/>
      <c r="K85" s="388">
        <v>0</v>
      </c>
      <c r="L85" s="388">
        <v>956.81</v>
      </c>
      <c r="M85" s="388">
        <v>472.29</v>
      </c>
      <c r="O85" s="78"/>
      <c r="P85" s="12"/>
    </row>
    <row r="86" spans="1:16" ht="15" thickBot="1" x14ac:dyDescent="0.35">
      <c r="A86" s="503"/>
      <c r="B86" s="506"/>
      <c r="C86" s="506"/>
      <c r="D86" s="506"/>
      <c r="E86" s="90" t="s">
        <v>275</v>
      </c>
      <c r="F86" s="388">
        <v>0</v>
      </c>
      <c r="G86" s="388">
        <v>636.71</v>
      </c>
      <c r="H86" s="388">
        <v>286.86</v>
      </c>
      <c r="I86" s="389"/>
      <c r="J86" s="389"/>
      <c r="K86" s="388">
        <v>0</v>
      </c>
      <c r="L86" s="388">
        <v>639.38</v>
      </c>
      <c r="M86" s="388">
        <v>294.58</v>
      </c>
      <c r="O86" s="78"/>
      <c r="P86" s="12"/>
    </row>
    <row r="87" spans="1:16" ht="15" thickBot="1" x14ac:dyDescent="0.35">
      <c r="A87" s="503"/>
      <c r="B87" s="507"/>
      <c r="C87" s="507"/>
      <c r="D87" s="507"/>
      <c r="E87" s="90" t="s">
        <v>245</v>
      </c>
      <c r="F87" s="388">
        <v>0</v>
      </c>
      <c r="G87" s="388">
        <v>314.45</v>
      </c>
      <c r="H87" s="388">
        <v>286.86</v>
      </c>
      <c r="I87" s="389"/>
      <c r="J87" s="389"/>
      <c r="K87" s="388">
        <v>0</v>
      </c>
      <c r="L87" s="388">
        <v>321.95</v>
      </c>
      <c r="M87" s="388">
        <v>294.58</v>
      </c>
      <c r="O87" s="12"/>
      <c r="P87" s="12"/>
    </row>
    <row r="88" spans="1:16" ht="15" thickBot="1" x14ac:dyDescent="0.35">
      <c r="A88" s="504"/>
      <c r="B88" s="92" t="s">
        <v>266</v>
      </c>
      <c r="C88" s="92" t="s">
        <v>242</v>
      </c>
      <c r="D88" s="92" t="s">
        <v>242</v>
      </c>
      <c r="E88" s="90" t="s">
        <v>242</v>
      </c>
      <c r="F88" s="388">
        <v>0</v>
      </c>
      <c r="G88" s="388">
        <v>383.51</v>
      </c>
      <c r="H88" s="388">
        <v>300.95999999999998</v>
      </c>
      <c r="I88" s="389"/>
      <c r="J88" s="389"/>
      <c r="K88" s="388">
        <v>0</v>
      </c>
      <c r="L88" s="388">
        <v>389.97</v>
      </c>
      <c r="M88" s="388">
        <v>309.39</v>
      </c>
      <c r="O88" s="12"/>
      <c r="P88" s="12"/>
    </row>
    <row r="89" spans="1:16" ht="21" thickBot="1" x14ac:dyDescent="0.35">
      <c r="A89" s="502" t="s">
        <v>280</v>
      </c>
      <c r="B89" s="505" t="s">
        <v>266</v>
      </c>
      <c r="C89" s="505" t="s">
        <v>281</v>
      </c>
      <c r="D89" s="92" t="s">
        <v>282</v>
      </c>
      <c r="E89" s="90" t="s">
        <v>242</v>
      </c>
      <c r="F89" s="388">
        <v>0</v>
      </c>
      <c r="G89" s="388">
        <v>210.93</v>
      </c>
      <c r="H89" s="388">
        <v>165.53</v>
      </c>
      <c r="I89" s="389"/>
      <c r="J89" s="389"/>
      <c r="K89" s="388">
        <v>0</v>
      </c>
      <c r="L89" s="388">
        <v>214.48</v>
      </c>
      <c r="M89" s="388">
        <v>170.17</v>
      </c>
      <c r="O89" s="12"/>
      <c r="P89" s="12"/>
    </row>
    <row r="90" spans="1:16" ht="21" thickBot="1" x14ac:dyDescent="0.35">
      <c r="A90" s="504"/>
      <c r="B90" s="507"/>
      <c r="C90" s="507"/>
      <c r="D90" s="92" t="s">
        <v>283</v>
      </c>
      <c r="E90" s="90" t="s">
        <v>242</v>
      </c>
      <c r="F90" s="388">
        <v>0</v>
      </c>
      <c r="G90" s="388">
        <v>230.1</v>
      </c>
      <c r="H90" s="388">
        <v>180.58</v>
      </c>
      <c r="I90" s="389"/>
      <c r="J90" s="389"/>
      <c r="K90" s="388">
        <v>0</v>
      </c>
      <c r="L90" s="388">
        <v>233.98</v>
      </c>
      <c r="M90" s="388">
        <v>185.64</v>
      </c>
      <c r="O90" s="12"/>
      <c r="P90" s="12"/>
    </row>
  </sheetData>
  <autoFilter ref="B1:B91" xr:uid="{00000000-0009-0000-0000-000001000000}"/>
  <customSheetViews>
    <customSheetView guid="{D812A0C8-60A1-4775-A604-FC65C9DC40BF}" scale="90" showAutoFilter="1" state="hidden">
      <selection activeCell="D19" sqref="D19"/>
      <pageMargins left="0" right="0" top="0" bottom="0" header="0" footer="0"/>
      <pageSetup paperSize="9" orientation="portrait" r:id="rId1"/>
      <autoFilter ref="B1:B91" xr:uid="{2EFB6F2B-6B2B-42FF-90FC-457A9695660A}"/>
    </customSheetView>
    <customSheetView guid="{8D3CE498-0ABB-4BB0-92D1-93DA2BDD5EDF}" scale="90" showAutoFilter="1" state="hidden">
      <selection activeCell="D19" sqref="D19"/>
      <pageMargins left="0" right="0" top="0" bottom="0" header="0" footer="0"/>
      <pageSetup paperSize="9" orientation="portrait" r:id="rId2"/>
      <autoFilter ref="B1:B91" xr:uid="{BD03CE72-2650-4AA0-9E3D-75932B0440AA}"/>
    </customSheetView>
    <customSheetView guid="{455EF305-F4BF-4162-9D3A-67B1D57A792B}" scale="90" showAutoFilter="1" state="hidden">
      <selection sqref="A1:L1"/>
      <pageMargins left="0" right="0" top="0" bottom="0" header="0" footer="0"/>
      <pageSetup paperSize="9" orientation="portrait" r:id="rId3"/>
      <autoFilter ref="B1:B168" xr:uid="{36F021A4-12C3-470D-82EE-7E3D9E585C17}"/>
    </customSheetView>
    <customSheetView guid="{AED82DA2-4B0E-4368-BF7F-A78E16192BBB}" scale="90" showAutoFilter="1" state="hidden">
      <selection activeCell="A92" sqref="A92"/>
      <pageMargins left="0" right="0" top="0" bottom="0" header="0" footer="0"/>
      <pageSetup paperSize="9" orientation="portrait" r:id="rId4"/>
      <autoFilter ref="B1:B91" xr:uid="{0A372700-6C8F-4538-B34D-FB2EAAA551D7}"/>
    </customSheetView>
    <customSheetView guid="{8AD5A21B-3743-481B-8B5E-3FEE10EB7B2F}" scale="90" showAutoFilter="1" state="hidden">
      <selection activeCell="D19" sqref="D19"/>
      <pageMargins left="0" right="0" top="0" bottom="0" header="0" footer="0"/>
      <pageSetup paperSize="9" orientation="portrait" r:id="rId5"/>
      <autoFilter ref="B1:B91" xr:uid="{AAE79C36-77FA-4E2D-82E0-9378D4D69631}"/>
    </customSheetView>
  </customSheetViews>
  <mergeCells count="82">
    <mergeCell ref="A1:L1"/>
    <mergeCell ref="A2:A4"/>
    <mergeCell ref="B2:B4"/>
    <mergeCell ref="C2:C4"/>
    <mergeCell ref="E2:I2"/>
    <mergeCell ref="J2:L2"/>
    <mergeCell ref="E3:F3"/>
    <mergeCell ref="G3:I3"/>
    <mergeCell ref="J3:K3"/>
    <mergeCell ref="B5:B6"/>
    <mergeCell ref="C5:C6"/>
    <mergeCell ref="B7:B8"/>
    <mergeCell ref="C7:C8"/>
    <mergeCell ref="A9:A27"/>
    <mergeCell ref="B9:B10"/>
    <mergeCell ref="C9:C10"/>
    <mergeCell ref="B11:B12"/>
    <mergeCell ref="C11:C12"/>
    <mergeCell ref="B13:B15"/>
    <mergeCell ref="C13:C15"/>
    <mergeCell ref="B16:B27"/>
    <mergeCell ref="A28:A35"/>
    <mergeCell ref="B28:B29"/>
    <mergeCell ref="C28:C29"/>
    <mergeCell ref="B30:B31"/>
    <mergeCell ref="C30:C31"/>
    <mergeCell ref="B32:B34"/>
    <mergeCell ref="C32:C34"/>
    <mergeCell ref="C52:C54"/>
    <mergeCell ref="B55:B57"/>
    <mergeCell ref="C55:C57"/>
    <mergeCell ref="B59:B61"/>
    <mergeCell ref="A36:A47"/>
    <mergeCell ref="B36:B37"/>
    <mergeCell ref="C36:C37"/>
    <mergeCell ref="B38:B39"/>
    <mergeCell ref="C38:C39"/>
    <mergeCell ref="B40:B42"/>
    <mergeCell ref="C40:C42"/>
    <mergeCell ref="B43:B45"/>
    <mergeCell ref="C43:C45"/>
    <mergeCell ref="C59:C61"/>
    <mergeCell ref="A48:A62"/>
    <mergeCell ref="B48:B49"/>
    <mergeCell ref="H66:J66"/>
    <mergeCell ref="K66:L66"/>
    <mergeCell ref="A68:A72"/>
    <mergeCell ref="B68:B70"/>
    <mergeCell ref="C68:C70"/>
    <mergeCell ref="D68:D70"/>
    <mergeCell ref="B71:B72"/>
    <mergeCell ref="C71:C72"/>
    <mergeCell ref="C48:C49"/>
    <mergeCell ref="B50:B51"/>
    <mergeCell ref="C50:C51"/>
    <mergeCell ref="B52:B54"/>
    <mergeCell ref="A73:A84"/>
    <mergeCell ref="B73:B75"/>
    <mergeCell ref="C73:C75"/>
    <mergeCell ref="A64:M64"/>
    <mergeCell ref="A65:A67"/>
    <mergeCell ref="B65:B67"/>
    <mergeCell ref="C65:C67"/>
    <mergeCell ref="D65:D67"/>
    <mergeCell ref="E65:E67"/>
    <mergeCell ref="F65:J65"/>
    <mergeCell ref="K65:M65"/>
    <mergeCell ref="F66:G66"/>
    <mergeCell ref="D73:D75"/>
    <mergeCell ref="B77:B79"/>
    <mergeCell ref="C77:C79"/>
    <mergeCell ref="D77:D79"/>
    <mergeCell ref="B81:B83"/>
    <mergeCell ref="C81:C83"/>
    <mergeCell ref="D81:D83"/>
    <mergeCell ref="A85:A88"/>
    <mergeCell ref="B85:B87"/>
    <mergeCell ref="C85:C87"/>
    <mergeCell ref="D85:D87"/>
    <mergeCell ref="A89:A90"/>
    <mergeCell ref="B89:B90"/>
    <mergeCell ref="C89:C90"/>
  </mergeCells>
  <pageMargins left="0.511811024" right="0.511811024" top="0.78740157499999996" bottom="0.78740157499999996" header="0.31496062000000002" footer="0.31496062000000002"/>
  <pageSetup paperSize="9" orientation="portrait" r:id="rId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Q90"/>
  <sheetViews>
    <sheetView topLeftCell="A68" zoomScale="90" zoomScaleNormal="90" workbookViewId="0">
      <selection activeCell="D84" sqref="D84"/>
    </sheetView>
  </sheetViews>
  <sheetFormatPr defaultColWidth="15" defaultRowHeight="14.4" x14ac:dyDescent="0.3"/>
  <cols>
    <col min="1" max="1" width="35.44140625" style="38" bestFit="1" customWidth="1"/>
    <col min="2" max="2" width="16" style="38" bestFit="1" customWidth="1"/>
    <col min="3" max="3" width="17.5546875" style="38" bestFit="1" customWidth="1"/>
    <col min="4" max="4" width="17.6640625" style="38" bestFit="1" customWidth="1"/>
    <col min="5" max="5" width="12.6640625" style="38" bestFit="1" customWidth="1"/>
    <col min="6" max="6" width="8.44140625" style="38" bestFit="1" customWidth="1"/>
    <col min="7" max="7" width="12" style="38" bestFit="1" customWidth="1"/>
    <col min="8" max="8" width="12.109375" style="38" bestFit="1" customWidth="1"/>
    <col min="9" max="9" width="12.44140625" style="38" bestFit="1" customWidth="1"/>
    <col min="10" max="10" width="12.33203125" style="38" bestFit="1" customWidth="1"/>
    <col min="11" max="12" width="8.44140625" style="38" bestFit="1" customWidth="1"/>
    <col min="13" max="13" width="7.33203125" bestFit="1" customWidth="1"/>
    <col min="14" max="14" width="9" bestFit="1" customWidth="1"/>
    <col min="15" max="15" width="4" bestFit="1" customWidth="1"/>
    <col min="16" max="16" width="4.88671875" bestFit="1" customWidth="1"/>
    <col min="17" max="17" width="5.5546875" bestFit="1" customWidth="1"/>
  </cols>
  <sheetData>
    <row r="1" spans="1:17" ht="15" thickBot="1" x14ac:dyDescent="0.35">
      <c r="A1" s="511" t="s">
        <v>219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3"/>
    </row>
    <row r="2" spans="1:17" ht="15.75" customHeight="1" thickBot="1" x14ac:dyDescent="0.35">
      <c r="A2" s="526" t="s">
        <v>220</v>
      </c>
      <c r="B2" s="526" t="s">
        <v>221</v>
      </c>
      <c r="C2" s="526" t="s">
        <v>222</v>
      </c>
      <c r="D2" s="323" t="s">
        <v>223</v>
      </c>
      <c r="E2" s="529" t="s">
        <v>224</v>
      </c>
      <c r="F2" s="530"/>
      <c r="G2" s="530"/>
      <c r="H2" s="530"/>
      <c r="I2" s="531"/>
      <c r="J2" s="529" t="s">
        <v>225</v>
      </c>
      <c r="K2" s="530"/>
      <c r="L2" s="531"/>
      <c r="N2" s="65" t="s">
        <v>226</v>
      </c>
      <c r="O2" s="65" t="s">
        <v>227</v>
      </c>
      <c r="P2" s="65" t="s">
        <v>228</v>
      </c>
      <c r="Q2" s="65" t="s">
        <v>229</v>
      </c>
    </row>
    <row r="3" spans="1:17" ht="15" thickBot="1" x14ac:dyDescent="0.35">
      <c r="A3" s="527"/>
      <c r="B3" s="527"/>
      <c r="C3" s="527"/>
      <c r="D3" s="66"/>
      <c r="E3" s="529" t="s">
        <v>70</v>
      </c>
      <c r="F3" s="531"/>
      <c r="G3" s="529" t="s">
        <v>230</v>
      </c>
      <c r="H3" s="530"/>
      <c r="I3" s="531"/>
      <c r="J3" s="529" t="s">
        <v>70</v>
      </c>
      <c r="K3" s="531"/>
      <c r="L3" s="66" t="s">
        <v>14</v>
      </c>
      <c r="N3" s="67" t="s">
        <v>231</v>
      </c>
      <c r="O3" s="68" t="s">
        <v>232</v>
      </c>
      <c r="P3" s="68" t="s">
        <v>233</v>
      </c>
      <c r="Q3" s="69">
        <v>2025</v>
      </c>
    </row>
    <row r="4" spans="1:17" ht="15" thickBot="1" x14ac:dyDescent="0.35">
      <c r="A4" s="528"/>
      <c r="B4" s="528"/>
      <c r="C4" s="528"/>
      <c r="D4" s="66"/>
      <c r="E4" s="66" t="s">
        <v>234</v>
      </c>
      <c r="F4" s="66" t="s">
        <v>235</v>
      </c>
      <c r="G4" s="70" t="s">
        <v>236</v>
      </c>
      <c r="H4" s="71" t="s">
        <v>237</v>
      </c>
      <c r="I4" s="72" t="s">
        <v>238</v>
      </c>
      <c r="J4" s="66" t="s">
        <v>234</v>
      </c>
      <c r="K4" s="66" t="s">
        <v>235</v>
      </c>
      <c r="L4" s="66" t="s">
        <v>235</v>
      </c>
      <c r="N4" s="67" t="s">
        <v>239</v>
      </c>
      <c r="O4" s="73" t="s">
        <v>240</v>
      </c>
      <c r="P4" s="73" t="s">
        <v>233</v>
      </c>
      <c r="Q4" s="74">
        <v>2026</v>
      </c>
    </row>
    <row r="5" spans="1:17" ht="15" thickBot="1" x14ac:dyDescent="0.35">
      <c r="A5" s="75"/>
      <c r="B5" s="508" t="s">
        <v>241</v>
      </c>
      <c r="C5" s="508" t="s">
        <v>242</v>
      </c>
      <c r="D5" s="76" t="s">
        <v>243</v>
      </c>
      <c r="E5" s="77"/>
      <c r="F5" s="77"/>
      <c r="G5" s="77"/>
      <c r="H5" s="77"/>
      <c r="I5" s="77"/>
      <c r="J5" s="77"/>
      <c r="K5" s="77"/>
      <c r="L5" s="77"/>
      <c r="M5" s="78"/>
      <c r="N5" s="12"/>
      <c r="O5" s="12"/>
    </row>
    <row r="6" spans="1:17" ht="15" thickBot="1" x14ac:dyDescent="0.35">
      <c r="A6" s="75" t="s">
        <v>244</v>
      </c>
      <c r="B6" s="509"/>
      <c r="C6" s="509"/>
      <c r="D6" s="76" t="s">
        <v>245</v>
      </c>
      <c r="E6" s="77"/>
      <c r="F6" s="77"/>
      <c r="G6" s="77"/>
      <c r="H6" s="77"/>
      <c r="I6" s="77"/>
      <c r="J6" s="77"/>
      <c r="K6" s="77"/>
      <c r="L6" s="77"/>
      <c r="M6" s="78"/>
      <c r="N6" s="12"/>
      <c r="O6" s="12"/>
    </row>
    <row r="7" spans="1:17" ht="15" thickBot="1" x14ac:dyDescent="0.35">
      <c r="A7" s="75"/>
      <c r="B7" s="508" t="s">
        <v>246</v>
      </c>
      <c r="C7" s="508" t="s">
        <v>242</v>
      </c>
      <c r="D7" s="76" t="s">
        <v>243</v>
      </c>
      <c r="E7" s="77"/>
      <c r="F7" s="77"/>
      <c r="G7" s="77"/>
      <c r="H7" s="77"/>
      <c r="I7" s="77"/>
      <c r="J7" s="77"/>
      <c r="K7" s="77"/>
      <c r="L7" s="77"/>
      <c r="M7" s="79"/>
      <c r="N7" s="12"/>
      <c r="O7" s="12"/>
    </row>
    <row r="8" spans="1:17" ht="15" thickBot="1" x14ac:dyDescent="0.35">
      <c r="A8" s="75"/>
      <c r="B8" s="509"/>
      <c r="C8" s="509"/>
      <c r="D8" s="76" t="s">
        <v>245</v>
      </c>
      <c r="E8" s="77"/>
      <c r="F8" s="77"/>
      <c r="G8" s="77"/>
      <c r="H8" s="77"/>
      <c r="I8" s="77"/>
      <c r="J8" s="77"/>
      <c r="K8" s="77"/>
      <c r="L8" s="77"/>
      <c r="M8" s="12"/>
      <c r="N8" s="12"/>
      <c r="O8" s="12"/>
    </row>
    <row r="9" spans="1:17" ht="15.75" customHeight="1" thickBot="1" x14ac:dyDescent="0.35">
      <c r="A9" s="502" t="s">
        <v>247</v>
      </c>
      <c r="B9" s="508" t="s">
        <v>241</v>
      </c>
      <c r="C9" s="508" t="s">
        <v>242</v>
      </c>
      <c r="D9" s="76" t="s">
        <v>243</v>
      </c>
      <c r="E9" s="390"/>
      <c r="F9" s="390"/>
      <c r="G9" s="390"/>
      <c r="H9" s="389"/>
      <c r="I9" s="389"/>
      <c r="J9" s="390"/>
      <c r="K9" s="390"/>
      <c r="L9" s="390"/>
      <c r="M9" s="78"/>
      <c r="N9" s="12"/>
      <c r="O9" s="12"/>
    </row>
    <row r="10" spans="1:17" ht="15" thickBot="1" x14ac:dyDescent="0.35">
      <c r="A10" s="503"/>
      <c r="B10" s="509"/>
      <c r="C10" s="509"/>
      <c r="D10" s="76" t="s">
        <v>245</v>
      </c>
      <c r="E10" s="390"/>
      <c r="F10" s="390"/>
      <c r="G10" s="390"/>
      <c r="H10" s="389"/>
      <c r="I10" s="389"/>
      <c r="J10" s="390"/>
      <c r="K10" s="390"/>
      <c r="L10" s="390"/>
      <c r="M10" s="78"/>
      <c r="N10" s="80"/>
      <c r="O10" s="80"/>
    </row>
    <row r="11" spans="1:17" ht="15" thickBot="1" x14ac:dyDescent="0.35">
      <c r="A11" s="503"/>
      <c r="B11" s="508" t="s">
        <v>246</v>
      </c>
      <c r="C11" s="508" t="s">
        <v>242</v>
      </c>
      <c r="D11" s="76" t="s">
        <v>243</v>
      </c>
      <c r="E11" s="390"/>
      <c r="F11" s="390"/>
      <c r="G11" s="390"/>
      <c r="H11" s="389"/>
      <c r="I11" s="389"/>
      <c r="J11" s="390"/>
      <c r="K11" s="390"/>
      <c r="L11" s="390"/>
      <c r="M11" s="78"/>
      <c r="N11" s="12"/>
      <c r="O11" s="12"/>
    </row>
    <row r="12" spans="1:17" ht="15" thickBot="1" x14ac:dyDescent="0.35">
      <c r="A12" s="503"/>
      <c r="B12" s="509"/>
      <c r="C12" s="509"/>
      <c r="D12" s="76" t="s">
        <v>245</v>
      </c>
      <c r="E12" s="390"/>
      <c r="F12" s="390"/>
      <c r="G12" s="390"/>
      <c r="H12" s="389"/>
      <c r="I12" s="389"/>
      <c r="J12" s="390"/>
      <c r="K12" s="390"/>
      <c r="L12" s="390"/>
      <c r="M12" s="12"/>
    </row>
    <row r="13" spans="1:17" ht="15" thickBot="1" x14ac:dyDescent="0.35">
      <c r="A13" s="503"/>
      <c r="B13" s="508" t="s">
        <v>248</v>
      </c>
      <c r="C13" s="508" t="s">
        <v>249</v>
      </c>
      <c r="D13" s="76" t="s">
        <v>243</v>
      </c>
      <c r="E13" s="388"/>
      <c r="F13" s="388"/>
      <c r="G13" s="388"/>
      <c r="H13" s="389"/>
      <c r="I13" s="389"/>
      <c r="J13" s="388"/>
      <c r="K13" s="388"/>
      <c r="L13" s="388"/>
    </row>
    <row r="14" spans="1:17" ht="15" thickBot="1" x14ac:dyDescent="0.35">
      <c r="A14" s="503"/>
      <c r="B14" s="510"/>
      <c r="C14" s="510"/>
      <c r="D14" s="76" t="s">
        <v>245</v>
      </c>
      <c r="E14" s="388"/>
      <c r="F14" s="388"/>
      <c r="G14" s="388"/>
      <c r="H14" s="389"/>
      <c r="I14" s="389"/>
      <c r="J14" s="388"/>
      <c r="K14" s="388"/>
      <c r="L14" s="388"/>
    </row>
    <row r="15" spans="1:17" ht="15" thickBot="1" x14ac:dyDescent="0.35">
      <c r="A15" s="503"/>
      <c r="B15" s="509"/>
      <c r="C15" s="509"/>
      <c r="D15" s="76" t="s">
        <v>242</v>
      </c>
      <c r="E15" s="388"/>
      <c r="F15" s="388"/>
      <c r="G15" s="388"/>
      <c r="H15" s="389"/>
      <c r="I15" s="389"/>
      <c r="J15" s="388"/>
      <c r="K15" s="388"/>
      <c r="L15" s="388"/>
      <c r="M15" s="81"/>
    </row>
    <row r="16" spans="1:17" ht="15" thickBot="1" x14ac:dyDescent="0.35">
      <c r="A16" s="503"/>
      <c r="B16" s="508" t="s">
        <v>250</v>
      </c>
      <c r="C16" s="82" t="s">
        <v>251</v>
      </c>
      <c r="D16" s="76" t="s">
        <v>242</v>
      </c>
      <c r="E16" s="391"/>
      <c r="F16" s="390"/>
      <c r="G16" s="390"/>
      <c r="H16" s="389"/>
      <c r="I16" s="389"/>
      <c r="J16" s="391"/>
      <c r="K16" s="390"/>
      <c r="L16" s="392"/>
      <c r="M16" s="81"/>
      <c r="N16" s="12"/>
    </row>
    <row r="17" spans="1:15" ht="15" thickBot="1" x14ac:dyDescent="0.35">
      <c r="A17" s="503"/>
      <c r="B17" s="510"/>
      <c r="C17" s="82" t="s">
        <v>252</v>
      </c>
      <c r="D17" s="76" t="s">
        <v>242</v>
      </c>
      <c r="E17" s="391"/>
      <c r="F17" s="390"/>
      <c r="G17" s="390"/>
      <c r="H17" s="389"/>
      <c r="I17" s="389"/>
      <c r="J17" s="388"/>
      <c r="K17" s="390"/>
      <c r="L17" s="390"/>
      <c r="M17" s="12"/>
      <c r="N17" s="12"/>
      <c r="O17" s="12"/>
    </row>
    <row r="18" spans="1:15" ht="15" thickBot="1" x14ac:dyDescent="0.35">
      <c r="A18" s="503"/>
      <c r="B18" s="510"/>
      <c r="C18" s="82" t="s">
        <v>253</v>
      </c>
      <c r="D18" s="76" t="s">
        <v>242</v>
      </c>
      <c r="E18" s="391"/>
      <c r="F18" s="390"/>
      <c r="G18" s="390"/>
      <c r="H18" s="389"/>
      <c r="I18" s="389"/>
      <c r="J18" s="391"/>
      <c r="K18" s="390"/>
      <c r="L18" s="390"/>
      <c r="N18" s="12"/>
      <c r="O18" s="12"/>
    </row>
    <row r="19" spans="1:15" ht="15" thickBot="1" x14ac:dyDescent="0.35">
      <c r="A19" s="503"/>
      <c r="B19" s="510"/>
      <c r="C19" s="82" t="s">
        <v>254</v>
      </c>
      <c r="D19" s="76" t="s">
        <v>242</v>
      </c>
      <c r="E19" s="388"/>
      <c r="F19" s="390"/>
      <c r="G19" s="390"/>
      <c r="H19" s="389"/>
      <c r="I19" s="389"/>
      <c r="J19" s="391"/>
      <c r="K19" s="390"/>
      <c r="L19" s="390"/>
      <c r="N19" s="12"/>
      <c r="O19" s="12"/>
    </row>
    <row r="20" spans="1:15" ht="15" thickBot="1" x14ac:dyDescent="0.35">
      <c r="A20" s="503"/>
      <c r="B20" s="510"/>
      <c r="C20" s="82" t="s">
        <v>255</v>
      </c>
      <c r="D20" s="76" t="s">
        <v>242</v>
      </c>
      <c r="E20" s="388"/>
      <c r="F20" s="390"/>
      <c r="G20" s="390"/>
      <c r="H20" s="389"/>
      <c r="I20" s="389"/>
      <c r="J20" s="391"/>
      <c r="K20" s="390"/>
      <c r="L20" s="390"/>
      <c r="N20" s="12"/>
      <c r="O20" s="12"/>
    </row>
    <row r="21" spans="1:15" ht="15" thickBot="1" x14ac:dyDescent="0.35">
      <c r="A21" s="503"/>
      <c r="B21" s="510"/>
      <c r="C21" s="82" t="s">
        <v>256</v>
      </c>
      <c r="D21" s="76" t="s">
        <v>242</v>
      </c>
      <c r="E21" s="388"/>
      <c r="F21" s="390"/>
      <c r="G21" s="390"/>
      <c r="H21" s="389"/>
      <c r="I21" s="389"/>
      <c r="J21" s="391"/>
      <c r="K21" s="390"/>
      <c r="L21" s="390"/>
      <c r="N21" s="12"/>
      <c r="O21" s="12"/>
    </row>
    <row r="22" spans="1:15" ht="15" thickBot="1" x14ac:dyDescent="0.35">
      <c r="A22" s="503"/>
      <c r="B22" s="510"/>
      <c r="C22" s="82" t="s">
        <v>257</v>
      </c>
      <c r="D22" s="76" t="s">
        <v>242</v>
      </c>
      <c r="E22" s="388"/>
      <c r="F22" s="390"/>
      <c r="G22" s="390"/>
      <c r="H22" s="389"/>
      <c r="I22" s="389"/>
      <c r="J22" s="391"/>
      <c r="K22" s="390"/>
      <c r="L22" s="390"/>
      <c r="N22" s="12"/>
      <c r="O22" s="12"/>
    </row>
    <row r="23" spans="1:15" ht="15" thickBot="1" x14ac:dyDescent="0.35">
      <c r="A23" s="503"/>
      <c r="B23" s="510"/>
      <c r="C23" s="82" t="s">
        <v>258</v>
      </c>
      <c r="D23" s="76" t="s">
        <v>242</v>
      </c>
      <c r="E23" s="388"/>
      <c r="F23" s="390"/>
      <c r="G23" s="390"/>
      <c r="H23" s="389"/>
      <c r="I23" s="389"/>
      <c r="J23" s="391"/>
      <c r="K23" s="390"/>
      <c r="L23" s="390"/>
      <c r="N23" s="12"/>
      <c r="O23" s="12"/>
    </row>
    <row r="24" spans="1:15" ht="15" thickBot="1" x14ac:dyDescent="0.35">
      <c r="A24" s="503"/>
      <c r="B24" s="510"/>
      <c r="C24" s="82" t="s">
        <v>259</v>
      </c>
      <c r="D24" s="76" t="s">
        <v>242</v>
      </c>
      <c r="E24" s="391"/>
      <c r="F24" s="390"/>
      <c r="G24" s="390"/>
      <c r="H24" s="389"/>
      <c r="I24" s="389"/>
      <c r="J24" s="391"/>
      <c r="K24" s="390"/>
      <c r="L24" s="390"/>
      <c r="N24" s="12"/>
      <c r="O24" s="12"/>
    </row>
    <row r="25" spans="1:15" ht="15" thickBot="1" x14ac:dyDescent="0.35">
      <c r="A25" s="503"/>
      <c r="B25" s="510"/>
      <c r="C25" s="82" t="s">
        <v>260</v>
      </c>
      <c r="D25" s="76" t="s">
        <v>242</v>
      </c>
      <c r="E25" s="391"/>
      <c r="F25" s="390"/>
      <c r="G25" s="390"/>
      <c r="H25" s="389"/>
      <c r="I25" s="389"/>
      <c r="J25" s="391"/>
      <c r="K25" s="390"/>
      <c r="L25" s="390"/>
      <c r="N25" s="12"/>
      <c r="O25" s="12"/>
    </row>
    <row r="26" spans="1:15" ht="15" thickBot="1" x14ac:dyDescent="0.35">
      <c r="A26" s="503"/>
      <c r="B26" s="510"/>
      <c r="C26" s="82" t="s">
        <v>261</v>
      </c>
      <c r="D26" s="76" t="s">
        <v>242</v>
      </c>
      <c r="E26" s="391"/>
      <c r="F26" s="390"/>
      <c r="G26" s="390"/>
      <c r="H26" s="389"/>
      <c r="I26" s="389"/>
      <c r="J26" s="391"/>
      <c r="K26" s="390"/>
      <c r="L26" s="390"/>
      <c r="N26" s="12"/>
      <c r="O26" s="12"/>
    </row>
    <row r="27" spans="1:15" ht="15" thickBot="1" x14ac:dyDescent="0.35">
      <c r="A27" s="504"/>
      <c r="B27" s="509"/>
      <c r="C27" s="82" t="s">
        <v>262</v>
      </c>
      <c r="D27" s="76" t="s">
        <v>242</v>
      </c>
      <c r="E27" s="391"/>
      <c r="F27" s="390"/>
      <c r="G27" s="390"/>
      <c r="H27" s="389"/>
      <c r="I27" s="389"/>
      <c r="J27" s="391"/>
      <c r="K27" s="390"/>
      <c r="L27" s="390"/>
      <c r="N27" s="12"/>
      <c r="O27" s="12"/>
    </row>
    <row r="28" spans="1:15" ht="15.75" customHeight="1" thickBot="1" x14ac:dyDescent="0.35">
      <c r="A28" s="502" t="s">
        <v>263</v>
      </c>
      <c r="B28" s="508" t="s">
        <v>241</v>
      </c>
      <c r="C28" s="508" t="s">
        <v>242</v>
      </c>
      <c r="D28" s="76" t="s">
        <v>243</v>
      </c>
      <c r="E28" s="388"/>
      <c r="F28" s="388"/>
      <c r="G28" s="388"/>
      <c r="H28" s="389"/>
      <c r="I28" s="389"/>
      <c r="J28" s="388"/>
      <c r="K28" s="388"/>
      <c r="L28" s="388"/>
      <c r="N28" s="12"/>
      <c r="O28" s="12"/>
    </row>
    <row r="29" spans="1:15" ht="15" thickBot="1" x14ac:dyDescent="0.35">
      <c r="A29" s="503"/>
      <c r="B29" s="509"/>
      <c r="C29" s="509"/>
      <c r="D29" s="76" t="s">
        <v>245</v>
      </c>
      <c r="E29" s="388"/>
      <c r="F29" s="388"/>
      <c r="G29" s="388"/>
      <c r="H29" s="389"/>
      <c r="I29" s="389"/>
      <c r="J29" s="388"/>
      <c r="K29" s="388"/>
      <c r="L29" s="388"/>
      <c r="N29" s="12"/>
      <c r="O29" s="12"/>
    </row>
    <row r="30" spans="1:15" ht="15" thickBot="1" x14ac:dyDescent="0.35">
      <c r="A30" s="503"/>
      <c r="B30" s="508" t="s">
        <v>246</v>
      </c>
      <c r="C30" s="508" t="s">
        <v>242</v>
      </c>
      <c r="D30" s="76" t="s">
        <v>243</v>
      </c>
      <c r="E30" s="388"/>
      <c r="F30" s="388"/>
      <c r="G30" s="390"/>
      <c r="H30" s="389"/>
      <c r="I30" s="389"/>
      <c r="J30" s="388"/>
      <c r="K30" s="388"/>
      <c r="L30" s="390"/>
      <c r="N30" s="12"/>
      <c r="O30" s="12"/>
    </row>
    <row r="31" spans="1:15" ht="15" thickBot="1" x14ac:dyDescent="0.35">
      <c r="A31" s="503"/>
      <c r="B31" s="509"/>
      <c r="C31" s="509"/>
      <c r="D31" s="76" t="s">
        <v>245</v>
      </c>
      <c r="E31" s="388"/>
      <c r="F31" s="388"/>
      <c r="G31" s="390"/>
      <c r="H31" s="389"/>
      <c r="I31" s="389"/>
      <c r="J31" s="388"/>
      <c r="K31" s="388"/>
      <c r="L31" s="390"/>
      <c r="N31" s="12"/>
      <c r="O31" s="12"/>
    </row>
    <row r="32" spans="1:15" ht="15" thickBot="1" x14ac:dyDescent="0.35">
      <c r="A32" s="503"/>
      <c r="B32" s="508" t="s">
        <v>248</v>
      </c>
      <c r="C32" s="508"/>
      <c r="D32" s="76" t="s">
        <v>243</v>
      </c>
      <c r="E32" s="388"/>
      <c r="F32" s="388"/>
      <c r="G32" s="388"/>
      <c r="H32" s="389"/>
      <c r="I32" s="389"/>
      <c r="J32" s="388"/>
      <c r="K32" s="388"/>
      <c r="L32" s="388"/>
      <c r="N32" s="12"/>
      <c r="O32" s="12"/>
    </row>
    <row r="33" spans="1:15" ht="15" thickBot="1" x14ac:dyDescent="0.35">
      <c r="A33" s="503"/>
      <c r="B33" s="510"/>
      <c r="C33" s="510"/>
      <c r="D33" s="76" t="s">
        <v>245</v>
      </c>
      <c r="E33" s="388"/>
      <c r="F33" s="388"/>
      <c r="G33" s="388"/>
      <c r="H33" s="389"/>
      <c r="I33" s="389"/>
      <c r="J33" s="388"/>
      <c r="K33" s="388"/>
      <c r="L33" s="388"/>
      <c r="N33" s="12"/>
      <c r="O33" s="12"/>
    </row>
    <row r="34" spans="1:15" ht="15" thickBot="1" x14ac:dyDescent="0.35">
      <c r="A34" s="503"/>
      <c r="B34" s="509"/>
      <c r="C34" s="509"/>
      <c r="D34" s="76" t="s">
        <v>242</v>
      </c>
      <c r="E34" s="388"/>
      <c r="F34" s="388"/>
      <c r="G34" s="388"/>
      <c r="H34" s="389"/>
      <c r="I34" s="389"/>
      <c r="J34" s="388"/>
      <c r="K34" s="388"/>
      <c r="L34" s="388"/>
      <c r="N34" s="12"/>
      <c r="O34" s="12"/>
    </row>
    <row r="35" spans="1:15" ht="15" thickBot="1" x14ac:dyDescent="0.35">
      <c r="A35" s="504"/>
      <c r="B35" s="76" t="s">
        <v>250</v>
      </c>
      <c r="C35" s="76" t="s">
        <v>242</v>
      </c>
      <c r="D35" s="76" t="s">
        <v>242</v>
      </c>
      <c r="E35" s="388"/>
      <c r="F35" s="388"/>
      <c r="G35" s="388"/>
      <c r="H35" s="389"/>
      <c r="I35" s="389"/>
      <c r="J35" s="388"/>
      <c r="K35" s="388"/>
      <c r="L35" s="388"/>
      <c r="N35" s="12"/>
      <c r="O35" s="12"/>
    </row>
    <row r="36" spans="1:15" ht="15.75" customHeight="1" thickBot="1" x14ac:dyDescent="0.35">
      <c r="A36" s="502" t="s">
        <v>264</v>
      </c>
      <c r="B36" s="508" t="s">
        <v>241</v>
      </c>
      <c r="C36" s="508" t="s">
        <v>242</v>
      </c>
      <c r="D36" s="76" t="s">
        <v>243</v>
      </c>
      <c r="E36" s="388"/>
      <c r="F36" s="388"/>
      <c r="G36" s="388"/>
      <c r="H36" s="389"/>
      <c r="I36" s="389"/>
      <c r="J36" s="388"/>
      <c r="K36" s="388"/>
      <c r="L36" s="388"/>
      <c r="M36" s="78"/>
      <c r="N36" s="12"/>
      <c r="O36" s="12"/>
    </row>
    <row r="37" spans="1:15" ht="15" thickBot="1" x14ac:dyDescent="0.35">
      <c r="A37" s="503"/>
      <c r="B37" s="509"/>
      <c r="C37" s="509"/>
      <c r="D37" s="76" t="s">
        <v>245</v>
      </c>
      <c r="E37" s="388"/>
      <c r="F37" s="388"/>
      <c r="G37" s="388"/>
      <c r="H37" s="389"/>
      <c r="I37" s="389"/>
      <c r="J37" s="388"/>
      <c r="K37" s="388"/>
      <c r="L37" s="388"/>
      <c r="M37" s="78"/>
      <c r="N37" s="12"/>
      <c r="O37" s="12"/>
    </row>
    <row r="38" spans="1:15" ht="15" thickBot="1" x14ac:dyDescent="0.35">
      <c r="A38" s="503"/>
      <c r="B38" s="508" t="s">
        <v>246</v>
      </c>
      <c r="C38" s="508" t="s">
        <v>242</v>
      </c>
      <c r="D38" s="76" t="s">
        <v>243</v>
      </c>
      <c r="E38" s="388"/>
      <c r="F38" s="388"/>
      <c r="G38" s="388"/>
      <c r="H38" s="389"/>
      <c r="I38" s="389"/>
      <c r="J38" s="388"/>
      <c r="K38" s="388"/>
      <c r="L38" s="388"/>
      <c r="M38" s="79"/>
      <c r="N38" s="12"/>
      <c r="O38" s="12"/>
    </row>
    <row r="39" spans="1:15" ht="15" thickBot="1" x14ac:dyDescent="0.35">
      <c r="A39" s="503"/>
      <c r="B39" s="509"/>
      <c r="C39" s="509"/>
      <c r="D39" s="76" t="s">
        <v>245</v>
      </c>
      <c r="E39" s="388"/>
      <c r="F39" s="388"/>
      <c r="G39" s="388"/>
      <c r="H39" s="389"/>
      <c r="I39" s="389"/>
      <c r="J39" s="388"/>
      <c r="K39" s="388"/>
      <c r="L39" s="388"/>
      <c r="M39" s="12"/>
      <c r="N39" s="12"/>
      <c r="O39" s="12"/>
    </row>
    <row r="40" spans="1:15" ht="15" thickBot="1" x14ac:dyDescent="0.35">
      <c r="A40" s="503"/>
      <c r="B40" s="508" t="s">
        <v>7</v>
      </c>
      <c r="C40" s="508" t="s">
        <v>242</v>
      </c>
      <c r="D40" s="76" t="s">
        <v>242</v>
      </c>
      <c r="E40" s="388"/>
      <c r="F40" s="388"/>
      <c r="G40" s="388"/>
      <c r="H40" s="389"/>
      <c r="I40" s="389"/>
      <c r="J40" s="388"/>
      <c r="K40" s="388"/>
      <c r="L40" s="388"/>
      <c r="M40" s="78"/>
      <c r="N40" s="12"/>
      <c r="O40" s="12"/>
    </row>
    <row r="41" spans="1:15" ht="15" thickBot="1" x14ac:dyDescent="0.35">
      <c r="A41" s="503"/>
      <c r="B41" s="510"/>
      <c r="C41" s="510"/>
      <c r="D41" s="76" t="s">
        <v>243</v>
      </c>
      <c r="E41" s="388"/>
      <c r="F41" s="388"/>
      <c r="G41" s="388"/>
      <c r="H41" s="389"/>
      <c r="I41" s="389"/>
      <c r="J41" s="388"/>
      <c r="K41" s="388"/>
      <c r="L41" s="388"/>
      <c r="M41" s="78"/>
      <c r="N41" s="12"/>
      <c r="O41" s="12"/>
    </row>
    <row r="42" spans="1:15" ht="15" thickBot="1" x14ac:dyDescent="0.35">
      <c r="A42" s="503"/>
      <c r="B42" s="509"/>
      <c r="C42" s="509"/>
      <c r="D42" s="76" t="s">
        <v>245</v>
      </c>
      <c r="E42" s="388"/>
      <c r="F42" s="388"/>
      <c r="G42" s="388"/>
      <c r="H42" s="389"/>
      <c r="I42" s="389"/>
      <c r="J42" s="388"/>
      <c r="K42" s="388"/>
      <c r="L42" s="388"/>
      <c r="M42" s="78"/>
      <c r="N42" s="12"/>
      <c r="O42" s="12"/>
    </row>
    <row r="43" spans="1:15" ht="15" thickBot="1" x14ac:dyDescent="0.35">
      <c r="A43" s="503"/>
      <c r="B43" s="508" t="s">
        <v>265</v>
      </c>
      <c r="C43" s="508" t="s">
        <v>242</v>
      </c>
      <c r="D43" s="76" t="s">
        <v>242</v>
      </c>
      <c r="E43" s="388"/>
      <c r="F43" s="388"/>
      <c r="G43" s="388"/>
      <c r="H43" s="389"/>
      <c r="I43" s="389"/>
      <c r="J43" s="388"/>
      <c r="K43" s="388"/>
      <c r="L43" s="388"/>
      <c r="M43" s="12"/>
      <c r="N43" s="12"/>
      <c r="O43" s="12"/>
    </row>
    <row r="44" spans="1:15" ht="15" thickBot="1" x14ac:dyDescent="0.35">
      <c r="A44" s="503"/>
      <c r="B44" s="510"/>
      <c r="C44" s="510"/>
      <c r="D44" s="76" t="s">
        <v>243</v>
      </c>
      <c r="E44" s="388"/>
      <c r="F44" s="388"/>
      <c r="G44" s="388"/>
      <c r="H44" s="389"/>
      <c r="I44" s="389"/>
      <c r="J44" s="388"/>
      <c r="K44" s="388"/>
      <c r="L44" s="388"/>
      <c r="N44" s="12"/>
      <c r="O44" s="12"/>
    </row>
    <row r="45" spans="1:15" ht="15" thickBot="1" x14ac:dyDescent="0.35">
      <c r="A45" s="503"/>
      <c r="B45" s="509"/>
      <c r="C45" s="509"/>
      <c r="D45" s="76" t="s">
        <v>245</v>
      </c>
      <c r="E45" s="388"/>
      <c r="F45" s="388"/>
      <c r="G45" s="388"/>
      <c r="H45" s="389"/>
      <c r="I45" s="389"/>
      <c r="J45" s="388"/>
      <c r="K45" s="388"/>
      <c r="L45" s="388"/>
      <c r="N45" s="12"/>
      <c r="O45" s="12"/>
    </row>
    <row r="46" spans="1:15" ht="15" thickBot="1" x14ac:dyDescent="0.35">
      <c r="A46" s="503"/>
      <c r="B46" s="83" t="s">
        <v>266</v>
      </c>
      <c r="C46" s="83" t="s">
        <v>242</v>
      </c>
      <c r="D46" s="83" t="s">
        <v>242</v>
      </c>
      <c r="E46" s="388"/>
      <c r="F46" s="390"/>
      <c r="G46" s="390"/>
      <c r="H46" s="389"/>
      <c r="I46" s="389"/>
      <c r="J46" s="388"/>
      <c r="K46" s="388"/>
      <c r="L46" s="388"/>
      <c r="N46" s="12"/>
      <c r="O46" s="12"/>
    </row>
    <row r="47" spans="1:15" ht="15" thickBot="1" x14ac:dyDescent="0.35">
      <c r="A47" s="504"/>
      <c r="B47" s="76" t="s">
        <v>250</v>
      </c>
      <c r="C47" s="76" t="s">
        <v>242</v>
      </c>
      <c r="D47" s="76" t="s">
        <v>242</v>
      </c>
      <c r="E47" s="388"/>
      <c r="F47" s="388"/>
      <c r="G47" s="388"/>
      <c r="H47" s="389"/>
      <c r="I47" s="389"/>
      <c r="J47" s="388"/>
      <c r="K47" s="388"/>
      <c r="L47" s="388"/>
      <c r="N47" s="12"/>
      <c r="O47" s="12"/>
    </row>
    <row r="48" spans="1:15" ht="15.75" customHeight="1" thickBot="1" x14ac:dyDescent="0.35">
      <c r="A48" s="502" t="s">
        <v>267</v>
      </c>
      <c r="B48" s="508" t="s">
        <v>241</v>
      </c>
      <c r="C48" s="508" t="s">
        <v>242</v>
      </c>
      <c r="D48" s="76" t="s">
        <v>243</v>
      </c>
      <c r="E48" s="388"/>
      <c r="F48" s="388"/>
      <c r="G48" s="388"/>
      <c r="H48" s="389"/>
      <c r="I48" s="389"/>
      <c r="J48" s="388"/>
      <c r="K48" s="388"/>
      <c r="L48" s="388"/>
      <c r="N48" s="12"/>
      <c r="O48" s="12"/>
    </row>
    <row r="49" spans="1:15" ht="15" thickBot="1" x14ac:dyDescent="0.35">
      <c r="A49" s="503"/>
      <c r="B49" s="509"/>
      <c r="C49" s="509"/>
      <c r="D49" s="76" t="s">
        <v>245</v>
      </c>
      <c r="E49" s="388"/>
      <c r="F49" s="388"/>
      <c r="G49" s="388"/>
      <c r="H49" s="389"/>
      <c r="I49" s="389"/>
      <c r="J49" s="388"/>
      <c r="K49" s="388"/>
      <c r="L49" s="388"/>
      <c r="M49" s="78"/>
      <c r="N49" s="12"/>
      <c r="O49" s="12"/>
    </row>
    <row r="50" spans="1:15" ht="15" thickBot="1" x14ac:dyDescent="0.35">
      <c r="A50" s="503"/>
      <c r="B50" s="508" t="s">
        <v>246</v>
      </c>
      <c r="C50" s="508" t="s">
        <v>242</v>
      </c>
      <c r="D50" s="76" t="s">
        <v>243</v>
      </c>
      <c r="E50" s="388"/>
      <c r="F50" s="388"/>
      <c r="G50" s="388"/>
      <c r="H50" s="389"/>
      <c r="I50" s="389"/>
      <c r="J50" s="388"/>
      <c r="K50" s="388"/>
      <c r="L50" s="388"/>
      <c r="M50" s="78"/>
      <c r="N50" s="12"/>
      <c r="O50" s="12"/>
    </row>
    <row r="51" spans="1:15" ht="15" thickBot="1" x14ac:dyDescent="0.35">
      <c r="A51" s="503"/>
      <c r="B51" s="509"/>
      <c r="C51" s="509"/>
      <c r="D51" s="76" t="s">
        <v>245</v>
      </c>
      <c r="E51" s="388"/>
      <c r="F51" s="388"/>
      <c r="G51" s="388"/>
      <c r="H51" s="389"/>
      <c r="I51" s="389"/>
      <c r="J51" s="388"/>
      <c r="K51" s="388"/>
      <c r="L51" s="388"/>
      <c r="M51" s="79"/>
      <c r="N51" s="12"/>
      <c r="O51" s="12"/>
    </row>
    <row r="52" spans="1:15" ht="15" thickBot="1" x14ac:dyDescent="0.35">
      <c r="A52" s="503"/>
      <c r="B52" s="508" t="s">
        <v>7</v>
      </c>
      <c r="C52" s="508" t="s">
        <v>242</v>
      </c>
      <c r="D52" s="76" t="s">
        <v>242</v>
      </c>
      <c r="E52" s="388"/>
      <c r="F52" s="388"/>
      <c r="G52" s="388"/>
      <c r="H52" s="389"/>
      <c r="I52" s="389"/>
      <c r="J52" s="388"/>
      <c r="K52" s="388"/>
      <c r="L52" s="388"/>
      <c r="M52" s="12"/>
      <c r="N52" s="12"/>
      <c r="O52" s="12"/>
    </row>
    <row r="53" spans="1:15" ht="15" thickBot="1" x14ac:dyDescent="0.35">
      <c r="A53" s="503"/>
      <c r="B53" s="510"/>
      <c r="C53" s="510"/>
      <c r="D53" s="76" t="s">
        <v>243</v>
      </c>
      <c r="E53" s="388"/>
      <c r="F53" s="388"/>
      <c r="G53" s="388"/>
      <c r="H53" s="389"/>
      <c r="I53" s="389"/>
      <c r="J53" s="388"/>
      <c r="K53" s="388"/>
      <c r="L53" s="388"/>
      <c r="M53" s="78"/>
      <c r="N53" s="12"/>
      <c r="O53" s="12"/>
    </row>
    <row r="54" spans="1:15" ht="15" thickBot="1" x14ac:dyDescent="0.35">
      <c r="A54" s="503"/>
      <c r="B54" s="509"/>
      <c r="C54" s="509"/>
      <c r="D54" s="76" t="s">
        <v>245</v>
      </c>
      <c r="E54" s="388"/>
      <c r="F54" s="388"/>
      <c r="G54" s="388"/>
      <c r="H54" s="389"/>
      <c r="I54" s="389"/>
      <c r="J54" s="388"/>
      <c r="K54" s="388"/>
      <c r="L54" s="388"/>
      <c r="M54" s="78"/>
      <c r="N54" s="12"/>
      <c r="O54" s="12"/>
    </row>
    <row r="55" spans="1:15" ht="15" thickBot="1" x14ac:dyDescent="0.35">
      <c r="A55" s="503"/>
      <c r="B55" s="508" t="s">
        <v>265</v>
      </c>
      <c r="C55" s="508" t="s">
        <v>242</v>
      </c>
      <c r="D55" s="76" t="s">
        <v>242</v>
      </c>
      <c r="E55" s="388"/>
      <c r="F55" s="388"/>
      <c r="G55" s="388"/>
      <c r="H55" s="389"/>
      <c r="I55" s="389"/>
      <c r="J55" s="388"/>
      <c r="K55" s="388"/>
      <c r="L55" s="388"/>
      <c r="M55" s="78"/>
      <c r="N55" s="12"/>
      <c r="O55" s="12"/>
    </row>
    <row r="56" spans="1:15" ht="15" thickBot="1" x14ac:dyDescent="0.35">
      <c r="A56" s="503"/>
      <c r="B56" s="510"/>
      <c r="C56" s="510"/>
      <c r="D56" s="76" t="s">
        <v>243</v>
      </c>
      <c r="E56" s="388"/>
      <c r="F56" s="388"/>
      <c r="G56" s="388"/>
      <c r="H56" s="389"/>
      <c r="I56" s="389"/>
      <c r="J56" s="388"/>
      <c r="K56" s="388"/>
      <c r="L56" s="388"/>
      <c r="M56" s="12"/>
      <c r="N56" s="12"/>
      <c r="O56" s="12"/>
    </row>
    <row r="57" spans="1:15" ht="15" thickBot="1" x14ac:dyDescent="0.35">
      <c r="A57" s="503"/>
      <c r="B57" s="509"/>
      <c r="C57" s="509"/>
      <c r="D57" s="76" t="s">
        <v>245</v>
      </c>
      <c r="E57" s="388"/>
      <c r="F57" s="388"/>
      <c r="G57" s="388"/>
      <c r="H57" s="389"/>
      <c r="I57" s="389"/>
      <c r="J57" s="388"/>
      <c r="K57" s="388"/>
      <c r="L57" s="388"/>
      <c r="N57" s="12"/>
      <c r="O57" s="12"/>
    </row>
    <row r="58" spans="1:15" ht="15" thickBot="1" x14ac:dyDescent="0.35">
      <c r="A58" s="503"/>
      <c r="B58" s="76" t="s">
        <v>266</v>
      </c>
      <c r="C58" s="76" t="s">
        <v>242</v>
      </c>
      <c r="D58" s="76" t="s">
        <v>242</v>
      </c>
      <c r="E58" s="388"/>
      <c r="F58" s="388"/>
      <c r="G58" s="388"/>
      <c r="H58" s="389"/>
      <c r="I58" s="389"/>
      <c r="J58" s="388"/>
      <c r="K58" s="388"/>
      <c r="L58" s="388"/>
      <c r="N58" s="12"/>
      <c r="O58" s="12"/>
    </row>
    <row r="59" spans="1:15" ht="15" thickBot="1" x14ac:dyDescent="0.35">
      <c r="A59" s="503"/>
      <c r="B59" s="508" t="s">
        <v>248</v>
      </c>
      <c r="C59" s="523" t="s">
        <v>268</v>
      </c>
      <c r="D59" s="76" t="s">
        <v>243</v>
      </c>
      <c r="E59" s="388"/>
      <c r="F59" s="388"/>
      <c r="G59" s="388"/>
      <c r="H59" s="389"/>
      <c r="I59" s="389"/>
      <c r="J59" s="388"/>
      <c r="K59" s="388"/>
      <c r="L59" s="388"/>
      <c r="N59" s="12"/>
      <c r="O59" s="12"/>
    </row>
    <row r="60" spans="1:15" ht="15" thickBot="1" x14ac:dyDescent="0.35">
      <c r="A60" s="503"/>
      <c r="B60" s="510"/>
      <c r="C60" s="524"/>
      <c r="D60" s="76" t="s">
        <v>245</v>
      </c>
      <c r="E60" s="388"/>
      <c r="F60" s="388"/>
      <c r="G60" s="388"/>
      <c r="H60" s="389"/>
      <c r="I60" s="389"/>
      <c r="J60" s="388"/>
      <c r="K60" s="388"/>
      <c r="L60" s="388"/>
      <c r="N60" s="12"/>
      <c r="O60" s="12"/>
    </row>
    <row r="61" spans="1:15" ht="15" thickBot="1" x14ac:dyDescent="0.35">
      <c r="A61" s="503"/>
      <c r="B61" s="509"/>
      <c r="C61" s="525"/>
      <c r="D61" s="76" t="s">
        <v>242</v>
      </c>
      <c r="E61" s="388"/>
      <c r="F61" s="388"/>
      <c r="G61" s="388"/>
      <c r="H61" s="389"/>
      <c r="I61" s="389"/>
      <c r="J61" s="388"/>
      <c r="K61" s="388"/>
      <c r="L61" s="388"/>
      <c r="N61" s="12"/>
      <c r="O61" s="12"/>
    </row>
    <row r="62" spans="1:15" ht="15" thickBot="1" x14ac:dyDescent="0.35">
      <c r="A62" s="504"/>
      <c r="B62" s="76" t="s">
        <v>250</v>
      </c>
      <c r="C62" s="76" t="s">
        <v>242</v>
      </c>
      <c r="D62" s="76" t="s">
        <v>242</v>
      </c>
      <c r="E62" s="388"/>
      <c r="F62" s="388"/>
      <c r="G62" s="388"/>
      <c r="H62" s="389"/>
      <c r="I62" s="389"/>
      <c r="J62" s="388"/>
      <c r="K62" s="388"/>
      <c r="L62" s="388"/>
      <c r="N62" s="12"/>
      <c r="O62" s="12"/>
    </row>
    <row r="63" spans="1:15" ht="15" thickBot="1" x14ac:dyDescent="0.35">
      <c r="A63" s="84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</row>
    <row r="64" spans="1:15" ht="15" thickBot="1" x14ac:dyDescent="0.35">
      <c r="A64" s="511" t="s">
        <v>269</v>
      </c>
      <c r="B64" s="512"/>
      <c r="C64" s="512"/>
      <c r="D64" s="512"/>
      <c r="E64" s="512"/>
      <c r="F64" s="512"/>
      <c r="G64" s="512"/>
      <c r="H64" s="512"/>
      <c r="I64" s="512"/>
      <c r="J64" s="512"/>
      <c r="K64" s="512"/>
      <c r="L64" s="512"/>
      <c r="M64" s="513"/>
    </row>
    <row r="65" spans="1:17" ht="15.75" customHeight="1" thickBot="1" x14ac:dyDescent="0.35">
      <c r="A65" s="514" t="s">
        <v>220</v>
      </c>
      <c r="B65" s="514" t="s">
        <v>221</v>
      </c>
      <c r="C65" s="514" t="s">
        <v>270</v>
      </c>
      <c r="D65" s="514" t="s">
        <v>271</v>
      </c>
      <c r="E65" s="514" t="s">
        <v>223</v>
      </c>
      <c r="F65" s="517" t="s">
        <v>224</v>
      </c>
      <c r="G65" s="518"/>
      <c r="H65" s="518"/>
      <c r="I65" s="518"/>
      <c r="J65" s="519"/>
      <c r="K65" s="517" t="s">
        <v>272</v>
      </c>
      <c r="L65" s="518"/>
      <c r="M65" s="519"/>
    </row>
    <row r="66" spans="1:17" ht="15" thickBot="1" x14ac:dyDescent="0.35">
      <c r="A66" s="515"/>
      <c r="B66" s="515"/>
      <c r="C66" s="515"/>
      <c r="D66" s="515"/>
      <c r="E66" s="515"/>
      <c r="F66" s="520" t="s">
        <v>70</v>
      </c>
      <c r="G66" s="521"/>
      <c r="H66" s="520" t="s">
        <v>14</v>
      </c>
      <c r="I66" s="522"/>
      <c r="J66" s="521"/>
      <c r="K66" s="520" t="s">
        <v>70</v>
      </c>
      <c r="L66" s="521"/>
      <c r="M66" s="85" t="s">
        <v>14</v>
      </c>
    </row>
    <row r="67" spans="1:17" ht="15.75" customHeight="1" thickBot="1" x14ac:dyDescent="0.35">
      <c r="A67" s="516"/>
      <c r="B67" s="516"/>
      <c r="C67" s="516"/>
      <c r="D67" s="516"/>
      <c r="E67" s="516"/>
      <c r="F67" s="86" t="s">
        <v>234</v>
      </c>
      <c r="G67" s="86" t="s">
        <v>235</v>
      </c>
      <c r="H67" s="87" t="s">
        <v>236</v>
      </c>
      <c r="I67" s="88" t="s">
        <v>237</v>
      </c>
      <c r="J67" s="89" t="s">
        <v>238</v>
      </c>
      <c r="K67" s="86" t="s">
        <v>234</v>
      </c>
      <c r="L67" s="86" t="s">
        <v>235</v>
      </c>
      <c r="M67" s="86" t="s">
        <v>235</v>
      </c>
      <c r="O67" s="78"/>
    </row>
    <row r="68" spans="1:17" ht="15" thickBot="1" x14ac:dyDescent="0.35">
      <c r="A68" s="502" t="s">
        <v>18</v>
      </c>
      <c r="B68" s="505" t="s">
        <v>273</v>
      </c>
      <c r="C68" s="505" t="s">
        <v>274</v>
      </c>
      <c r="D68" s="505" t="s">
        <v>274</v>
      </c>
      <c r="E68" s="90" t="s">
        <v>243</v>
      </c>
      <c r="F68" s="451">
        <v>0</v>
      </c>
      <c r="G68" s="388">
        <v>937.61</v>
      </c>
      <c r="H68" s="388">
        <v>484.48</v>
      </c>
      <c r="I68" s="389"/>
      <c r="J68" s="389"/>
      <c r="K68" s="388">
        <v>0</v>
      </c>
      <c r="L68" s="388">
        <v>918.51</v>
      </c>
      <c r="M68" s="388">
        <v>492.47</v>
      </c>
      <c r="O68" s="78"/>
      <c r="P68" s="12"/>
      <c r="Q68" s="91"/>
    </row>
    <row r="69" spans="1:17" ht="15" thickBot="1" x14ac:dyDescent="0.35">
      <c r="A69" s="503"/>
      <c r="B69" s="506"/>
      <c r="C69" s="506"/>
      <c r="D69" s="506"/>
      <c r="E69" s="90" t="s">
        <v>275</v>
      </c>
      <c r="F69" s="451">
        <v>0</v>
      </c>
      <c r="G69" s="388">
        <v>651.29</v>
      </c>
      <c r="H69" s="388">
        <v>305.79000000000002</v>
      </c>
      <c r="I69" s="389"/>
      <c r="J69" s="389"/>
      <c r="K69" s="388">
        <v>0</v>
      </c>
      <c r="L69" s="388">
        <v>634.94000000000005</v>
      </c>
      <c r="M69" s="388">
        <v>316.45999999999998</v>
      </c>
      <c r="O69" s="79"/>
      <c r="P69" s="12"/>
    </row>
    <row r="70" spans="1:17" ht="15" thickBot="1" x14ac:dyDescent="0.35">
      <c r="A70" s="503"/>
      <c r="B70" s="507"/>
      <c r="C70" s="507"/>
      <c r="D70" s="507"/>
      <c r="E70" s="90" t="s">
        <v>245</v>
      </c>
      <c r="F70" s="451">
        <v>0</v>
      </c>
      <c r="G70" s="388">
        <v>364.96</v>
      </c>
      <c r="H70" s="388">
        <v>305.79000000000002</v>
      </c>
      <c r="I70" s="389"/>
      <c r="J70" s="389"/>
      <c r="K70" s="388">
        <v>0</v>
      </c>
      <c r="L70" s="388">
        <v>351.38</v>
      </c>
      <c r="M70" s="388">
        <v>316.45999999999998</v>
      </c>
      <c r="O70" s="12"/>
      <c r="P70" s="12"/>
    </row>
    <row r="71" spans="1:17" ht="15" thickBot="1" x14ac:dyDescent="0.35">
      <c r="A71" s="503"/>
      <c r="B71" s="505" t="s">
        <v>266</v>
      </c>
      <c r="C71" s="505" t="s">
        <v>274</v>
      </c>
      <c r="D71" s="92" t="s">
        <v>274</v>
      </c>
      <c r="E71" s="90" t="s">
        <v>242</v>
      </c>
      <c r="F71" s="452">
        <v>0</v>
      </c>
      <c r="G71" s="388">
        <v>468.63</v>
      </c>
      <c r="H71" s="388">
        <v>320.68</v>
      </c>
      <c r="I71" s="389"/>
      <c r="J71" s="389"/>
      <c r="K71" s="390">
        <v>0</v>
      </c>
      <c r="L71" s="388">
        <v>454.05</v>
      </c>
      <c r="M71" s="388">
        <v>331.12</v>
      </c>
      <c r="O71" s="78"/>
      <c r="P71" s="12"/>
    </row>
    <row r="72" spans="1:17" ht="15" thickBot="1" x14ac:dyDescent="0.35">
      <c r="A72" s="504"/>
      <c r="B72" s="507"/>
      <c r="C72" s="507"/>
      <c r="D72" s="92" t="s">
        <v>276</v>
      </c>
      <c r="E72" s="90" t="s">
        <v>242</v>
      </c>
      <c r="F72" s="452">
        <v>0</v>
      </c>
      <c r="G72" s="388">
        <v>325.43</v>
      </c>
      <c r="H72" s="388">
        <v>296.60000000000002</v>
      </c>
      <c r="I72" s="389"/>
      <c r="J72" s="389"/>
      <c r="K72" s="390">
        <v>0</v>
      </c>
      <c r="L72" s="388">
        <v>322.02999999999997</v>
      </c>
      <c r="M72" s="388">
        <v>307.29000000000002</v>
      </c>
      <c r="O72" s="78"/>
      <c r="P72" s="12"/>
    </row>
    <row r="73" spans="1:17" ht="15" thickBot="1" x14ac:dyDescent="0.35">
      <c r="A73" s="502" t="s">
        <v>100</v>
      </c>
      <c r="B73" s="505" t="s">
        <v>273</v>
      </c>
      <c r="C73" s="505" t="s">
        <v>277</v>
      </c>
      <c r="D73" s="505" t="s">
        <v>242</v>
      </c>
      <c r="E73" s="90" t="s">
        <v>243</v>
      </c>
      <c r="F73" s="451">
        <v>0</v>
      </c>
      <c r="G73" s="388">
        <v>1061.03</v>
      </c>
      <c r="H73" s="388">
        <v>484.48</v>
      </c>
      <c r="I73" s="389"/>
      <c r="J73" s="389"/>
      <c r="K73" s="388">
        <v>0</v>
      </c>
      <c r="L73" s="388">
        <v>1040.73</v>
      </c>
      <c r="M73" s="388">
        <v>492.47</v>
      </c>
      <c r="O73" s="78"/>
      <c r="P73" s="12"/>
    </row>
    <row r="74" spans="1:17" ht="15" thickBot="1" x14ac:dyDescent="0.35">
      <c r="A74" s="503"/>
      <c r="B74" s="506"/>
      <c r="C74" s="506"/>
      <c r="D74" s="506"/>
      <c r="E74" s="90" t="s">
        <v>275</v>
      </c>
      <c r="F74" s="451">
        <v>0</v>
      </c>
      <c r="G74" s="388">
        <v>725.34</v>
      </c>
      <c r="H74" s="388">
        <v>305.79000000000002</v>
      </c>
      <c r="I74" s="389"/>
      <c r="J74" s="389"/>
      <c r="K74" s="388">
        <v>0</v>
      </c>
      <c r="L74" s="388">
        <v>708.28</v>
      </c>
      <c r="M74" s="388">
        <v>316.45999999999998</v>
      </c>
      <c r="O74" s="12"/>
      <c r="P74" s="12"/>
    </row>
    <row r="75" spans="1:17" ht="15" thickBot="1" x14ac:dyDescent="0.35">
      <c r="A75" s="503"/>
      <c r="B75" s="507"/>
      <c r="C75" s="507"/>
      <c r="D75" s="507"/>
      <c r="E75" s="90" t="s">
        <v>245</v>
      </c>
      <c r="F75" s="451">
        <v>0</v>
      </c>
      <c r="G75" s="388">
        <v>389.65</v>
      </c>
      <c r="H75" s="388">
        <v>305.79000000000002</v>
      </c>
      <c r="I75" s="389"/>
      <c r="J75" s="389"/>
      <c r="K75" s="388">
        <v>0</v>
      </c>
      <c r="L75" s="388">
        <v>375.82</v>
      </c>
      <c r="M75" s="388">
        <v>316.45999999999998</v>
      </c>
      <c r="O75" s="12"/>
      <c r="P75" s="12"/>
    </row>
    <row r="76" spans="1:17" ht="15" thickBot="1" x14ac:dyDescent="0.35">
      <c r="A76" s="503"/>
      <c r="B76" s="92" t="s">
        <v>266</v>
      </c>
      <c r="C76" s="92" t="s">
        <v>277</v>
      </c>
      <c r="D76" s="92" t="s">
        <v>242</v>
      </c>
      <c r="E76" s="90" t="s">
        <v>242</v>
      </c>
      <c r="F76" s="451">
        <v>0</v>
      </c>
      <c r="G76" s="388">
        <v>468.63</v>
      </c>
      <c r="H76" s="388">
        <v>320.68</v>
      </c>
      <c r="I76" s="389"/>
      <c r="J76" s="389"/>
      <c r="K76" s="388">
        <v>0</v>
      </c>
      <c r="L76" s="388">
        <v>454.05</v>
      </c>
      <c r="M76" s="388">
        <v>331.12</v>
      </c>
      <c r="O76" s="12"/>
      <c r="P76" s="12"/>
    </row>
    <row r="77" spans="1:17" ht="15.75" customHeight="1" thickBot="1" x14ac:dyDescent="0.35">
      <c r="A77" s="503"/>
      <c r="B77" s="505" t="s">
        <v>273</v>
      </c>
      <c r="C77" s="505" t="s">
        <v>277</v>
      </c>
      <c r="D77" s="505" t="s">
        <v>278</v>
      </c>
      <c r="E77" s="90" t="s">
        <v>243</v>
      </c>
      <c r="F77" s="451">
        <v>0</v>
      </c>
      <c r="G77" s="388">
        <v>1061.03</v>
      </c>
      <c r="H77" s="388">
        <v>484.48</v>
      </c>
      <c r="I77" s="389"/>
      <c r="J77" s="389"/>
      <c r="K77" s="388">
        <v>0</v>
      </c>
      <c r="L77" s="388">
        <v>1040.73</v>
      </c>
      <c r="M77" s="388">
        <v>492.47</v>
      </c>
      <c r="O77" s="12"/>
      <c r="P77" s="12"/>
    </row>
    <row r="78" spans="1:17" ht="15" thickBot="1" x14ac:dyDescent="0.35">
      <c r="A78" s="503"/>
      <c r="B78" s="506"/>
      <c r="C78" s="506"/>
      <c r="D78" s="506"/>
      <c r="E78" s="90" t="s">
        <v>275</v>
      </c>
      <c r="F78" s="451">
        <v>0</v>
      </c>
      <c r="G78" s="388">
        <v>725.34</v>
      </c>
      <c r="H78" s="388">
        <v>305.79000000000002</v>
      </c>
      <c r="I78" s="389"/>
      <c r="J78" s="389"/>
      <c r="K78" s="388">
        <v>0</v>
      </c>
      <c r="L78" s="388">
        <v>708.28</v>
      </c>
      <c r="M78" s="388">
        <v>316.45999999999998</v>
      </c>
      <c r="O78" s="12"/>
      <c r="P78" s="12"/>
    </row>
    <row r="79" spans="1:17" ht="15" thickBot="1" x14ac:dyDescent="0.35">
      <c r="A79" s="503"/>
      <c r="B79" s="507"/>
      <c r="C79" s="507"/>
      <c r="D79" s="507"/>
      <c r="E79" s="90" t="s">
        <v>245</v>
      </c>
      <c r="F79" s="451">
        <v>0</v>
      </c>
      <c r="G79" s="388">
        <v>389.65</v>
      </c>
      <c r="H79" s="388">
        <v>305.79000000000002</v>
      </c>
      <c r="I79" s="389"/>
      <c r="J79" s="389"/>
      <c r="K79" s="388">
        <v>0</v>
      </c>
      <c r="L79" s="388">
        <v>375.82</v>
      </c>
      <c r="M79" s="388">
        <v>316.45999999999998</v>
      </c>
      <c r="O79" s="12"/>
      <c r="P79" s="12"/>
    </row>
    <row r="80" spans="1:17" ht="21" thickBot="1" x14ac:dyDescent="0.35">
      <c r="A80" s="503"/>
      <c r="B80" s="92" t="s">
        <v>266</v>
      </c>
      <c r="C80" s="92" t="s">
        <v>277</v>
      </c>
      <c r="D80" s="92" t="s">
        <v>278</v>
      </c>
      <c r="E80" s="90" t="s">
        <v>242</v>
      </c>
      <c r="F80" s="451">
        <v>0</v>
      </c>
      <c r="G80" s="388">
        <v>468.63</v>
      </c>
      <c r="H80" s="388">
        <v>320.68</v>
      </c>
      <c r="I80" s="389"/>
      <c r="J80" s="389"/>
      <c r="K80" s="388">
        <v>0</v>
      </c>
      <c r="L80" s="388">
        <v>454.05</v>
      </c>
      <c r="M80" s="388">
        <v>331.12</v>
      </c>
      <c r="O80" s="78"/>
      <c r="P80" s="12"/>
    </row>
    <row r="81" spans="1:16" ht="15.75" customHeight="1" thickBot="1" x14ac:dyDescent="0.35">
      <c r="A81" s="503"/>
      <c r="B81" s="505" t="s">
        <v>273</v>
      </c>
      <c r="C81" s="505" t="s">
        <v>277</v>
      </c>
      <c r="D81" s="505" t="s">
        <v>279</v>
      </c>
      <c r="E81" s="90" t="s">
        <v>243</v>
      </c>
      <c r="F81" s="451">
        <v>0</v>
      </c>
      <c r="G81" s="388">
        <v>1061.03</v>
      </c>
      <c r="H81" s="388">
        <v>484.48</v>
      </c>
      <c r="I81" s="389"/>
      <c r="J81" s="389"/>
      <c r="K81" s="388">
        <v>0</v>
      </c>
      <c r="L81" s="388">
        <v>1040.73</v>
      </c>
      <c r="M81" s="388">
        <v>492.47</v>
      </c>
      <c r="O81" s="78"/>
      <c r="P81" s="12"/>
    </row>
    <row r="82" spans="1:16" ht="15" thickBot="1" x14ac:dyDescent="0.35">
      <c r="A82" s="503"/>
      <c r="B82" s="506"/>
      <c r="C82" s="506"/>
      <c r="D82" s="506"/>
      <c r="E82" s="90" t="s">
        <v>275</v>
      </c>
      <c r="F82" s="451">
        <v>0</v>
      </c>
      <c r="G82" s="388">
        <v>725.34</v>
      </c>
      <c r="H82" s="388">
        <v>305.79000000000002</v>
      </c>
      <c r="I82" s="389"/>
      <c r="J82" s="389"/>
      <c r="K82" s="388">
        <v>0</v>
      </c>
      <c r="L82" s="388">
        <v>708.28</v>
      </c>
      <c r="M82" s="388">
        <v>316.45999999999998</v>
      </c>
      <c r="O82" s="79"/>
      <c r="P82" s="12"/>
    </row>
    <row r="83" spans="1:16" ht="15" thickBot="1" x14ac:dyDescent="0.35">
      <c r="A83" s="503"/>
      <c r="B83" s="507"/>
      <c r="C83" s="507"/>
      <c r="D83" s="507"/>
      <c r="E83" s="90" t="s">
        <v>245</v>
      </c>
      <c r="F83" s="451">
        <v>0</v>
      </c>
      <c r="G83" s="388">
        <v>389.65</v>
      </c>
      <c r="H83" s="388">
        <v>305.79000000000002</v>
      </c>
      <c r="I83" s="389"/>
      <c r="J83" s="389"/>
      <c r="K83" s="388">
        <v>0</v>
      </c>
      <c r="L83" s="388">
        <v>375.82</v>
      </c>
      <c r="M83" s="388">
        <v>316.45999999999998</v>
      </c>
      <c r="O83" s="12"/>
      <c r="P83" s="12"/>
    </row>
    <row r="84" spans="1:16" ht="21" thickBot="1" x14ac:dyDescent="0.35">
      <c r="A84" s="504"/>
      <c r="B84" s="92" t="s">
        <v>266</v>
      </c>
      <c r="C84" s="92" t="s">
        <v>277</v>
      </c>
      <c r="D84" s="92" t="s">
        <v>279</v>
      </c>
      <c r="E84" s="90" t="s">
        <v>242</v>
      </c>
      <c r="F84" s="451">
        <v>0</v>
      </c>
      <c r="G84" s="388">
        <v>468.63</v>
      </c>
      <c r="H84" s="388">
        <v>320.68</v>
      </c>
      <c r="I84" s="389"/>
      <c r="J84" s="389"/>
      <c r="K84" s="388">
        <v>0</v>
      </c>
      <c r="L84" s="388">
        <v>454.05</v>
      </c>
      <c r="M84" s="388">
        <v>331.12</v>
      </c>
      <c r="O84" s="78"/>
      <c r="P84" s="12"/>
    </row>
    <row r="85" spans="1:16" ht="15" thickBot="1" x14ac:dyDescent="0.35">
      <c r="A85" s="502" t="s">
        <v>141</v>
      </c>
      <c r="B85" s="505" t="s">
        <v>273</v>
      </c>
      <c r="C85" s="505" t="s">
        <v>242</v>
      </c>
      <c r="D85" s="505" t="s">
        <v>242</v>
      </c>
      <c r="E85" s="90" t="s">
        <v>243</v>
      </c>
      <c r="F85" s="451">
        <v>0</v>
      </c>
      <c r="G85" s="388">
        <v>1061.03</v>
      </c>
      <c r="H85" s="388">
        <v>484.48</v>
      </c>
      <c r="I85" s="389"/>
      <c r="J85" s="389"/>
      <c r="K85" s="388">
        <v>0</v>
      </c>
      <c r="L85" s="388">
        <v>1040.73</v>
      </c>
      <c r="M85" s="388">
        <v>492.47</v>
      </c>
      <c r="O85" s="78"/>
      <c r="P85" s="12"/>
    </row>
    <row r="86" spans="1:16" ht="15" thickBot="1" x14ac:dyDescent="0.35">
      <c r="A86" s="503"/>
      <c r="B86" s="506"/>
      <c r="C86" s="506"/>
      <c r="D86" s="506"/>
      <c r="E86" s="90" t="s">
        <v>275</v>
      </c>
      <c r="F86" s="451">
        <v>0</v>
      </c>
      <c r="G86" s="388">
        <v>725.34</v>
      </c>
      <c r="H86" s="388">
        <v>305.79000000000002</v>
      </c>
      <c r="I86" s="389"/>
      <c r="J86" s="389"/>
      <c r="K86" s="388">
        <v>0</v>
      </c>
      <c r="L86" s="388">
        <v>708.28</v>
      </c>
      <c r="M86" s="388">
        <v>316.45999999999998</v>
      </c>
      <c r="O86" s="78"/>
      <c r="P86" s="12"/>
    </row>
    <row r="87" spans="1:16" ht="15" thickBot="1" x14ac:dyDescent="0.35">
      <c r="A87" s="503"/>
      <c r="B87" s="507"/>
      <c r="C87" s="507"/>
      <c r="D87" s="507"/>
      <c r="E87" s="90" t="s">
        <v>245</v>
      </c>
      <c r="F87" s="451">
        <v>0</v>
      </c>
      <c r="G87" s="388">
        <v>389.65</v>
      </c>
      <c r="H87" s="388">
        <v>305.79000000000002</v>
      </c>
      <c r="I87" s="389"/>
      <c r="J87" s="389"/>
      <c r="K87" s="388">
        <v>0</v>
      </c>
      <c r="L87" s="388">
        <v>375.82</v>
      </c>
      <c r="M87" s="388">
        <v>316.45999999999998</v>
      </c>
      <c r="O87" s="12"/>
      <c r="P87" s="12"/>
    </row>
    <row r="88" spans="1:16" ht="15" thickBot="1" x14ac:dyDescent="0.35">
      <c r="A88" s="504"/>
      <c r="B88" s="92" t="s">
        <v>266</v>
      </c>
      <c r="C88" s="92" t="s">
        <v>242</v>
      </c>
      <c r="D88" s="92" t="s">
        <v>242</v>
      </c>
      <c r="E88" s="90" t="s">
        <v>242</v>
      </c>
      <c r="F88" s="451">
        <v>0</v>
      </c>
      <c r="G88" s="388">
        <v>468.63</v>
      </c>
      <c r="H88" s="388">
        <v>320.68</v>
      </c>
      <c r="I88" s="389"/>
      <c r="J88" s="389"/>
      <c r="K88" s="388">
        <v>0</v>
      </c>
      <c r="L88" s="388">
        <v>454.05</v>
      </c>
      <c r="M88" s="388">
        <v>331.12</v>
      </c>
      <c r="O88" s="12"/>
      <c r="P88" s="12"/>
    </row>
    <row r="89" spans="1:16" ht="21" thickBot="1" x14ac:dyDescent="0.35">
      <c r="A89" s="502" t="s">
        <v>280</v>
      </c>
      <c r="B89" s="505" t="s">
        <v>266</v>
      </c>
      <c r="C89" s="505" t="s">
        <v>281</v>
      </c>
      <c r="D89" s="92" t="s">
        <v>282</v>
      </c>
      <c r="E89" s="90" t="s">
        <v>242</v>
      </c>
      <c r="F89" s="451">
        <v>0</v>
      </c>
      <c r="G89" s="388">
        <v>257.75</v>
      </c>
      <c r="H89" s="388">
        <v>176.38</v>
      </c>
      <c r="I89" s="389"/>
      <c r="J89" s="389"/>
      <c r="K89" s="388">
        <v>0</v>
      </c>
      <c r="L89" s="388">
        <v>249.73</v>
      </c>
      <c r="M89" s="388">
        <v>182.12</v>
      </c>
      <c r="O89" s="12"/>
      <c r="P89" s="12"/>
    </row>
    <row r="90" spans="1:16" ht="21" thickBot="1" x14ac:dyDescent="0.35">
      <c r="A90" s="504"/>
      <c r="B90" s="507"/>
      <c r="C90" s="507"/>
      <c r="D90" s="92" t="s">
        <v>283</v>
      </c>
      <c r="E90" s="90" t="s">
        <v>242</v>
      </c>
      <c r="F90" s="451">
        <v>0</v>
      </c>
      <c r="G90" s="388">
        <v>281.18</v>
      </c>
      <c r="H90" s="388">
        <v>192.41</v>
      </c>
      <c r="I90" s="389"/>
      <c r="J90" s="389"/>
      <c r="K90" s="388">
        <v>0</v>
      </c>
      <c r="L90" s="388">
        <v>272.43</v>
      </c>
      <c r="M90" s="388">
        <v>198.67</v>
      </c>
      <c r="O90" s="12"/>
      <c r="P90" s="12"/>
    </row>
  </sheetData>
  <autoFilter ref="B1:B91" xr:uid="{00000000-0009-0000-0000-000002000000}"/>
  <customSheetViews>
    <customSheetView guid="{D812A0C8-60A1-4775-A604-FC65C9DC40BF}" scale="90" showAutoFilter="1" state="hidden" topLeftCell="A67">
      <selection activeCell="D87" sqref="D87:D89"/>
      <pageMargins left="0" right="0" top="0" bottom="0" header="0" footer="0"/>
      <pageSetup paperSize="9" orientation="portrait" r:id="rId1"/>
      <autoFilter ref="B1:B93" xr:uid="{200CCE94-121A-4EA5-9B83-A9F33D6C4C6B}"/>
    </customSheetView>
    <customSheetView guid="{8D3CE498-0ABB-4BB0-92D1-93DA2BDD5EDF}" scale="90" showAutoFilter="1" state="hidden" topLeftCell="A67">
      <selection activeCell="D87" sqref="D87:D89"/>
      <pageMargins left="0" right="0" top="0" bottom="0" header="0" footer="0"/>
      <pageSetup paperSize="9" orientation="portrait" r:id="rId2"/>
      <autoFilter ref="B1:B93" xr:uid="{1C93CE20-CC9C-47D8-9F4E-87116EB9404C}"/>
    </customSheetView>
    <customSheetView guid="{455EF305-F4BF-4162-9D3A-67B1D57A792B}" scale="90" showAutoFilter="1" state="hidden">
      <selection activeCell="A68" sqref="A68:A72"/>
      <pageMargins left="0" right="0" top="0" bottom="0" header="0" footer="0"/>
      <pageSetup paperSize="9" orientation="portrait" r:id="rId3"/>
      <autoFilter ref="B1:B91" xr:uid="{E4D45FA7-C395-42D8-91A9-9C2884CEE46D}"/>
    </customSheetView>
    <customSheetView guid="{AED82DA2-4B0E-4368-BF7F-A78E16192BBB}" scale="90" showAutoFilter="1" state="hidden">
      <selection activeCell="F68" sqref="F68:M90"/>
      <pageMargins left="0" right="0" top="0" bottom="0" header="0" footer="0"/>
      <pageSetup paperSize="9" orientation="portrait" r:id="rId4"/>
      <autoFilter ref="B1:B91" xr:uid="{FD550E86-9589-4ADC-8DBA-312803E93FC8}"/>
    </customSheetView>
    <customSheetView guid="{8AD5A21B-3743-481B-8B5E-3FEE10EB7B2F}" scale="90" showAutoFilter="1" state="hidden" topLeftCell="A67">
      <selection activeCell="D87" sqref="D87:D89"/>
      <pageMargins left="0" right="0" top="0" bottom="0" header="0" footer="0"/>
      <pageSetup paperSize="9" orientation="portrait" r:id="rId5"/>
      <autoFilter ref="B1:B93" xr:uid="{C9AD8915-3607-40BC-BF6D-E1C13250C19D}"/>
    </customSheetView>
  </customSheetViews>
  <mergeCells count="82">
    <mergeCell ref="B5:B6"/>
    <mergeCell ref="C5:C6"/>
    <mergeCell ref="B7:B8"/>
    <mergeCell ref="C7:C8"/>
    <mergeCell ref="A1:L1"/>
    <mergeCell ref="A2:A4"/>
    <mergeCell ref="B2:B4"/>
    <mergeCell ref="C2:C4"/>
    <mergeCell ref="E2:I2"/>
    <mergeCell ref="J2:L2"/>
    <mergeCell ref="E3:F3"/>
    <mergeCell ref="G3:I3"/>
    <mergeCell ref="J3:K3"/>
    <mergeCell ref="A9:A27"/>
    <mergeCell ref="B9:B10"/>
    <mergeCell ref="C9:C10"/>
    <mergeCell ref="B11:B12"/>
    <mergeCell ref="C11:C12"/>
    <mergeCell ref="B13:B15"/>
    <mergeCell ref="C13:C15"/>
    <mergeCell ref="B16:B27"/>
    <mergeCell ref="A28:A35"/>
    <mergeCell ref="B28:B29"/>
    <mergeCell ref="C28:C29"/>
    <mergeCell ref="B30:B31"/>
    <mergeCell ref="C30:C31"/>
    <mergeCell ref="B32:B34"/>
    <mergeCell ref="C32:C34"/>
    <mergeCell ref="C59:C61"/>
    <mergeCell ref="A48:A62"/>
    <mergeCell ref="B48:B49"/>
    <mergeCell ref="C48:C49"/>
    <mergeCell ref="B50:B51"/>
    <mergeCell ref="C50:C51"/>
    <mergeCell ref="B52:B54"/>
    <mergeCell ref="C52:C54"/>
    <mergeCell ref="B55:B57"/>
    <mergeCell ref="C55:C57"/>
    <mergeCell ref="B59:B61"/>
    <mergeCell ref="A36:A47"/>
    <mergeCell ref="B36:B37"/>
    <mergeCell ref="C36:C37"/>
    <mergeCell ref="B38:B39"/>
    <mergeCell ref="C38:C39"/>
    <mergeCell ref="B40:B42"/>
    <mergeCell ref="C40:C42"/>
    <mergeCell ref="B43:B45"/>
    <mergeCell ref="C43:C45"/>
    <mergeCell ref="H66:J66"/>
    <mergeCell ref="A64:M64"/>
    <mergeCell ref="A65:A67"/>
    <mergeCell ref="B65:B67"/>
    <mergeCell ref="C65:C67"/>
    <mergeCell ref="D65:D67"/>
    <mergeCell ref="E65:E67"/>
    <mergeCell ref="F65:J65"/>
    <mergeCell ref="K65:M65"/>
    <mergeCell ref="F66:G66"/>
    <mergeCell ref="K66:L66"/>
    <mergeCell ref="A68:A72"/>
    <mergeCell ref="B68:B70"/>
    <mergeCell ref="C68:C70"/>
    <mergeCell ref="D68:D70"/>
    <mergeCell ref="B71:B72"/>
    <mergeCell ref="C71:C72"/>
    <mergeCell ref="A73:A84"/>
    <mergeCell ref="B73:B75"/>
    <mergeCell ref="C73:C75"/>
    <mergeCell ref="D73:D75"/>
    <mergeCell ref="B77:B79"/>
    <mergeCell ref="C77:C79"/>
    <mergeCell ref="D77:D79"/>
    <mergeCell ref="B81:B83"/>
    <mergeCell ref="C81:C83"/>
    <mergeCell ref="D81:D83"/>
    <mergeCell ref="A85:A88"/>
    <mergeCell ref="B85:B87"/>
    <mergeCell ref="C85:C87"/>
    <mergeCell ref="D85:D87"/>
    <mergeCell ref="A89:A90"/>
    <mergeCell ref="B89:B90"/>
    <mergeCell ref="C89:C90"/>
  </mergeCells>
  <pageMargins left="0.511811024" right="0.511811024" top="0.78740157499999996" bottom="0.78740157499999996" header="0.31496062000000002" footer="0.31496062000000002"/>
  <pageSetup paperSize="9" orientation="portrait" r:id="rId6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2:T43"/>
  <sheetViews>
    <sheetView showGridLines="0" zoomScaleNormal="100" workbookViewId="0">
      <selection activeCell="G6" sqref="G6"/>
    </sheetView>
  </sheetViews>
  <sheetFormatPr defaultColWidth="9.109375" defaultRowHeight="10.199999999999999" x14ac:dyDescent="0.2"/>
  <cols>
    <col min="1" max="1" width="9.109375" style="337"/>
    <col min="2" max="2" width="11.109375" style="336" bestFit="1" customWidth="1"/>
    <col min="3" max="3" width="13.6640625" style="336" bestFit="1" customWidth="1"/>
    <col min="4" max="4" width="16.6640625" style="336" bestFit="1" customWidth="1"/>
    <col min="5" max="5" width="31.6640625" style="336" bestFit="1" customWidth="1"/>
    <col min="6" max="6" width="7" style="336" bestFit="1" customWidth="1"/>
    <col min="7" max="10" width="9.109375" style="336"/>
    <col min="11" max="11" width="13.109375" style="336" customWidth="1"/>
    <col min="12" max="13" width="9.109375" style="337"/>
    <col min="14" max="14" width="25.109375" style="337" bestFit="1" customWidth="1"/>
    <col min="15" max="16" width="9.109375" style="337"/>
    <col min="17" max="17" width="9.5546875" style="337" bestFit="1" customWidth="1"/>
    <col min="18" max="18" width="9.109375" style="337"/>
    <col min="19" max="19" width="9.5546875" style="337" bestFit="1" customWidth="1"/>
    <col min="20" max="16384" width="9.109375" style="337"/>
  </cols>
  <sheetData>
    <row r="2" spans="2:20" x14ac:dyDescent="0.2">
      <c r="B2" s="341" t="s">
        <v>6</v>
      </c>
    </row>
    <row r="3" spans="2:20" x14ac:dyDescent="0.2">
      <c r="K3" s="348"/>
      <c r="L3" s="332"/>
      <c r="M3" s="332"/>
      <c r="N3" s="332"/>
      <c r="O3" s="332"/>
      <c r="P3" s="332"/>
      <c r="Q3" s="332"/>
      <c r="R3" s="332"/>
      <c r="S3" s="332"/>
      <c r="T3" s="332"/>
    </row>
    <row r="4" spans="2:20" x14ac:dyDescent="0.2">
      <c r="B4" s="534" t="s">
        <v>220</v>
      </c>
      <c r="C4" s="534" t="s">
        <v>221</v>
      </c>
      <c r="D4" s="534" t="s">
        <v>284</v>
      </c>
      <c r="E4" s="534" t="s">
        <v>271</v>
      </c>
      <c r="F4" s="534" t="s">
        <v>223</v>
      </c>
      <c r="G4" s="534" t="s">
        <v>224</v>
      </c>
      <c r="H4" s="534"/>
      <c r="I4" s="534"/>
      <c r="J4" s="534"/>
      <c r="K4" s="534"/>
      <c r="L4" s="332"/>
      <c r="M4" s="332"/>
      <c r="N4" s="332"/>
      <c r="O4" s="332"/>
      <c r="P4" s="332"/>
      <c r="Q4" s="332"/>
      <c r="R4" s="332"/>
      <c r="S4" s="332"/>
      <c r="T4" s="332"/>
    </row>
    <row r="5" spans="2:20" x14ac:dyDescent="0.2">
      <c r="B5" s="534"/>
      <c r="C5" s="534"/>
      <c r="D5" s="534"/>
      <c r="E5" s="534"/>
      <c r="F5" s="534"/>
      <c r="G5" s="349" t="s">
        <v>285</v>
      </c>
      <c r="H5" s="349"/>
      <c r="I5" s="337"/>
      <c r="J5" s="535" t="s">
        <v>286</v>
      </c>
      <c r="K5" s="535"/>
      <c r="L5" s="332"/>
      <c r="M5" s="332"/>
      <c r="N5" s="332"/>
      <c r="O5" s="332"/>
      <c r="P5" s="332"/>
      <c r="Q5" s="532"/>
      <c r="R5" s="533"/>
      <c r="S5" s="332"/>
      <c r="T5" s="338"/>
    </row>
    <row r="6" spans="2:20" x14ac:dyDescent="0.2">
      <c r="B6" s="534"/>
      <c r="C6" s="534"/>
      <c r="D6" s="534"/>
      <c r="E6" s="534"/>
      <c r="F6" s="534"/>
      <c r="G6" s="339" t="s">
        <v>234</v>
      </c>
      <c r="H6" s="339" t="s">
        <v>235</v>
      </c>
      <c r="I6" s="337"/>
      <c r="J6" s="339" t="s">
        <v>234</v>
      </c>
      <c r="K6" s="339" t="s">
        <v>235</v>
      </c>
      <c r="L6" s="332"/>
      <c r="M6" s="332"/>
      <c r="N6" s="332"/>
      <c r="O6" s="332"/>
      <c r="P6" s="332"/>
      <c r="Q6" s="331"/>
      <c r="R6" s="331"/>
      <c r="S6" s="331"/>
      <c r="T6" s="331"/>
    </row>
    <row r="7" spans="2:20" x14ac:dyDescent="0.2">
      <c r="B7" s="82" t="s">
        <v>18</v>
      </c>
      <c r="C7" s="82" t="s">
        <v>273</v>
      </c>
      <c r="D7" s="82" t="s">
        <v>274</v>
      </c>
      <c r="E7" s="82" t="s">
        <v>274</v>
      </c>
      <c r="F7" s="82" t="s">
        <v>243</v>
      </c>
      <c r="G7" s="324">
        <v>0</v>
      </c>
      <c r="H7" s="324">
        <v>536.46786636203467</v>
      </c>
      <c r="I7" s="337"/>
      <c r="J7" s="324">
        <v>0</v>
      </c>
      <c r="K7" s="324">
        <v>591.10909360219489</v>
      </c>
      <c r="L7" s="333"/>
      <c r="M7" s="333"/>
      <c r="N7" s="333"/>
      <c r="O7" s="333"/>
      <c r="P7" s="333"/>
      <c r="Q7" s="340"/>
      <c r="S7" s="340"/>
    </row>
    <row r="8" spans="2:20" x14ac:dyDescent="0.2">
      <c r="B8" s="82" t="s">
        <v>18</v>
      </c>
      <c r="C8" s="82" t="s">
        <v>273</v>
      </c>
      <c r="D8" s="82" t="s">
        <v>274</v>
      </c>
      <c r="E8" s="82" t="s">
        <v>274</v>
      </c>
      <c r="F8" s="82" t="s">
        <v>275</v>
      </c>
      <c r="G8" s="324">
        <v>0</v>
      </c>
      <c r="H8" s="324">
        <v>321.88074063179516</v>
      </c>
      <c r="I8" s="337"/>
      <c r="J8" s="324">
        <v>0</v>
      </c>
      <c r="K8" s="324">
        <v>354.66549637373629</v>
      </c>
      <c r="L8" s="333"/>
      <c r="M8" s="333"/>
      <c r="N8" s="333"/>
      <c r="O8" s="333"/>
      <c r="P8" s="333"/>
      <c r="Q8" s="340"/>
      <c r="S8" s="340"/>
    </row>
    <row r="9" spans="2:20" x14ac:dyDescent="0.2">
      <c r="B9" s="82" t="s">
        <v>18</v>
      </c>
      <c r="C9" s="82" t="s">
        <v>273</v>
      </c>
      <c r="D9" s="82" t="s">
        <v>274</v>
      </c>
      <c r="E9" s="82" t="s">
        <v>274</v>
      </c>
      <c r="F9" s="82" t="s">
        <v>245</v>
      </c>
      <c r="G9" s="324">
        <v>0</v>
      </c>
      <c r="H9" s="324">
        <v>107.29361490155564</v>
      </c>
      <c r="I9" s="337"/>
      <c r="J9" s="324">
        <v>0</v>
      </c>
      <c r="K9" s="324">
        <v>118.2217986142293</v>
      </c>
      <c r="L9" s="333"/>
      <c r="M9" s="333"/>
      <c r="N9" s="333"/>
      <c r="O9" s="333"/>
      <c r="P9" s="333"/>
      <c r="R9" s="340"/>
      <c r="T9" s="340"/>
    </row>
    <row r="10" spans="2:20" x14ac:dyDescent="0.2">
      <c r="B10" s="82" t="s">
        <v>18</v>
      </c>
      <c r="C10" s="82" t="s">
        <v>287</v>
      </c>
      <c r="D10" s="82" t="s">
        <v>274</v>
      </c>
      <c r="E10" s="82" t="s">
        <v>274</v>
      </c>
      <c r="F10" s="82" t="s">
        <v>242</v>
      </c>
      <c r="G10" s="324">
        <v>0</v>
      </c>
      <c r="H10" s="324">
        <v>188.23431351264014</v>
      </c>
      <c r="I10" s="337"/>
      <c r="J10" s="324">
        <v>0</v>
      </c>
      <c r="K10" s="324">
        <v>203.83072193179135</v>
      </c>
      <c r="L10" s="333"/>
      <c r="M10" s="333"/>
      <c r="N10" s="333"/>
      <c r="O10" s="333"/>
      <c r="P10" s="333"/>
      <c r="R10" s="340"/>
      <c r="T10" s="340"/>
    </row>
    <row r="11" spans="2:20" x14ac:dyDescent="0.2">
      <c r="B11" s="82" t="s">
        <v>18</v>
      </c>
      <c r="C11" s="82" t="s">
        <v>266</v>
      </c>
      <c r="D11" s="82" t="s">
        <v>274</v>
      </c>
      <c r="E11" s="82" t="s">
        <v>274</v>
      </c>
      <c r="F11" s="82" t="s">
        <v>242</v>
      </c>
      <c r="G11" s="324">
        <v>0</v>
      </c>
      <c r="H11" s="324">
        <v>188.23431351264014</v>
      </c>
      <c r="I11" s="337"/>
      <c r="J11" s="324">
        <v>0</v>
      </c>
      <c r="K11" s="324">
        <v>203.83072193179135</v>
      </c>
      <c r="L11" s="333"/>
      <c r="M11" s="333"/>
      <c r="N11" s="333"/>
      <c r="O11" s="333"/>
      <c r="P11" s="333"/>
      <c r="R11" s="340"/>
      <c r="T11" s="340"/>
    </row>
    <row r="12" spans="2:20" x14ac:dyDescent="0.2">
      <c r="B12" s="82" t="s">
        <v>18</v>
      </c>
      <c r="C12" s="82" t="s">
        <v>287</v>
      </c>
      <c r="D12" s="82" t="s">
        <v>274</v>
      </c>
      <c r="E12" s="82" t="s">
        <v>288</v>
      </c>
      <c r="F12" s="82" t="s">
        <v>242</v>
      </c>
      <c r="G12" s="324">
        <v>0</v>
      </c>
      <c r="H12" s="324">
        <v>188.23431351264014</v>
      </c>
      <c r="I12" s="337"/>
      <c r="J12" s="324">
        <v>0</v>
      </c>
      <c r="K12" s="324">
        <v>203.83072193179135</v>
      </c>
      <c r="L12" s="333"/>
      <c r="M12" s="333"/>
      <c r="N12" s="334"/>
      <c r="O12" s="333"/>
      <c r="P12" s="333"/>
      <c r="R12" s="340"/>
      <c r="T12" s="340"/>
    </row>
    <row r="13" spans="2:20" x14ac:dyDescent="0.2">
      <c r="B13" s="82" t="s">
        <v>18</v>
      </c>
      <c r="C13" s="82" t="s">
        <v>266</v>
      </c>
      <c r="D13" s="82" t="s">
        <v>274</v>
      </c>
      <c r="E13" s="82" t="s">
        <v>288</v>
      </c>
      <c r="F13" s="82" t="s">
        <v>242</v>
      </c>
      <c r="G13" s="324">
        <v>0</v>
      </c>
      <c r="H13" s="324">
        <v>188.23431351264014</v>
      </c>
      <c r="I13" s="337"/>
      <c r="J13" s="324">
        <v>0</v>
      </c>
      <c r="K13" s="324">
        <v>203.83072193179135</v>
      </c>
      <c r="L13" s="333"/>
      <c r="M13" s="333"/>
      <c r="N13" s="334"/>
      <c r="O13" s="333"/>
      <c r="P13" s="333"/>
      <c r="R13" s="340"/>
      <c r="T13" s="340"/>
    </row>
    <row r="14" spans="2:20" x14ac:dyDescent="0.2">
      <c r="B14" s="82" t="s">
        <v>100</v>
      </c>
      <c r="C14" s="82" t="s">
        <v>273</v>
      </c>
      <c r="D14" s="82" t="s">
        <v>277</v>
      </c>
      <c r="E14" s="82" t="s">
        <v>289</v>
      </c>
      <c r="F14" s="82" t="s">
        <v>243</v>
      </c>
      <c r="G14" s="324">
        <v>0</v>
      </c>
      <c r="H14" s="324">
        <v>574.11477069371142</v>
      </c>
      <c r="I14" s="337"/>
      <c r="J14" s="324">
        <v>0</v>
      </c>
      <c r="K14" s="324">
        <v>693.02445456809062</v>
      </c>
      <c r="L14" s="333"/>
      <c r="M14" s="333"/>
      <c r="N14" s="334"/>
      <c r="O14" s="333"/>
      <c r="P14" s="333"/>
      <c r="R14" s="340"/>
      <c r="T14" s="340"/>
    </row>
    <row r="15" spans="2:20" x14ac:dyDescent="0.2">
      <c r="B15" s="82" t="s">
        <v>100</v>
      </c>
      <c r="C15" s="82" t="s">
        <v>273</v>
      </c>
      <c r="D15" s="82" t="s">
        <v>277</v>
      </c>
      <c r="E15" s="82" t="s">
        <v>289</v>
      </c>
      <c r="F15" s="82" t="s">
        <v>275</v>
      </c>
      <c r="G15" s="324">
        <v>0</v>
      </c>
      <c r="H15" s="324">
        <v>344.46882078707813</v>
      </c>
      <c r="I15" s="337"/>
      <c r="J15" s="324">
        <v>0</v>
      </c>
      <c r="K15" s="324">
        <v>415.81471295327373</v>
      </c>
      <c r="L15" s="333"/>
      <c r="M15" s="333"/>
      <c r="N15" s="334"/>
      <c r="O15" s="333"/>
      <c r="P15" s="333"/>
      <c r="R15" s="340"/>
      <c r="T15" s="340"/>
    </row>
    <row r="16" spans="2:20" x14ac:dyDescent="0.2">
      <c r="B16" s="82" t="s">
        <v>100</v>
      </c>
      <c r="C16" s="82" t="s">
        <v>273</v>
      </c>
      <c r="D16" s="82" t="s">
        <v>277</v>
      </c>
      <c r="E16" s="82" t="s">
        <v>289</v>
      </c>
      <c r="F16" s="82" t="s">
        <v>245</v>
      </c>
      <c r="G16" s="324">
        <v>0</v>
      </c>
      <c r="H16" s="324">
        <v>114.82297495331665</v>
      </c>
      <c r="I16" s="337"/>
      <c r="J16" s="324">
        <v>0</v>
      </c>
      <c r="K16" s="324">
        <v>138.60487080740845</v>
      </c>
      <c r="L16" s="333"/>
      <c r="M16" s="333"/>
      <c r="N16" s="334"/>
      <c r="O16" s="333"/>
      <c r="P16" s="333"/>
      <c r="R16" s="340"/>
      <c r="T16" s="340"/>
    </row>
    <row r="17" spans="2:20" x14ac:dyDescent="0.2">
      <c r="B17" s="82" t="s">
        <v>100</v>
      </c>
      <c r="C17" s="82" t="s">
        <v>287</v>
      </c>
      <c r="D17" s="82" t="s">
        <v>277</v>
      </c>
      <c r="E17" s="82" t="s">
        <v>289</v>
      </c>
      <c r="F17" s="82" t="s">
        <v>242</v>
      </c>
      <c r="G17" s="324">
        <v>0</v>
      </c>
      <c r="H17" s="324">
        <v>188.23431351264014</v>
      </c>
      <c r="I17" s="337"/>
      <c r="J17" s="324">
        <v>0</v>
      </c>
      <c r="K17" s="324">
        <v>203.83072193179135</v>
      </c>
      <c r="L17" s="333"/>
      <c r="M17" s="333"/>
      <c r="N17" s="334"/>
      <c r="O17" s="333"/>
      <c r="P17" s="333"/>
      <c r="R17" s="340"/>
      <c r="T17" s="340"/>
    </row>
    <row r="18" spans="2:20" x14ac:dyDescent="0.2">
      <c r="B18" s="82" t="s">
        <v>100</v>
      </c>
      <c r="C18" s="82" t="s">
        <v>266</v>
      </c>
      <c r="D18" s="82" t="s">
        <v>277</v>
      </c>
      <c r="E18" s="82" t="s">
        <v>289</v>
      </c>
      <c r="F18" s="82" t="s">
        <v>242</v>
      </c>
      <c r="G18" s="324">
        <v>0</v>
      </c>
      <c r="H18" s="324">
        <v>188.23431351264014</v>
      </c>
      <c r="I18" s="337"/>
      <c r="J18" s="324">
        <v>0</v>
      </c>
      <c r="K18" s="324">
        <v>203.83072193179135</v>
      </c>
      <c r="L18" s="333"/>
      <c r="M18" s="333"/>
      <c r="N18" s="334"/>
      <c r="O18" s="333"/>
      <c r="P18" s="333"/>
      <c r="R18" s="340"/>
      <c r="T18" s="340"/>
    </row>
    <row r="19" spans="2:20" x14ac:dyDescent="0.2">
      <c r="B19" s="82" t="s">
        <v>100</v>
      </c>
      <c r="C19" s="82" t="s">
        <v>273</v>
      </c>
      <c r="D19" s="82" t="s">
        <v>277</v>
      </c>
      <c r="E19" s="82" t="s">
        <v>278</v>
      </c>
      <c r="F19" s="82" t="s">
        <v>243</v>
      </c>
      <c r="G19" s="324">
        <v>0</v>
      </c>
      <c r="H19" s="324">
        <v>574.11477069371142</v>
      </c>
      <c r="I19" s="337"/>
      <c r="J19" s="324">
        <v>0</v>
      </c>
      <c r="K19" s="324">
        <v>693.02445456809062</v>
      </c>
      <c r="L19" s="333"/>
      <c r="M19" s="333"/>
      <c r="N19" s="334"/>
      <c r="O19" s="333"/>
      <c r="P19" s="333"/>
      <c r="R19" s="340"/>
      <c r="T19" s="340"/>
    </row>
    <row r="20" spans="2:20" x14ac:dyDescent="0.2">
      <c r="B20" s="82" t="s">
        <v>100</v>
      </c>
      <c r="C20" s="82" t="s">
        <v>273</v>
      </c>
      <c r="D20" s="82" t="s">
        <v>277</v>
      </c>
      <c r="E20" s="82" t="s">
        <v>278</v>
      </c>
      <c r="F20" s="82" t="s">
        <v>275</v>
      </c>
      <c r="G20" s="324">
        <v>0</v>
      </c>
      <c r="H20" s="324">
        <v>344.46882078707813</v>
      </c>
      <c r="I20" s="337"/>
      <c r="J20" s="324">
        <v>0</v>
      </c>
      <c r="K20" s="324">
        <v>415.81471295327373</v>
      </c>
      <c r="L20" s="333"/>
      <c r="M20" s="333"/>
      <c r="N20" s="334"/>
      <c r="O20" s="333"/>
      <c r="P20" s="333"/>
      <c r="R20" s="340"/>
      <c r="T20" s="340"/>
    </row>
    <row r="21" spans="2:20" x14ac:dyDescent="0.2">
      <c r="B21" s="82" t="s">
        <v>100</v>
      </c>
      <c r="C21" s="82" t="s">
        <v>273</v>
      </c>
      <c r="D21" s="82" t="s">
        <v>277</v>
      </c>
      <c r="E21" s="82" t="s">
        <v>278</v>
      </c>
      <c r="F21" s="82" t="s">
        <v>245</v>
      </c>
      <c r="G21" s="324">
        <v>0</v>
      </c>
      <c r="H21" s="324">
        <v>114.82297495331665</v>
      </c>
      <c r="I21" s="337"/>
      <c r="J21" s="324">
        <v>0</v>
      </c>
      <c r="K21" s="324">
        <v>138.60487080740845</v>
      </c>
      <c r="L21" s="333"/>
      <c r="M21" s="333"/>
      <c r="N21" s="334"/>
      <c r="O21" s="333"/>
      <c r="P21" s="333"/>
      <c r="R21" s="340"/>
      <c r="T21" s="340"/>
    </row>
    <row r="22" spans="2:20" x14ac:dyDescent="0.2">
      <c r="B22" s="82" t="s">
        <v>100</v>
      </c>
      <c r="C22" s="82" t="s">
        <v>287</v>
      </c>
      <c r="D22" s="82" t="s">
        <v>277</v>
      </c>
      <c r="E22" s="82" t="s">
        <v>278</v>
      </c>
      <c r="F22" s="82" t="s">
        <v>242</v>
      </c>
      <c r="G22" s="324">
        <v>0</v>
      </c>
      <c r="H22" s="324">
        <v>188.23431351264014</v>
      </c>
      <c r="I22" s="337"/>
      <c r="J22" s="324">
        <v>0</v>
      </c>
      <c r="K22" s="324">
        <v>203.83072193179135</v>
      </c>
      <c r="L22" s="333"/>
      <c r="M22" s="333"/>
      <c r="N22" s="333"/>
      <c r="O22" s="333"/>
      <c r="P22" s="333"/>
      <c r="R22" s="340"/>
      <c r="T22" s="340"/>
    </row>
    <row r="23" spans="2:20" x14ac:dyDescent="0.2">
      <c r="B23" s="82" t="s">
        <v>100</v>
      </c>
      <c r="C23" s="82" t="s">
        <v>266</v>
      </c>
      <c r="D23" s="82" t="s">
        <v>277</v>
      </c>
      <c r="E23" s="82" t="s">
        <v>278</v>
      </c>
      <c r="F23" s="82" t="s">
        <v>242</v>
      </c>
      <c r="G23" s="324">
        <v>0</v>
      </c>
      <c r="H23" s="324">
        <v>188.23431351264014</v>
      </c>
      <c r="I23" s="337"/>
      <c r="J23" s="324">
        <v>0</v>
      </c>
      <c r="K23" s="324">
        <v>203.83072193179135</v>
      </c>
      <c r="L23" s="333"/>
      <c r="M23" s="333"/>
      <c r="N23" s="333"/>
      <c r="O23" s="333"/>
      <c r="P23" s="333"/>
      <c r="R23" s="340"/>
      <c r="T23" s="340"/>
    </row>
    <row r="24" spans="2:20" x14ac:dyDescent="0.2">
      <c r="B24" s="82" t="s">
        <v>100</v>
      </c>
      <c r="C24" s="82" t="s">
        <v>273</v>
      </c>
      <c r="D24" s="82" t="s">
        <v>277</v>
      </c>
      <c r="E24" s="82" t="s">
        <v>279</v>
      </c>
      <c r="F24" s="82" t="s">
        <v>243</v>
      </c>
      <c r="G24" s="324">
        <v>0</v>
      </c>
      <c r="H24" s="324">
        <v>574.11477069371142</v>
      </c>
      <c r="I24" s="337"/>
      <c r="J24" s="324">
        <v>0</v>
      </c>
      <c r="K24" s="324">
        <v>693.02445456809062</v>
      </c>
      <c r="L24" s="333"/>
      <c r="M24" s="333"/>
      <c r="N24" s="333"/>
      <c r="O24" s="333"/>
      <c r="P24" s="333"/>
      <c r="R24" s="340"/>
      <c r="T24" s="340"/>
    </row>
    <row r="25" spans="2:20" x14ac:dyDescent="0.2">
      <c r="B25" s="82" t="s">
        <v>100</v>
      </c>
      <c r="C25" s="82" t="s">
        <v>273</v>
      </c>
      <c r="D25" s="82" t="s">
        <v>277</v>
      </c>
      <c r="E25" s="82" t="s">
        <v>279</v>
      </c>
      <c r="F25" s="82" t="s">
        <v>275</v>
      </c>
      <c r="G25" s="324">
        <v>0</v>
      </c>
      <c r="H25" s="324">
        <v>344.46882078707813</v>
      </c>
      <c r="I25" s="337"/>
      <c r="J25" s="324">
        <v>0</v>
      </c>
      <c r="K25" s="324">
        <v>415.81471295327373</v>
      </c>
      <c r="L25" s="334"/>
      <c r="M25" s="333"/>
      <c r="N25" s="334"/>
      <c r="O25" s="333"/>
      <c r="P25" s="333"/>
      <c r="R25" s="340"/>
      <c r="T25" s="340"/>
    </row>
    <row r="26" spans="2:20" x14ac:dyDescent="0.2">
      <c r="B26" s="82" t="s">
        <v>100</v>
      </c>
      <c r="C26" s="82" t="s">
        <v>273</v>
      </c>
      <c r="D26" s="82" t="s">
        <v>277</v>
      </c>
      <c r="E26" s="82" t="s">
        <v>279</v>
      </c>
      <c r="F26" s="82" t="s">
        <v>245</v>
      </c>
      <c r="G26" s="324">
        <v>0</v>
      </c>
      <c r="H26" s="324">
        <v>114.82297495331665</v>
      </c>
      <c r="I26" s="337"/>
      <c r="J26" s="324">
        <v>0</v>
      </c>
      <c r="K26" s="324">
        <v>138.60487080740845</v>
      </c>
      <c r="L26" s="333"/>
      <c r="M26" s="333"/>
      <c r="N26" s="333"/>
      <c r="O26" s="333"/>
      <c r="P26" s="333"/>
      <c r="R26" s="340"/>
      <c r="T26" s="340"/>
    </row>
    <row r="27" spans="2:20" x14ac:dyDescent="0.2">
      <c r="B27" s="82" t="s">
        <v>100</v>
      </c>
      <c r="C27" s="82" t="s">
        <v>287</v>
      </c>
      <c r="D27" s="82" t="s">
        <v>277</v>
      </c>
      <c r="E27" s="82" t="s">
        <v>279</v>
      </c>
      <c r="F27" s="82" t="s">
        <v>242</v>
      </c>
      <c r="G27" s="324">
        <v>0</v>
      </c>
      <c r="H27" s="324">
        <v>188.23431351264014</v>
      </c>
      <c r="I27" s="337"/>
      <c r="J27" s="324">
        <v>0</v>
      </c>
      <c r="K27" s="324">
        <v>203.83072193179135</v>
      </c>
      <c r="L27" s="333"/>
      <c r="M27" s="333"/>
      <c r="N27" s="333"/>
      <c r="O27" s="333"/>
      <c r="P27" s="333"/>
      <c r="R27" s="340"/>
      <c r="T27" s="340"/>
    </row>
    <row r="28" spans="2:20" x14ac:dyDescent="0.2">
      <c r="B28" s="82" t="s">
        <v>100</v>
      </c>
      <c r="C28" s="82" t="s">
        <v>266</v>
      </c>
      <c r="D28" s="82" t="s">
        <v>277</v>
      </c>
      <c r="E28" s="82" t="s">
        <v>279</v>
      </c>
      <c r="F28" s="82" t="s">
        <v>242</v>
      </c>
      <c r="G28" s="324">
        <v>0</v>
      </c>
      <c r="H28" s="324">
        <v>188.23431351264014</v>
      </c>
      <c r="I28" s="337"/>
      <c r="J28" s="324">
        <v>0</v>
      </c>
      <c r="K28" s="324">
        <v>203.83072193179135</v>
      </c>
      <c r="L28" s="333"/>
      <c r="M28" s="333"/>
      <c r="N28" s="333"/>
      <c r="O28" s="333"/>
      <c r="P28" s="333"/>
      <c r="R28" s="340"/>
      <c r="T28" s="340"/>
    </row>
    <row r="29" spans="2:20" x14ac:dyDescent="0.2">
      <c r="B29" s="82" t="s">
        <v>141</v>
      </c>
      <c r="C29" s="82" t="s">
        <v>273</v>
      </c>
      <c r="D29" s="82" t="s">
        <v>242</v>
      </c>
      <c r="E29" s="82" t="s">
        <v>242</v>
      </c>
      <c r="F29" s="82" t="s">
        <v>243</v>
      </c>
      <c r="G29" s="324">
        <v>0</v>
      </c>
      <c r="H29" s="324">
        <v>658.8202013671123</v>
      </c>
      <c r="I29" s="337"/>
      <c r="J29" s="324">
        <v>0</v>
      </c>
      <c r="K29" s="324">
        <v>693.02445456809062</v>
      </c>
      <c r="L29" s="334"/>
      <c r="M29" s="333"/>
      <c r="N29" s="334"/>
      <c r="O29" s="333"/>
      <c r="P29" s="333"/>
      <c r="R29" s="340"/>
      <c r="T29" s="340"/>
    </row>
    <row r="30" spans="2:20" x14ac:dyDescent="0.2">
      <c r="B30" s="82" t="s">
        <v>141</v>
      </c>
      <c r="C30" s="82" t="s">
        <v>273</v>
      </c>
      <c r="D30" s="82" t="s">
        <v>242</v>
      </c>
      <c r="E30" s="82" t="s">
        <v>242</v>
      </c>
      <c r="F30" s="82" t="s">
        <v>275</v>
      </c>
      <c r="G30" s="324">
        <v>0</v>
      </c>
      <c r="H30" s="324">
        <v>395.29207919111866</v>
      </c>
      <c r="I30" s="337"/>
      <c r="J30" s="324">
        <v>0</v>
      </c>
      <c r="K30" s="324">
        <v>415.81471295327373</v>
      </c>
      <c r="L30" s="333"/>
      <c r="M30" s="333"/>
      <c r="N30" s="333"/>
      <c r="O30" s="333"/>
      <c r="P30" s="333"/>
      <c r="R30" s="340"/>
      <c r="T30" s="340"/>
    </row>
    <row r="31" spans="2:20" x14ac:dyDescent="0.2">
      <c r="B31" s="82" t="s">
        <v>141</v>
      </c>
      <c r="C31" s="82" t="s">
        <v>273</v>
      </c>
      <c r="D31" s="82" t="s">
        <v>242</v>
      </c>
      <c r="E31" s="82" t="s">
        <v>242</v>
      </c>
      <c r="F31" s="82" t="s">
        <v>245</v>
      </c>
      <c r="G31" s="324">
        <v>0</v>
      </c>
      <c r="H31" s="324">
        <v>131.76406108799679</v>
      </c>
      <c r="I31" s="337"/>
      <c r="J31" s="324">
        <v>0</v>
      </c>
      <c r="K31" s="324">
        <v>138.60487080740845</v>
      </c>
      <c r="L31" s="333"/>
      <c r="M31" s="333"/>
      <c r="N31" s="333"/>
      <c r="O31" s="333"/>
      <c r="P31" s="333"/>
      <c r="R31" s="340"/>
      <c r="T31" s="340"/>
    </row>
    <row r="32" spans="2:20" x14ac:dyDescent="0.2">
      <c r="B32" s="82" t="s">
        <v>141</v>
      </c>
      <c r="C32" s="82" t="s">
        <v>287</v>
      </c>
      <c r="D32" s="82" t="s">
        <v>242</v>
      </c>
      <c r="E32" s="82" t="s">
        <v>242</v>
      </c>
      <c r="F32" s="82" t="s">
        <v>242</v>
      </c>
      <c r="G32" s="324">
        <v>0</v>
      </c>
      <c r="H32" s="324">
        <v>188.23431351264014</v>
      </c>
      <c r="I32" s="337"/>
      <c r="J32" s="324">
        <v>0</v>
      </c>
      <c r="K32" s="324">
        <v>203.83072193179135</v>
      </c>
      <c r="L32" s="333"/>
      <c r="M32" s="333"/>
      <c r="N32" s="333"/>
      <c r="O32" s="333"/>
      <c r="P32" s="333"/>
      <c r="R32" s="340"/>
      <c r="T32" s="340"/>
    </row>
    <row r="33" spans="2:20" x14ac:dyDescent="0.2">
      <c r="B33" s="82" t="s">
        <v>141</v>
      </c>
      <c r="C33" s="82" t="s">
        <v>266</v>
      </c>
      <c r="D33" s="82" t="s">
        <v>242</v>
      </c>
      <c r="E33" s="82" t="s">
        <v>242</v>
      </c>
      <c r="F33" s="82" t="s">
        <v>242</v>
      </c>
      <c r="G33" s="324">
        <v>0</v>
      </c>
      <c r="H33" s="324">
        <v>188.23431351264014</v>
      </c>
      <c r="I33" s="337"/>
      <c r="J33" s="324">
        <v>0</v>
      </c>
      <c r="K33" s="324">
        <v>203.83072193179135</v>
      </c>
      <c r="L33" s="334"/>
      <c r="M33" s="333"/>
      <c r="N33" s="334"/>
      <c r="O33" s="333"/>
      <c r="P33" s="333"/>
      <c r="R33" s="340"/>
      <c r="T33" s="340"/>
    </row>
    <row r="34" spans="2:20" x14ac:dyDescent="0.2">
      <c r="B34" s="82" t="s">
        <v>280</v>
      </c>
      <c r="C34" s="82" t="s">
        <v>266</v>
      </c>
      <c r="D34" s="82" t="s">
        <v>281</v>
      </c>
      <c r="E34" s="82" t="s">
        <v>290</v>
      </c>
      <c r="F34" s="82" t="s">
        <v>242</v>
      </c>
      <c r="G34" s="324">
        <v>0</v>
      </c>
      <c r="H34" s="324">
        <v>103.52887243195208</v>
      </c>
      <c r="I34" s="337"/>
      <c r="J34" s="324">
        <v>0</v>
      </c>
      <c r="K34" s="324">
        <v>112.10689706248526</v>
      </c>
      <c r="L34" s="334"/>
      <c r="M34" s="333"/>
      <c r="N34" s="334"/>
      <c r="O34" s="333"/>
      <c r="P34" s="333"/>
      <c r="R34" s="340"/>
      <c r="T34" s="340"/>
    </row>
    <row r="35" spans="2:20" x14ac:dyDescent="0.2">
      <c r="B35" s="82" t="s">
        <v>280</v>
      </c>
      <c r="C35" s="82" t="s">
        <v>266</v>
      </c>
      <c r="D35" s="82" t="s">
        <v>281</v>
      </c>
      <c r="E35" s="82" t="s">
        <v>291</v>
      </c>
      <c r="F35" s="82" t="s">
        <v>242</v>
      </c>
      <c r="G35" s="324">
        <v>0</v>
      </c>
      <c r="H35" s="324">
        <v>112.94058810758408</v>
      </c>
      <c r="I35" s="337"/>
      <c r="J35" s="324">
        <v>0</v>
      </c>
      <c r="K35" s="324">
        <v>122.2984331590748</v>
      </c>
      <c r="L35" s="334"/>
      <c r="M35" s="333"/>
      <c r="N35" s="334"/>
      <c r="O35" s="333"/>
      <c r="P35" s="333"/>
      <c r="R35" s="340"/>
      <c r="T35" s="340"/>
    </row>
    <row r="36" spans="2:20" x14ac:dyDescent="0.2">
      <c r="B36" s="82" t="s">
        <v>292</v>
      </c>
      <c r="C36" s="82" t="s">
        <v>250</v>
      </c>
      <c r="D36" s="82" t="s">
        <v>293</v>
      </c>
      <c r="E36" s="82" t="s">
        <v>242</v>
      </c>
      <c r="F36" s="82" t="s">
        <v>242</v>
      </c>
      <c r="G36" s="324">
        <v>0</v>
      </c>
      <c r="H36" s="324"/>
      <c r="I36" s="337"/>
      <c r="J36" s="324">
        <v>0</v>
      </c>
      <c r="K36" s="450"/>
      <c r="L36" s="334"/>
      <c r="M36" s="333"/>
      <c r="N36" s="334"/>
      <c r="O36" s="333"/>
      <c r="P36" s="333"/>
      <c r="R36" s="340"/>
      <c r="T36" s="340"/>
    </row>
    <row r="37" spans="2:20" x14ac:dyDescent="0.2">
      <c r="B37" s="82" t="s">
        <v>292</v>
      </c>
      <c r="C37" s="82" t="s">
        <v>250</v>
      </c>
      <c r="D37" s="82" t="s">
        <v>294</v>
      </c>
      <c r="E37" s="82" t="s">
        <v>242</v>
      </c>
      <c r="F37" s="82" t="s">
        <v>242</v>
      </c>
      <c r="G37" s="324">
        <v>0</v>
      </c>
      <c r="H37" s="324"/>
      <c r="I37" s="337"/>
      <c r="J37" s="324">
        <v>0</v>
      </c>
      <c r="K37" s="450"/>
      <c r="L37" s="333"/>
      <c r="M37" s="333"/>
      <c r="N37" s="333"/>
      <c r="O37" s="333"/>
      <c r="P37" s="333"/>
      <c r="R37" s="340"/>
      <c r="T37" s="340"/>
    </row>
    <row r="38" spans="2:20" x14ac:dyDescent="0.2">
      <c r="K38" s="335"/>
      <c r="L38" s="333"/>
      <c r="M38" s="333"/>
      <c r="N38" s="333"/>
      <c r="O38" s="333"/>
      <c r="P38" s="333"/>
      <c r="R38" s="340"/>
      <c r="T38" s="340"/>
    </row>
    <row r="39" spans="2:20" x14ac:dyDescent="0.2">
      <c r="K39" s="335"/>
      <c r="L39" s="333"/>
      <c r="M39" s="333"/>
      <c r="N39" s="333"/>
      <c r="O39" s="333"/>
      <c r="P39" s="333"/>
      <c r="R39" s="340"/>
      <c r="T39" s="340"/>
    </row>
    <row r="40" spans="2:20" x14ac:dyDescent="0.2">
      <c r="K40" s="335"/>
      <c r="L40" s="334"/>
      <c r="M40" s="334"/>
      <c r="N40" s="334"/>
      <c r="O40" s="333"/>
      <c r="P40" s="333"/>
      <c r="R40" s="340"/>
      <c r="T40" s="340"/>
    </row>
    <row r="41" spans="2:20" x14ac:dyDescent="0.2">
      <c r="K41" s="335"/>
      <c r="L41" s="334"/>
      <c r="M41" s="334"/>
      <c r="N41" s="334"/>
      <c r="O41" s="333"/>
      <c r="P41" s="333"/>
      <c r="R41" s="340"/>
      <c r="T41" s="340"/>
    </row>
    <row r="42" spans="2:20" x14ac:dyDescent="0.2">
      <c r="K42" s="335"/>
      <c r="L42" s="334"/>
      <c r="M42" s="333"/>
      <c r="N42" s="334"/>
      <c r="O42" s="333"/>
      <c r="P42" s="333"/>
      <c r="R42" s="340"/>
      <c r="T42" s="340"/>
    </row>
    <row r="43" spans="2:20" x14ac:dyDescent="0.2">
      <c r="K43" s="335"/>
      <c r="L43" s="334"/>
      <c r="M43" s="333"/>
      <c r="N43" s="333"/>
      <c r="O43" s="333"/>
      <c r="P43" s="333"/>
      <c r="R43" s="340"/>
      <c r="T43" s="340"/>
    </row>
  </sheetData>
  <customSheetViews>
    <customSheetView guid="{D812A0C8-60A1-4775-A604-FC65C9DC40BF}" showGridLines="0" state="hidden" topLeftCell="A4">
      <selection activeCell="M22" sqref="M22"/>
      <pageMargins left="0" right="0" top="0" bottom="0" header="0" footer="0"/>
      <pageSetup paperSize="9" orientation="portrait" horizontalDpi="300" verticalDpi="300" r:id="rId1"/>
    </customSheetView>
    <customSheetView guid="{8D3CE498-0ABB-4BB0-92D1-93DA2BDD5EDF}" showGridLines="0" state="hidden" topLeftCell="A4">
      <selection activeCell="M22" sqref="M22"/>
      <pageMargins left="0" right="0" top="0" bottom="0" header="0" footer="0"/>
      <pageSetup paperSize="9" orientation="portrait" horizontalDpi="300" verticalDpi="300" r:id="rId2"/>
    </customSheetView>
    <customSheetView guid="{455EF305-F4BF-4162-9D3A-67B1D57A792B}" showGridLines="0" state="hidden">
      <pageMargins left="0" right="0" top="0" bottom="0" header="0" footer="0"/>
      <pageSetup paperSize="9" orientation="portrait" horizontalDpi="300" verticalDpi="300" r:id="rId3"/>
    </customSheetView>
    <customSheetView guid="{AED82DA2-4B0E-4368-BF7F-A78E16192BBB}" showGridLines="0" state="hidden">
      <selection activeCell="J2" sqref="J2"/>
      <pageMargins left="0" right="0" top="0" bottom="0" header="0" footer="0"/>
      <pageSetup paperSize="9" orientation="portrait" horizontalDpi="300" verticalDpi="300" r:id="rId4"/>
    </customSheetView>
    <customSheetView guid="{8AD5A21B-3743-481B-8B5E-3FEE10EB7B2F}" showGridLines="0" state="hidden" topLeftCell="A4">
      <selection activeCell="M22" sqref="M22"/>
      <pageMargins left="0" right="0" top="0" bottom="0" header="0" footer="0"/>
      <pageSetup paperSize="9" orientation="portrait" horizontalDpi="300" verticalDpi="300" r:id="rId5"/>
    </customSheetView>
  </customSheetViews>
  <mergeCells count="8">
    <mergeCell ref="Q5:R5"/>
    <mergeCell ref="B4:B6"/>
    <mergeCell ref="C4:C6"/>
    <mergeCell ref="D4:D6"/>
    <mergeCell ref="E4:E6"/>
    <mergeCell ref="F4:F6"/>
    <mergeCell ref="G4:K4"/>
    <mergeCell ref="J5:K5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6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10FC9-B79C-4A8C-A048-E6A57EEC224F}">
  <sheetPr codeName="Planilha14">
    <tabColor rgb="FFFF0000"/>
  </sheetPr>
  <dimension ref="A1:AM260"/>
  <sheetViews>
    <sheetView showGridLines="0" zoomScale="80" zoomScaleNormal="80" workbookViewId="0">
      <selection activeCell="F10" sqref="F10"/>
    </sheetView>
  </sheetViews>
  <sheetFormatPr defaultColWidth="9.109375" defaultRowHeight="14.4" x14ac:dyDescent="0.3"/>
  <cols>
    <col min="1" max="1" width="5.44140625" style="97" customWidth="1"/>
    <col min="2" max="2" width="25.6640625" style="99" customWidth="1"/>
    <col min="3" max="10" width="12.6640625" style="99" customWidth="1"/>
    <col min="11" max="11" width="14.33203125" style="99" customWidth="1"/>
    <col min="12" max="12" width="14.33203125" style="97" customWidth="1"/>
    <col min="13" max="14" width="12.6640625" style="97" customWidth="1"/>
    <col min="15" max="15" width="13.88671875" style="97" customWidth="1"/>
    <col min="16" max="17" width="12.6640625" style="97" customWidth="1"/>
    <col min="18" max="18" width="13.109375" style="97" bestFit="1" customWidth="1"/>
    <col min="19" max="19" width="13.88671875" style="97" customWidth="1"/>
    <col min="20" max="20" width="9.109375" style="97"/>
    <col min="21" max="21" width="13.109375" style="97" bestFit="1" customWidth="1"/>
    <col min="22" max="22" width="3" style="97" bestFit="1" customWidth="1"/>
    <col min="23" max="23" width="9.109375" style="97"/>
    <col min="24" max="24" width="13.109375" style="97" bestFit="1" customWidth="1"/>
    <col min="25" max="16384" width="9.109375" style="97"/>
  </cols>
  <sheetData>
    <row r="1" spans="1:39" s="1" customFormat="1" x14ac:dyDescent="0.3">
      <c r="A1" s="1" t="s">
        <v>0</v>
      </c>
      <c r="C1" s="99"/>
      <c r="D1" s="99"/>
      <c r="E1" s="99"/>
      <c r="F1" s="99"/>
      <c r="G1" s="97"/>
      <c r="H1" s="97"/>
      <c r="I1" s="97"/>
      <c r="J1" s="97"/>
      <c r="K1" s="97"/>
      <c r="L1" s="99"/>
      <c r="M1" s="99"/>
      <c r="N1" s="99"/>
      <c r="O1" s="99"/>
      <c r="P1" s="99"/>
    </row>
    <row r="2" spans="1:39" s="1" customFormat="1" ht="18" x14ac:dyDescent="0.3">
      <c r="B2" s="43" t="s">
        <v>159</v>
      </c>
      <c r="C2" s="99"/>
      <c r="E2" s="102" t="s">
        <v>2</v>
      </c>
      <c r="F2" s="104">
        <f>'Fatura B1 (Res) OK'!$F$2</f>
        <v>45876</v>
      </c>
      <c r="G2" s="97"/>
      <c r="H2" s="97"/>
      <c r="I2" s="97"/>
      <c r="J2" s="97"/>
      <c r="K2" s="97"/>
      <c r="L2" s="99"/>
      <c r="M2" s="47" t="s">
        <v>3</v>
      </c>
      <c r="N2" s="47" t="s">
        <v>4</v>
      </c>
      <c r="Q2" s="308" t="s">
        <v>6</v>
      </c>
      <c r="R2" s="326"/>
      <c r="S2" s="99"/>
      <c r="T2" s="99"/>
      <c r="U2" s="99"/>
      <c r="V2" s="99"/>
      <c r="W2" s="99"/>
      <c r="X2" s="99"/>
    </row>
    <row r="3" spans="1:39" customFormat="1" x14ac:dyDescent="0.3">
      <c r="M3" s="93" t="s">
        <v>7</v>
      </c>
      <c r="N3" s="48">
        <v>0</v>
      </c>
      <c r="Q3" s="99"/>
      <c r="R3" s="99"/>
      <c r="S3" s="99"/>
      <c r="T3" s="99"/>
      <c r="U3" s="99"/>
      <c r="V3" s="99"/>
      <c r="W3" s="99"/>
      <c r="X3" s="99"/>
    </row>
    <row r="4" spans="1:39" customFormat="1" ht="15" customHeight="1" x14ac:dyDescent="0.3">
      <c r="B4" s="489" t="s">
        <v>140</v>
      </c>
      <c r="C4" s="481" t="str">
        <f>'Fatura B4a '!C4:E4</f>
        <v>TARIFA ANTIGA - REH 3370/2024</v>
      </c>
      <c r="D4" s="481"/>
      <c r="E4" s="481"/>
      <c r="F4" s="481" t="str">
        <f>'Fatura B4a '!F4:H4</f>
        <v>TARIFA NOVA - REH xxxx/2025</v>
      </c>
      <c r="G4" s="481"/>
      <c r="H4" s="481"/>
      <c r="I4" s="482" t="s">
        <v>11</v>
      </c>
      <c r="J4" s="482"/>
      <c r="K4" s="482"/>
      <c r="M4" s="229" t="str">
        <f>'Fatura B1 (Res) OK'!M4</f>
        <v>BAM</v>
      </c>
      <c r="N4" s="230">
        <f>'Fatura B1 (Res) OK'!$N$4</f>
        <v>1.8849999999999999E-2</v>
      </c>
      <c r="Q4" s="483" t="s">
        <v>8</v>
      </c>
      <c r="R4" s="478" t="str">
        <f>C4</f>
        <v>TARIFA ANTIGA - REH 3370/2024</v>
      </c>
      <c r="S4" s="479"/>
      <c r="T4" s="480"/>
      <c r="U4" s="478" t="str">
        <f>F4</f>
        <v>TARIFA NOVA - REH xxxx/2025</v>
      </c>
      <c r="V4" s="479"/>
      <c r="W4" s="480"/>
      <c r="X4" s="99"/>
    </row>
    <row r="5" spans="1:39" customFormat="1" x14ac:dyDescent="0.3">
      <c r="B5" s="490"/>
      <c r="C5" s="202" t="s">
        <v>13</v>
      </c>
      <c r="D5" s="202" t="s">
        <v>14</v>
      </c>
      <c r="E5" s="202" t="s">
        <v>15</v>
      </c>
      <c r="F5" s="202" t="s">
        <v>13</v>
      </c>
      <c r="G5" s="202" t="s">
        <v>14</v>
      </c>
      <c r="H5" s="202" t="s">
        <v>15</v>
      </c>
      <c r="I5" s="201" t="s">
        <v>13</v>
      </c>
      <c r="J5" s="201" t="s">
        <v>14</v>
      </c>
      <c r="K5" s="201" t="s">
        <v>15</v>
      </c>
      <c r="M5" s="231" t="str">
        <f>'Fatura B1 (Res) OK'!M5</f>
        <v>BVM1</v>
      </c>
      <c r="N5" s="232">
        <f>'Fatura B1 (Res) OK'!$N$5</f>
        <v>4.4630000000000003E-2</v>
      </c>
      <c r="Q5" s="484"/>
      <c r="R5" s="204" t="s">
        <v>17</v>
      </c>
      <c r="U5" s="204" t="s">
        <v>17</v>
      </c>
      <c r="X5" s="204" t="s">
        <v>17</v>
      </c>
    </row>
    <row r="6" spans="1:39" customFormat="1" x14ac:dyDescent="0.3">
      <c r="B6" s="207" t="s">
        <v>160</v>
      </c>
      <c r="C6" s="196">
        <f>'TABELA DE TARIFAS ANTIGAS'!G72/1000</f>
        <v>0.28935</v>
      </c>
      <c r="D6" s="196">
        <f>'TABELA DE TARIFAS ANTIGAS'!H72/1000</f>
        <v>0.29333999999999999</v>
      </c>
      <c r="E6" s="196">
        <f t="shared" ref="E6" si="0">C6+D6</f>
        <v>0.58268999999999993</v>
      </c>
      <c r="F6" s="196">
        <f>'TABELA DE TARIFAS NOVAS'!G72/1000</f>
        <v>0.32543</v>
      </c>
      <c r="G6" s="196">
        <f>'TABELA DE TARIFAS NOVAS'!H72/1000</f>
        <v>0.29660000000000003</v>
      </c>
      <c r="H6" s="196">
        <f t="shared" ref="H6" si="1">F6+G6</f>
        <v>0.62203000000000008</v>
      </c>
      <c r="I6" s="196">
        <f>((C6*$C$13)+(F6*$D$13))/($D$13+$C$13)</f>
        <v>-0.36137857142857194</v>
      </c>
      <c r="J6" s="196">
        <f>((D6*$C$13)+(G6*$D$13))/($D$13+$C$13)</f>
        <v>0.23454357142857113</v>
      </c>
      <c r="K6" s="197">
        <f t="shared" ref="K6" si="2">I6+J6</f>
        <v>-0.12683500000000081</v>
      </c>
      <c r="M6" s="39" t="str">
        <f>'Fatura B1 (Res) OK'!M6</f>
        <v>BVM2</v>
      </c>
      <c r="N6" s="40">
        <f>'Fatura B1 (Res) OK'!$N$6</f>
        <v>7.8770000000000007E-2</v>
      </c>
      <c r="Q6" s="207" t="str">
        <f>B6</f>
        <v>Baixa renda</v>
      </c>
      <c r="R6" s="203">
        <f>'FIO B'!H12/1000</f>
        <v>0.18823431351264014</v>
      </c>
      <c r="U6" s="203">
        <f>'FIO B'!K12/1000</f>
        <v>0.20383072193179136</v>
      </c>
      <c r="X6" s="203">
        <f>((R6*$C$13)+(U6*$D$13))/($D$13+$C$13)</f>
        <v>-9.3058052618479686E-2</v>
      </c>
    </row>
    <row r="7" spans="1:39" customFormat="1" x14ac:dyDescent="0.3">
      <c r="M7" s="93" t="s">
        <v>21</v>
      </c>
      <c r="N7" s="305">
        <f>'Fatura B1 (Res) OK'!$N$7</f>
        <v>0.14199999999999999</v>
      </c>
    </row>
    <row r="8" spans="1:39" customFormat="1" x14ac:dyDescent="0.3">
      <c r="P8" s="99"/>
      <c r="Q8" s="99"/>
      <c r="R8" s="99"/>
      <c r="S8" s="99"/>
      <c r="T8" s="99"/>
      <c r="U8" s="99"/>
    </row>
    <row r="9" spans="1:39" customFormat="1" x14ac:dyDescent="0.3">
      <c r="B9" s="131"/>
      <c r="C9" s="132"/>
      <c r="D9" s="209"/>
      <c r="E9" s="132"/>
      <c r="F9" s="132"/>
      <c r="G9" s="132"/>
      <c r="H9" s="210" t="s">
        <v>22</v>
      </c>
      <c r="L9" s="102" t="s">
        <v>161</v>
      </c>
      <c r="M9" s="104">
        <f>EOMONTH(B13,0)+1</f>
        <v>45352</v>
      </c>
      <c r="P9" t="s">
        <v>205</v>
      </c>
      <c r="X9" t="s">
        <v>206</v>
      </c>
      <c r="AF9" t="s">
        <v>207</v>
      </c>
    </row>
    <row r="10" spans="1:39" s="1" customFormat="1" x14ac:dyDescent="0.3">
      <c r="B10" s="211" t="s">
        <v>24</v>
      </c>
      <c r="C10" s="342">
        <v>160903184</v>
      </c>
      <c r="D10" s="99"/>
      <c r="E10" s="97"/>
      <c r="F10" s="97"/>
      <c r="G10" s="97"/>
      <c r="H10" s="212">
        <f>E13</f>
        <v>45370</v>
      </c>
      <c r="J10" s="99"/>
      <c r="K10" s="485" t="s">
        <v>25</v>
      </c>
      <c r="L10" s="485"/>
      <c r="M10" s="99"/>
      <c r="P10" s="374" t="s">
        <v>26</v>
      </c>
      <c r="Q10" s="375"/>
      <c r="R10" s="371" t="s">
        <v>27</v>
      </c>
      <c r="S10" s="371" t="s">
        <v>28</v>
      </c>
      <c r="T10" s="371" t="s">
        <v>17</v>
      </c>
      <c r="U10" s="371" t="s">
        <v>29</v>
      </c>
      <c r="X10" s="374" t="s">
        <v>26</v>
      </c>
      <c r="Y10" s="375"/>
      <c r="Z10" s="371" t="s">
        <v>27</v>
      </c>
      <c r="AA10" s="371" t="s">
        <v>28</v>
      </c>
      <c r="AB10" s="371" t="s">
        <v>17</v>
      </c>
      <c r="AC10" s="371" t="s">
        <v>29</v>
      </c>
      <c r="AF10" s="374" t="s">
        <v>26</v>
      </c>
      <c r="AG10" s="375"/>
      <c r="AH10" s="371" t="s">
        <v>27</v>
      </c>
      <c r="AI10" s="371" t="s">
        <v>28</v>
      </c>
      <c r="AJ10" s="371" t="s">
        <v>17</v>
      </c>
      <c r="AK10" s="371" t="s">
        <v>29</v>
      </c>
    </row>
    <row r="11" spans="1:39" s="1" customFormat="1" x14ac:dyDescent="0.3">
      <c r="B11" s="112"/>
      <c r="C11" s="99"/>
      <c r="D11" s="99"/>
      <c r="E11" s="99"/>
      <c r="F11" s="99"/>
      <c r="G11" s="99"/>
      <c r="H11" s="213"/>
      <c r="J11" s="99"/>
      <c r="K11" s="93" t="s">
        <v>12</v>
      </c>
      <c r="L11" s="93" t="s">
        <v>7</v>
      </c>
      <c r="M11" s="99"/>
      <c r="P11" s="376" t="s">
        <v>30</v>
      </c>
      <c r="Q11" s="377"/>
      <c r="R11" s="373"/>
      <c r="S11" s="373"/>
      <c r="T11" s="387">
        <v>0</v>
      </c>
      <c r="U11" s="393">
        <v>4.0179200000000003E-3</v>
      </c>
      <c r="X11" s="376" t="s">
        <v>30</v>
      </c>
      <c r="Y11" s="377"/>
      <c r="Z11" s="373"/>
      <c r="AA11" s="373"/>
      <c r="AB11" s="387">
        <v>0</v>
      </c>
      <c r="AC11" s="393">
        <f>1.20040743431172/1000</f>
        <v>1.20040743431172E-3</v>
      </c>
      <c r="AF11" s="376" t="s">
        <v>30</v>
      </c>
      <c r="AG11" s="377"/>
      <c r="AH11" s="373"/>
      <c r="AI11" s="373"/>
      <c r="AJ11" s="387">
        <f>((T11*$C$13)+(AB11*$D$13))/($D$13+$C$13)</f>
        <v>0</v>
      </c>
      <c r="AK11" s="393">
        <f>((U11*$C$13)+(AC11*$D$13))/($D$13+$C$13)</f>
        <v>5.4833771631163632E-2</v>
      </c>
    </row>
    <row r="12" spans="1:39" s="1" customFormat="1" ht="27.6" x14ac:dyDescent="0.3">
      <c r="B12" s="94" t="s">
        <v>31</v>
      </c>
      <c r="C12" s="94" t="s">
        <v>32</v>
      </c>
      <c r="D12" s="94" t="s">
        <v>33</v>
      </c>
      <c r="E12" s="94" t="s">
        <v>34</v>
      </c>
      <c r="F12" s="97"/>
      <c r="G12" s="97"/>
      <c r="H12" s="214"/>
      <c r="I12" s="97"/>
      <c r="J12" s="94" t="s">
        <v>31</v>
      </c>
      <c r="K12" s="94" t="s">
        <v>162</v>
      </c>
      <c r="L12" s="94" t="s">
        <v>163</v>
      </c>
      <c r="M12" s="94" t="s">
        <v>34</v>
      </c>
      <c r="P12" s="380" t="s">
        <v>164</v>
      </c>
      <c r="Q12" s="381">
        <v>0.65</v>
      </c>
      <c r="U12" s="372">
        <f>$U$11*(1-Q12)</f>
        <v>1.4062720000000001E-3</v>
      </c>
      <c r="W12" s="372">
        <f>((T12*$C$13)+(U12*$D$13))/($D$13+$C$13)</f>
        <v>-2.5363119999999999E-2</v>
      </c>
      <c r="X12" s="380" t="s">
        <v>164</v>
      </c>
      <c r="Y12" s="381">
        <v>0.65</v>
      </c>
      <c r="AC12" s="372">
        <f>$AC$11*(1-Y12)</f>
        <v>4.2014260200910194E-4</v>
      </c>
      <c r="AE12" s="372">
        <f>((AB12*$C$13)+(AC12*$D$13))/($D$13+$C$13)</f>
        <v>-7.5775719290927315E-3</v>
      </c>
      <c r="AF12" s="380" t="s">
        <v>164</v>
      </c>
      <c r="AG12" s="381">
        <v>0.65</v>
      </c>
      <c r="AK12" s="372">
        <f>$AK$11*(1-AG12)</f>
        <v>1.9191820070907271E-2</v>
      </c>
      <c r="AM12" s="372">
        <f>((AJ12*$C$13)+(AK12*$D$13))/($D$13+$C$13)</f>
        <v>-0.34613818342172042</v>
      </c>
    </row>
    <row r="13" spans="1:39" s="1" customFormat="1" x14ac:dyDescent="0.3">
      <c r="B13" s="227">
        <v>45342</v>
      </c>
      <c r="C13" s="106">
        <f>IF((F2-B13-1)&lt;0,0,(F2-B13-1))</f>
        <v>533</v>
      </c>
      <c r="D13" s="106">
        <f>E13-F2+1</f>
        <v>-505</v>
      </c>
      <c r="E13" s="227">
        <v>45370</v>
      </c>
      <c r="F13" s="215"/>
      <c r="G13" s="215"/>
      <c r="H13" s="216"/>
      <c r="I13" s="97"/>
      <c r="J13" s="107">
        <f>B13</f>
        <v>45342</v>
      </c>
      <c r="K13" s="108">
        <f>IF((M9-J13-1)&lt;0,0,(M9-J13-1))</f>
        <v>9</v>
      </c>
      <c r="L13" s="108">
        <f>M13-M9+1</f>
        <v>19</v>
      </c>
      <c r="M13" s="107">
        <f>E13</f>
        <v>45370</v>
      </c>
      <c r="P13" s="382" t="s">
        <v>165</v>
      </c>
      <c r="Q13" s="383">
        <v>0.4</v>
      </c>
      <c r="U13" s="372">
        <f t="shared" ref="U13:U15" si="3">$U$11*(1-Q13)</f>
        <v>2.4107519999999999E-3</v>
      </c>
      <c r="W13" s="372">
        <f t="shared" ref="W13:W15" si="4">((T13*$C$13)+(U13*$D$13))/($D$13+$C$13)</f>
        <v>-4.3479634285714282E-2</v>
      </c>
      <c r="X13" s="382" t="s">
        <v>165</v>
      </c>
      <c r="Y13" s="383">
        <v>0.4</v>
      </c>
      <c r="AC13" s="372">
        <f t="shared" ref="AC13:AC15" si="5">$AC$11*(1-Y13)</f>
        <v>7.2024446058703193E-4</v>
      </c>
      <c r="AE13" s="372">
        <f t="shared" ref="AE13:AE15" si="6">((AB13*$C$13)+(AC13*$D$13))/($D$13+$C$13)</f>
        <v>-1.2990123307016111E-2</v>
      </c>
      <c r="AF13" s="382" t="s">
        <v>165</v>
      </c>
      <c r="AG13" s="383">
        <v>0.4</v>
      </c>
      <c r="AK13" s="372">
        <f t="shared" ref="AK13:AK15" si="7">$AK$11*(1-AG13)</f>
        <v>3.2900262978698178E-2</v>
      </c>
      <c r="AM13" s="372">
        <f t="shared" ref="AM13:AM15" si="8">((AJ13*$C$13)+(AK13*$D$13))/($D$13+$C$13)</f>
        <v>-0.59337974300866347</v>
      </c>
    </row>
    <row r="14" spans="1:39" s="1" customFormat="1" x14ac:dyDescent="0.3">
      <c r="B14" s="192"/>
      <c r="C14" s="193"/>
      <c r="D14" s="193"/>
      <c r="E14" s="192"/>
      <c r="G14"/>
      <c r="H14"/>
      <c r="I14"/>
      <c r="J14"/>
      <c r="K14"/>
      <c r="N14" s="194"/>
      <c r="O14" s="195"/>
      <c r="P14" s="384" t="s">
        <v>166</v>
      </c>
      <c r="Q14" s="383">
        <v>0.1</v>
      </c>
      <c r="S14"/>
      <c r="T14" s="178"/>
      <c r="U14" s="372">
        <f t="shared" si="3"/>
        <v>3.6161280000000006E-3</v>
      </c>
      <c r="W14" s="372">
        <f t="shared" si="4"/>
        <v>-6.521945142857144E-2</v>
      </c>
      <c r="X14" s="384" t="s">
        <v>166</v>
      </c>
      <c r="Y14" s="383">
        <v>0.1</v>
      </c>
      <c r="AA14"/>
      <c r="AB14" s="178"/>
      <c r="AC14" s="372">
        <f t="shared" si="5"/>
        <v>1.080366690880548E-3</v>
      </c>
      <c r="AE14" s="372">
        <f t="shared" si="6"/>
        <v>-1.948518496052417E-2</v>
      </c>
      <c r="AF14" s="384" t="s">
        <v>166</v>
      </c>
      <c r="AG14" s="383">
        <v>0.1</v>
      </c>
      <c r="AI14"/>
      <c r="AJ14" s="178"/>
      <c r="AK14" s="372">
        <f t="shared" si="7"/>
        <v>4.9350394468047266E-2</v>
      </c>
      <c r="AM14" s="372">
        <f t="shared" si="8"/>
        <v>-0.89006961451299538</v>
      </c>
    </row>
    <row r="15" spans="1:39" s="1" customFormat="1" x14ac:dyDescent="0.3">
      <c r="B15" s="192"/>
      <c r="C15" s="193"/>
      <c r="D15" s="193"/>
      <c r="E15" s="192"/>
      <c r="G15"/>
      <c r="H15"/>
      <c r="I15"/>
      <c r="J15"/>
      <c r="K15"/>
      <c r="N15" s="194"/>
      <c r="O15" s="195"/>
      <c r="P15" s="385" t="s">
        <v>167</v>
      </c>
      <c r="Q15" s="386">
        <v>0</v>
      </c>
      <c r="S15"/>
      <c r="T15" s="178"/>
      <c r="U15" s="372">
        <f t="shared" si="3"/>
        <v>4.0179200000000003E-3</v>
      </c>
      <c r="V15" s="97"/>
      <c r="W15" s="372">
        <f t="shared" si="4"/>
        <v>-7.2466057142857143E-2</v>
      </c>
      <c r="X15" s="385" t="s">
        <v>167</v>
      </c>
      <c r="Y15" s="386">
        <v>0</v>
      </c>
      <c r="AA15"/>
      <c r="AB15" s="178"/>
      <c r="AC15" s="372">
        <f t="shared" si="5"/>
        <v>1.20040743431172E-3</v>
      </c>
      <c r="AD15" s="97"/>
      <c r="AE15" s="372">
        <f t="shared" si="6"/>
        <v>-2.1650205511693523E-2</v>
      </c>
      <c r="AF15" s="385" t="s">
        <v>167</v>
      </c>
      <c r="AG15" s="386">
        <v>0</v>
      </c>
      <c r="AI15"/>
      <c r="AJ15" s="178"/>
      <c r="AK15" s="372">
        <f t="shared" si="7"/>
        <v>5.4833771631163632E-2</v>
      </c>
      <c r="AL15" s="97"/>
      <c r="AM15" s="372">
        <f t="shared" si="8"/>
        <v>-0.98896623834777275</v>
      </c>
    </row>
    <row r="16" spans="1:39" s="1" customFormat="1" x14ac:dyDescent="0.3">
      <c r="B16" s="419" t="s">
        <v>168</v>
      </c>
      <c r="D16" s="293">
        <v>300</v>
      </c>
      <c r="E16" s="193"/>
      <c r="G16"/>
      <c r="H16"/>
      <c r="I16"/>
      <c r="J16"/>
      <c r="K16"/>
      <c r="N16" s="194"/>
      <c r="O16" s="195"/>
    </row>
    <row r="17" spans="1:23" s="1" customFormat="1" x14ac:dyDescent="0.3">
      <c r="B17" s="192"/>
      <c r="C17" s="193"/>
      <c r="D17" s="193"/>
      <c r="E17" s="192"/>
      <c r="G17"/>
      <c r="H17"/>
      <c r="I17"/>
      <c r="J17"/>
      <c r="K17"/>
      <c r="N17" s="194"/>
      <c r="O17" s="195"/>
      <c r="P17"/>
      <c r="Q17"/>
      <c r="S17"/>
      <c r="T17" s="178"/>
      <c r="U17"/>
      <c r="V17"/>
      <c r="W17"/>
    </row>
    <row r="18" spans="1:23" s="1" customFormat="1" ht="41.4" x14ac:dyDescent="0.3">
      <c r="B18" s="394" t="s">
        <v>36</v>
      </c>
      <c r="C18" s="394" t="s">
        <v>37</v>
      </c>
      <c r="D18" s="394" t="s">
        <v>38</v>
      </c>
      <c r="E18" s="395" t="s">
        <v>39</v>
      </c>
      <c r="F18" s="395" t="s">
        <v>40</v>
      </c>
      <c r="G18" s="395" t="s">
        <v>41</v>
      </c>
      <c r="H18" s="395" t="s">
        <v>42</v>
      </c>
      <c r="I18" s="395" t="s">
        <v>43</v>
      </c>
      <c r="J18" s="395" t="s">
        <v>44</v>
      </c>
      <c r="K18" s="396" t="s">
        <v>45</v>
      </c>
      <c r="L18" s="394" t="s">
        <v>46</v>
      </c>
      <c r="M18" s="395" t="s">
        <v>47</v>
      </c>
      <c r="N18" s="395" t="s">
        <v>48</v>
      </c>
      <c r="O18" s="395" t="s">
        <v>49</v>
      </c>
      <c r="T18" s="97"/>
    </row>
    <row r="19" spans="1:23" s="1" customFormat="1" x14ac:dyDescent="0.3">
      <c r="B19" s="430" t="s">
        <v>208</v>
      </c>
      <c r="C19" s="430"/>
      <c r="D19" s="435">
        <f>-L87</f>
        <v>-35.047733571428552</v>
      </c>
      <c r="E19" s="436">
        <v>1</v>
      </c>
      <c r="F19" s="433">
        <f>D19*E19</f>
        <v>-35.047733571428552</v>
      </c>
      <c r="G19" s="432">
        <v>0</v>
      </c>
      <c r="H19" s="433">
        <f>F19</f>
        <v>-35.047733571428552</v>
      </c>
      <c r="I19" s="432">
        <v>0</v>
      </c>
      <c r="J19" s="433"/>
      <c r="K19" s="406">
        <v>1</v>
      </c>
      <c r="L19" s="120"/>
      <c r="M19" s="397"/>
      <c r="N19" s="397"/>
      <c r="O19" s="397"/>
      <c r="P19"/>
      <c r="Q19" s="302" t="s">
        <v>35</v>
      </c>
      <c r="R19" s="97"/>
      <c r="S19" s="350"/>
      <c r="T19"/>
      <c r="U19"/>
      <c r="V19"/>
      <c r="W19"/>
    </row>
    <row r="20" spans="1:23" s="1" customFormat="1" x14ac:dyDescent="0.3">
      <c r="B20" s="430" t="s">
        <v>209</v>
      </c>
      <c r="C20" s="430"/>
      <c r="D20" s="432">
        <f>D19</f>
        <v>-35.047733571428552</v>
      </c>
      <c r="E20" s="431">
        <f>F20/D20</f>
        <v>-1.2151462994836491</v>
      </c>
      <c r="F20" s="433">
        <f>-1*(F19-J20)</f>
        <v>42.588123754610258</v>
      </c>
      <c r="G20" s="432">
        <v>0</v>
      </c>
      <c r="H20" s="433">
        <f>K102</f>
        <v>44.355236371657085</v>
      </c>
      <c r="I20" s="403">
        <v>0.17</v>
      </c>
      <c r="J20" s="433">
        <f t="shared" ref="J20" si="9">H20*$I$21</f>
        <v>7.5403901831817048</v>
      </c>
      <c r="K20" s="406">
        <v>1</v>
      </c>
      <c r="L20" s="120"/>
      <c r="M20" s="397"/>
      <c r="N20" s="397"/>
      <c r="O20" s="397"/>
      <c r="P20"/>
      <c r="Q20" s="302"/>
      <c r="R20" s="97"/>
      <c r="S20" s="427"/>
      <c r="T20"/>
      <c r="U20"/>
      <c r="V20"/>
      <c r="W20"/>
    </row>
    <row r="21" spans="1:23" s="1" customFormat="1" x14ac:dyDescent="0.3">
      <c r="A21" s="255">
        <v>0.65</v>
      </c>
      <c r="B21" s="397" t="s">
        <v>169</v>
      </c>
      <c r="C21" s="398" t="s">
        <v>53</v>
      </c>
      <c r="D21" s="404">
        <v>30</v>
      </c>
      <c r="E21" s="406">
        <f>K21/(1-$N$21-$N$22)/(1-$I$21)</f>
        <v>0.12816708008504604</v>
      </c>
      <c r="F21" s="404">
        <f>ROUND(D21*E21,2)</f>
        <v>3.85</v>
      </c>
      <c r="G21" s="404">
        <f>ROUND(((D21*K21)/(1-$N$21-$N$22))*($N$21+$N$22),2)</f>
        <v>0.15</v>
      </c>
      <c r="H21" s="411">
        <f>ROUND((D21*K21)/(1-$N$21-$N$22)/(1-$I$21),2)</f>
        <v>3.85</v>
      </c>
      <c r="I21" s="403">
        <v>0.17</v>
      </c>
      <c r="J21" s="411">
        <f t="shared" ref="J21:J30" si="10">H21*$I$21</f>
        <v>0.65450000000000008</v>
      </c>
      <c r="K21" s="406">
        <f>K24*(1-A21)</f>
        <v>0.10127249999999999</v>
      </c>
      <c r="L21" s="169" t="s">
        <v>54</v>
      </c>
      <c r="M21" s="449">
        <f>((D21*K21)+(D22*K22)+(D23*K23)+(D24*K24)+(D25*K25)+(D26*K26)+(D27*K27)+(D28*K28)+AC87+AC96+AC105+AC114-((30*(K21+K25))+(20*(K22+K26))+AC127+AC136+AC145+AC154))/(1-$N$21-$N$22)</f>
        <v>134.80716386554622</v>
      </c>
      <c r="N21" s="399">
        <v>8.5000000000000006E-3</v>
      </c>
      <c r="O21" s="413">
        <f>ROUND(M21*N21,2)</f>
        <v>1.1499999999999999</v>
      </c>
      <c r="P21"/>
      <c r="Q21"/>
      <c r="R21"/>
      <c r="S21"/>
      <c r="T21"/>
      <c r="U21"/>
      <c r="V21"/>
      <c r="W21"/>
    </row>
    <row r="22" spans="1:23" s="1" customFormat="1" x14ac:dyDescent="0.3">
      <c r="A22" s="255">
        <v>0.4</v>
      </c>
      <c r="B22" s="397" t="s">
        <v>170</v>
      </c>
      <c r="C22" s="398" t="s">
        <v>53</v>
      </c>
      <c r="D22" s="446">
        <v>70</v>
      </c>
      <c r="E22" s="406">
        <f>K22/(1-$N$21-$N$22)/(1-$I$21)</f>
        <v>0.21971499443150755</v>
      </c>
      <c r="F22" s="404">
        <f>ROUND(D22*E22,2)</f>
        <v>15.38</v>
      </c>
      <c r="G22" s="404">
        <f>ROUND(((D22*K22)/(1-$N$21-$N$22))*($N$21+$N$22),2)</f>
        <v>0.61</v>
      </c>
      <c r="H22" s="411">
        <f>ROUND((D22*K22)/(1-$N$21-$N$22)/(1-$I$21),2)</f>
        <v>15.38</v>
      </c>
      <c r="I22" s="397"/>
      <c r="J22" s="411">
        <f t="shared" si="10"/>
        <v>2.6146000000000003</v>
      </c>
      <c r="K22" s="406">
        <f>K24*(1-A22)</f>
        <v>0.17360999999999999</v>
      </c>
      <c r="L22" s="169" t="s">
        <v>56</v>
      </c>
      <c r="M22" s="449">
        <f>M21</f>
        <v>134.80716386554622</v>
      </c>
      <c r="N22" s="399">
        <v>3.95E-2</v>
      </c>
      <c r="O22" s="413">
        <f>ROUND(M22*N22,2)</f>
        <v>5.32</v>
      </c>
      <c r="P22"/>
      <c r="Q22"/>
      <c r="R22"/>
      <c r="S22"/>
      <c r="T22"/>
      <c r="U22"/>
      <c r="V22"/>
      <c r="W22"/>
    </row>
    <row r="23" spans="1:23" s="1" customFormat="1" x14ac:dyDescent="0.3">
      <c r="A23" s="255">
        <v>0.1</v>
      </c>
      <c r="B23" s="397" t="s">
        <v>171</v>
      </c>
      <c r="C23" s="398" t="s">
        <v>53</v>
      </c>
      <c r="D23" s="446">
        <f>IF(D16&gt;100,IF(D16&gt;220,220-100,D16-100),0)</f>
        <v>120</v>
      </c>
      <c r="E23" s="406">
        <f>K23/(1-$N$21-$N$22)/(1-$I$21)</f>
        <v>0.32957249164726132</v>
      </c>
      <c r="F23" s="404">
        <f t="shared" ref="F23:F28" si="11">ROUND(D23*E23,2)</f>
        <v>39.549999999999997</v>
      </c>
      <c r="G23" s="404">
        <f t="shared" ref="G23:G28" si="12">ROUND(((D23*K23)/(1-$N$21-$N$22))*($N$21+$N$22),2)</f>
        <v>1.58</v>
      </c>
      <c r="H23" s="411">
        <f t="shared" ref="H23:H28" si="13">ROUND((D23*K23)/(1-$N$21-$N$22)/(1-$I$21),2)</f>
        <v>39.549999999999997</v>
      </c>
      <c r="I23" s="397"/>
      <c r="J23" s="411">
        <f t="shared" si="10"/>
        <v>6.7234999999999996</v>
      </c>
      <c r="K23" s="406">
        <f>K24*(1-A23)</f>
        <v>0.26041500000000001</v>
      </c>
      <c r="L23" s="137"/>
      <c r="M23" s="400"/>
      <c r="N23" s="400"/>
      <c r="O23" s="400"/>
      <c r="P23"/>
      <c r="Q23"/>
      <c r="R23"/>
      <c r="S23"/>
      <c r="T23"/>
      <c r="U23"/>
      <c r="V23"/>
      <c r="W23"/>
    </row>
    <row r="24" spans="1:23" s="1" customFormat="1" x14ac:dyDescent="0.3">
      <c r="A24" s="255">
        <v>0</v>
      </c>
      <c r="B24" s="397" t="s">
        <v>172</v>
      </c>
      <c r="C24" s="398" t="s">
        <v>53</v>
      </c>
      <c r="D24" s="404">
        <f>IF(D16&gt;220,D16-220,0)</f>
        <v>80</v>
      </c>
      <c r="E24" s="406">
        <f t="shared" ref="E24:E28" si="14">K24/(1-$N$21-$N$22)/(1-$I$21)</f>
        <v>0.36619165738584591</v>
      </c>
      <c r="F24" s="404">
        <f t="shared" si="11"/>
        <v>29.3</v>
      </c>
      <c r="G24" s="404">
        <f t="shared" si="12"/>
        <v>1.17</v>
      </c>
      <c r="H24" s="411">
        <f t="shared" si="13"/>
        <v>29.3</v>
      </c>
      <c r="I24" s="397"/>
      <c r="J24" s="411">
        <f t="shared" si="10"/>
        <v>4.9810000000000008</v>
      </c>
      <c r="K24" s="406">
        <f>IF(AND($B$13&lt;$F$2,$E$13&lt;$F$2),C6,IF($B$13&lt;$F$2,I6,F6))</f>
        <v>0.28935</v>
      </c>
      <c r="L24"/>
      <c r="M24"/>
      <c r="N24"/>
      <c r="O24" s="120"/>
      <c r="P24"/>
      <c r="Q24"/>
      <c r="R24"/>
      <c r="S24"/>
      <c r="T24"/>
      <c r="U24"/>
      <c r="V24"/>
      <c r="W24"/>
    </row>
    <row r="25" spans="1:23" s="1" customFormat="1" x14ac:dyDescent="0.3">
      <c r="B25" s="397" t="s">
        <v>173</v>
      </c>
      <c r="C25" s="398" t="s">
        <v>53</v>
      </c>
      <c r="D25" s="404">
        <f>D21</f>
        <v>30</v>
      </c>
      <c r="E25" s="406">
        <f>K25/(1-$N$21-$N$22)/(1-$I$21)</f>
        <v>0.12993444365698087</v>
      </c>
      <c r="F25" s="404">
        <f>ROUND(D25*E25,2)</f>
        <v>3.9</v>
      </c>
      <c r="G25" s="404">
        <f t="shared" si="12"/>
        <v>0.16</v>
      </c>
      <c r="H25" s="411">
        <f t="shared" si="13"/>
        <v>3.9</v>
      </c>
      <c r="I25" s="397"/>
      <c r="J25" s="411">
        <f t="shared" si="10"/>
        <v>0.66300000000000003</v>
      </c>
      <c r="K25" s="406">
        <f>K28*(1-A21)</f>
        <v>0.102669</v>
      </c>
      <c r="L25"/>
      <c r="M25"/>
      <c r="N25"/>
      <c r="O25" s="120"/>
      <c r="P25"/>
      <c r="Q25"/>
      <c r="R25"/>
      <c r="S25"/>
      <c r="T25"/>
      <c r="U25"/>
      <c r="V25"/>
      <c r="W25"/>
    </row>
    <row r="26" spans="1:23" s="1" customFormat="1" x14ac:dyDescent="0.3">
      <c r="B26" s="397" t="s">
        <v>174</v>
      </c>
      <c r="C26" s="398" t="s">
        <v>53</v>
      </c>
      <c r="D26" s="404">
        <f t="shared" ref="D26:D28" si="15">D22</f>
        <v>70</v>
      </c>
      <c r="E26" s="406">
        <f>K26/(1-$N$21-$N$22)/(1-$I$21)</f>
        <v>0.22274476055482434</v>
      </c>
      <c r="F26" s="404">
        <f t="shared" si="11"/>
        <v>15.59</v>
      </c>
      <c r="G26" s="404">
        <f t="shared" si="12"/>
        <v>0.62</v>
      </c>
      <c r="H26" s="411">
        <f t="shared" si="13"/>
        <v>15.59</v>
      </c>
      <c r="I26" s="397"/>
      <c r="J26" s="411">
        <f t="shared" si="10"/>
        <v>2.6503000000000001</v>
      </c>
      <c r="K26" s="406">
        <f>K28*(1-A22)</f>
        <v>0.17600399999999999</v>
      </c>
      <c r="L26"/>
      <c r="M26"/>
      <c r="O26" s="120"/>
      <c r="P26"/>
      <c r="Q26"/>
      <c r="R26"/>
      <c r="S26"/>
      <c r="T26"/>
      <c r="U26"/>
      <c r="V26"/>
      <c r="W26"/>
    </row>
    <row r="27" spans="1:23" s="1" customFormat="1" x14ac:dyDescent="0.3">
      <c r="B27" s="397" t="s">
        <v>175</v>
      </c>
      <c r="C27" s="398" t="s">
        <v>53</v>
      </c>
      <c r="D27" s="404">
        <f t="shared" si="15"/>
        <v>120</v>
      </c>
      <c r="E27" s="406">
        <f t="shared" si="14"/>
        <v>0.33411714083223648</v>
      </c>
      <c r="F27" s="404">
        <f t="shared" si="11"/>
        <v>40.090000000000003</v>
      </c>
      <c r="G27" s="404">
        <f t="shared" si="12"/>
        <v>1.6</v>
      </c>
      <c r="H27" s="411">
        <f t="shared" si="13"/>
        <v>40.090000000000003</v>
      </c>
      <c r="I27" s="397"/>
      <c r="J27" s="411">
        <f t="shared" si="10"/>
        <v>6.8153000000000015</v>
      </c>
      <c r="K27" s="406">
        <f>K28*(1-A23)</f>
        <v>0.26400600000000002</v>
      </c>
      <c r="L27"/>
      <c r="M27" s="49"/>
      <c r="O27" s="120"/>
      <c r="P27"/>
      <c r="Q27"/>
      <c r="R27"/>
      <c r="S27"/>
      <c r="T27"/>
      <c r="U27"/>
      <c r="V27"/>
      <c r="W27"/>
    </row>
    <row r="28" spans="1:23" s="1" customFormat="1" x14ac:dyDescent="0.3">
      <c r="B28" s="397" t="s">
        <v>176</v>
      </c>
      <c r="C28" s="398" t="s">
        <v>53</v>
      </c>
      <c r="D28" s="404">
        <f t="shared" si="15"/>
        <v>80</v>
      </c>
      <c r="E28" s="406">
        <f t="shared" si="14"/>
        <v>0.37124126759137394</v>
      </c>
      <c r="F28" s="404">
        <f t="shared" si="11"/>
        <v>29.7</v>
      </c>
      <c r="G28" s="404">
        <f t="shared" si="12"/>
        <v>1.18</v>
      </c>
      <c r="H28" s="411">
        <f t="shared" si="13"/>
        <v>29.7</v>
      </c>
      <c r="I28" s="397"/>
      <c r="J28" s="411">
        <f t="shared" si="10"/>
        <v>5.0490000000000004</v>
      </c>
      <c r="K28" s="406">
        <f>IF(AND($B$13&lt;$F$2,$E$13&lt;$F$2),D6,IF($B$13&lt;$F$2,J6,G6))</f>
        <v>0.29333999999999999</v>
      </c>
      <c r="L28"/>
      <c r="M28"/>
      <c r="N28"/>
      <c r="O28" s="120"/>
      <c r="P28"/>
      <c r="Q28"/>
      <c r="R28"/>
      <c r="S28"/>
      <c r="T28"/>
      <c r="U28"/>
      <c r="V28"/>
      <c r="W28"/>
    </row>
    <row r="29" spans="1:23" s="1" customFormat="1" x14ac:dyDescent="0.3">
      <c r="B29" s="397" t="s">
        <v>57</v>
      </c>
      <c r="C29" s="398"/>
      <c r="D29" s="404">
        <f>Q83</f>
        <v>9.6428571428571423</v>
      </c>
      <c r="E29" s="406"/>
      <c r="F29" s="404">
        <f>AC83/(1-$N$21-$N$22)/(1-$I$21)</f>
        <v>7.5933988053052542E-2</v>
      </c>
      <c r="G29" s="404">
        <f>ROUND(((AC83)/(1-$N$21-$N$22))*($N$21+$N$22),2)</f>
        <v>0</v>
      </c>
      <c r="H29" s="411">
        <f>F29</f>
        <v>7.5933988053052542E-2</v>
      </c>
      <c r="I29" s="397"/>
      <c r="J29" s="411">
        <f t="shared" si="10"/>
        <v>1.2908777969018933E-2</v>
      </c>
      <c r="K29" s="406">
        <f>Y83</f>
        <v>6.5974999999999992E-3</v>
      </c>
      <c r="L29"/>
      <c r="M29"/>
      <c r="N29"/>
      <c r="O29" s="120"/>
      <c r="P29"/>
      <c r="Q29"/>
      <c r="R29"/>
      <c r="S29"/>
      <c r="T29"/>
      <c r="U29"/>
      <c r="V29"/>
      <c r="W29"/>
    </row>
    <row r="30" spans="1:23" s="1" customFormat="1" x14ac:dyDescent="0.3">
      <c r="B30" s="397" t="s">
        <v>57</v>
      </c>
      <c r="C30" s="398"/>
      <c r="D30" s="404">
        <f>Q84</f>
        <v>22.5</v>
      </c>
      <c r="E30" s="406"/>
      <c r="F30" s="404">
        <f>AC84/(1-$N$21-$N$22)/(1-$I$21)</f>
        <v>0.31639161688771889</v>
      </c>
      <c r="G30" s="404">
        <f>ROUND(((AC84)/(1-$N$21-$N$22))*($N$21+$N$22),2)</f>
        <v>0.01</v>
      </c>
      <c r="H30" s="411">
        <f>F30</f>
        <v>0.31639161688771889</v>
      </c>
      <c r="I30" s="397"/>
      <c r="J30" s="411">
        <f t="shared" si="10"/>
        <v>5.3786574870912214E-2</v>
      </c>
      <c r="K30" s="406">
        <f>Y84</f>
        <v>1.1309999999999999E-2</v>
      </c>
      <c r="O30" s="120"/>
      <c r="P30"/>
      <c r="Q30"/>
      <c r="S30"/>
      <c r="T30"/>
      <c r="U30"/>
      <c r="V30"/>
      <c r="W30"/>
    </row>
    <row r="31" spans="1:23" s="1" customFormat="1" x14ac:dyDescent="0.3">
      <c r="B31" s="397" t="s">
        <v>57</v>
      </c>
      <c r="C31" s="398"/>
      <c r="D31" s="404">
        <f t="shared" ref="D31:D32" si="16">Q85</f>
        <v>38.571428571428569</v>
      </c>
      <c r="E31" s="406"/>
      <c r="F31" s="404">
        <f>AC85/(1-$N$21-$N$22)/(1-$I$21)</f>
        <v>0.82261820390806928</v>
      </c>
      <c r="G31" s="404">
        <f>ROUND(((AC85)/(1-$N$21-$N$22))*($N$21+$N$22),2)</f>
        <v>0.03</v>
      </c>
      <c r="H31" s="411">
        <f t="shared" ref="H31:H32" si="17">F31</f>
        <v>0.82261820390806928</v>
      </c>
      <c r="I31" s="397"/>
      <c r="J31" s="411">
        <f t="shared" ref="J31:J32" si="18">H31*$I$21</f>
        <v>0.13984509466437178</v>
      </c>
      <c r="K31" s="406">
        <f t="shared" ref="K31:K32" si="19">Y85</f>
        <v>1.6965000000000001E-2</v>
      </c>
      <c r="L31" s="99"/>
      <c r="M31" s="99"/>
      <c r="N31" s="99"/>
      <c r="O31" s="120"/>
      <c r="P31"/>
      <c r="Q31"/>
      <c r="R31"/>
      <c r="S31"/>
      <c r="T31"/>
      <c r="U31"/>
      <c r="V31"/>
      <c r="W31"/>
    </row>
    <row r="32" spans="1:23" s="1" customFormat="1" x14ac:dyDescent="0.3">
      <c r="B32" s="397" t="s">
        <v>57</v>
      </c>
      <c r="C32" s="398"/>
      <c r="D32" s="404">
        <f t="shared" si="16"/>
        <v>25.714285714285715</v>
      </c>
      <c r="E32" s="406"/>
      <c r="F32" s="404">
        <f>AC86/(1-$N$21-$N$22)/(1-$I$21)</f>
        <v>0.60747190442442034</v>
      </c>
      <c r="G32" s="404">
        <f>ROUND(((AC86)/(1-$N$21-$N$22))*($N$21+$N$22),2)</f>
        <v>0.02</v>
      </c>
      <c r="H32" s="411">
        <f t="shared" si="17"/>
        <v>0.60747190442442034</v>
      </c>
      <c r="I32" s="397"/>
      <c r="J32" s="411">
        <f t="shared" si="18"/>
        <v>0.10327022375215146</v>
      </c>
      <c r="K32" s="406">
        <f t="shared" si="19"/>
        <v>1.8849999999999999E-2</v>
      </c>
      <c r="L32" s="99"/>
      <c r="M32" s="99"/>
      <c r="N32" s="99"/>
      <c r="O32" s="120"/>
      <c r="P32"/>
      <c r="Q32"/>
      <c r="R32"/>
      <c r="S32"/>
      <c r="T32"/>
      <c r="U32"/>
      <c r="V32"/>
      <c r="W32"/>
    </row>
    <row r="33" spans="2:23" s="1" customFormat="1" x14ac:dyDescent="0.3">
      <c r="B33" s="420" t="s">
        <v>295</v>
      </c>
      <c r="C33" s="421"/>
      <c r="D33" s="422">
        <f>-D21</f>
        <v>-30</v>
      </c>
      <c r="E33" s="406">
        <f>K21/(1-$N$21-$N$22)/(1-$I$21)</f>
        <v>0.12816708008504604</v>
      </c>
      <c r="F33" s="404">
        <f>ROUND(D33*E33,2)</f>
        <v>-3.85</v>
      </c>
      <c r="G33" s="404">
        <f>ROUND(((D33*K33)/(1-$N$21-$N$22))*($N$21+$N$22),2)</f>
        <v>-0.15</v>
      </c>
      <c r="H33" s="411">
        <f>ROUND((D33*K21)/(1-$N$21-$N$22)/(1-$I$21),2)</f>
        <v>-3.85</v>
      </c>
      <c r="I33" s="403">
        <v>0.17</v>
      </c>
      <c r="J33" s="411">
        <f t="shared" ref="J33:J38" si="20">H33*$I$21</f>
        <v>-0.65450000000000008</v>
      </c>
      <c r="K33" s="406">
        <f>K24*(1-A21)</f>
        <v>0.10127249999999999</v>
      </c>
      <c r="L33" s="99"/>
      <c r="M33" s="99"/>
      <c r="N33" s="99"/>
      <c r="O33" s="120"/>
      <c r="P33"/>
      <c r="Q33"/>
      <c r="R33"/>
      <c r="S33"/>
      <c r="T33"/>
      <c r="U33"/>
      <c r="V33"/>
      <c r="W33"/>
    </row>
    <row r="34" spans="2:23" s="1" customFormat="1" x14ac:dyDescent="0.3">
      <c r="B34" s="420"/>
      <c r="C34" s="421"/>
      <c r="D34" s="422">
        <v>-20</v>
      </c>
      <c r="E34" s="423">
        <f>K34/(1-$N$21-$N$22)/(1-$I$21)</f>
        <v>0.21971499443150755</v>
      </c>
      <c r="F34" s="422">
        <f>ROUND(D34*E34,2)</f>
        <v>-4.3899999999999997</v>
      </c>
      <c r="G34" s="422">
        <f>ROUND(((D34*K34)/(1-$N$21-$N$22))*($N$21+$N$22),2)</f>
        <v>-0.18</v>
      </c>
      <c r="H34" s="424">
        <f>ROUND((D34*K22)/(1-$N$21-$N$22)/(1-$I$21),2)</f>
        <v>-4.3899999999999997</v>
      </c>
      <c r="I34" s="420"/>
      <c r="J34" s="424">
        <f t="shared" si="20"/>
        <v>-0.74629999999999996</v>
      </c>
      <c r="K34" s="423">
        <f>K24*(1-A22)</f>
        <v>0.17360999999999999</v>
      </c>
      <c r="L34" s="99"/>
      <c r="M34" s="99"/>
      <c r="N34" s="99"/>
      <c r="O34" s="120"/>
      <c r="P34"/>
      <c r="Q34"/>
      <c r="R34"/>
      <c r="S34"/>
      <c r="T34"/>
      <c r="U34"/>
      <c r="V34"/>
      <c r="W34"/>
    </row>
    <row r="35" spans="2:23" s="1" customFormat="1" x14ac:dyDescent="0.3">
      <c r="B35" s="420"/>
      <c r="C35" s="421"/>
      <c r="D35" s="422">
        <f>-D21</f>
        <v>-30</v>
      </c>
      <c r="E35" s="406">
        <f>K35/(1-$N$21-$N$22)/(1-$I$21)</f>
        <v>0.12993444365698087</v>
      </c>
      <c r="F35" s="404">
        <f>ROUND(D35*E35,2)</f>
        <v>-3.9</v>
      </c>
      <c r="G35" s="404">
        <f>ROUND(((D35*K35)/(1-$N$21-$N$22))*($N$21+$N$22),2)</f>
        <v>-0.16</v>
      </c>
      <c r="H35" s="411">
        <f>ROUND((D35*K35)/(1-$N$21-$N$22)/(1-$I$21),2)</f>
        <v>-3.9</v>
      </c>
      <c r="I35" s="403">
        <v>0.17</v>
      </c>
      <c r="J35" s="411">
        <f t="shared" si="20"/>
        <v>-0.66300000000000003</v>
      </c>
      <c r="K35" s="406">
        <f>K28*(1-A21)</f>
        <v>0.102669</v>
      </c>
      <c r="L35" s="99"/>
      <c r="M35" s="99"/>
      <c r="N35" s="99"/>
      <c r="O35" s="120"/>
      <c r="P35"/>
      <c r="Q35"/>
      <c r="R35"/>
      <c r="S35"/>
      <c r="T35"/>
      <c r="U35"/>
      <c r="V35"/>
      <c r="W35"/>
    </row>
    <row r="36" spans="2:23" s="1" customFormat="1" x14ac:dyDescent="0.3">
      <c r="B36" s="420"/>
      <c r="C36" s="421"/>
      <c r="D36" s="422">
        <v>-20</v>
      </c>
      <c r="E36" s="423">
        <f>K36/(1-$N$21-$N$22)/(1-$I$21)</f>
        <v>0.22274476055482434</v>
      </c>
      <c r="F36" s="422">
        <f>ROUND(D36*E36,2)</f>
        <v>-4.45</v>
      </c>
      <c r="G36" s="422">
        <f>ROUND(((D36*K36)/(1-$N$21-$N$22))*($N$21+$N$22),2)</f>
        <v>-0.18</v>
      </c>
      <c r="H36" s="424">
        <f>ROUND((D36*K36)/(1-$N$21-$N$22)/(1-$I$21),2)</f>
        <v>-4.45</v>
      </c>
      <c r="I36" s="420"/>
      <c r="J36" s="424">
        <f t="shared" si="20"/>
        <v>-0.75650000000000006</v>
      </c>
      <c r="K36" s="423">
        <f>K28*(1-A22)</f>
        <v>0.17600399999999999</v>
      </c>
      <c r="L36" s="99"/>
      <c r="M36" s="99"/>
      <c r="N36" s="99"/>
      <c r="O36" s="120"/>
      <c r="P36"/>
      <c r="Q36"/>
      <c r="R36"/>
      <c r="S36"/>
      <c r="T36"/>
      <c r="U36"/>
      <c r="V36"/>
      <c r="W36"/>
    </row>
    <row r="37" spans="2:23" s="1" customFormat="1" x14ac:dyDescent="0.3">
      <c r="B37" s="420"/>
      <c r="C37" s="421"/>
      <c r="D37" s="422"/>
      <c r="E37" s="423"/>
      <c r="F37" s="422">
        <f>-AC123/(1-N21-N22)/(1-I20)</f>
        <v>-7.5933988053052542E-2</v>
      </c>
      <c r="G37" s="422"/>
      <c r="H37" s="424">
        <f>F37</f>
        <v>-7.5933988053052542E-2</v>
      </c>
      <c r="I37" s="420"/>
      <c r="J37" s="424">
        <f t="shared" si="20"/>
        <v>-1.2908777969018933E-2</v>
      </c>
      <c r="K37" s="423">
        <f>K29*(1-A23)</f>
        <v>5.9377499999999995E-3</v>
      </c>
      <c r="L37" s="99"/>
      <c r="M37" s="99"/>
      <c r="N37" s="99"/>
      <c r="O37" s="120"/>
      <c r="P37"/>
      <c r="Q37"/>
      <c r="R37"/>
      <c r="S37"/>
      <c r="T37"/>
      <c r="U37"/>
      <c r="V37"/>
      <c r="W37"/>
    </row>
    <row r="38" spans="2:23" s="1" customFormat="1" x14ac:dyDescent="0.3">
      <c r="B38" s="420"/>
      <c r="C38" s="421"/>
      <c r="D38" s="422"/>
      <c r="E38" s="423"/>
      <c r="F38" s="422">
        <f>-AC124/(1-N21-N22)/(1-I20)</f>
        <v>-8.8589652728561313E-2</v>
      </c>
      <c r="G38" s="422"/>
      <c r="H38" s="424">
        <f>F38</f>
        <v>-8.8589652728561313E-2</v>
      </c>
      <c r="I38" s="420"/>
      <c r="J38" s="424">
        <f t="shared" si="20"/>
        <v>-1.5060240963855425E-2</v>
      </c>
      <c r="K38" s="423">
        <f>K30*(1-A24)</f>
        <v>1.1309999999999999E-2</v>
      </c>
      <c r="L38" s="99"/>
      <c r="M38" s="99"/>
      <c r="N38" s="99"/>
      <c r="O38" s="120"/>
      <c r="P38"/>
      <c r="Q38"/>
      <c r="R38"/>
      <c r="S38"/>
      <c r="T38"/>
      <c r="U38"/>
      <c r="V38"/>
      <c r="W38"/>
    </row>
    <row r="39" spans="2:23" s="1" customFormat="1" x14ac:dyDescent="0.3">
      <c r="B39" s="397" t="s">
        <v>61</v>
      </c>
      <c r="C39" s="397"/>
      <c r="D39" s="397"/>
      <c r="E39" s="397"/>
      <c r="F39" s="402"/>
      <c r="G39" s="397"/>
      <c r="H39" s="397"/>
      <c r="I39" s="397"/>
      <c r="J39" s="397"/>
      <c r="K39" s="397"/>
      <c r="L39" s="99"/>
      <c r="M39" s="99"/>
      <c r="N39" s="99"/>
      <c r="O39" s="120"/>
      <c r="P39"/>
      <c r="Q39"/>
      <c r="R39"/>
      <c r="S39"/>
      <c r="T39"/>
      <c r="U39"/>
      <c r="V39"/>
      <c r="W39"/>
    </row>
    <row r="40" spans="2:23" s="1" customFormat="1" x14ac:dyDescent="0.3">
      <c r="B40" s="397" t="s">
        <v>62</v>
      </c>
      <c r="C40" s="397"/>
      <c r="D40" s="397"/>
      <c r="E40" s="397"/>
      <c r="F40" s="402"/>
      <c r="G40" s="397"/>
      <c r="H40" s="397"/>
      <c r="I40" s="397"/>
      <c r="J40" s="397"/>
      <c r="K40" s="397"/>
      <c r="L40" s="99"/>
      <c r="M40" s="99"/>
      <c r="N40" s="99"/>
      <c r="O40" s="120"/>
      <c r="P40"/>
      <c r="Q40"/>
      <c r="R40"/>
      <c r="S40"/>
      <c r="T40"/>
      <c r="U40"/>
      <c r="V40"/>
      <c r="W40"/>
    </row>
    <row r="41" spans="2:23" s="1" customFormat="1" x14ac:dyDescent="0.3">
      <c r="B41" s="397" t="s">
        <v>65</v>
      </c>
      <c r="C41" s="397"/>
      <c r="D41" s="397"/>
      <c r="E41" s="397"/>
      <c r="F41" s="402">
        <v>13.18</v>
      </c>
      <c r="G41" s="397"/>
      <c r="H41" s="397"/>
      <c r="I41" s="397"/>
      <c r="J41" s="397"/>
      <c r="K41" s="397"/>
      <c r="L41" s="99"/>
      <c r="M41" s="99"/>
      <c r="N41" s="99"/>
      <c r="O41" s="120"/>
      <c r="P41"/>
      <c r="Q41"/>
      <c r="R41"/>
      <c r="S41"/>
      <c r="T41"/>
      <c r="U41"/>
      <c r="V41"/>
      <c r="W41"/>
    </row>
    <row r="42" spans="2:23" s="1" customFormat="1" x14ac:dyDescent="0.3">
      <c r="B42" s="397"/>
      <c r="C42" s="397"/>
      <c r="D42" s="397"/>
      <c r="E42" s="397"/>
      <c r="F42" s="397"/>
      <c r="G42" s="397"/>
      <c r="H42" s="397"/>
      <c r="I42" s="397"/>
      <c r="J42" s="397"/>
      <c r="K42" s="397"/>
      <c r="L42" s="99"/>
      <c r="M42" s="99"/>
      <c r="N42" s="99"/>
      <c r="O42" s="120"/>
      <c r="P42"/>
      <c r="Q42"/>
      <c r="R42"/>
      <c r="S42"/>
      <c r="T42"/>
      <c r="U42"/>
      <c r="V42"/>
      <c r="W42"/>
    </row>
    <row r="43" spans="2:23" s="1" customFormat="1" x14ac:dyDescent="0.3">
      <c r="B43" s="397"/>
      <c r="C43" s="397"/>
      <c r="D43" s="397"/>
      <c r="E43" s="397"/>
      <c r="F43" s="397"/>
      <c r="G43" s="397"/>
      <c r="H43" s="397"/>
      <c r="I43" s="397"/>
      <c r="J43" s="397"/>
      <c r="K43" s="397"/>
      <c r="L43" s="99"/>
      <c r="M43" s="99"/>
      <c r="N43" s="99"/>
      <c r="O43" s="120"/>
      <c r="P43"/>
      <c r="Q43"/>
      <c r="R43"/>
      <c r="S43"/>
      <c r="T43"/>
      <c r="U43"/>
      <c r="V43"/>
      <c r="W43"/>
    </row>
    <row r="44" spans="2:23" s="1" customFormat="1" x14ac:dyDescent="0.3"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99"/>
      <c r="M44" s="99"/>
      <c r="N44" s="99"/>
      <c r="O44" s="120"/>
      <c r="P44"/>
      <c r="Q44"/>
      <c r="R44"/>
      <c r="S44"/>
      <c r="T44"/>
      <c r="U44"/>
      <c r="V44"/>
      <c r="W44"/>
    </row>
    <row r="45" spans="2:23" s="1" customFormat="1" x14ac:dyDescent="0.3">
      <c r="B45" s="405" t="s">
        <v>66</v>
      </c>
      <c r="C45" s="400"/>
      <c r="D45" s="400"/>
      <c r="E45" s="400"/>
      <c r="F45" s="407">
        <f>SUM(F19:F44)</f>
        <v>183.14828225567337</v>
      </c>
      <c r="G45" s="410">
        <f>SUM(G19:G44)</f>
        <v>6.46</v>
      </c>
      <c r="H45" s="412">
        <f>SUM(H19:H44)</f>
        <v>171.73539487272021</v>
      </c>
      <c r="I45" s="400"/>
      <c r="J45" s="412">
        <f>SUM(J20:J44)</f>
        <v>35.153131835505299</v>
      </c>
      <c r="K45" s="400"/>
      <c r="L45" s="127"/>
      <c r="M45" s="127"/>
      <c r="N45" s="127"/>
      <c r="O45" s="137"/>
      <c r="P45"/>
      <c r="Q45"/>
      <c r="R45"/>
      <c r="S45"/>
      <c r="T45"/>
      <c r="U45"/>
      <c r="V45"/>
      <c r="W45"/>
    </row>
    <row r="46" spans="2:23" s="1" customFormat="1" x14ac:dyDescent="0.3">
      <c r="B46" s="99"/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9"/>
      <c r="O46" s="99"/>
      <c r="P46"/>
      <c r="Q46"/>
      <c r="R46"/>
      <c r="S46"/>
      <c r="T46"/>
      <c r="U46"/>
      <c r="V46"/>
      <c r="W46"/>
    </row>
    <row r="47" spans="2:23" s="1" customFormat="1" x14ac:dyDescent="0.3">
      <c r="B47" s="415" t="s">
        <v>67</v>
      </c>
      <c r="C47" s="416"/>
      <c r="D47" s="417"/>
      <c r="E47" s="417"/>
      <c r="F47" s="415">
        <f>(D21*AK12)+(D22*AK13)+(D23*AK14)+(D24*AK15)+(D33*AK12)+(D34*AK13)</f>
        <v>11.953762215593672</v>
      </c>
      <c r="G47" s="99"/>
      <c r="H47" s="99"/>
      <c r="I47" s="99"/>
      <c r="J47" s="99"/>
      <c r="K47" s="99"/>
      <c r="L47" s="99"/>
      <c r="M47" s="99"/>
      <c r="N47" s="99"/>
      <c r="O47" s="99"/>
      <c r="P47"/>
      <c r="Q47"/>
      <c r="R47"/>
      <c r="S47"/>
      <c r="T47"/>
      <c r="U47"/>
      <c r="V47"/>
      <c r="W47"/>
    </row>
    <row r="48" spans="2:23" s="1" customFormat="1" x14ac:dyDescent="0.3">
      <c r="B48" s="192"/>
      <c r="C48" s="193"/>
      <c r="D48" s="193"/>
      <c r="E48" s="192"/>
      <c r="G48"/>
      <c r="H48"/>
      <c r="I48"/>
      <c r="J48"/>
      <c r="K48"/>
      <c r="N48" s="194"/>
      <c r="O48" s="195"/>
      <c r="P48"/>
      <c r="Q48"/>
      <c r="R48"/>
      <c r="S48"/>
      <c r="T48"/>
      <c r="U48"/>
      <c r="V48"/>
      <c r="W48"/>
    </row>
    <row r="49" spans="2:23" s="1" customFormat="1" x14ac:dyDescent="0.3">
      <c r="B49" s="192"/>
      <c r="C49" s="193"/>
      <c r="D49" s="193"/>
      <c r="E49" s="192"/>
      <c r="G49"/>
      <c r="H49"/>
      <c r="I49"/>
      <c r="J49"/>
      <c r="K49"/>
      <c r="N49" s="194"/>
      <c r="O49" s="195"/>
      <c r="P49"/>
      <c r="Q49"/>
      <c r="R49"/>
      <c r="S49"/>
      <c r="T49"/>
      <c r="U49"/>
      <c r="V49"/>
      <c r="W49"/>
    </row>
    <row r="50" spans="2:23" s="1" customFormat="1" x14ac:dyDescent="0.3">
      <c r="B50" s="499" t="s">
        <v>178</v>
      </c>
      <c r="C50" s="500"/>
      <c r="D50" s="500"/>
      <c r="E50" s="500"/>
      <c r="F50" s="500"/>
      <c r="G50" s="500"/>
      <c r="H50" s="500"/>
      <c r="I50" s="500"/>
      <c r="J50" s="500"/>
      <c r="K50" s="501"/>
      <c r="L50" s="97"/>
      <c r="M50" s="302"/>
      <c r="N50" s="97"/>
      <c r="O50" s="97"/>
      <c r="P50"/>
      <c r="Q50"/>
      <c r="R50"/>
      <c r="S50"/>
      <c r="T50"/>
      <c r="U50"/>
      <c r="V50"/>
      <c r="W50"/>
    </row>
    <row r="51" spans="2:23" s="1" customFormat="1" x14ac:dyDescent="0.3">
      <c r="B51" s="280"/>
      <c r="C51" s="281"/>
      <c r="D51" s="281"/>
      <c r="E51" s="282"/>
      <c r="F51" s="283"/>
      <c r="G51" s="282"/>
      <c r="H51" s="284"/>
      <c r="I51" s="285" t="s">
        <v>53</v>
      </c>
      <c r="J51" s="286"/>
      <c r="K51" s="287"/>
      <c r="L51" s="97"/>
      <c r="M51" s="97"/>
      <c r="N51" s="97"/>
      <c r="O51" s="97"/>
      <c r="P51"/>
      <c r="Q51"/>
      <c r="R51"/>
      <c r="S51"/>
      <c r="T51"/>
      <c r="U51"/>
      <c r="V51"/>
      <c r="W51"/>
    </row>
    <row r="52" spans="2:23" x14ac:dyDescent="0.3">
      <c r="B52" s="288" t="s">
        <v>73</v>
      </c>
      <c r="C52" s="289"/>
      <c r="D52" s="289"/>
      <c r="E52" s="290"/>
      <c r="F52" s="291"/>
      <c r="G52" s="290"/>
      <c r="H52" s="292"/>
      <c r="I52" s="293">
        <f>D16</f>
        <v>300</v>
      </c>
      <c r="J52" s="294"/>
      <c r="K52" s="295"/>
    </row>
    <row r="53" spans="2:23" x14ac:dyDescent="0.3">
      <c r="B53" s="296"/>
      <c r="C53" s="297"/>
      <c r="D53" s="297"/>
      <c r="E53" s="297"/>
      <c r="F53" s="297"/>
      <c r="G53" s="297"/>
      <c r="H53" s="297"/>
      <c r="I53" s="298"/>
      <c r="J53" s="299"/>
      <c r="K53" s="300"/>
    </row>
    <row r="54" spans="2:23" x14ac:dyDescent="0.3">
      <c r="B54" s="240" t="s">
        <v>36</v>
      </c>
      <c r="C54" s="241"/>
      <c r="D54" s="241"/>
      <c r="E54" s="223" t="s">
        <v>69</v>
      </c>
      <c r="F54" s="109"/>
      <c r="G54" s="223" t="s">
        <v>70</v>
      </c>
      <c r="H54" s="223" t="s">
        <v>14</v>
      </c>
      <c r="I54" s="223" t="s">
        <v>15</v>
      </c>
      <c r="J54" s="223" t="s">
        <v>71</v>
      </c>
      <c r="K54" s="242" t="s">
        <v>179</v>
      </c>
    </row>
    <row r="55" spans="2:23" ht="10.5" customHeight="1" x14ac:dyDescent="0.3">
      <c r="B55" s="243" t="s">
        <v>72</v>
      </c>
      <c r="C55" s="244"/>
      <c r="D55" s="244"/>
      <c r="E55" s="245"/>
      <c r="F55" s="244"/>
      <c r="G55" s="246"/>
      <c r="H55" s="244"/>
      <c r="I55" s="247"/>
      <c r="J55" s="247"/>
      <c r="K55" s="248">
        <f>+SUM(J58:J71)</f>
        <v>183.07305120626563</v>
      </c>
      <c r="M55" s="174"/>
    </row>
    <row r="56" spans="2:23" x14ac:dyDescent="0.3">
      <c r="B56" s="249"/>
      <c r="C56" s="250"/>
      <c r="D56" s="250"/>
      <c r="E56" s="251"/>
      <c r="F56" s="250"/>
      <c r="G56" s="252"/>
      <c r="H56" s="250"/>
      <c r="I56" s="253"/>
      <c r="J56" s="253"/>
      <c r="K56" s="254"/>
    </row>
    <row r="57" spans="2:23" x14ac:dyDescent="0.3">
      <c r="B57" s="249"/>
      <c r="C57" s="250" t="s">
        <v>295</v>
      </c>
      <c r="D57" s="250"/>
      <c r="E57" s="251"/>
      <c r="F57" s="250"/>
      <c r="G57" s="252"/>
      <c r="H57" s="250"/>
      <c r="I57" s="253"/>
      <c r="J57" s="301">
        <f>-30*I58-20*I59</f>
        <v>-13.110524999999999</v>
      </c>
      <c r="K57" s="254"/>
      <c r="R57" s="308" t="s">
        <v>50</v>
      </c>
      <c r="S57" s="308" t="s">
        <v>51</v>
      </c>
    </row>
    <row r="58" spans="2:23" ht="6" customHeight="1" x14ac:dyDescent="0.3">
      <c r="B58" s="255">
        <v>0.65</v>
      </c>
      <c r="C58" s="138" t="s">
        <v>180</v>
      </c>
      <c r="D58" s="138"/>
      <c r="E58" s="256">
        <f>IF(I52&gt;0,30,0)</f>
        <v>30</v>
      </c>
      <c r="F58" s="138" t="s">
        <v>53</v>
      </c>
      <c r="G58" s="239">
        <f>G61*(1-B58)</f>
        <v>0.10127249999999999</v>
      </c>
      <c r="H58" s="239">
        <f>H61*(1-B58)</f>
        <v>0.102669</v>
      </c>
      <c r="I58" s="239">
        <f t="shared" ref="I58:I60" si="21">G58+H58</f>
        <v>0.2039415</v>
      </c>
      <c r="J58" s="257">
        <f>ROUND(E58*G58,2)+ROUND(E58*H58,2)</f>
        <v>6.12</v>
      </c>
      <c r="K58" s="254"/>
      <c r="L58" s="448"/>
      <c r="M58"/>
      <c r="N58"/>
      <c r="O58"/>
    </row>
    <row r="59" spans="2:23" ht="14.25" customHeight="1" x14ac:dyDescent="0.3">
      <c r="B59" s="255">
        <v>0.4</v>
      </c>
      <c r="C59" s="138" t="s">
        <v>181</v>
      </c>
      <c r="D59" s="138"/>
      <c r="E59" s="256">
        <f>IF(I52&gt;30,IF(I52&gt;100,70,I52-30),0)</f>
        <v>70</v>
      </c>
      <c r="F59" s="138" t="s">
        <v>53</v>
      </c>
      <c r="G59" s="239">
        <f>G61*(1-B59)</f>
        <v>0.17360999999999999</v>
      </c>
      <c r="H59" s="239">
        <f>H61*(1-B59)</f>
        <v>0.17600399999999999</v>
      </c>
      <c r="I59" s="239">
        <f t="shared" si="21"/>
        <v>0.34961399999999998</v>
      </c>
      <c r="J59" s="257">
        <f t="shared" ref="J59:J61" si="22">ROUND(E59*G59,2)+ROUND(E59*H59,2)</f>
        <v>24.47</v>
      </c>
      <c r="K59" s="254"/>
      <c r="L59" s="448"/>
      <c r="M59"/>
      <c r="N59"/>
      <c r="O59"/>
    </row>
    <row r="60" spans="2:23" x14ac:dyDescent="0.3">
      <c r="B60" s="255">
        <v>0.1</v>
      </c>
      <c r="C60" s="138" t="s">
        <v>182</v>
      </c>
      <c r="D60" s="138"/>
      <c r="E60" s="256">
        <f>IF(I52&gt;100,IF(I52&gt;220,220-100,I52-100),0)</f>
        <v>120</v>
      </c>
      <c r="F60" s="138" t="s">
        <v>53</v>
      </c>
      <c r="G60" s="239">
        <f>G61*(1-B60)</f>
        <v>0.26041500000000001</v>
      </c>
      <c r="H60" s="239">
        <f>H61*(1-B60)</f>
        <v>0.26400600000000002</v>
      </c>
      <c r="I60" s="239">
        <f t="shared" si="21"/>
        <v>0.52442100000000003</v>
      </c>
      <c r="J60" s="257">
        <f t="shared" si="22"/>
        <v>62.93</v>
      </c>
      <c r="K60" s="254"/>
      <c r="P60"/>
      <c r="R60" s="344">
        <f>IF(AND($B$13&lt;$F$2,$E$13&lt;$F$2),R6,IF($B$13&lt;$F$2,X6,U6))*(1-B58)</f>
        <v>6.588200972942404E-2</v>
      </c>
      <c r="S60" s="330">
        <f>E58*R60</f>
        <v>1.9764602918827212</v>
      </c>
      <c r="U60" s="343">
        <f>E58*G58</f>
        <v>3.0381749999999998</v>
      </c>
    </row>
    <row r="61" spans="2:23" x14ac:dyDescent="0.3">
      <c r="B61" s="255">
        <v>0</v>
      </c>
      <c r="C61" s="138" t="s">
        <v>183</v>
      </c>
      <c r="D61" s="138"/>
      <c r="E61" s="256">
        <f>IF(I52&gt;220,I52-220,0)</f>
        <v>80</v>
      </c>
      <c r="F61" s="138" t="s">
        <v>53</v>
      </c>
      <c r="G61" s="239">
        <f>IF(AND($B$13&lt;$F$2,$E$13&lt;$F$2),C6,IF($B$13&lt;$F$2,I6,F6))</f>
        <v>0.28935</v>
      </c>
      <c r="H61" s="239">
        <f>IF(AND($B$13&lt;$F$2,$E$13&lt;$F$2),D6,IF($B$13&lt;$F$2,J6,G6))</f>
        <v>0.29333999999999999</v>
      </c>
      <c r="I61" s="239">
        <f>G61+H61</f>
        <v>0.58268999999999993</v>
      </c>
      <c r="J61" s="257">
        <f t="shared" si="22"/>
        <v>46.62</v>
      </c>
      <c r="K61" s="254"/>
      <c r="P61"/>
      <c r="R61" s="344">
        <f>IF(AND($B$13&lt;$F$2,$E$13&lt;$F$2),R6,IF($B$13&lt;$F$2,X6,U6))*(1-B59)</f>
        <v>0.11294058810758408</v>
      </c>
      <c r="S61" s="330">
        <f>E59*R61</f>
        <v>7.9058411675308848</v>
      </c>
      <c r="U61" s="343">
        <f>E59*G59</f>
        <v>12.152699999999999</v>
      </c>
    </row>
    <row r="62" spans="2:23" x14ac:dyDescent="0.3">
      <c r="B62" s="249"/>
      <c r="C62" s="138" t="s">
        <v>184</v>
      </c>
      <c r="D62" s="138"/>
      <c r="E62" s="256"/>
      <c r="F62" s="138"/>
      <c r="G62" s="258"/>
      <c r="H62" s="258"/>
      <c r="I62" s="259"/>
      <c r="J62" s="257">
        <f>AC87-AC127</f>
        <v>1.31</v>
      </c>
      <c r="K62" s="254"/>
      <c r="R62" s="344">
        <f>IF(AND($B$13&lt;$F$2,$E$13&lt;$F$2),R6,IF($B$13&lt;$F$2,X6,U6))*(1-B60)</f>
        <v>0.16941088216137612</v>
      </c>
      <c r="S62" s="330">
        <f>E60*R62</f>
        <v>20.329305859365135</v>
      </c>
      <c r="U62" s="343">
        <f>E60*G60</f>
        <v>31.2498</v>
      </c>
    </row>
    <row r="63" spans="2:23" x14ac:dyDescent="0.3">
      <c r="B63" s="249"/>
      <c r="C63" s="138" t="s">
        <v>185</v>
      </c>
      <c r="D63" s="138"/>
      <c r="E63" s="256"/>
      <c r="F63" s="138"/>
      <c r="G63" s="258"/>
      <c r="H63" s="258"/>
      <c r="I63" s="259"/>
      <c r="J63" s="257">
        <f>AC96-AC136</f>
        <v>0</v>
      </c>
      <c r="K63" s="254"/>
      <c r="R63" s="344">
        <f>IF(AND($B$13&lt;$F$2,$E$13&lt;$F$2),R6,IF($B$13&lt;$F$2,X6,U6))*(1-B61)</f>
        <v>0.18823431351264014</v>
      </c>
      <c r="S63" s="330">
        <f>E61*R63</f>
        <v>15.05874508101121</v>
      </c>
      <c r="U63" s="343">
        <f>E61*G61</f>
        <v>23.148</v>
      </c>
    </row>
    <row r="64" spans="2:23" x14ac:dyDescent="0.3">
      <c r="B64" s="249"/>
      <c r="C64" s="138" t="s">
        <v>186</v>
      </c>
      <c r="D64" s="138"/>
      <c r="E64" s="256"/>
      <c r="F64" s="138"/>
      <c r="G64" s="258"/>
      <c r="H64" s="258"/>
      <c r="I64" s="259"/>
      <c r="J64" s="257">
        <f>+AC105-AC145</f>
        <v>0</v>
      </c>
      <c r="K64" s="254"/>
      <c r="R64" s="327"/>
      <c r="S64" s="330"/>
      <c r="U64" s="343">
        <f>SUM(U60:U63)</f>
        <v>69.588674999999995</v>
      </c>
    </row>
    <row r="65" spans="2:31" x14ac:dyDescent="0.3">
      <c r="B65" s="249"/>
      <c r="C65" s="138" t="s">
        <v>187</v>
      </c>
      <c r="D65" s="138"/>
      <c r="E65" s="256"/>
      <c r="F65" s="138"/>
      <c r="G65" s="258"/>
      <c r="H65" s="258"/>
      <c r="I65" s="259"/>
      <c r="J65" s="257">
        <f>AC114-AC154</f>
        <v>0</v>
      </c>
      <c r="K65" s="254"/>
    </row>
    <row r="66" spans="2:31" x14ac:dyDescent="0.3">
      <c r="B66" s="249"/>
      <c r="C66" s="138"/>
      <c r="D66" s="138"/>
      <c r="E66" s="256"/>
      <c r="F66" s="138"/>
      <c r="G66" s="258"/>
      <c r="H66" s="258"/>
      <c r="I66" s="258"/>
      <c r="J66" s="257"/>
      <c r="K66" s="254"/>
    </row>
    <row r="67" spans="2:31" x14ac:dyDescent="0.3">
      <c r="B67" s="260" t="s">
        <v>46</v>
      </c>
      <c r="C67" s="138"/>
      <c r="D67" s="138"/>
      <c r="E67" s="252" t="s">
        <v>188</v>
      </c>
      <c r="F67" s="252"/>
      <c r="G67" s="252"/>
      <c r="H67" s="252" t="s">
        <v>189</v>
      </c>
      <c r="I67" s="258"/>
      <c r="J67" s="257"/>
      <c r="K67" s="254"/>
    </row>
    <row r="68" spans="2:31" ht="6" customHeight="1" x14ac:dyDescent="0.3">
      <c r="B68" s="249"/>
      <c r="C68" s="138" t="s">
        <v>76</v>
      </c>
      <c r="D68" s="138"/>
      <c r="E68" s="261">
        <f>SUM(J57:J65)/(1-H68-H69)</f>
        <v>134.81037289915966</v>
      </c>
      <c r="F68" s="138"/>
      <c r="G68" s="258"/>
      <c r="H68" s="262">
        <f>N21</f>
        <v>8.5000000000000006E-3</v>
      </c>
      <c r="I68" s="258"/>
      <c r="J68" s="257">
        <f>E68*H68</f>
        <v>1.1458881696428571</v>
      </c>
      <c r="K68" s="254"/>
    </row>
    <row r="69" spans="2:31" x14ac:dyDescent="0.3">
      <c r="B69" s="249"/>
      <c r="C69" s="138" t="s">
        <v>190</v>
      </c>
      <c r="D69" s="138"/>
      <c r="E69" s="261">
        <f>E68</f>
        <v>134.81037289915966</v>
      </c>
      <c r="F69" s="138"/>
      <c r="G69" s="258"/>
      <c r="H69" s="262">
        <f>N22</f>
        <v>3.95E-2</v>
      </c>
      <c r="I69" s="258"/>
      <c r="J69" s="257">
        <f t="shared" ref="J69:J71" si="23">E69*H69</f>
        <v>5.3250097295168066</v>
      </c>
      <c r="K69" s="254"/>
    </row>
    <row r="70" spans="2:31" x14ac:dyDescent="0.3">
      <c r="B70" s="249"/>
      <c r="C70" s="138" t="s">
        <v>191</v>
      </c>
      <c r="D70" s="138"/>
      <c r="E70" s="264">
        <f>(E68)/(1-H70)</f>
        <v>162.42213602308394</v>
      </c>
      <c r="F70" s="138"/>
      <c r="G70" s="258"/>
      <c r="H70" s="312">
        <f>I21</f>
        <v>0.17</v>
      </c>
      <c r="I70" s="258"/>
      <c r="J70" s="257">
        <f t="shared" si="23"/>
        <v>27.61176312392427</v>
      </c>
      <c r="K70" s="254"/>
      <c r="M70" s="175"/>
    </row>
    <row r="71" spans="2:31" x14ac:dyDescent="0.3">
      <c r="B71" s="249"/>
      <c r="C71" s="263" t="s">
        <v>177</v>
      </c>
      <c r="D71" s="263"/>
      <c r="E71" s="264">
        <f>K102</f>
        <v>44.355236371657085</v>
      </c>
      <c r="F71" s="263"/>
      <c r="G71" s="265"/>
      <c r="H71" s="266">
        <f>H70</f>
        <v>0.17</v>
      </c>
      <c r="I71" s="265"/>
      <c r="J71" s="267">
        <f t="shared" si="23"/>
        <v>7.5403901831817048</v>
      </c>
      <c r="K71" s="254"/>
      <c r="M71" s="176"/>
      <c r="N71" s="176"/>
    </row>
    <row r="72" spans="2:31" x14ac:dyDescent="0.3">
      <c r="B72" s="249"/>
      <c r="C72" s="138"/>
      <c r="D72" s="138"/>
      <c r="E72" s="261"/>
      <c r="F72" s="138"/>
      <c r="G72" s="258"/>
      <c r="H72" s="268"/>
      <c r="I72" s="258"/>
      <c r="J72" s="269"/>
      <c r="K72" s="254"/>
      <c r="M72" s="177"/>
      <c r="N72" s="178"/>
    </row>
    <row r="73" spans="2:31" x14ac:dyDescent="0.3">
      <c r="B73" s="260" t="s">
        <v>192</v>
      </c>
      <c r="C73" s="138"/>
      <c r="D73" s="138"/>
      <c r="E73" s="261"/>
      <c r="F73" s="138"/>
      <c r="G73" s="258"/>
      <c r="H73" s="268"/>
      <c r="I73" s="258"/>
      <c r="J73" s="269"/>
      <c r="K73" s="254"/>
      <c r="M73"/>
      <c r="N73"/>
    </row>
    <row r="74" spans="2:31" ht="6" customHeight="1" x14ac:dyDescent="0.3">
      <c r="B74" s="249"/>
      <c r="C74" s="138"/>
      <c r="D74" s="138"/>
      <c r="E74" s="261"/>
      <c r="F74" s="138"/>
      <c r="G74" s="258"/>
      <c r="H74" s="268"/>
      <c r="I74" s="258"/>
      <c r="J74" s="269"/>
      <c r="K74" s="270"/>
      <c r="M74"/>
      <c r="N74"/>
    </row>
    <row r="75" spans="2:31" x14ac:dyDescent="0.3">
      <c r="B75" s="249"/>
      <c r="C75" s="138"/>
      <c r="D75" s="138"/>
      <c r="E75" s="261"/>
      <c r="F75" s="138"/>
      <c r="G75" s="258"/>
      <c r="H75" s="268"/>
      <c r="I75" s="258"/>
      <c r="J75" s="269"/>
      <c r="K75" s="270"/>
      <c r="M75"/>
      <c r="N75"/>
    </row>
    <row r="76" spans="2:31" x14ac:dyDescent="0.3">
      <c r="B76" s="271"/>
      <c r="C76" s="272"/>
      <c r="D76" s="272"/>
      <c r="E76" s="273"/>
      <c r="F76" s="272"/>
      <c r="G76" s="274"/>
      <c r="H76" s="275"/>
      <c r="I76" s="274"/>
      <c r="J76" s="276"/>
      <c r="K76" s="277"/>
      <c r="M76"/>
      <c r="N76"/>
    </row>
    <row r="77" spans="2:31" x14ac:dyDescent="0.3">
      <c r="B77" s="138"/>
      <c r="C77" s="138"/>
      <c r="D77" s="138"/>
      <c r="E77" s="138"/>
      <c r="F77" s="138"/>
      <c r="G77" s="138"/>
      <c r="H77" s="138"/>
      <c r="I77" s="278"/>
      <c r="J77" s="278"/>
      <c r="K77" s="278"/>
      <c r="M77"/>
      <c r="N77"/>
    </row>
    <row r="78" spans="2:31" x14ac:dyDescent="0.3">
      <c r="B78" s="138"/>
      <c r="C78" s="138"/>
      <c r="D78" s="226"/>
      <c r="E78" s="250"/>
      <c r="F78" s="109"/>
      <c r="G78" s="109"/>
      <c r="H78" s="138"/>
      <c r="I78" s="491" t="s">
        <v>193</v>
      </c>
      <c r="J78" s="492"/>
      <c r="K78" s="493"/>
      <c r="P78" s="97" t="s">
        <v>73</v>
      </c>
    </row>
    <row r="79" spans="2:31" ht="9" customHeight="1" x14ac:dyDescent="0.3">
      <c r="B79" s="138"/>
      <c r="C79" s="138"/>
      <c r="D79" s="226"/>
      <c r="E79" s="279"/>
      <c r="F79" s="109"/>
      <c r="G79" s="138"/>
      <c r="H79" s="138"/>
      <c r="I79" s="494">
        <f>K55+K74+K75+K76</f>
        <v>183.07305120626563</v>
      </c>
      <c r="J79" s="495"/>
      <c r="K79" s="496"/>
      <c r="N79" s="179"/>
    </row>
    <row r="80" spans="2:31" x14ac:dyDescent="0.3">
      <c r="B80" s="97"/>
      <c r="C80" s="97"/>
      <c r="D80" s="97"/>
      <c r="E80" s="97"/>
      <c r="F80" s="97"/>
      <c r="G80" s="97"/>
      <c r="H80" s="97"/>
      <c r="I80" s="97"/>
      <c r="J80" s="97"/>
      <c r="K80" s="136"/>
      <c r="P80" s="3" t="s">
        <v>12</v>
      </c>
      <c r="Q80" s="3"/>
      <c r="R80" s="3"/>
      <c r="S80" s="3"/>
      <c r="T80" s="3"/>
      <c r="U80" s="3"/>
      <c r="V80" s="8"/>
      <c r="W80" s="8"/>
      <c r="X80" s="9"/>
      <c r="Y80" s="426">
        <f>N4</f>
        <v>1.8849999999999999E-2</v>
      </c>
      <c r="Z80" s="50"/>
      <c r="AA80" s="6"/>
      <c r="AB80" s="6"/>
      <c r="AC80" s="11"/>
      <c r="AD80"/>
      <c r="AE80"/>
    </row>
    <row r="81" spans="2:34" ht="27.6" x14ac:dyDescent="0.3">
      <c r="B81" s="198" t="s">
        <v>199</v>
      </c>
      <c r="C81" s="199"/>
      <c r="D81" s="199"/>
      <c r="E81" s="199"/>
      <c r="F81" s="199"/>
      <c r="G81" s="199"/>
      <c r="H81" s="200">
        <f>K101</f>
        <v>34.670054999999991</v>
      </c>
      <c r="I81" s="96" t="s">
        <v>115</v>
      </c>
      <c r="J81" s="154"/>
      <c r="K81" s="180"/>
      <c r="L81" s="181"/>
      <c r="M81" s="181"/>
      <c r="N81" s="181"/>
      <c r="O81" s="181"/>
      <c r="P81"/>
      <c r="Q81" s="17" t="s">
        <v>73</v>
      </c>
      <c r="R81" s="497"/>
      <c r="S81" s="498"/>
      <c r="T81" s="64"/>
      <c r="U81" s="497"/>
      <c r="V81" s="498"/>
      <c r="W81" s="64"/>
      <c r="X81" s="497" t="s">
        <v>194</v>
      </c>
      <c r="Y81" s="498"/>
      <c r="Z81" s="64"/>
      <c r="AA81" s="497" t="s">
        <v>195</v>
      </c>
      <c r="AB81" s="498"/>
      <c r="AC81" s="18" t="s">
        <v>196</v>
      </c>
      <c r="AD81"/>
      <c r="AE81" s="2"/>
      <c r="AF81" s="326">
        <v>20</v>
      </c>
    </row>
    <row r="82" spans="2:34" x14ac:dyDescent="0.3">
      <c r="B82" s="366" t="s">
        <v>78</v>
      </c>
      <c r="C82" s="367"/>
      <c r="D82" s="368"/>
      <c r="E82" s="369"/>
      <c r="F82" s="369"/>
      <c r="G82" s="367"/>
      <c r="H82" s="366">
        <f>IF(AND($B$13&lt;$F$2,$E$13&lt;$F$2),(E58*AK12)+(E59*AK13)+(E60*AK14)+(E61*AK15),(E58*AM12)+(E59*AM13)+(E60*AM14)+(E61*AM15))</f>
        <v>13.187522077294853</v>
      </c>
      <c r="N82" s="179"/>
      <c r="P82"/>
      <c r="Q82" s="19" t="s">
        <v>197</v>
      </c>
      <c r="R82" s="20"/>
      <c r="S82" s="20"/>
      <c r="T82" s="20"/>
      <c r="U82" s="20"/>
      <c r="V82" s="20"/>
      <c r="W82" s="20"/>
      <c r="X82" s="20"/>
      <c r="Y82" s="20" t="s">
        <v>14</v>
      </c>
      <c r="Z82" s="20"/>
      <c r="AA82" s="20" t="s">
        <v>13</v>
      </c>
      <c r="AB82" s="20" t="s">
        <v>14</v>
      </c>
      <c r="AC82" s="20" t="s">
        <v>198</v>
      </c>
      <c r="AD82"/>
      <c r="AE82" s="1"/>
    </row>
    <row r="83" spans="2:34" x14ac:dyDescent="0.3">
      <c r="G83" s="97"/>
      <c r="H83" s="97"/>
      <c r="N83" s="179"/>
      <c r="P83"/>
      <c r="Q83" s="36">
        <f>IF($K$11=$P$80,(E58*($K$13)/($K$13+$L$13)),0)+IF($L$11=$P$80,(E58*($L$13)/($K$13+$L$13)),0)</f>
        <v>9.6428571428571423</v>
      </c>
      <c r="R83" s="34"/>
      <c r="S83" s="34"/>
      <c r="T83" s="34"/>
      <c r="U83" s="4"/>
      <c r="V83" s="4"/>
      <c r="W83" s="4"/>
      <c r="X83" s="4"/>
      <c r="Y83" s="4">
        <f>$Y$80*(1-AE83)</f>
        <v>6.5974999999999992E-3</v>
      </c>
      <c r="Z83" s="4"/>
      <c r="AA83" s="5"/>
      <c r="AB83" s="5">
        <f>ROUND((Q83*Y83),2)</f>
        <v>0.06</v>
      </c>
      <c r="AC83" s="10">
        <f>AA83+AB83</f>
        <v>0.06</v>
      </c>
      <c r="AD83" s="12"/>
      <c r="AE83" s="16">
        <v>0.65</v>
      </c>
    </row>
    <row r="84" spans="2:34" x14ac:dyDescent="0.3">
      <c r="G84" s="97"/>
      <c r="H84" s="97"/>
      <c r="I84" s="173" t="s">
        <v>200</v>
      </c>
      <c r="J84" s="173" t="s">
        <v>201</v>
      </c>
      <c r="K84" s="11"/>
      <c r="N84" s="179"/>
      <c r="P84"/>
      <c r="Q84" s="36">
        <f>IF($K$11=$P$80,(D22*($K$13)/($K$13+$L$13)),0)+IF($L$11=$P$80,(D22*($L$13)/($K$13+$L$13)),0)</f>
        <v>22.5</v>
      </c>
      <c r="R84" s="34"/>
      <c r="S84" s="34"/>
      <c r="T84" s="34"/>
      <c r="U84" s="4"/>
      <c r="V84" s="4"/>
      <c r="W84" s="4"/>
      <c r="X84" s="4"/>
      <c r="Y84" s="4">
        <f>$Y$80*(1-AE84)</f>
        <v>1.1309999999999999E-2</v>
      </c>
      <c r="Z84" s="4"/>
      <c r="AA84" s="5"/>
      <c r="AB84" s="5">
        <f>ROUND((Q84*Y84),2)</f>
        <v>0.25</v>
      </c>
      <c r="AC84" s="10">
        <f>AA84+AB84</f>
        <v>0.25</v>
      </c>
      <c r="AD84" s="12"/>
      <c r="AE84" s="16">
        <v>0.4</v>
      </c>
      <c r="AF84" s="97">
        <f>IF($K$11=$P$80,(AF81*($K$13)/($K$13+$L$13)),0)+IF($L$11=$P$80,(AF81*($L$13)/($K$13+$L$13)),0)</f>
        <v>6.4285714285714288</v>
      </c>
      <c r="AG84" s="97">
        <f>$Y$80*(1-AE84)</f>
        <v>1.1309999999999999E-2</v>
      </c>
      <c r="AH84" s="97">
        <f>ROUND((AF84*AG84),2)</f>
        <v>7.0000000000000007E-2</v>
      </c>
    </row>
    <row r="85" spans="2:34" x14ac:dyDescent="0.3">
      <c r="G85" s="182" t="s">
        <v>202</v>
      </c>
      <c r="H85" s="183">
        <f>I52</f>
        <v>300</v>
      </c>
      <c r="I85" s="4">
        <f>G61</f>
        <v>0.28935</v>
      </c>
      <c r="J85" s="4">
        <f>H61</f>
        <v>0.29333999999999999</v>
      </c>
      <c r="K85" s="10">
        <f>H85*(I85+J85)</f>
        <v>174.80699999999999</v>
      </c>
      <c r="L85" s="447">
        <f>(K85+K86)</f>
        <v>176.62467857142855</v>
      </c>
      <c r="N85" s="179"/>
      <c r="P85"/>
      <c r="Q85" s="36">
        <f>IF($K$11=$P$80,(E60*($K$13)/($K$13+$L$13)),0)+IF($L$11=$P$80,(E60*($L$13)/($K$13+$L$13)),0)</f>
        <v>38.571428571428569</v>
      </c>
      <c r="R85" s="34"/>
      <c r="S85" s="34"/>
      <c r="T85" s="34"/>
      <c r="U85" s="4"/>
      <c r="V85" s="4"/>
      <c r="W85" s="4"/>
      <c r="X85" s="4"/>
      <c r="Y85" s="4">
        <f>$Y$80*(1-AE85)</f>
        <v>1.6965000000000001E-2</v>
      </c>
      <c r="Z85" s="4"/>
      <c r="AA85" s="5"/>
      <c r="AB85" s="5">
        <f t="shared" ref="AB85:AB86" si="24">ROUND((Q85*Y85),2)</f>
        <v>0.65</v>
      </c>
      <c r="AC85" s="10">
        <f>AA85+AB85</f>
        <v>0.65</v>
      </c>
      <c r="AD85" s="12"/>
      <c r="AE85" s="16">
        <v>0.1</v>
      </c>
    </row>
    <row r="86" spans="2:34" x14ac:dyDescent="0.3">
      <c r="G86" s="15" t="s">
        <v>12</v>
      </c>
      <c r="H86" s="183">
        <f>IF($K$11=$P$80,(H85*($K$13)/($K$13+$L$13)),0)+IF($L$11=$P$80,(H85*($L$13)/($K$13+$L$13)),0)</f>
        <v>96.428571428571431</v>
      </c>
      <c r="I86" s="97"/>
      <c r="J86" s="4">
        <f>Y80</f>
        <v>1.8849999999999999E-2</v>
      </c>
      <c r="K86" s="185">
        <f t="shared" ref="K86:K89" si="25">H86*(I86+J86)</f>
        <v>1.8176785714285713</v>
      </c>
      <c r="L86" s="343">
        <f>-(K95+K96)</f>
        <v>-141.57694499999999</v>
      </c>
      <c r="P86"/>
      <c r="Q86" s="36">
        <f>IF($K$11=$P$80,(E61*($K$13)/($K$13+$L$13)),0)+IF($L$11=$P$80,(E61*($L$13)/($K$13+$L$13)),0)</f>
        <v>25.714285714285715</v>
      </c>
      <c r="R86" s="34"/>
      <c r="S86" s="34"/>
      <c r="T86" s="34"/>
      <c r="U86" s="4"/>
      <c r="V86" s="4"/>
      <c r="W86" s="4"/>
      <c r="X86" s="4"/>
      <c r="Y86" s="4">
        <f>$Y$80*(1-AE86)</f>
        <v>1.8849999999999999E-2</v>
      </c>
      <c r="Z86" s="4"/>
      <c r="AA86" s="5"/>
      <c r="AB86" s="5">
        <f t="shared" si="24"/>
        <v>0.48</v>
      </c>
      <c r="AC86" s="10">
        <f>AA86+AB86</f>
        <v>0.48</v>
      </c>
      <c r="AD86" s="12"/>
      <c r="AE86" s="16">
        <v>0</v>
      </c>
      <c r="AG86" s="343"/>
      <c r="AH86" s="343"/>
    </row>
    <row r="87" spans="2:34" x14ac:dyDescent="0.3">
      <c r="G87" s="15" t="s">
        <v>16</v>
      </c>
      <c r="H87" s="183">
        <f>IF($K$11=$P$89,(H85*($K$13)/($K$13+$L$13)),0)+IF($L$11=$P$89,(H85*($L$13)/($K$13+$L$13)),0)</f>
        <v>0</v>
      </c>
      <c r="I87" s="97"/>
      <c r="J87" s="4">
        <f>Y89</f>
        <v>4.4630000000000003E-2</v>
      </c>
      <c r="K87" s="185">
        <f t="shared" si="25"/>
        <v>0</v>
      </c>
      <c r="L87" s="343">
        <f>SUM(L85:L86)</f>
        <v>35.047733571428552</v>
      </c>
      <c r="P87"/>
      <c r="Q87" s="52" t="s">
        <v>66</v>
      </c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4"/>
      <c r="AC87" s="30">
        <f>SUM(AC83:AC86)</f>
        <v>1.44</v>
      </c>
      <c r="AD87"/>
      <c r="AE87"/>
    </row>
    <row r="88" spans="2:34" x14ac:dyDescent="0.3">
      <c r="G88" s="15" t="s">
        <v>19</v>
      </c>
      <c r="H88" s="183">
        <f>IF($K$11=$P$98,(H85*($K$13)/($K$13+$L$13)),0)+IF($L$11=$P$98,(H85*($L$13)/($K$13+$L$13)),0)</f>
        <v>0</v>
      </c>
      <c r="J88" s="4">
        <f>Y98</f>
        <v>7.8770000000000007E-2</v>
      </c>
      <c r="K88" s="185">
        <f t="shared" si="25"/>
        <v>0</v>
      </c>
      <c r="L88" s="343"/>
      <c r="P88" s="3"/>
      <c r="Q88" s="3"/>
      <c r="R88" s="3"/>
      <c r="S88" s="3"/>
      <c r="T88" s="3"/>
      <c r="U88" s="3"/>
      <c r="V88" s="8"/>
      <c r="W88" s="8"/>
      <c r="X88" s="9"/>
      <c r="Y88" s="9"/>
      <c r="Z88" s="9"/>
      <c r="AA88" s="6"/>
      <c r="AB88" s="6"/>
      <c r="AC88" s="31"/>
      <c r="AD88"/>
      <c r="AE88"/>
    </row>
    <row r="89" spans="2:34" x14ac:dyDescent="0.3">
      <c r="G89" s="15" t="s">
        <v>21</v>
      </c>
      <c r="H89" s="183">
        <f>IF($K$11=$P$107,(H85*($K$13)/($K$13+$L$13)),0)+IF($L$11=$P$107,(H85*($L$13)/($K$13+$L$13)),0)</f>
        <v>0</v>
      </c>
      <c r="J89" s="4">
        <f>Y107</f>
        <v>0.14199999999999999</v>
      </c>
      <c r="K89" s="185">
        <f t="shared" si="25"/>
        <v>0</v>
      </c>
      <c r="P89" s="3" t="s">
        <v>16</v>
      </c>
      <c r="Q89" s="3"/>
      <c r="R89" s="3"/>
      <c r="S89" s="3"/>
      <c r="T89" s="3"/>
      <c r="U89" s="3"/>
      <c r="V89" s="8"/>
      <c r="W89" s="8"/>
      <c r="X89" s="9"/>
      <c r="Y89" s="426">
        <f>N5</f>
        <v>4.4630000000000003E-2</v>
      </c>
      <c r="Z89" s="50"/>
      <c r="AA89" s="6"/>
      <c r="AB89" s="6"/>
      <c r="AC89" s="11"/>
      <c r="AD89"/>
      <c r="AE89"/>
    </row>
    <row r="90" spans="2:34" ht="27.6" x14ac:dyDescent="0.3">
      <c r="G90"/>
      <c r="H90"/>
      <c r="I90"/>
      <c r="J90"/>
      <c r="K90"/>
      <c r="L90"/>
      <c r="M90"/>
      <c r="N90"/>
      <c r="P90"/>
      <c r="Q90" s="17" t="s">
        <v>73</v>
      </c>
      <c r="R90" s="497"/>
      <c r="S90" s="498"/>
      <c r="T90" s="64"/>
      <c r="U90" s="497"/>
      <c r="V90" s="498"/>
      <c r="W90" s="64"/>
      <c r="X90" s="497" t="s">
        <v>11</v>
      </c>
      <c r="Y90" s="498"/>
      <c r="Z90" s="64"/>
      <c r="AA90" s="497" t="s">
        <v>195</v>
      </c>
      <c r="AB90" s="498"/>
      <c r="AC90" s="18" t="s">
        <v>196</v>
      </c>
      <c r="AD90"/>
      <c r="AE90" s="2"/>
    </row>
    <row r="91" spans="2:34" x14ac:dyDescent="0.3">
      <c r="G91" s="138"/>
      <c r="H91" s="183">
        <f>IF(H85&gt;0,30,0)</f>
        <v>30</v>
      </c>
      <c r="I91" s="4">
        <f t="shared" ref="I91:J94" si="26">G58</f>
        <v>0.10127249999999999</v>
      </c>
      <c r="J91" s="4">
        <f t="shared" si="26"/>
        <v>0.102669</v>
      </c>
      <c r="K91" s="10">
        <f>H91*(I91+J91)</f>
        <v>6.1182449999999999</v>
      </c>
      <c r="P91"/>
      <c r="Q91" s="19" t="s">
        <v>197</v>
      </c>
      <c r="R91" s="20"/>
      <c r="S91" s="20"/>
      <c r="T91" s="20"/>
      <c r="U91" s="20" t="s">
        <v>13</v>
      </c>
      <c r="V91" s="20" t="s">
        <v>14</v>
      </c>
      <c r="W91" s="20"/>
      <c r="X91" s="20" t="s">
        <v>13</v>
      </c>
      <c r="Y91" s="20" t="s">
        <v>14</v>
      </c>
      <c r="Z91" s="20"/>
      <c r="AA91" s="20" t="s">
        <v>13</v>
      </c>
      <c r="AB91" s="20" t="s">
        <v>14</v>
      </c>
      <c r="AC91" s="20" t="s">
        <v>198</v>
      </c>
      <c r="AD91"/>
      <c r="AE91" s="1"/>
    </row>
    <row r="92" spans="2:34" x14ac:dyDescent="0.3">
      <c r="G92" s="138"/>
      <c r="H92" s="183">
        <f>IF(H85&gt;30,IF(H85&gt;100,70,H85-30),0)</f>
        <v>70</v>
      </c>
      <c r="I92" s="4">
        <f t="shared" si="26"/>
        <v>0.17360999999999999</v>
      </c>
      <c r="J92" s="4">
        <f t="shared" si="26"/>
        <v>0.17600399999999999</v>
      </c>
      <c r="K92" s="10">
        <f t="shared" ref="K92:K94" si="27">H92*(I92+J92)</f>
        <v>24.47298</v>
      </c>
      <c r="P92"/>
      <c r="Q92" s="36">
        <f>IF($K$11=$P$89,(E58*($K$13)/($K$13+$L$13)),0)+IF($L$11=$P$89,(E58*($L$13)/($K$13+$L$13)),0)</f>
        <v>0</v>
      </c>
      <c r="R92" s="34"/>
      <c r="S92" s="34"/>
      <c r="T92" s="34"/>
      <c r="U92" s="4"/>
      <c r="V92" s="4"/>
      <c r="W92" s="4"/>
      <c r="X92" s="4"/>
      <c r="Y92" s="4">
        <f>$Y$89*(1-AE92)</f>
        <v>1.5620500000000001E-2</v>
      </c>
      <c r="Z92" s="4"/>
      <c r="AA92" s="5"/>
      <c r="AB92" s="5">
        <f>ROUND((Q92*Y92),2)</f>
        <v>0</v>
      </c>
      <c r="AC92" s="10">
        <f>AA92+AB92</f>
        <v>0</v>
      </c>
      <c r="AD92" s="12"/>
      <c r="AE92" s="16">
        <v>0.65</v>
      </c>
    </row>
    <row r="93" spans="2:34" x14ac:dyDescent="0.3">
      <c r="G93" s="138"/>
      <c r="H93" s="183">
        <f>IF(H85&gt;100,IF(H85&gt;220,220-100,H85-100),0)</f>
        <v>120</v>
      </c>
      <c r="I93" s="4">
        <f t="shared" si="26"/>
        <v>0.26041500000000001</v>
      </c>
      <c r="J93" s="4">
        <f t="shared" si="26"/>
        <v>0.26400600000000002</v>
      </c>
      <c r="K93" s="10">
        <f t="shared" si="27"/>
        <v>62.930520000000001</v>
      </c>
      <c r="P93"/>
      <c r="Q93" s="36">
        <f>IF($K$11=$P$89,(E59*($K$13)/($K$13+$L$13)),0)+IF($L$11=$P$89,(E59*($L$13)/($K$13+$L$13)),0)</f>
        <v>0</v>
      </c>
      <c r="R93" s="34"/>
      <c r="S93" s="34"/>
      <c r="T93" s="34"/>
      <c r="U93" s="4"/>
      <c r="V93" s="4"/>
      <c r="W93" s="4"/>
      <c r="X93" s="4"/>
      <c r="Y93" s="4">
        <f t="shared" ref="Y93:Y95" si="28">$Y$89*(1-AE93)</f>
        <v>2.6778E-2</v>
      </c>
      <c r="Z93" s="4"/>
      <c r="AA93" s="5"/>
      <c r="AB93" s="5">
        <f t="shared" ref="AB93:AB95" si="29">ROUND((Q93*Y93),2)</f>
        <v>0</v>
      </c>
      <c r="AC93" s="10">
        <f>AA93+AB93</f>
        <v>0</v>
      </c>
      <c r="AD93" s="12"/>
      <c r="AE93" s="16">
        <v>0.4</v>
      </c>
    </row>
    <row r="94" spans="2:34" x14ac:dyDescent="0.3">
      <c r="G94" s="138"/>
      <c r="H94" s="183">
        <f>IF(H85&gt;220,H85-220,0)</f>
        <v>80</v>
      </c>
      <c r="I94" s="4">
        <f t="shared" si="26"/>
        <v>0.28935</v>
      </c>
      <c r="J94" s="4">
        <f t="shared" si="26"/>
        <v>0.29333999999999999</v>
      </c>
      <c r="K94" s="10">
        <f t="shared" si="27"/>
        <v>46.615199999999994</v>
      </c>
      <c r="P94"/>
      <c r="Q94" s="36">
        <f>IF($K$11=$P$89,(E60*($K$13)/($K$13+$L$13)),0)+IF($L$11=$P$89,(E60*($L$13)/($K$13+$L$13)),0)</f>
        <v>0</v>
      </c>
      <c r="R94" s="34"/>
      <c r="S94" s="34"/>
      <c r="T94" s="34"/>
      <c r="U94" s="4"/>
      <c r="V94" s="4"/>
      <c r="W94" s="4"/>
      <c r="X94" s="4"/>
      <c r="Y94" s="4">
        <f t="shared" si="28"/>
        <v>4.0167000000000001E-2</v>
      </c>
      <c r="Z94" s="4"/>
      <c r="AA94" s="5"/>
      <c r="AB94" s="5">
        <f t="shared" si="29"/>
        <v>0</v>
      </c>
      <c r="AC94" s="10">
        <f>AA94+AB94</f>
        <v>0</v>
      </c>
      <c r="AD94" s="12"/>
      <c r="AE94" s="16">
        <v>0.1</v>
      </c>
    </row>
    <row r="95" spans="2:34" x14ac:dyDescent="0.3">
      <c r="G95"/>
      <c r="K95" s="10">
        <f>SUM(K91:K94)</f>
        <v>140.136945</v>
      </c>
      <c r="P95"/>
      <c r="Q95" s="36">
        <f>IF($K$11=$P$89,(E61*($K$13)/($K$13+$L$13)),0)+IF($L$11=$P$89,(E61*($L$13)/($K$13+$L$13)),0)</f>
        <v>0</v>
      </c>
      <c r="R95" s="34"/>
      <c r="S95" s="34"/>
      <c r="T95" s="34"/>
      <c r="U95" s="4"/>
      <c r="V95" s="4"/>
      <c r="W95" s="4"/>
      <c r="X95" s="4"/>
      <c r="Y95" s="4">
        <f t="shared" si="28"/>
        <v>4.4630000000000003E-2</v>
      </c>
      <c r="Z95" s="4"/>
      <c r="AA95" s="5"/>
      <c r="AB95" s="5">
        <f t="shared" si="29"/>
        <v>0</v>
      </c>
      <c r="AC95" s="10">
        <f>AA95+AB95</f>
        <v>0</v>
      </c>
      <c r="AD95" s="12"/>
      <c r="AE95" s="16">
        <v>0</v>
      </c>
    </row>
    <row r="96" spans="2:34" x14ac:dyDescent="0.3">
      <c r="G96" s="15" t="s">
        <v>12</v>
      </c>
      <c r="H96"/>
      <c r="I96"/>
      <c r="J96"/>
      <c r="K96" s="185">
        <f>AC87</f>
        <v>1.44</v>
      </c>
      <c r="P96"/>
      <c r="Q96" s="52" t="s">
        <v>66</v>
      </c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4"/>
      <c r="AC96" s="30">
        <f>SUM(AC92:AC95)</f>
        <v>0</v>
      </c>
      <c r="AD96"/>
      <c r="AE96"/>
    </row>
    <row r="97" spans="2:33" x14ac:dyDescent="0.3">
      <c r="G97" s="15" t="s">
        <v>16</v>
      </c>
      <c r="H97"/>
      <c r="I97"/>
      <c r="J97"/>
      <c r="K97" s="185">
        <f>AC96</f>
        <v>0</v>
      </c>
      <c r="P97" s="3"/>
      <c r="Q97" s="3"/>
      <c r="R97" s="3"/>
      <c r="S97" s="3"/>
      <c r="T97" s="3"/>
      <c r="U97" s="3"/>
      <c r="V97" s="8"/>
      <c r="W97" s="8"/>
      <c r="X97" s="9"/>
      <c r="Y97" s="9"/>
      <c r="Z97" s="9"/>
      <c r="AA97" s="6"/>
      <c r="AB97" s="6"/>
      <c r="AC97" s="11"/>
      <c r="AD97"/>
      <c r="AE97"/>
    </row>
    <row r="98" spans="2:33" x14ac:dyDescent="0.3">
      <c r="G98" s="15" t="s">
        <v>19</v>
      </c>
      <c r="H98"/>
      <c r="I98"/>
      <c r="J98"/>
      <c r="K98" s="185">
        <f>AC105</f>
        <v>0</v>
      </c>
      <c r="P98" s="3" t="s">
        <v>19</v>
      </c>
      <c r="Q98" s="3"/>
      <c r="R98" s="3"/>
      <c r="S98" s="3"/>
      <c r="T98" s="3"/>
      <c r="U98" s="3"/>
      <c r="V98" s="8"/>
      <c r="W98" s="8"/>
      <c r="X98" s="9"/>
      <c r="Y98" s="426">
        <f>N6</f>
        <v>7.8770000000000007E-2</v>
      </c>
      <c r="Z98" s="50"/>
      <c r="AA98" s="6"/>
      <c r="AB98" s="6"/>
      <c r="AC98" s="11"/>
      <c r="AD98"/>
      <c r="AE98"/>
    </row>
    <row r="99" spans="2:33" ht="27.6" x14ac:dyDescent="0.3">
      <c r="G99" s="15" t="s">
        <v>21</v>
      </c>
      <c r="K99" s="185">
        <f>AC114</f>
        <v>0</v>
      </c>
      <c r="P99"/>
      <c r="Q99" s="17" t="s">
        <v>73</v>
      </c>
      <c r="R99" s="497"/>
      <c r="S99" s="498"/>
      <c r="T99" s="64"/>
      <c r="U99" s="497"/>
      <c r="V99" s="498"/>
      <c r="W99" s="64"/>
      <c r="X99" s="497" t="s">
        <v>11</v>
      </c>
      <c r="Y99" s="498"/>
      <c r="Z99" s="64"/>
      <c r="AA99" s="497" t="s">
        <v>195</v>
      </c>
      <c r="AB99" s="498"/>
      <c r="AC99" s="18" t="s">
        <v>196</v>
      </c>
      <c r="AD99"/>
      <c r="AE99" s="2"/>
    </row>
    <row r="100" spans="2:33" x14ac:dyDescent="0.3">
      <c r="G100" s="15"/>
      <c r="P100"/>
      <c r="Q100" s="19" t="s">
        <v>197</v>
      </c>
      <c r="R100" s="20"/>
      <c r="S100" s="20"/>
      <c r="T100" s="20"/>
      <c r="U100" s="20" t="s">
        <v>13</v>
      </c>
      <c r="V100" s="20" t="s">
        <v>14</v>
      </c>
      <c r="W100" s="20"/>
      <c r="X100" s="20" t="s">
        <v>13</v>
      </c>
      <c r="Y100" s="20" t="s">
        <v>14</v>
      </c>
      <c r="Z100" s="20"/>
      <c r="AA100" s="20" t="s">
        <v>13</v>
      </c>
      <c r="AB100" s="20" t="s">
        <v>14</v>
      </c>
      <c r="AC100" s="20" t="s">
        <v>198</v>
      </c>
      <c r="AD100"/>
      <c r="AE100" s="1"/>
    </row>
    <row r="101" spans="2:33" x14ac:dyDescent="0.3">
      <c r="J101" s="186" t="s">
        <v>199</v>
      </c>
      <c r="K101" s="187">
        <f>K85-K95</f>
        <v>34.670054999999991</v>
      </c>
      <c r="L101" s="51" t="s">
        <v>203</v>
      </c>
      <c r="P101"/>
      <c r="Q101" s="36">
        <f>IF($K$11=$P$98,(E58*($K$13)/($K$13+$L$13)),0)+IF($L$11=$P$98,(E58*($L$13)/($K$13+$L$13)),0)</f>
        <v>0</v>
      </c>
      <c r="R101" s="34"/>
      <c r="S101" s="34"/>
      <c r="T101" s="34"/>
      <c r="U101" s="4"/>
      <c r="V101" s="4"/>
      <c r="W101" s="4"/>
      <c r="X101" s="4"/>
      <c r="Y101" s="4">
        <f>$Y$98*(1-AE101)</f>
        <v>2.75695E-2</v>
      </c>
      <c r="Z101" s="4"/>
      <c r="AA101" s="5"/>
      <c r="AB101" s="5">
        <f>ROUND((Q101*Y101),2)</f>
        <v>0</v>
      </c>
      <c r="AC101" s="10">
        <f>AA101+AB101</f>
        <v>0</v>
      </c>
      <c r="AD101" s="12"/>
      <c r="AE101" s="16">
        <v>0.65</v>
      </c>
    </row>
    <row r="102" spans="2:33" x14ac:dyDescent="0.3">
      <c r="J102" s="188" t="s">
        <v>102</v>
      </c>
      <c r="K102" s="189">
        <f>K105</f>
        <v>44.355236371657085</v>
      </c>
      <c r="L102" s="51" t="s">
        <v>204</v>
      </c>
      <c r="P102"/>
      <c r="Q102" s="36">
        <f>IF($K$11=$P$98,(E59*($K$13)/($K$13+$L$13)),0)+IF($L$11=$P$98,(E59*($L$13)/($K$13+$L$13)),0)</f>
        <v>0</v>
      </c>
      <c r="R102" s="34"/>
      <c r="S102" s="34"/>
      <c r="T102" s="34"/>
      <c r="U102" s="4"/>
      <c r="V102" s="4"/>
      <c r="W102" s="4"/>
      <c r="X102" s="4"/>
      <c r="Y102" s="4">
        <f t="shared" ref="Y102:Y104" si="30">$Y$98*(1-AE102)</f>
        <v>4.7262000000000005E-2</v>
      </c>
      <c r="Z102" s="4"/>
      <c r="AA102" s="5"/>
      <c r="AB102" s="5">
        <f t="shared" ref="AB102:AB104" si="31">ROUND((Q102*Y102),2)</f>
        <v>0</v>
      </c>
      <c r="AC102" s="10">
        <f>AA102+AB102</f>
        <v>0</v>
      </c>
      <c r="AD102" s="12"/>
      <c r="AE102" s="16">
        <v>0.4</v>
      </c>
    </row>
    <row r="103" spans="2:33" x14ac:dyDescent="0.3">
      <c r="J103" s="15" t="s">
        <v>54</v>
      </c>
      <c r="K103" s="190">
        <f>(K101+K86+K87+K88+K89-K96-K97-K98-K99)/(1-H68-H69)</f>
        <v>36.814846188475379</v>
      </c>
      <c r="L103" s="46"/>
      <c r="P103"/>
      <c r="Q103" s="36">
        <f>IF($K$11=$P$98,(E60*($K$13)/($K$13+$L$13)),0)+IF($L$11=$P$98,(E60*($L$13)/($K$13+$L$13)),0)</f>
        <v>0</v>
      </c>
      <c r="R103" s="34"/>
      <c r="S103" s="34"/>
      <c r="T103" s="34"/>
      <c r="U103" s="4"/>
      <c r="V103" s="4"/>
      <c r="W103" s="4"/>
      <c r="X103" s="4"/>
      <c r="Y103" s="4">
        <f t="shared" si="30"/>
        <v>7.0893000000000012E-2</v>
      </c>
      <c r="Z103" s="4"/>
      <c r="AA103" s="5"/>
      <c r="AB103" s="5">
        <f t="shared" si="31"/>
        <v>0</v>
      </c>
      <c r="AC103" s="10">
        <f>AA103+AB103</f>
        <v>0</v>
      </c>
      <c r="AD103" s="12"/>
      <c r="AE103" s="16">
        <v>0.1</v>
      </c>
    </row>
    <row r="104" spans="2:33" x14ac:dyDescent="0.3">
      <c r="J104" s="15" t="s">
        <v>56</v>
      </c>
      <c r="K104" s="191">
        <f>K103</f>
        <v>36.814846188475379</v>
      </c>
      <c r="L104" s="46"/>
      <c r="P104"/>
      <c r="Q104" s="36">
        <f>IF($K$11=$P$98,(E61*($K$13)/($K$13+$L$13)),0)+IF($L$11=$P$98,(E61*($L$13)/($K$13+$L$13)),0)</f>
        <v>0</v>
      </c>
      <c r="R104" s="34"/>
      <c r="S104" s="34"/>
      <c r="T104" s="34"/>
      <c r="U104" s="4"/>
      <c r="V104" s="4"/>
      <c r="W104" s="4"/>
      <c r="X104" s="4"/>
      <c r="Y104" s="4">
        <f t="shared" si="30"/>
        <v>7.8770000000000007E-2</v>
      </c>
      <c r="Z104" s="4"/>
      <c r="AA104" s="5"/>
      <c r="AB104" s="5">
        <f t="shared" si="31"/>
        <v>0</v>
      </c>
      <c r="AC104" s="10">
        <f>AA104+AB104</f>
        <v>0</v>
      </c>
      <c r="AD104" s="12"/>
      <c r="AE104" s="16">
        <v>0</v>
      </c>
    </row>
    <row r="105" spans="2:33" x14ac:dyDescent="0.3">
      <c r="J105" s="15" t="s">
        <v>77</v>
      </c>
      <c r="K105" s="313">
        <f>(K103)/(1-H71)</f>
        <v>44.355236371657085</v>
      </c>
      <c r="L105"/>
      <c r="P105"/>
      <c r="Q105" s="52" t="s">
        <v>66</v>
      </c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4"/>
      <c r="AC105" s="30">
        <f>SUM(AC101:AC104)</f>
        <v>0</v>
      </c>
      <c r="AD105"/>
      <c r="AE105"/>
    </row>
    <row r="107" spans="2:33" x14ac:dyDescent="0.3">
      <c r="B107" s="63" t="s">
        <v>79</v>
      </c>
      <c r="C107" s="1"/>
      <c r="D107" s="13"/>
      <c r="E107" s="13"/>
      <c r="P107" t="s">
        <v>21</v>
      </c>
      <c r="Q107" s="3"/>
      <c r="R107" s="3"/>
      <c r="S107" s="3"/>
      <c r="T107" s="3"/>
      <c r="U107" s="3"/>
      <c r="V107" s="8"/>
      <c r="W107" s="8"/>
      <c r="X107" s="9"/>
      <c r="Y107" s="426">
        <f>N7</f>
        <v>0.14199999999999999</v>
      </c>
      <c r="Z107" s="50"/>
      <c r="AA107" s="6"/>
      <c r="AB107" s="6"/>
      <c r="AC107" s="11"/>
      <c r="AD107"/>
      <c r="AE107"/>
    </row>
    <row r="108" spans="2:33" ht="27.6" x14ac:dyDescent="0.3">
      <c r="B108" s="56"/>
      <c r="C108" s="57" t="s">
        <v>71</v>
      </c>
      <c r="D108" s="1"/>
      <c r="E108" s="1"/>
      <c r="F108" s="13"/>
      <c r="P108"/>
      <c r="Q108" s="17" t="s">
        <v>73</v>
      </c>
      <c r="R108" s="497"/>
      <c r="S108" s="498"/>
      <c r="T108" s="64"/>
      <c r="U108" s="497"/>
      <c r="V108" s="498"/>
      <c r="W108" s="64"/>
      <c r="X108" s="497" t="s">
        <v>11</v>
      </c>
      <c r="Y108" s="498"/>
      <c r="Z108" s="64"/>
      <c r="AA108" s="497" t="s">
        <v>195</v>
      </c>
      <c r="AB108" s="498"/>
      <c r="AC108" s="18" t="s">
        <v>196</v>
      </c>
      <c r="AD108"/>
      <c r="AE108" s="2"/>
    </row>
    <row r="109" spans="2:33" x14ac:dyDescent="0.3">
      <c r="B109" s="56" t="s">
        <v>80</v>
      </c>
      <c r="C109" s="141">
        <f>SUM(J58:J65)*IF($B$13&lt;$F$2,D148,D120)</f>
        <v>62.849147090383937</v>
      </c>
      <c r="D109" s="1"/>
      <c r="E109" s="1"/>
      <c r="F109" s="1"/>
      <c r="G109" s="13"/>
      <c r="P109"/>
      <c r="Q109" s="19" t="s">
        <v>197</v>
      </c>
      <c r="R109" s="20"/>
      <c r="S109" s="20"/>
      <c r="T109" s="20"/>
      <c r="U109" s="20" t="s">
        <v>13</v>
      </c>
      <c r="V109" s="20" t="s">
        <v>14</v>
      </c>
      <c r="W109" s="20"/>
      <c r="X109" s="20" t="s">
        <v>13</v>
      </c>
      <c r="Y109" s="20" t="s">
        <v>14</v>
      </c>
      <c r="Z109" s="20"/>
      <c r="AA109" s="20" t="s">
        <v>13</v>
      </c>
      <c r="AB109" s="20" t="s">
        <v>14</v>
      </c>
      <c r="AC109" s="20" t="s">
        <v>198</v>
      </c>
      <c r="AD109"/>
      <c r="AE109" s="1"/>
      <c r="AF109"/>
      <c r="AG109"/>
    </row>
    <row r="110" spans="2:33" x14ac:dyDescent="0.3">
      <c r="B110" s="56" t="s">
        <v>81</v>
      </c>
      <c r="C110" s="141">
        <f>SUM(J58:J65)*IF($B$13&lt;$F$2,F148,F120)</f>
        <v>-7.698363267514579</v>
      </c>
      <c r="D110" s="1"/>
      <c r="E110" s="1"/>
      <c r="F110" s="1"/>
      <c r="G110" s="1"/>
      <c r="P110"/>
      <c r="Q110" s="36">
        <f>IF($K$11=$P$107,(E58*($K$13)/($K$13+$L$13)),0)+IF($L$11=$P$107,(E58*($L$13)/($K$13+$L$13)),0)</f>
        <v>0</v>
      </c>
      <c r="R110" s="34"/>
      <c r="S110" s="34"/>
      <c r="T110" s="34"/>
      <c r="U110" s="4"/>
      <c r="V110" s="4"/>
      <c r="W110" s="4"/>
      <c r="X110" s="4"/>
      <c r="Y110" s="4">
        <f>$Y$107*(1-AE110)</f>
        <v>4.9699999999999994E-2</v>
      </c>
      <c r="Z110" s="4"/>
      <c r="AA110" s="5"/>
      <c r="AB110" s="5">
        <f>ROUND((Q110*Y110),2)</f>
        <v>0</v>
      </c>
      <c r="AC110" s="10">
        <f>AA110+AB110</f>
        <v>0</v>
      </c>
      <c r="AD110" s="12"/>
      <c r="AE110" s="16">
        <v>0.65</v>
      </c>
      <c r="AF110"/>
      <c r="AG110"/>
    </row>
    <row r="111" spans="2:33" x14ac:dyDescent="0.3">
      <c r="B111" s="56" t="s">
        <v>82</v>
      </c>
      <c r="C111" s="141">
        <f>SUM(J58:J65)*IF($B$13&lt;$F$2,E148,E120)</f>
        <v>77.674059576783208</v>
      </c>
      <c r="D111" s="1"/>
      <c r="E111" s="1"/>
      <c r="F111" s="1"/>
      <c r="G111" s="1"/>
      <c r="P111"/>
      <c r="Q111" s="36">
        <f>IF($K$11=$P$107,(E59*($K$13)/($K$13+$L$13)),0)+IF($L$11=$P$107,(E59*($L$13)/($K$13+$L$13)),0)</f>
        <v>0</v>
      </c>
      <c r="R111" s="34"/>
      <c r="S111" s="34"/>
      <c r="T111" s="34"/>
      <c r="U111" s="4"/>
      <c r="V111" s="4"/>
      <c r="W111" s="4"/>
      <c r="X111" s="4"/>
      <c r="Y111" s="4">
        <f t="shared" ref="Y111:Y113" si="32">$Y$107*(1-AE111)</f>
        <v>8.5199999999999984E-2</v>
      </c>
      <c r="Z111" s="4"/>
      <c r="AA111" s="5"/>
      <c r="AB111" s="5">
        <f t="shared" ref="AB111:AB113" si="33">ROUND((Q111*Y111),2)</f>
        <v>0</v>
      </c>
      <c r="AC111" s="10">
        <f>AA111+AB111</f>
        <v>0</v>
      </c>
      <c r="AD111" s="12"/>
      <c r="AE111" s="16">
        <v>0.4</v>
      </c>
      <c r="AF111"/>
      <c r="AG111"/>
    </row>
    <row r="112" spans="2:33" x14ac:dyDescent="0.3">
      <c r="B112" s="139" t="s">
        <v>83</v>
      </c>
      <c r="C112" s="141">
        <f>SUM(J58:J65)*IF($B$13&lt;$F$2,G148,G120)</f>
        <v>8.6251566003475304</v>
      </c>
      <c r="D112" s="1"/>
      <c r="E112" s="1"/>
      <c r="F112" s="1"/>
      <c r="G112" s="1"/>
      <c r="P112"/>
      <c r="Q112" s="36">
        <f>IF($K$11=$P$107,(E60*($K$13)/($K$13+$L$13)),0)+IF($L$11=$P$107,(E60*($L$13)/($K$13+$L$13)),0)</f>
        <v>0</v>
      </c>
      <c r="R112" s="34"/>
      <c r="S112" s="34"/>
      <c r="T112" s="34"/>
      <c r="U112" s="4"/>
      <c r="V112" s="4"/>
      <c r="W112" s="4"/>
      <c r="X112" s="4"/>
      <c r="Y112" s="4">
        <f t="shared" si="32"/>
        <v>0.1278</v>
      </c>
      <c r="Z112" s="4"/>
      <c r="AA112" s="5"/>
      <c r="AB112" s="5">
        <f t="shared" si="33"/>
        <v>0</v>
      </c>
      <c r="AC112" s="10">
        <f>AA112+AB112</f>
        <v>0</v>
      </c>
      <c r="AD112" s="12"/>
      <c r="AE112" s="16">
        <v>0.1</v>
      </c>
      <c r="AF112"/>
      <c r="AG112"/>
    </row>
    <row r="113" spans="2:33" x14ac:dyDescent="0.3">
      <c r="B113" s="56" t="s">
        <v>84</v>
      </c>
      <c r="C113" s="59">
        <f>J68+J69+J70+J71</f>
        <v>41.623051206265643</v>
      </c>
      <c r="D113" s="1"/>
      <c r="E113" s="1"/>
      <c r="F113" s="1"/>
      <c r="G113" s="1"/>
      <c r="P113"/>
      <c r="Q113" s="36">
        <f>IF($K$11=$P$107,(E61*($K$13)/($K$13+$L$13)),0)+IF($L$11=$P$107,(E61*($L$13)/($K$13+$L$13)),0)</f>
        <v>0</v>
      </c>
      <c r="R113" s="34"/>
      <c r="S113" s="34"/>
      <c r="T113" s="34"/>
      <c r="U113" s="4"/>
      <c r="V113" s="4"/>
      <c r="W113" s="4"/>
      <c r="X113" s="4"/>
      <c r="Y113" s="4">
        <f t="shared" si="32"/>
        <v>0.14199999999999999</v>
      </c>
      <c r="Z113" s="4"/>
      <c r="AA113" s="5"/>
      <c r="AB113" s="5">
        <f t="shared" si="33"/>
        <v>0</v>
      </c>
      <c r="AC113" s="10">
        <f>AA113+AB113</f>
        <v>0</v>
      </c>
      <c r="AD113" s="12"/>
      <c r="AE113" s="16">
        <v>0</v>
      </c>
      <c r="AF113"/>
      <c r="AG113"/>
    </row>
    <row r="114" spans="2:33" x14ac:dyDescent="0.3">
      <c r="B114" s="60" t="s">
        <v>85</v>
      </c>
      <c r="C114" s="61">
        <f>SUM(C109:C113)</f>
        <v>183.07305120626575</v>
      </c>
      <c r="D114" s="1"/>
      <c r="E114" s="1"/>
      <c r="F114" s="1"/>
      <c r="G114" s="1"/>
      <c r="P114"/>
      <c r="Q114" s="52" t="s">
        <v>66</v>
      </c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4"/>
      <c r="AC114" s="30">
        <f>SUM(AC110:AC113)</f>
        <v>0</v>
      </c>
      <c r="AD114"/>
      <c r="AE114"/>
      <c r="AF114"/>
      <c r="AG114"/>
    </row>
    <row r="115" spans="2:33" x14ac:dyDescent="0.3">
      <c r="B115" s="1"/>
      <c r="C115" s="1"/>
      <c r="D115" s="1"/>
      <c r="E115" s="1"/>
      <c r="F115" s="1"/>
      <c r="G115" s="1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2:33" x14ac:dyDescent="0.3">
      <c r="B116" s="15">
        <f>'Fatura B1 (Res) OK'!$B$68</f>
        <v>2024</v>
      </c>
      <c r="C116" s="15"/>
      <c r="D116" s="15" t="str">
        <f>'Fatura B1 (Res) OK'!$D$68</f>
        <v>Energia</v>
      </c>
      <c r="E116" s="15" t="str">
        <f>'Fatura B1 (Res) OK'!$E$68</f>
        <v>Transmissão</v>
      </c>
      <c r="F116" s="15" t="str">
        <f>'Fatura B1 (Res) OK'!$F$68</f>
        <v>Distribuição</v>
      </c>
      <c r="G116" s="15" t="str">
        <f>'Fatura B1 (Res) OK'!$G$68</f>
        <v>Setoriais</v>
      </c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2:33" x14ac:dyDescent="0.3">
      <c r="B117" s="15" t="str">
        <f>'Fatura B1 (Res) OK'!$B$69</f>
        <v>Grupo B</v>
      </c>
      <c r="C117" s="15"/>
      <c r="D117" s="15" t="str">
        <f>'Fatura B1 (Res) OK'!$D$69</f>
        <v>%</v>
      </c>
      <c r="E117" s="15" t="str">
        <f>'Fatura B1 (Res) OK'!$E$69</f>
        <v>%</v>
      </c>
      <c r="F117" s="15" t="str">
        <f>'Fatura B1 (Res) OK'!$F$69</f>
        <v>%</v>
      </c>
      <c r="G117" s="15" t="str">
        <f>'Fatura B1 (Res) OK'!$G$69</f>
        <v>%</v>
      </c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2:33" x14ac:dyDescent="0.3">
      <c r="B118" s="15"/>
      <c r="C118" s="15"/>
      <c r="D118" s="15"/>
      <c r="E118" s="15"/>
      <c r="F118" s="15"/>
      <c r="G118" s="15"/>
      <c r="P118" s="97" t="s">
        <v>296</v>
      </c>
      <c r="AF118"/>
      <c r="AG118"/>
    </row>
    <row r="119" spans="2:33" x14ac:dyDescent="0.3">
      <c r="B119" s="15" t="str">
        <f>'Fatura B1 (Res) OK'!$B$71</f>
        <v>B1 - Residencial</v>
      </c>
      <c r="C119" s="15"/>
      <c r="D119" s="62">
        <f>'Fatura B1 (Res) OK'!$D$71</f>
        <v>0.45246416638672077</v>
      </c>
      <c r="E119" s="62">
        <f>'Fatura B1 (Res) OK'!$E$71</f>
        <v>7.39594111182032E-2</v>
      </c>
      <c r="F119" s="62">
        <f>'Fatura B1 (Res) OK'!$F$71</f>
        <v>0.27500913257019954</v>
      </c>
      <c r="G119" s="62">
        <f>'Fatura B1 (Res) OK'!$G$71</f>
        <v>0.19856728992487654</v>
      </c>
      <c r="AF119"/>
      <c r="AG119"/>
    </row>
    <row r="120" spans="2:33" x14ac:dyDescent="0.3">
      <c r="B120" s="15" t="str">
        <f>'Fatura B1 (Res) OK'!$B$72</f>
        <v>B1 - Residencial Baixa Renda</v>
      </c>
      <c r="C120" s="15"/>
      <c r="D120" s="62">
        <f>'Fatura B1 (Res) OK'!$D$72</f>
        <v>0.53149575868436638</v>
      </c>
      <c r="E120" s="62">
        <f>'Fatura B1 (Res) OK'!$E$72</f>
        <v>8.6877848555460851E-2</v>
      </c>
      <c r="F120" s="62">
        <f>'Fatura B1 (Res) OK'!$F$72</f>
        <v>0.32304478104372042</v>
      </c>
      <c r="G120" s="62">
        <f>'Fatura B1 (Res) OK'!$G$72</f>
        <v>5.8581611716452382E-2</v>
      </c>
      <c r="P120" s="155" t="s">
        <v>12</v>
      </c>
      <c r="Q120" s="155"/>
      <c r="R120" s="155"/>
      <c r="S120" s="155"/>
      <c r="T120" s="155"/>
      <c r="U120" s="155"/>
      <c r="V120" s="156"/>
      <c r="W120" s="156"/>
      <c r="X120" s="157"/>
      <c r="Y120" s="425">
        <f>Y80</f>
        <v>1.8849999999999999E-2</v>
      </c>
      <c r="Z120" s="354"/>
      <c r="AA120" s="158"/>
      <c r="AB120" s="158"/>
      <c r="AC120" s="163"/>
      <c r="AF120"/>
      <c r="AG120"/>
    </row>
    <row r="121" spans="2:33" ht="27.6" x14ac:dyDescent="0.3">
      <c r="B121" s="15" t="str">
        <f>'Fatura B1 (Res) OK'!$B$73</f>
        <v>B2 - Rural</v>
      </c>
      <c r="C121" s="15"/>
      <c r="D121" s="62">
        <f>'Fatura B1 (Res) OK'!$D$73</f>
        <v>0.45246416638672077</v>
      </c>
      <c r="E121" s="62">
        <f>'Fatura B1 (Res) OK'!$E$73</f>
        <v>7.39594111182032E-2</v>
      </c>
      <c r="F121" s="62">
        <f>'Fatura B1 (Res) OK'!$F$73</f>
        <v>0.27500913257019954</v>
      </c>
      <c r="G121" s="62">
        <f>'Fatura B1 (Res) OK'!$G$73</f>
        <v>0.19856728992487654</v>
      </c>
      <c r="Q121" s="17" t="s">
        <v>73</v>
      </c>
      <c r="R121" s="497"/>
      <c r="S121" s="498"/>
      <c r="T121" s="64"/>
      <c r="U121" s="497"/>
      <c r="V121" s="498"/>
      <c r="W121" s="64"/>
      <c r="X121" s="497" t="s">
        <v>194</v>
      </c>
      <c r="Y121" s="498"/>
      <c r="Z121" s="64"/>
      <c r="AA121" s="497" t="s">
        <v>195</v>
      </c>
      <c r="AB121" s="498"/>
      <c r="AC121" s="18" t="s">
        <v>196</v>
      </c>
      <c r="AF121"/>
      <c r="AG121"/>
    </row>
    <row r="122" spans="2:33" x14ac:dyDescent="0.3">
      <c r="B122" s="15" t="str">
        <f>'Fatura B1 (Res) OK'!$B$74</f>
        <v>B2 - Cooperativa Eletrificação Rural</v>
      </c>
      <c r="C122" s="15"/>
      <c r="D122" s="62">
        <f>'Fatura B1 (Res) OK'!$D$74</f>
        <v>0.45246416638672077</v>
      </c>
      <c r="E122" s="62">
        <f>'Fatura B1 (Res) OK'!$E$74</f>
        <v>7.39594111182032E-2</v>
      </c>
      <c r="F122" s="62">
        <f>'Fatura B1 (Res) OK'!$F$74</f>
        <v>0.27500913257019954</v>
      </c>
      <c r="G122" s="62">
        <f>'Fatura B1 (Res) OK'!$G$74</f>
        <v>0.19856728992487654</v>
      </c>
      <c r="Q122" s="355" t="s">
        <v>197</v>
      </c>
      <c r="R122" s="355"/>
      <c r="S122" s="355"/>
      <c r="T122" s="355"/>
      <c r="U122" s="355"/>
      <c r="V122" s="355"/>
      <c r="W122" s="355"/>
      <c r="X122" s="355"/>
      <c r="Y122" s="355" t="s">
        <v>14</v>
      </c>
      <c r="Z122" s="355"/>
      <c r="AA122" s="355" t="s">
        <v>13</v>
      </c>
      <c r="AB122" s="355" t="s">
        <v>14</v>
      </c>
      <c r="AC122" s="355" t="s">
        <v>198</v>
      </c>
      <c r="AF122"/>
      <c r="AG122"/>
    </row>
    <row r="123" spans="2:33" x14ac:dyDescent="0.3">
      <c r="B123" s="15" t="str">
        <f>'Fatura B1 (Res) OK'!$B$75</f>
        <v>B2 - Serviço de Irrigação</v>
      </c>
      <c r="C123" s="15"/>
      <c r="D123" s="62">
        <f>'Fatura B1 (Res) OK'!$D$75</f>
        <v>0.45246416638672077</v>
      </c>
      <c r="E123" s="62">
        <f>'Fatura B1 (Res) OK'!$E$75</f>
        <v>7.39594111182032E-2</v>
      </c>
      <c r="F123" s="62">
        <f>'Fatura B1 (Res) OK'!$F$75</f>
        <v>0.27500913257019954</v>
      </c>
      <c r="G123" s="62">
        <f>'Fatura B1 (Res) OK'!$G$75</f>
        <v>0.19856728992487654</v>
      </c>
      <c r="Q123" s="356">
        <f>IF($K$11=$P$120,(30*($K$13)/($K$13+$L$13)),0)+IF($L$11=$P$120,(30*($L$13)/($K$13+$L$13)),0)</f>
        <v>9.6428571428571423</v>
      </c>
      <c r="R123" s="357"/>
      <c r="S123" s="357"/>
      <c r="T123" s="357"/>
      <c r="U123" s="358"/>
      <c r="V123" s="358"/>
      <c r="W123" s="358"/>
      <c r="X123" s="358"/>
      <c r="Y123" s="358">
        <f>$Y$120*(1-AE123)</f>
        <v>6.5974999999999992E-3</v>
      </c>
      <c r="Z123" s="358"/>
      <c r="AA123" s="359"/>
      <c r="AB123" s="359">
        <f>ROUND((Q123*Y123),2)</f>
        <v>0.06</v>
      </c>
      <c r="AC123" s="360">
        <f>AA123+AB123</f>
        <v>0.06</v>
      </c>
      <c r="AE123" s="16">
        <v>0.65</v>
      </c>
      <c r="AF123"/>
      <c r="AG123"/>
    </row>
    <row r="124" spans="2:33" x14ac:dyDescent="0.3">
      <c r="B124" s="15" t="str">
        <f>'Fatura B1 (Res) OK'!$B$76</f>
        <v>B3 - Demais Classes</v>
      </c>
      <c r="C124" s="15"/>
      <c r="D124" s="62">
        <f>'Fatura B1 (Res) OK'!$D$76</f>
        <v>0.45246416638672077</v>
      </c>
      <c r="E124" s="62">
        <f>'Fatura B1 (Res) OK'!$E$76</f>
        <v>7.39594111182032E-2</v>
      </c>
      <c r="F124" s="62">
        <f>'Fatura B1 (Res) OK'!$F$76</f>
        <v>0.27500913257019954</v>
      </c>
      <c r="G124" s="62">
        <f>'Fatura B1 (Res) OK'!$G$76</f>
        <v>0.19856728992487654</v>
      </c>
      <c r="Q124" s="356">
        <f>IF($K$11=$P$120,(20*($K$13)/($K$13+$L$13)),0)+IF($L$11=$P$120,(20*($L$13)/($K$13+$L$13)),0)</f>
        <v>6.4285714285714288</v>
      </c>
      <c r="R124" s="357"/>
      <c r="S124" s="357"/>
      <c r="T124" s="357"/>
      <c r="U124" s="358"/>
      <c r="V124" s="358"/>
      <c r="W124" s="358"/>
      <c r="X124" s="358"/>
      <c r="Y124" s="358">
        <f t="shared" ref="Y124:Y126" si="34">$Y$120*(1-AE124)</f>
        <v>1.1309999999999999E-2</v>
      </c>
      <c r="Z124" s="358"/>
      <c r="AA124" s="359"/>
      <c r="AB124" s="359">
        <f t="shared" ref="AB124:AB126" si="35">ROUND((Q124*Y124),2)</f>
        <v>7.0000000000000007E-2</v>
      </c>
      <c r="AC124" s="360">
        <f>AA124+AB124</f>
        <v>7.0000000000000007E-2</v>
      </c>
      <c r="AE124" s="16">
        <v>0.4</v>
      </c>
      <c r="AF124"/>
      <c r="AG124"/>
    </row>
    <row r="125" spans="2:33" x14ac:dyDescent="0.3">
      <c r="B125" s="15" t="str">
        <f>'Fatura B1 (Res) OK'!$B$77</f>
        <v>B4 - Iluminação Pública</v>
      </c>
      <c r="C125" s="15"/>
      <c r="D125" s="62">
        <f>'Fatura B1 (Res) OK'!$D$77</f>
        <v>0.45246416638672071</v>
      </c>
      <c r="E125" s="62">
        <f>'Fatura B1 (Res) OK'!$E$77</f>
        <v>7.3959411118203186E-2</v>
      </c>
      <c r="F125" s="62">
        <f>'Fatura B1 (Res) OK'!$F$77</f>
        <v>0.27500913257019949</v>
      </c>
      <c r="G125" s="62">
        <f>'Fatura B1 (Res) OK'!$G$77</f>
        <v>0.19856728992487654</v>
      </c>
      <c r="Q125" s="356"/>
      <c r="R125" s="357"/>
      <c r="S125" s="357"/>
      <c r="T125" s="357"/>
      <c r="U125" s="358"/>
      <c r="V125" s="358"/>
      <c r="W125" s="358"/>
      <c r="X125" s="358"/>
      <c r="Y125" s="358">
        <f t="shared" si="34"/>
        <v>1.6965000000000001E-2</v>
      </c>
      <c r="Z125" s="358"/>
      <c r="AA125" s="359"/>
      <c r="AB125" s="359">
        <f t="shared" si="35"/>
        <v>0</v>
      </c>
      <c r="AC125" s="360">
        <f>AA125+AB125</f>
        <v>0</v>
      </c>
      <c r="AE125" s="16">
        <v>0.1</v>
      </c>
      <c r="AF125"/>
      <c r="AG125"/>
    </row>
    <row r="126" spans="2:33" x14ac:dyDescent="0.3">
      <c r="B126" s="15" t="str">
        <f>'Fatura B1 (Res) OK'!$B$78</f>
        <v>B4a - Rede de Distribuição</v>
      </c>
      <c r="C126" s="15"/>
      <c r="D126" s="62">
        <f>'Fatura B1 (Res) OK'!$D$78</f>
        <v>0.45246416638672071</v>
      </c>
      <c r="E126" s="62">
        <f>'Fatura B1 (Res) OK'!$E$78</f>
        <v>7.3959411118203186E-2</v>
      </c>
      <c r="F126" s="62">
        <f>'Fatura B1 (Res) OK'!$F$78</f>
        <v>0.27500913257019949</v>
      </c>
      <c r="G126" s="62">
        <f>'Fatura B1 (Res) OK'!$G$78</f>
        <v>0.19856728992487654</v>
      </c>
      <c r="Q126" s="356"/>
      <c r="R126" s="357"/>
      <c r="S126" s="357"/>
      <c r="T126" s="357"/>
      <c r="U126" s="358"/>
      <c r="V126" s="358"/>
      <c r="W126" s="358"/>
      <c r="X126" s="358"/>
      <c r="Y126" s="358">
        <f t="shared" si="34"/>
        <v>1.8849999999999999E-2</v>
      </c>
      <c r="Z126" s="358"/>
      <c r="AA126" s="359"/>
      <c r="AB126" s="359">
        <f t="shared" si="35"/>
        <v>0</v>
      </c>
      <c r="AC126" s="360">
        <f>AA126+AB126</f>
        <v>0</v>
      </c>
      <c r="AE126" s="16">
        <v>0</v>
      </c>
      <c r="AF126"/>
      <c r="AG126"/>
    </row>
    <row r="127" spans="2:33" x14ac:dyDescent="0.3">
      <c r="B127" s="15" t="str">
        <f>'Fatura B1 (Res) OK'!$B$79</f>
        <v>B4b - Bulbo de Lâmpada</v>
      </c>
      <c r="C127" s="15"/>
      <c r="D127" s="62">
        <f>'Fatura B1 (Res) OK'!$D$79</f>
        <v>0.45246416638672071</v>
      </c>
      <c r="E127" s="62">
        <f>'Fatura B1 (Res) OK'!$E$79</f>
        <v>7.39594111182032E-2</v>
      </c>
      <c r="F127" s="62">
        <f>'Fatura B1 (Res) OK'!$F$79</f>
        <v>0.27500913257019954</v>
      </c>
      <c r="G127" s="62">
        <f>'Fatura B1 (Res) OK'!$G$79</f>
        <v>0.19856728992487657</v>
      </c>
      <c r="Q127" s="361" t="s">
        <v>66</v>
      </c>
      <c r="R127" s="362"/>
      <c r="S127" s="362"/>
      <c r="T127" s="362"/>
      <c r="U127" s="362"/>
      <c r="V127" s="362"/>
      <c r="W127" s="362"/>
      <c r="X127" s="362"/>
      <c r="Y127" s="362"/>
      <c r="Z127" s="362"/>
      <c r="AA127" s="362"/>
      <c r="AB127" s="363"/>
      <c r="AC127" s="364">
        <f>SUM(AC123:AC126)</f>
        <v>0.13</v>
      </c>
      <c r="AF127"/>
      <c r="AG127"/>
    </row>
    <row r="128" spans="2:33" x14ac:dyDescent="0.3">
      <c r="B128" s="63"/>
      <c r="C128" s="63"/>
      <c r="D128" s="63"/>
      <c r="E128" s="63"/>
      <c r="F128" s="63"/>
      <c r="G128" s="63"/>
      <c r="P128" s="155"/>
      <c r="Q128" s="155"/>
      <c r="R128" s="155"/>
      <c r="S128" s="155"/>
      <c r="T128" s="155"/>
      <c r="U128" s="155"/>
      <c r="V128" s="156"/>
      <c r="W128" s="156"/>
      <c r="X128" s="157"/>
      <c r="Y128" s="157"/>
      <c r="Z128" s="157"/>
      <c r="AA128" s="158"/>
      <c r="AB128" s="158"/>
      <c r="AC128" s="365"/>
      <c r="AF128"/>
      <c r="AG128"/>
    </row>
    <row r="129" spans="2:33" x14ac:dyDescent="0.3">
      <c r="B129" s="63"/>
      <c r="C129" s="63"/>
      <c r="D129" s="63"/>
      <c r="E129" s="63"/>
      <c r="F129" s="63"/>
      <c r="G129" s="63"/>
      <c r="P129" s="155" t="s">
        <v>16</v>
      </c>
      <c r="Q129" s="155"/>
      <c r="R129" s="155"/>
      <c r="S129" s="155"/>
      <c r="T129" s="155"/>
      <c r="U129" s="155"/>
      <c r="V129" s="156"/>
      <c r="W129" s="156"/>
      <c r="X129" s="157"/>
      <c r="Y129" s="425">
        <f>Y89</f>
        <v>4.4630000000000003E-2</v>
      </c>
      <c r="Z129" s="354"/>
      <c r="AA129" s="158"/>
      <c r="AB129" s="158"/>
      <c r="AC129" s="163"/>
      <c r="AF129"/>
      <c r="AG129"/>
    </row>
    <row r="130" spans="2:33" ht="25.5" customHeight="1" x14ac:dyDescent="0.3">
      <c r="B130" s="63">
        <f>'Fatura B1 (Res) OK'!$B$82</f>
        <v>2023</v>
      </c>
      <c r="C130" s="63"/>
      <c r="D130" s="15" t="str">
        <f>'Fatura B1 (Res) OK'!$D$68</f>
        <v>Energia</v>
      </c>
      <c r="E130" s="15" t="str">
        <f>'Fatura B1 (Res) OK'!$E$68</f>
        <v>Transmissão</v>
      </c>
      <c r="F130" s="15" t="str">
        <f>'Fatura B1 (Res) OK'!$F$68</f>
        <v>Distribuição</v>
      </c>
      <c r="G130" s="15" t="str">
        <f>'Fatura B1 (Res) OK'!$G$68</f>
        <v>Setoriais</v>
      </c>
      <c r="Q130" s="17" t="s">
        <v>73</v>
      </c>
      <c r="R130" s="497"/>
      <c r="S130" s="498"/>
      <c r="T130" s="64"/>
      <c r="U130" s="497"/>
      <c r="V130" s="498"/>
      <c r="W130" s="64"/>
      <c r="X130" s="497" t="s">
        <v>11</v>
      </c>
      <c r="Y130" s="498"/>
      <c r="Z130" s="64"/>
      <c r="AA130" s="497" t="s">
        <v>195</v>
      </c>
      <c r="AB130" s="498"/>
      <c r="AC130" s="18" t="s">
        <v>196</v>
      </c>
      <c r="AE130" s="98"/>
      <c r="AF130"/>
      <c r="AG130"/>
    </row>
    <row r="131" spans="2:33" x14ac:dyDescent="0.3">
      <c r="B131" s="63" t="str">
        <f>'Fatura B1 (Res) OK'!$B$83</f>
        <v>Grupo B</v>
      </c>
      <c r="C131" s="63"/>
      <c r="D131" s="15" t="str">
        <f>'Fatura B1 (Res) OK'!$D$69</f>
        <v>%</v>
      </c>
      <c r="E131" s="15" t="str">
        <f>'Fatura B1 (Res) OK'!$E$69</f>
        <v>%</v>
      </c>
      <c r="F131" s="15" t="str">
        <f>'Fatura B1 (Res) OK'!$F$69</f>
        <v>%</v>
      </c>
      <c r="G131" s="15" t="str">
        <f>'Fatura B1 (Res) OK'!$G$69</f>
        <v>%</v>
      </c>
      <c r="Q131" s="355" t="s">
        <v>197</v>
      </c>
      <c r="R131" s="355"/>
      <c r="S131" s="355"/>
      <c r="T131" s="355"/>
      <c r="U131" s="355" t="s">
        <v>13</v>
      </c>
      <c r="V131" s="355" t="s">
        <v>14</v>
      </c>
      <c r="W131" s="355"/>
      <c r="X131" s="355" t="s">
        <v>13</v>
      </c>
      <c r="Y131" s="355" t="s">
        <v>14</v>
      </c>
      <c r="Z131" s="355"/>
      <c r="AA131" s="355" t="s">
        <v>13</v>
      </c>
      <c r="AB131" s="355" t="s">
        <v>14</v>
      </c>
      <c r="AC131" s="355" t="s">
        <v>198</v>
      </c>
      <c r="AE131" s="99"/>
      <c r="AF131"/>
      <c r="AG131"/>
    </row>
    <row r="132" spans="2:33" x14ac:dyDescent="0.3">
      <c r="B132" s="15"/>
      <c r="C132" s="15"/>
      <c r="D132" s="15"/>
      <c r="E132" s="15"/>
      <c r="F132" s="15"/>
      <c r="G132" s="15"/>
      <c r="Q132" s="356">
        <f>IF($K$11=$P$129,(30*($K$13)/($K$13+$L$13)),0)+IF($L$11=$P$129,(30*($L$13)/($K$13+$L$13)),0)</f>
        <v>0</v>
      </c>
      <c r="R132" s="357"/>
      <c r="S132" s="357"/>
      <c r="T132" s="357"/>
      <c r="U132" s="358"/>
      <c r="V132" s="358"/>
      <c r="W132" s="358"/>
      <c r="X132" s="358"/>
      <c r="Y132" s="358">
        <f>$Y$129*(1-AE132)</f>
        <v>1.5620500000000001E-2</v>
      </c>
      <c r="Z132" s="358"/>
      <c r="AA132" s="359"/>
      <c r="AB132" s="359">
        <f>ROUND((Q132*Y132),2)</f>
        <v>0</v>
      </c>
      <c r="AC132" s="360">
        <f>AA132+AB132</f>
        <v>0</v>
      </c>
      <c r="AE132" s="16">
        <v>0.65</v>
      </c>
      <c r="AF132"/>
      <c r="AG132"/>
    </row>
    <row r="133" spans="2:33" x14ac:dyDescent="0.3">
      <c r="B133" s="15" t="str">
        <f>'Fatura B1 (Res) OK'!$B$85</f>
        <v>B1 - Residencial</v>
      </c>
      <c r="C133" s="15"/>
      <c r="D133" s="62">
        <f>'Fatura B1 (Res) OK'!$D$85</f>
        <v>0.43939696077133034</v>
      </c>
      <c r="E133" s="62">
        <f>'Fatura B1 (Res) OK'!$E$85</f>
        <v>9.2697585625348772E-2</v>
      </c>
      <c r="F133" s="62">
        <f>'Fatura B1 (Res) OK'!$F$85</f>
        <v>0.25285207888477268</v>
      </c>
      <c r="G133" s="62">
        <f>'Fatura B1 (Res) OK'!$G$85</f>
        <v>0.21506308252114117</v>
      </c>
      <c r="Q133" s="356">
        <f>IF($K$11=$P$129,(20*($K$13)/($K$13+$L$13)),0)+IF($L$11=$P$129,(20*($L$13)/($K$13+$L$13)),0)</f>
        <v>0</v>
      </c>
      <c r="R133" s="357"/>
      <c r="S133" s="357"/>
      <c r="T133" s="357"/>
      <c r="U133" s="358"/>
      <c r="V133" s="358"/>
      <c r="W133" s="358"/>
      <c r="X133" s="358"/>
      <c r="Y133" s="358">
        <f t="shared" ref="Y133:Y135" si="36">$Y$129*(1-AE133)</f>
        <v>2.6778E-2</v>
      </c>
      <c r="Z133" s="358"/>
      <c r="AA133" s="359"/>
      <c r="AB133" s="359">
        <f t="shared" ref="AB133:AB135" si="37">ROUND((Q133*Y133),2)</f>
        <v>0</v>
      </c>
      <c r="AC133" s="360">
        <f>AA133+AB133</f>
        <v>0</v>
      </c>
      <c r="AE133" s="16">
        <v>0.4</v>
      </c>
      <c r="AF133"/>
      <c r="AG133"/>
    </row>
    <row r="134" spans="2:33" x14ac:dyDescent="0.3">
      <c r="B134" s="15" t="str">
        <f>'Fatura B1 (Res) OK'!$B$86</f>
        <v>B1 - Residencial Baixa Renda</v>
      </c>
      <c r="C134" s="15"/>
      <c r="D134" s="62">
        <f>'Fatura B1 (Res) OK'!$D$86</f>
        <v>0.52691619996872485</v>
      </c>
      <c r="E134" s="62">
        <f>'Fatura B1 (Res) OK'!$E$86</f>
        <v>0.11116112291319068</v>
      </c>
      <c r="F134" s="62">
        <f>'Fatura B1 (Res) OK'!$F$86</f>
        <v>0.30321524374287334</v>
      </c>
      <c r="G134" s="62">
        <f>'Fatura B1 (Res) OK'!$G$86</f>
        <v>5.8707433375211129E-2</v>
      </c>
      <c r="Q134" s="356"/>
      <c r="R134" s="357"/>
      <c r="S134" s="357"/>
      <c r="T134" s="357"/>
      <c r="U134" s="358"/>
      <c r="V134" s="358"/>
      <c r="W134" s="358"/>
      <c r="X134" s="358"/>
      <c r="Y134" s="358">
        <f t="shared" si="36"/>
        <v>4.0167000000000001E-2</v>
      </c>
      <c r="Z134" s="358"/>
      <c r="AA134" s="359"/>
      <c r="AB134" s="359">
        <f t="shared" si="37"/>
        <v>0</v>
      </c>
      <c r="AC134" s="360">
        <f>AA134+AB134</f>
        <v>0</v>
      </c>
      <c r="AE134" s="16">
        <v>0.1</v>
      </c>
      <c r="AF134"/>
      <c r="AG134"/>
    </row>
    <row r="135" spans="2:33" x14ac:dyDescent="0.3">
      <c r="B135" s="15" t="str">
        <f>'Fatura B1 (Res) OK'!$B$87</f>
        <v>B2 - Rural</v>
      </c>
      <c r="C135" s="15"/>
      <c r="D135" s="62">
        <f>'Fatura B1 (Res) OK'!$D$87</f>
        <v>0.43939300245552615</v>
      </c>
      <c r="E135" s="62">
        <f>'Fatura B1 (Res) OK'!$E$87</f>
        <v>9.2696750557401245E-2</v>
      </c>
      <c r="F135" s="62">
        <f>'Fatura B1 (Res) OK'!$F$87</f>
        <v>0.25284980106205335</v>
      </c>
      <c r="G135" s="62">
        <f>'Fatura B1 (Res) OK'!$G$87</f>
        <v>0.21506044592501908</v>
      </c>
      <c r="Q135" s="356"/>
      <c r="R135" s="357"/>
      <c r="S135" s="357"/>
      <c r="T135" s="357"/>
      <c r="U135" s="358"/>
      <c r="V135" s="358"/>
      <c r="W135" s="358"/>
      <c r="X135" s="358"/>
      <c r="Y135" s="358">
        <f t="shared" si="36"/>
        <v>4.4630000000000003E-2</v>
      </c>
      <c r="Z135" s="358"/>
      <c r="AA135" s="359"/>
      <c r="AB135" s="359">
        <f t="shared" si="37"/>
        <v>0</v>
      </c>
      <c r="AC135" s="360">
        <f>AA135+AB135</f>
        <v>0</v>
      </c>
      <c r="AE135" s="16">
        <v>0</v>
      </c>
      <c r="AF135"/>
      <c r="AG135"/>
    </row>
    <row r="136" spans="2:33" x14ac:dyDescent="0.3">
      <c r="B136" s="15" t="str">
        <f>'Fatura B1 (Res) OK'!$B$88</f>
        <v>B2 - Cooperativa Eletrificação Rural</v>
      </c>
      <c r="C136" s="15"/>
      <c r="D136" s="62">
        <f>'Fatura B1 (Res) OK'!$D$88</f>
        <v>0.43939300245552615</v>
      </c>
      <c r="E136" s="62">
        <f>'Fatura B1 (Res) OK'!$E$88</f>
        <v>9.2696750557401245E-2</v>
      </c>
      <c r="F136" s="62">
        <f>'Fatura B1 (Res) OK'!$F$88</f>
        <v>0.25284980106205335</v>
      </c>
      <c r="G136" s="62">
        <f>'Fatura B1 (Res) OK'!$G$88</f>
        <v>0.21506044592501908</v>
      </c>
      <c r="Q136" s="361" t="s">
        <v>66</v>
      </c>
      <c r="R136" s="362"/>
      <c r="S136" s="362"/>
      <c r="T136" s="362"/>
      <c r="U136" s="362"/>
      <c r="V136" s="362"/>
      <c r="W136" s="362"/>
      <c r="X136" s="362"/>
      <c r="Y136" s="362"/>
      <c r="Z136" s="362"/>
      <c r="AA136" s="362"/>
      <c r="AB136" s="363"/>
      <c r="AC136" s="364">
        <f>SUM(AC132:AC135)</f>
        <v>0</v>
      </c>
      <c r="AF136"/>
      <c r="AG136"/>
    </row>
    <row r="137" spans="2:33" x14ac:dyDescent="0.3">
      <c r="B137" s="15" t="str">
        <f>'Fatura B1 (Res) OK'!$B$89</f>
        <v>B2 - Serviço de Irrigação</v>
      </c>
      <c r="C137" s="15"/>
      <c r="D137" s="62">
        <f>'Fatura B1 (Res) OK'!$D$89</f>
        <v>0.43939300245552615</v>
      </c>
      <c r="E137" s="62">
        <f>'Fatura B1 (Res) OK'!$E$89</f>
        <v>9.2696750557401328E-2</v>
      </c>
      <c r="F137" s="62">
        <f>'Fatura B1 (Res) OK'!$F$89</f>
        <v>0.25284980106205335</v>
      </c>
      <c r="G137" s="62">
        <f>'Fatura B1 (Res) OK'!$G$89</f>
        <v>0.21506044592501908</v>
      </c>
      <c r="P137" s="155"/>
      <c r="Q137" s="155"/>
      <c r="R137" s="155"/>
      <c r="S137" s="155"/>
      <c r="T137" s="155"/>
      <c r="U137" s="155"/>
      <c r="V137" s="156"/>
      <c r="W137" s="156"/>
      <c r="X137" s="157"/>
      <c r="Y137" s="157"/>
      <c r="Z137" s="157"/>
      <c r="AA137" s="158"/>
      <c r="AB137" s="158"/>
      <c r="AC137" s="163"/>
      <c r="AF137"/>
      <c r="AG137"/>
    </row>
    <row r="138" spans="2:33" x14ac:dyDescent="0.3">
      <c r="B138" s="15" t="str">
        <f>'Fatura B1 (Res) OK'!$B$90</f>
        <v>B3 - Demais Classes</v>
      </c>
      <c r="C138" s="15"/>
      <c r="D138" s="62">
        <f>'Fatura B1 (Res) OK'!$D$90</f>
        <v>0.43939300245552615</v>
      </c>
      <c r="E138" s="62">
        <f>'Fatura B1 (Res) OK'!$E$90</f>
        <v>9.2696750557401328E-2</v>
      </c>
      <c r="F138" s="62">
        <f>'Fatura B1 (Res) OK'!$F$90</f>
        <v>0.25284980106205335</v>
      </c>
      <c r="G138" s="62">
        <f>'Fatura B1 (Res) OK'!$G$90</f>
        <v>0.21506044592501908</v>
      </c>
      <c r="P138" s="155" t="s">
        <v>19</v>
      </c>
      <c r="Q138" s="155"/>
      <c r="R138" s="155"/>
      <c r="S138" s="155"/>
      <c r="T138" s="155"/>
      <c r="U138" s="155"/>
      <c r="V138" s="156"/>
      <c r="W138" s="156"/>
      <c r="X138" s="157"/>
      <c r="Y138" s="425">
        <f>Y98</f>
        <v>7.8770000000000007E-2</v>
      </c>
      <c r="Z138" s="354"/>
      <c r="AA138" s="158"/>
      <c r="AB138" s="158"/>
      <c r="AC138" s="163"/>
      <c r="AF138"/>
      <c r="AG138"/>
    </row>
    <row r="139" spans="2:33" ht="25.5" customHeight="1" x14ac:dyDescent="0.3">
      <c r="B139" s="15" t="str">
        <f>'Fatura B1 (Res) OK'!$B$91</f>
        <v>B4 - Iluminação Pública</v>
      </c>
      <c r="C139" s="15"/>
      <c r="D139" s="62">
        <f>'Fatura B1 (Res) OK'!$D$91</f>
        <v>0</v>
      </c>
      <c r="E139" s="62">
        <f>'Fatura B1 (Res) OK'!$E$91</f>
        <v>0</v>
      </c>
      <c r="F139" s="62">
        <f>'Fatura B1 (Res) OK'!$F$91</f>
        <v>0</v>
      </c>
      <c r="G139" s="62">
        <f>'Fatura B1 (Res) OK'!$G$91</f>
        <v>0</v>
      </c>
      <c r="Q139" s="17" t="s">
        <v>73</v>
      </c>
      <c r="R139" s="497"/>
      <c r="S139" s="498"/>
      <c r="T139" s="64"/>
      <c r="U139" s="497"/>
      <c r="V139" s="498"/>
      <c r="W139" s="64"/>
      <c r="X139" s="497" t="s">
        <v>11</v>
      </c>
      <c r="Y139" s="498"/>
      <c r="Z139" s="64"/>
      <c r="AA139" s="497" t="s">
        <v>195</v>
      </c>
      <c r="AB139" s="498"/>
      <c r="AC139" s="18" t="s">
        <v>196</v>
      </c>
      <c r="AE139" s="98"/>
      <c r="AF139"/>
      <c r="AG139"/>
    </row>
    <row r="140" spans="2:33" x14ac:dyDescent="0.3">
      <c r="B140" s="15" t="str">
        <f>'Fatura B1 (Res) OK'!$B$92</f>
        <v>B4a - Rede de Distribuição</v>
      </c>
      <c r="C140" s="15"/>
      <c r="D140" s="62">
        <f>'Fatura B1 (Res) OK'!$D$92</f>
        <v>0.43938945729126549</v>
      </c>
      <c r="E140" s="62">
        <f>'Fatura B1 (Res) OK'!$E$92</f>
        <v>9.2697336752737058E-2</v>
      </c>
      <c r="F140" s="62">
        <f>'Fatura B1 (Res) OK'!$F$92</f>
        <v>0.25285140003260154</v>
      </c>
      <c r="G140" s="62">
        <f>'Fatura B1 (Res) OK'!$G$92</f>
        <v>0.21506180592339591</v>
      </c>
      <c r="Q140" s="355" t="s">
        <v>197</v>
      </c>
      <c r="R140" s="355"/>
      <c r="S140" s="355"/>
      <c r="T140" s="355"/>
      <c r="U140" s="355" t="s">
        <v>13</v>
      </c>
      <c r="V140" s="355" t="s">
        <v>14</v>
      </c>
      <c r="W140" s="355"/>
      <c r="X140" s="355" t="s">
        <v>13</v>
      </c>
      <c r="Y140" s="355" t="s">
        <v>14</v>
      </c>
      <c r="Z140" s="355"/>
      <c r="AA140" s="355" t="s">
        <v>13</v>
      </c>
      <c r="AB140" s="355" t="s">
        <v>14</v>
      </c>
      <c r="AC140" s="355" t="s">
        <v>198</v>
      </c>
      <c r="AE140" s="99"/>
      <c r="AF140"/>
      <c r="AG140"/>
    </row>
    <row r="141" spans="2:33" x14ac:dyDescent="0.3">
      <c r="B141" s="15" t="str">
        <f>'Fatura B1 (Res) OK'!$B$93</f>
        <v>B4b - Bulbo de Lâmpada</v>
      </c>
      <c r="C141" s="15"/>
      <c r="D141" s="62">
        <f>'Fatura B1 (Res) OK'!$D$93</f>
        <v>0.43938945729126527</v>
      </c>
      <c r="E141" s="62">
        <f>'Fatura B1 (Res) OK'!$E$93</f>
        <v>9.2697336752736934E-2</v>
      </c>
      <c r="F141" s="62">
        <f>'Fatura B1 (Res) OK'!$F$93</f>
        <v>0.25285140003260193</v>
      </c>
      <c r="G141" s="62">
        <f>'Fatura B1 (Res) OK'!$G$93</f>
        <v>0.21506180592339585</v>
      </c>
      <c r="Q141" s="356">
        <f>IF($K$11=$P$138,(30*($K$13)/($K$13+$L$13)),0)+IF($L$11=$P$138,(30*($L$13)/($K$13+$L$13)),0)</f>
        <v>0</v>
      </c>
      <c r="R141" s="357"/>
      <c r="S141" s="357"/>
      <c r="T141" s="357"/>
      <c r="U141" s="358"/>
      <c r="V141" s="358"/>
      <c r="W141" s="358"/>
      <c r="X141" s="358"/>
      <c r="Y141" s="358">
        <f>$Y$138*(1-AE141)</f>
        <v>2.75695E-2</v>
      </c>
      <c r="Z141" s="358"/>
      <c r="AA141" s="359"/>
      <c r="AB141" s="359">
        <f>ROUND((Q141*Y141),2)</f>
        <v>0</v>
      </c>
      <c r="AC141" s="360">
        <f>AA141+AB141</f>
        <v>0</v>
      </c>
      <c r="AE141" s="16">
        <v>0.65</v>
      </c>
      <c r="AF141"/>
      <c r="AG141"/>
    </row>
    <row r="142" spans="2:33" x14ac:dyDescent="0.3">
      <c r="B142" s="63"/>
      <c r="C142" s="63"/>
      <c r="D142" s="63"/>
      <c r="E142" s="63"/>
      <c r="F142" s="63"/>
      <c r="G142" s="63"/>
      <c r="Q142" s="356">
        <f>IF($K$11=$P$138,(20*($K$13)/($K$13+$L$13)),0)+IF($L$11=$P$138,(20*($L$13)/($K$13+$L$13)),0)</f>
        <v>0</v>
      </c>
      <c r="R142" s="357"/>
      <c r="S142" s="357"/>
      <c r="T142" s="357"/>
      <c r="U142" s="358"/>
      <c r="V142" s="358"/>
      <c r="W142" s="358"/>
      <c r="X142" s="358"/>
      <c r="Y142" s="358">
        <f t="shared" ref="Y142:Y144" si="38">$Y$138*(1-AE142)</f>
        <v>4.7262000000000005E-2</v>
      </c>
      <c r="Z142" s="358"/>
      <c r="AA142" s="359"/>
      <c r="AB142" s="359">
        <f t="shared" ref="AB142:AB144" si="39">ROUND((Q142*Y142),2)</f>
        <v>0</v>
      </c>
      <c r="AC142" s="360">
        <f>AA142+AB142</f>
        <v>0</v>
      </c>
      <c r="AE142" s="16">
        <v>0.4</v>
      </c>
      <c r="AF142"/>
      <c r="AG142"/>
    </row>
    <row r="143" spans="2:33" x14ac:dyDescent="0.3">
      <c r="B143" s="101" t="s">
        <v>98</v>
      </c>
      <c r="C143" s="63"/>
      <c r="D143" s="63"/>
      <c r="E143" s="63"/>
      <c r="F143" s="63"/>
      <c r="G143" s="63"/>
      <c r="Q143" s="356"/>
      <c r="R143" s="357"/>
      <c r="S143" s="357"/>
      <c r="T143" s="357"/>
      <c r="U143" s="358"/>
      <c r="V143" s="358"/>
      <c r="W143" s="358"/>
      <c r="X143" s="358"/>
      <c r="Y143" s="358">
        <f t="shared" si="38"/>
        <v>7.0893000000000012E-2</v>
      </c>
      <c r="Z143" s="358"/>
      <c r="AA143" s="359"/>
      <c r="AB143" s="359">
        <f t="shared" si="39"/>
        <v>0</v>
      </c>
      <c r="AC143" s="360">
        <f>AA143+AB143</f>
        <v>0</v>
      </c>
      <c r="AE143" s="16">
        <v>0.1</v>
      </c>
      <c r="AF143"/>
      <c r="AG143"/>
    </row>
    <row r="144" spans="2:33" x14ac:dyDescent="0.3">
      <c r="B144" s="15"/>
      <c r="C144" s="15"/>
      <c r="D144" s="15" t="s">
        <v>80</v>
      </c>
      <c r="E144" s="15" t="s">
        <v>82</v>
      </c>
      <c r="F144" s="15" t="s">
        <v>81</v>
      </c>
      <c r="G144" s="15" t="s">
        <v>86</v>
      </c>
      <c r="Q144" s="356"/>
      <c r="R144" s="357"/>
      <c r="S144" s="357"/>
      <c r="T144" s="357"/>
      <c r="U144" s="358"/>
      <c r="V144" s="358"/>
      <c r="W144" s="358"/>
      <c r="X144" s="358"/>
      <c r="Y144" s="358">
        <f t="shared" si="38"/>
        <v>7.8770000000000007E-2</v>
      </c>
      <c r="Z144" s="358"/>
      <c r="AA144" s="359"/>
      <c r="AB144" s="359">
        <f t="shared" si="39"/>
        <v>0</v>
      </c>
      <c r="AC144" s="360">
        <f>AA144+AB144</f>
        <v>0</v>
      </c>
      <c r="AE144" s="16">
        <v>0</v>
      </c>
      <c r="AF144"/>
      <c r="AG144"/>
    </row>
    <row r="145" spans="2:33" x14ac:dyDescent="0.3">
      <c r="B145" s="15" t="s">
        <v>87</v>
      </c>
      <c r="C145" s="15"/>
      <c r="D145" s="62" t="s">
        <v>88</v>
      </c>
      <c r="E145" s="62" t="s">
        <v>88</v>
      </c>
      <c r="F145" s="62" t="s">
        <v>88</v>
      </c>
      <c r="G145" s="62" t="s">
        <v>88</v>
      </c>
      <c r="Q145" s="361" t="s">
        <v>66</v>
      </c>
      <c r="R145" s="362"/>
      <c r="S145" s="362"/>
      <c r="T145" s="362"/>
      <c r="U145" s="362"/>
      <c r="V145" s="362"/>
      <c r="W145" s="362"/>
      <c r="X145" s="362"/>
      <c r="Y145" s="362"/>
      <c r="Z145" s="362"/>
      <c r="AA145" s="362"/>
      <c r="AB145" s="363"/>
      <c r="AC145" s="364">
        <f>SUM(AC141:AC144)</f>
        <v>0</v>
      </c>
      <c r="AF145"/>
      <c r="AG145"/>
    </row>
    <row r="146" spans="2:33" x14ac:dyDescent="0.3">
      <c r="B146" s="15"/>
      <c r="C146" s="15"/>
      <c r="D146" s="62"/>
      <c r="E146" s="62"/>
      <c r="F146" s="62"/>
      <c r="G146" s="62"/>
      <c r="AF146"/>
      <c r="AG146"/>
    </row>
    <row r="147" spans="2:33" x14ac:dyDescent="0.3">
      <c r="B147" s="15" t="s">
        <v>89</v>
      </c>
      <c r="C147" s="15"/>
      <c r="D147" s="62">
        <f>((D133*$C$13)+(D119*$D$13))/($C$13+$D$13)</f>
        <v>0.20372057377946667</v>
      </c>
      <c r="E147" s="62">
        <f t="shared" ref="E147:G147" si="40">((E133*$C$13)+(E119*$D$13))/($C$13+$D$13)</f>
        <v>0.43065394727208123</v>
      </c>
      <c r="F147" s="62">
        <f t="shared" si="40"/>
        <v>-0.14676621079881919</v>
      </c>
      <c r="G147" s="62">
        <f t="shared" si="40"/>
        <v>0.51257648470377148</v>
      </c>
      <c r="P147" s="97" t="s">
        <v>21</v>
      </c>
      <c r="Q147" s="155"/>
      <c r="R147" s="155"/>
      <c r="S147" s="155"/>
      <c r="T147" s="155"/>
      <c r="U147" s="155"/>
      <c r="V147" s="156"/>
      <c r="W147" s="156"/>
      <c r="X147" s="157"/>
      <c r="Y147" s="425">
        <f>Y107</f>
        <v>0.14199999999999999</v>
      </c>
      <c r="Z147" s="354"/>
      <c r="AA147" s="158"/>
      <c r="AB147" s="158"/>
      <c r="AC147" s="163"/>
      <c r="AF147"/>
      <c r="AG147"/>
    </row>
    <row r="148" spans="2:33" ht="25.5" customHeight="1" x14ac:dyDescent="0.3">
      <c r="B148" s="15" t="s">
        <v>90</v>
      </c>
      <c r="C148" s="15"/>
      <c r="D148" s="62">
        <f t="shared" ref="D148:G155" si="41">((D134*$C$13)+(D120*$D$13))/($C$13+$D$13)</f>
        <v>0.4443205874187624</v>
      </c>
      <c r="E148" s="62">
        <f t="shared" si="41"/>
        <v>0.54912732115081808</v>
      </c>
      <c r="F148" s="62">
        <f t="shared" si="41"/>
        <v>-5.4424625433118275E-2</v>
      </c>
      <c r="G148" s="62">
        <f t="shared" si="41"/>
        <v>6.0976716863538574E-2</v>
      </c>
      <c r="Q148" s="17" t="s">
        <v>73</v>
      </c>
      <c r="R148" s="497"/>
      <c r="S148" s="498"/>
      <c r="T148" s="64"/>
      <c r="U148" s="497"/>
      <c r="V148" s="498"/>
      <c r="W148" s="64"/>
      <c r="X148" s="497" t="s">
        <v>11</v>
      </c>
      <c r="Y148" s="498"/>
      <c r="Z148" s="64"/>
      <c r="AA148" s="497" t="s">
        <v>195</v>
      </c>
      <c r="AB148" s="498"/>
      <c r="AC148" s="18" t="s">
        <v>196</v>
      </c>
      <c r="AE148" s="98"/>
      <c r="AF148"/>
      <c r="AG148"/>
    </row>
    <row r="149" spans="2:33" x14ac:dyDescent="0.3">
      <c r="B149" s="15" t="s">
        <v>91</v>
      </c>
      <c r="C149" s="15"/>
      <c r="D149" s="62">
        <f t="shared" si="41"/>
        <v>0.20364522441076563</v>
      </c>
      <c r="E149" s="62">
        <f t="shared" si="41"/>
        <v>0.43063805115722303</v>
      </c>
      <c r="F149" s="62">
        <f t="shared" si="41"/>
        <v>-0.14680957078129758</v>
      </c>
      <c r="G149" s="62">
        <f t="shared" si="41"/>
        <v>0.51252629521330406</v>
      </c>
      <c r="Q149" s="355" t="s">
        <v>197</v>
      </c>
      <c r="R149" s="355"/>
      <c r="S149" s="355"/>
      <c r="T149" s="355"/>
      <c r="U149" s="355" t="s">
        <v>13</v>
      </c>
      <c r="V149" s="355" t="s">
        <v>14</v>
      </c>
      <c r="W149" s="355"/>
      <c r="X149" s="355" t="s">
        <v>13</v>
      </c>
      <c r="Y149" s="355" t="s">
        <v>14</v>
      </c>
      <c r="Z149" s="355"/>
      <c r="AA149" s="355" t="s">
        <v>13</v>
      </c>
      <c r="AB149" s="355" t="s">
        <v>14</v>
      </c>
      <c r="AC149" s="355" t="s">
        <v>198</v>
      </c>
      <c r="AE149" s="99"/>
      <c r="AF149"/>
      <c r="AG149"/>
    </row>
    <row r="150" spans="2:33" x14ac:dyDescent="0.3">
      <c r="B150" s="15" t="s">
        <v>92</v>
      </c>
      <c r="C150" s="15"/>
      <c r="D150" s="62">
        <f t="shared" si="41"/>
        <v>0.20364522441076563</v>
      </c>
      <c r="E150" s="62">
        <f t="shared" si="41"/>
        <v>0.43063805115722303</v>
      </c>
      <c r="F150" s="62">
        <f t="shared" si="41"/>
        <v>-0.14680957078129758</v>
      </c>
      <c r="G150" s="62">
        <f t="shared" si="41"/>
        <v>0.51252629521330406</v>
      </c>
      <c r="M150" s="302"/>
      <c r="Q150" s="356">
        <f>IF($K$11=$P$147,(30*($K$13)/($K$13+$L$13)),0)+IF($L$11=$P$147,(30*($L$13)/($K$13+$L$13)),0)</f>
        <v>0</v>
      </c>
      <c r="R150" s="357"/>
      <c r="S150" s="357"/>
      <c r="T150" s="357"/>
      <c r="U150" s="358"/>
      <c r="V150" s="358"/>
      <c r="W150" s="358"/>
      <c r="X150" s="358"/>
      <c r="Y150" s="358">
        <f>$Y$147*(1-AE150)</f>
        <v>4.9699999999999994E-2</v>
      </c>
      <c r="Z150" s="358"/>
      <c r="AA150" s="359"/>
      <c r="AB150" s="359">
        <f>ROUND((Q150*Y150),2)</f>
        <v>0</v>
      </c>
      <c r="AC150" s="360">
        <f>AA150+AB150</f>
        <v>0</v>
      </c>
      <c r="AE150" s="16">
        <v>0.65</v>
      </c>
      <c r="AF150"/>
      <c r="AG150"/>
    </row>
    <row r="151" spans="2:33" x14ac:dyDescent="0.3">
      <c r="B151" s="15" t="s">
        <v>93</v>
      </c>
      <c r="C151" s="15"/>
      <c r="D151" s="62">
        <f t="shared" si="41"/>
        <v>0.20364522441076563</v>
      </c>
      <c r="E151" s="62">
        <f t="shared" si="41"/>
        <v>0.43063805115722459</v>
      </c>
      <c r="F151" s="62">
        <f t="shared" si="41"/>
        <v>-0.14680957078129758</v>
      </c>
      <c r="G151" s="62">
        <f t="shared" si="41"/>
        <v>0.51252629521330406</v>
      </c>
      <c r="Q151" s="356">
        <f>IF($K$11=$P$147,(20*($K$13)/($K$13+$L$13)),0)+IF($L$11=$P$147,(20*($L$13)/($K$13+$L$13)),0)</f>
        <v>0</v>
      </c>
      <c r="R151" s="357"/>
      <c r="S151" s="357"/>
      <c r="T151" s="357"/>
      <c r="U151" s="358"/>
      <c r="V151" s="358"/>
      <c r="W151" s="358"/>
      <c r="X151" s="358"/>
      <c r="Y151" s="358">
        <f t="shared" ref="Y151:Y153" si="42">$Y$147*(1-AE151)</f>
        <v>8.5199999999999984E-2</v>
      </c>
      <c r="Z151" s="358"/>
      <c r="AA151" s="359"/>
      <c r="AB151" s="359">
        <f t="shared" ref="AB151:AB153" si="43">ROUND((Q151*Y151),2)</f>
        <v>0</v>
      </c>
      <c r="AC151" s="360">
        <f>AA151+AB151</f>
        <v>0</v>
      </c>
      <c r="AE151" s="16">
        <v>0.4</v>
      </c>
      <c r="AF151"/>
      <c r="AG151"/>
    </row>
    <row r="152" spans="2:33" x14ac:dyDescent="0.3">
      <c r="B152" s="15" t="s">
        <v>94</v>
      </c>
      <c r="C152" s="15"/>
      <c r="D152" s="62">
        <f t="shared" si="41"/>
        <v>0.20364522441076563</v>
      </c>
      <c r="E152" s="62">
        <f t="shared" si="41"/>
        <v>0.43063805115722459</v>
      </c>
      <c r="F152" s="62">
        <f t="shared" si="41"/>
        <v>-0.14680957078129758</v>
      </c>
      <c r="G152" s="62">
        <f t="shared" si="41"/>
        <v>0.51252629521330406</v>
      </c>
      <c r="Q152" s="356"/>
      <c r="R152" s="357"/>
      <c r="S152" s="357"/>
      <c r="T152" s="357"/>
      <c r="U152" s="358"/>
      <c r="V152" s="358"/>
      <c r="W152" s="358"/>
      <c r="X152" s="358"/>
      <c r="Y152" s="358">
        <f t="shared" si="42"/>
        <v>0.1278</v>
      </c>
      <c r="Z152" s="358"/>
      <c r="AA152" s="359"/>
      <c r="AB152" s="359">
        <f t="shared" si="43"/>
        <v>0</v>
      </c>
      <c r="AC152" s="360">
        <f>AA152+AB152</f>
        <v>0</v>
      </c>
      <c r="AE152" s="16">
        <v>0.1</v>
      </c>
      <c r="AF152"/>
      <c r="AG152"/>
    </row>
    <row r="153" spans="2:33" x14ac:dyDescent="0.3">
      <c r="B153" s="15" t="s">
        <v>95</v>
      </c>
      <c r="C153" s="15"/>
      <c r="D153" s="62">
        <f t="shared" si="41"/>
        <v>-8.1605144294747838</v>
      </c>
      <c r="E153" s="62">
        <f t="shared" si="41"/>
        <v>-1.3339108076675932</v>
      </c>
      <c r="F153" s="62">
        <f t="shared" si="41"/>
        <v>-4.9599861409982404</v>
      </c>
      <c r="G153" s="62">
        <f t="shared" si="41"/>
        <v>-3.581302907573666</v>
      </c>
      <c r="Q153" s="356"/>
      <c r="R153" s="357"/>
      <c r="S153" s="357"/>
      <c r="T153" s="357"/>
      <c r="U153" s="358"/>
      <c r="V153" s="358"/>
      <c r="W153" s="358"/>
      <c r="X153" s="358"/>
      <c r="Y153" s="358">
        <f t="shared" si="42"/>
        <v>0.14199999999999999</v>
      </c>
      <c r="Z153" s="358"/>
      <c r="AA153" s="359"/>
      <c r="AB153" s="359">
        <f t="shared" si="43"/>
        <v>0</v>
      </c>
      <c r="AC153" s="360">
        <f>AA153+AB153</f>
        <v>0</v>
      </c>
      <c r="AE153" s="16">
        <v>0</v>
      </c>
      <c r="AF153"/>
      <c r="AG153"/>
    </row>
    <row r="154" spans="2:33" x14ac:dyDescent="0.3">
      <c r="B154" s="15" t="s">
        <v>96</v>
      </c>
      <c r="C154" s="15"/>
      <c r="D154" s="62">
        <f t="shared" si="41"/>
        <v>0.20357773967680565</v>
      </c>
      <c r="E154" s="62">
        <f t="shared" si="41"/>
        <v>0.43064920980415139</v>
      </c>
      <c r="F154" s="62">
        <f t="shared" si="41"/>
        <v>-0.14677913323479025</v>
      </c>
      <c r="G154" s="62">
        <f t="shared" si="41"/>
        <v>0.51255218375383449</v>
      </c>
      <c r="Q154" s="361" t="s">
        <v>66</v>
      </c>
      <c r="R154" s="362"/>
      <c r="S154" s="362"/>
      <c r="T154" s="362"/>
      <c r="U154" s="362"/>
      <c r="V154" s="362"/>
      <c r="W154" s="362"/>
      <c r="X154" s="362"/>
      <c r="Y154" s="362"/>
      <c r="Z154" s="362"/>
      <c r="AA154" s="362"/>
      <c r="AB154" s="363"/>
      <c r="AC154" s="364">
        <f>SUM(AC150:AC153)</f>
        <v>0</v>
      </c>
      <c r="AF154"/>
      <c r="AG154"/>
    </row>
    <row r="155" spans="2:33" x14ac:dyDescent="0.3">
      <c r="B155" s="15" t="s">
        <v>97</v>
      </c>
      <c r="C155" s="15"/>
      <c r="D155" s="62">
        <f t="shared" si="41"/>
        <v>0.20357773967680157</v>
      </c>
      <c r="E155" s="62">
        <f t="shared" si="41"/>
        <v>0.43064920980414889</v>
      </c>
      <c r="F155" s="62">
        <f t="shared" si="41"/>
        <v>-0.14677913323478314</v>
      </c>
      <c r="G155" s="62">
        <f t="shared" si="41"/>
        <v>0.51255218375383294</v>
      </c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2:33" x14ac:dyDescent="0.3"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2:33" x14ac:dyDescent="0.3"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2:33" x14ac:dyDescent="0.3"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2:33" x14ac:dyDescent="0.3"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2:33" x14ac:dyDescent="0.3"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6:33" x14ac:dyDescent="0.3"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6:33" x14ac:dyDescent="0.3"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6:33" x14ac:dyDescent="0.3"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6:33" x14ac:dyDescent="0.3"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6:33" x14ac:dyDescent="0.3"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6:33" x14ac:dyDescent="0.3"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6:33" x14ac:dyDescent="0.3"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6:33" x14ac:dyDescent="0.3"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6:33" x14ac:dyDescent="0.3"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6:33" x14ac:dyDescent="0.3"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6:33" x14ac:dyDescent="0.3"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6:33" x14ac:dyDescent="0.3"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6:33" x14ac:dyDescent="0.3"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6:33" x14ac:dyDescent="0.3"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6:33" x14ac:dyDescent="0.3"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6:33" x14ac:dyDescent="0.3"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6:33" x14ac:dyDescent="0.3"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6:33" x14ac:dyDescent="0.3"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6:33" x14ac:dyDescent="0.3"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6:33" x14ac:dyDescent="0.3"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6:33" x14ac:dyDescent="0.3"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6:33" x14ac:dyDescent="0.3"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6:33" x14ac:dyDescent="0.3"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6:33" x14ac:dyDescent="0.3"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6:33" x14ac:dyDescent="0.3"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6:33" x14ac:dyDescent="0.3"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6:33" x14ac:dyDescent="0.3"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6:33" x14ac:dyDescent="0.3"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6:33" x14ac:dyDescent="0.3"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6:33" x14ac:dyDescent="0.3"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6:33" x14ac:dyDescent="0.3"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6:33" x14ac:dyDescent="0.3"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6:33" x14ac:dyDescent="0.3"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6:33" x14ac:dyDescent="0.3"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6:33" x14ac:dyDescent="0.3"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6:33" x14ac:dyDescent="0.3"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6:33" x14ac:dyDescent="0.3"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6:33" x14ac:dyDescent="0.3"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6:33" x14ac:dyDescent="0.3"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6:33" x14ac:dyDescent="0.3"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6:33" x14ac:dyDescent="0.3"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6:33" x14ac:dyDescent="0.3"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6:33" x14ac:dyDescent="0.3"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6:33" x14ac:dyDescent="0.3"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6:33" x14ac:dyDescent="0.3"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6:33" x14ac:dyDescent="0.3"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6:33" x14ac:dyDescent="0.3"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6:33" x14ac:dyDescent="0.3"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6:33" x14ac:dyDescent="0.3"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6:33" x14ac:dyDescent="0.3"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6:33" x14ac:dyDescent="0.3"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6:33" x14ac:dyDescent="0.3"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6:33" x14ac:dyDescent="0.3"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6:33" x14ac:dyDescent="0.3"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6:33" x14ac:dyDescent="0.3"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6:33" x14ac:dyDescent="0.3"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6:33" x14ac:dyDescent="0.3"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6:33" x14ac:dyDescent="0.3"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6:33" x14ac:dyDescent="0.3"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6:33" x14ac:dyDescent="0.3"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6:33" x14ac:dyDescent="0.3"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6:33" x14ac:dyDescent="0.3"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6:33" x14ac:dyDescent="0.3"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6:33" x14ac:dyDescent="0.3"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6:33" x14ac:dyDescent="0.3"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6:33" x14ac:dyDescent="0.3"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6:33" x14ac:dyDescent="0.3"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6:33" x14ac:dyDescent="0.3"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6:33" x14ac:dyDescent="0.3"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6:33" x14ac:dyDescent="0.3"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6:33" x14ac:dyDescent="0.3"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6:33" x14ac:dyDescent="0.3"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6:33" x14ac:dyDescent="0.3"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6:33" x14ac:dyDescent="0.3"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6:33" x14ac:dyDescent="0.3"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6:33" x14ac:dyDescent="0.3"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6:33" x14ac:dyDescent="0.3"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6:33" x14ac:dyDescent="0.3"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6:33" x14ac:dyDescent="0.3"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6:33" x14ac:dyDescent="0.3"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6:33" x14ac:dyDescent="0.3"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6:33" x14ac:dyDescent="0.3"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6:33" x14ac:dyDescent="0.3"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6:33" x14ac:dyDescent="0.3"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6:33" x14ac:dyDescent="0.3"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6:33" x14ac:dyDescent="0.3"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6:33" x14ac:dyDescent="0.3"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6:33" x14ac:dyDescent="0.3"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6:33" x14ac:dyDescent="0.3"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6:33" x14ac:dyDescent="0.3"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6:33" x14ac:dyDescent="0.3"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6:33" x14ac:dyDescent="0.3"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6:33" x14ac:dyDescent="0.3"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6:33" x14ac:dyDescent="0.3"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6:33" x14ac:dyDescent="0.3"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6:33" x14ac:dyDescent="0.3"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6:33" x14ac:dyDescent="0.3"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6:33" x14ac:dyDescent="0.3"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6:33" x14ac:dyDescent="0.3"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6:33" x14ac:dyDescent="0.3"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</sheetData>
  <customSheetViews>
    <customSheetView guid="{D812A0C8-60A1-4775-A604-FC65C9DC40BF}" scale="80" showGridLines="0">
      <selection activeCell="F48" sqref="F48"/>
      <pageMargins left="0" right="0" top="0" bottom="0" header="0" footer="0"/>
      <pageSetup paperSize="9" orientation="portrait" r:id="rId1"/>
    </customSheetView>
    <customSheetView guid="{8D3CE498-0ABB-4BB0-92D1-93DA2BDD5EDF}" scale="80" showGridLines="0">
      <selection activeCell="F48" sqref="F48"/>
      <pageMargins left="0" right="0" top="0" bottom="0" header="0" footer="0"/>
      <pageSetup paperSize="9" orientation="portrait" r:id="rId2"/>
    </customSheetView>
    <customSheetView guid="{8AD5A21B-3743-481B-8B5E-3FEE10EB7B2F}" scale="80" showGridLines="0">
      <selection activeCell="F47" sqref="F47"/>
      <pageMargins left="0" right="0" top="0" bottom="0" header="0" footer="0"/>
      <pageSetup paperSize="9" orientation="portrait" r:id="rId3"/>
    </customSheetView>
  </customSheetViews>
  <mergeCells count="43">
    <mergeCell ref="X139:Y139"/>
    <mergeCell ref="AA139:AB139"/>
    <mergeCell ref="R148:S148"/>
    <mergeCell ref="U148:V148"/>
    <mergeCell ref="X148:Y148"/>
    <mergeCell ref="AA148:AB148"/>
    <mergeCell ref="R139:S139"/>
    <mergeCell ref="U139:V139"/>
    <mergeCell ref="X121:Y121"/>
    <mergeCell ref="AA121:AB121"/>
    <mergeCell ref="R130:S130"/>
    <mergeCell ref="U130:V130"/>
    <mergeCell ref="X130:Y130"/>
    <mergeCell ref="AA130:AB130"/>
    <mergeCell ref="R121:S121"/>
    <mergeCell ref="U121:V121"/>
    <mergeCell ref="R99:S99"/>
    <mergeCell ref="U99:V99"/>
    <mergeCell ref="X99:Y99"/>
    <mergeCell ref="AA99:AB99"/>
    <mergeCell ref="R108:S108"/>
    <mergeCell ref="U108:V108"/>
    <mergeCell ref="X108:Y108"/>
    <mergeCell ref="AA108:AB108"/>
    <mergeCell ref="X81:Y81"/>
    <mergeCell ref="AA81:AB81"/>
    <mergeCell ref="R90:S90"/>
    <mergeCell ref="U90:V90"/>
    <mergeCell ref="X90:Y90"/>
    <mergeCell ref="AA90:AB90"/>
    <mergeCell ref="R81:S81"/>
    <mergeCell ref="U81:V81"/>
    <mergeCell ref="U4:W4"/>
    <mergeCell ref="K10:L10"/>
    <mergeCell ref="B50:K50"/>
    <mergeCell ref="I78:K78"/>
    <mergeCell ref="I79:K79"/>
    <mergeCell ref="B4:B5"/>
    <mergeCell ref="C4:E4"/>
    <mergeCell ref="F4:H4"/>
    <mergeCell ref="I4:K4"/>
    <mergeCell ref="Q4:Q5"/>
    <mergeCell ref="R4:T4"/>
  </mergeCells>
  <conditionalFormatting sqref="K11:L11">
    <cfRule type="cellIs" dxfId="55" priority="1" operator="equal">
      <formula>"Escassez Hídrica"</formula>
    </cfRule>
    <cfRule type="cellIs" dxfId="54" priority="2" operator="equal">
      <formula>"VERDE"</formula>
    </cfRule>
    <cfRule type="cellIs" dxfId="53" priority="3" operator="equal">
      <formula>"BVM2"</formula>
    </cfRule>
    <cfRule type="cellIs" dxfId="52" priority="4" operator="equal">
      <formula>"BVM1"</formula>
    </cfRule>
    <cfRule type="cellIs" dxfId="51" priority="5" operator="equal">
      <formula>"BAM"</formula>
    </cfRule>
  </conditionalFormatting>
  <conditionalFormatting sqref="M3">
    <cfRule type="cellIs" dxfId="50" priority="16" operator="equal">
      <formula>"VERDE"</formula>
    </cfRule>
    <cfRule type="cellIs" dxfId="49" priority="17" operator="equal">
      <formula>"BVM2"</formula>
    </cfRule>
    <cfRule type="cellIs" dxfId="48" priority="18" operator="equal">
      <formula>"BVM1"</formula>
    </cfRule>
    <cfRule type="cellIs" dxfId="47" priority="19" operator="equal">
      <formula>"BAM"</formula>
    </cfRule>
  </conditionalFormatting>
  <conditionalFormatting sqref="M7:M8">
    <cfRule type="containsText" dxfId="46" priority="11" operator="containsText" text="Escassez Hídrica">
      <formula>NOT(ISERROR(SEARCH("Escassez Hídrica",M7)))</formula>
    </cfRule>
    <cfRule type="cellIs" dxfId="45" priority="12" operator="equal">
      <formula>"VERDE"</formula>
    </cfRule>
    <cfRule type="cellIs" dxfId="44" priority="13" operator="equal">
      <formula>"BVM2"</formula>
    </cfRule>
    <cfRule type="cellIs" dxfId="43" priority="14" operator="equal">
      <formula>"BVM1"</formula>
    </cfRule>
    <cfRule type="cellIs" dxfId="42" priority="15" operator="equal">
      <formula>"BAM"</formula>
    </cfRule>
  </conditionalFormatting>
  <dataValidations disablePrompts="1" count="1">
    <dataValidation type="list" allowBlank="1" showInputMessage="1" showErrorMessage="1" sqref="K11:L11" xr:uid="{213218F6-028F-4AA2-8327-2D7A52E5EEA9}">
      <formula1>$M$3:$M$7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4"/>
  <drawing r:id="rId5"/>
  <legacyDrawing r:id="rId6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5"/>
  <dimension ref="A1:AG231"/>
  <sheetViews>
    <sheetView showGridLines="0" zoomScale="81" zoomScaleNormal="80" workbookViewId="0">
      <selection activeCell="G33" sqref="G33"/>
    </sheetView>
  </sheetViews>
  <sheetFormatPr defaultColWidth="9.109375" defaultRowHeight="14.4" x14ac:dyDescent="0.3"/>
  <cols>
    <col min="1" max="1" width="5.44140625" style="97" customWidth="1"/>
    <col min="2" max="10" width="12.6640625" style="99" customWidth="1"/>
    <col min="11" max="11" width="14.33203125" style="99" customWidth="1"/>
    <col min="12" max="12" width="14.33203125" style="97" customWidth="1"/>
    <col min="13" max="17" width="12.6640625" style="97" customWidth="1"/>
    <col min="18" max="18" width="10.6640625" style="97" customWidth="1"/>
    <col min="19" max="16384" width="9.109375" style="97"/>
  </cols>
  <sheetData>
    <row r="1" spans="1:24" ht="15.75" customHeight="1" x14ac:dyDescent="0.3">
      <c r="A1" s="97" t="s">
        <v>0</v>
      </c>
    </row>
    <row r="2" spans="1:24" s="1" customFormat="1" ht="18" x14ac:dyDescent="0.3">
      <c r="B2" s="43" t="s">
        <v>297</v>
      </c>
      <c r="C2" s="43" t="s">
        <v>298</v>
      </c>
      <c r="D2" s="99"/>
      <c r="E2" s="102" t="s">
        <v>2</v>
      </c>
      <c r="F2" s="104">
        <v>45145</v>
      </c>
      <c r="G2" s="97"/>
      <c r="H2" s="97"/>
      <c r="I2" s="97"/>
      <c r="J2" s="97"/>
      <c r="K2" s="97"/>
      <c r="L2" s="99"/>
      <c r="M2" s="47" t="s">
        <v>3</v>
      </c>
      <c r="N2" s="47" t="s">
        <v>4</v>
      </c>
      <c r="O2" s="99"/>
      <c r="P2" s="99"/>
      <c r="Q2" s="308" t="s">
        <v>6</v>
      </c>
      <c r="R2" s="326"/>
      <c r="S2" s="99"/>
      <c r="T2" s="99"/>
      <c r="U2" s="99"/>
      <c r="V2" s="99"/>
      <c r="W2" s="99"/>
      <c r="X2" s="99"/>
    </row>
    <row r="3" spans="1:24" customFormat="1" x14ac:dyDescent="0.3">
      <c r="M3" s="93" t="s">
        <v>7</v>
      </c>
      <c r="N3" s="48">
        <v>0</v>
      </c>
      <c r="Q3" s="99"/>
      <c r="R3" s="99"/>
      <c r="S3" s="99"/>
      <c r="T3" s="99"/>
      <c r="U3" s="99"/>
      <c r="V3" s="99"/>
      <c r="W3" s="99"/>
      <c r="X3" s="99"/>
    </row>
    <row r="4" spans="1:24" customFormat="1" x14ac:dyDescent="0.3">
      <c r="B4" s="489" t="s">
        <v>140</v>
      </c>
      <c r="C4" s="481" t="str">
        <f>'Baixa Renda'!C4:E4</f>
        <v>TARIFA ANTIGA - REH 3370/2024</v>
      </c>
      <c r="D4" s="481"/>
      <c r="E4" s="481"/>
      <c r="F4" s="481" t="str">
        <f>'Baixa Renda'!F4:H4</f>
        <v>TARIFA NOVA - REH xxxx/2025</v>
      </c>
      <c r="G4" s="481"/>
      <c r="H4" s="481"/>
      <c r="I4" s="482" t="s">
        <v>11</v>
      </c>
      <c r="J4" s="482"/>
      <c r="K4" s="482"/>
      <c r="M4" s="229" t="str">
        <f>'Fatura B1 (Res) OK'!M4</f>
        <v>BAM</v>
      </c>
      <c r="N4" s="230">
        <f>'Fatura B1 (Res) OK'!$N$4</f>
        <v>1.8849999999999999E-2</v>
      </c>
      <c r="Q4" s="483" t="s">
        <v>8</v>
      </c>
      <c r="R4" s="478" t="str">
        <f>C4</f>
        <v>TARIFA ANTIGA - REH 3370/2024</v>
      </c>
      <c r="S4" s="479"/>
      <c r="T4" s="480"/>
      <c r="U4" s="478" t="str">
        <f>F4</f>
        <v>TARIFA NOVA - REH xxxx/2025</v>
      </c>
      <c r="V4" s="479"/>
      <c r="W4" s="480"/>
      <c r="X4" s="99"/>
    </row>
    <row r="5" spans="1:24" customFormat="1" x14ac:dyDescent="0.3">
      <c r="B5" s="490"/>
      <c r="C5" s="202" t="s">
        <v>13</v>
      </c>
      <c r="D5" s="202" t="s">
        <v>14</v>
      </c>
      <c r="E5" s="202" t="s">
        <v>15</v>
      </c>
      <c r="F5" s="202" t="s">
        <v>13</v>
      </c>
      <c r="G5" s="202" t="s">
        <v>14</v>
      </c>
      <c r="H5" s="202" t="s">
        <v>15</v>
      </c>
      <c r="I5" s="201" t="s">
        <v>13</v>
      </c>
      <c r="J5" s="201" t="s">
        <v>14</v>
      </c>
      <c r="K5" s="201" t="s">
        <v>15</v>
      </c>
      <c r="M5" s="231" t="str">
        <f>'Fatura B1 (Res) OK'!M5</f>
        <v>BVM1</v>
      </c>
      <c r="N5" s="232">
        <f>'Fatura B1 (Res) OK'!$N$5</f>
        <v>4.4630000000000003E-2</v>
      </c>
      <c r="Q5" s="484"/>
      <c r="R5" s="204" t="s">
        <v>17</v>
      </c>
      <c r="U5" s="204" t="s">
        <v>17</v>
      </c>
      <c r="X5" s="204" t="s">
        <v>17</v>
      </c>
    </row>
    <row r="6" spans="1:24" customFormat="1" x14ac:dyDescent="0.3">
      <c r="B6" s="207" t="s">
        <v>160</v>
      </c>
      <c r="C6" s="196">
        <f>'TABELA DE TARIFAS ANTIGAS'!G72/1000</f>
        <v>0.28935</v>
      </c>
      <c r="D6" s="196">
        <f>'TABELA DE TARIFAS ANTIGAS'!H72/1000</f>
        <v>0.29333999999999999</v>
      </c>
      <c r="E6" s="196">
        <f t="shared" ref="E6" si="0">C6+D6</f>
        <v>0.58268999999999993</v>
      </c>
      <c r="F6" s="196">
        <f>'TABELA DE TARIFAS NOVAS'!G72/1000</f>
        <v>0.32543</v>
      </c>
      <c r="G6" s="196">
        <f>'TABELA DE TARIFAS NOVAS'!H72/1000</f>
        <v>0.29660000000000003</v>
      </c>
      <c r="H6" s="196">
        <f t="shared" ref="H6" si="1">F6+G6</f>
        <v>0.62203000000000008</v>
      </c>
      <c r="I6" s="196">
        <f>((C6*$C$13)+(F6*$D$13))/($D$13+$C$13)</f>
        <v>0.30564419354838707</v>
      </c>
      <c r="J6" s="196">
        <f>((D6*$C$13)+(G6*$D$13))/($D$13+$C$13)</f>
        <v>0.29481225806451611</v>
      </c>
      <c r="K6" s="197">
        <f t="shared" ref="K6" si="2">I6+J6</f>
        <v>0.60045645161290317</v>
      </c>
      <c r="M6" s="39" t="str">
        <f>'Fatura B1 (Res) OK'!M6</f>
        <v>BVM2</v>
      </c>
      <c r="N6" s="40">
        <f>'Fatura B1 (Res) OK'!$N$6</f>
        <v>7.8770000000000007E-2</v>
      </c>
      <c r="Q6" s="207" t="str">
        <f>B6</f>
        <v>Baixa renda</v>
      </c>
      <c r="R6" s="203">
        <f>'Baixa Renda'!R6</f>
        <v>0.18823431351264014</v>
      </c>
      <c r="U6" s="203">
        <f>'Baixa Renda'!U6</f>
        <v>0.20383072193179136</v>
      </c>
      <c r="X6" s="203">
        <f>((R6*$C$13)+(U6*$D$13))/($D$13+$C$13)</f>
        <v>0.19527785279870843</v>
      </c>
    </row>
    <row r="7" spans="1:24" customFormat="1" x14ac:dyDescent="0.3">
      <c r="M7" s="93" t="s">
        <v>21</v>
      </c>
      <c r="N7" s="305">
        <f>'Fatura B1 (Res) OK'!$N$7</f>
        <v>0.14199999999999999</v>
      </c>
    </row>
    <row r="8" spans="1:24" customFormat="1" x14ac:dyDescent="0.3">
      <c r="P8" s="99"/>
      <c r="Q8" s="99"/>
      <c r="R8" s="99"/>
      <c r="S8" s="99"/>
      <c r="T8" s="99"/>
      <c r="U8" s="99"/>
    </row>
    <row r="9" spans="1:24" s="1" customFormat="1" x14ac:dyDescent="0.3">
      <c r="B9" s="131"/>
      <c r="C9" s="132"/>
      <c r="D9" s="209"/>
      <c r="E9" s="132"/>
      <c r="F9" s="132"/>
      <c r="G9" s="132"/>
      <c r="H9" s="210" t="s">
        <v>22</v>
      </c>
      <c r="I9" s="97"/>
      <c r="J9" s="99"/>
      <c r="K9" s="99"/>
      <c r="L9" s="102" t="s">
        <v>161</v>
      </c>
      <c r="M9" s="104">
        <f>EOMONTH(B13,0)+1</f>
        <v>45139</v>
      </c>
      <c r="P9"/>
      <c r="Q9"/>
      <c r="R9"/>
      <c r="S9"/>
      <c r="T9"/>
      <c r="U9"/>
      <c r="V9"/>
      <c r="W9"/>
      <c r="X9"/>
    </row>
    <row r="10" spans="1:24" s="1" customFormat="1" x14ac:dyDescent="0.3">
      <c r="B10" s="211" t="s">
        <v>24</v>
      </c>
      <c r="C10" s="342">
        <v>1044294</v>
      </c>
      <c r="D10" s="99"/>
      <c r="E10" s="97"/>
      <c r="F10" s="97"/>
      <c r="G10" s="97"/>
      <c r="H10" s="212">
        <f>E13</f>
        <v>45158</v>
      </c>
      <c r="J10" s="99"/>
      <c r="K10" s="485" t="s">
        <v>25</v>
      </c>
      <c r="L10" s="485"/>
      <c r="M10" s="99"/>
      <c r="P10" s="374" t="s">
        <v>26</v>
      </c>
      <c r="Q10" s="375"/>
      <c r="R10" s="371" t="s">
        <v>27</v>
      </c>
      <c r="S10" s="371" t="s">
        <v>28</v>
      </c>
      <c r="T10" s="371" t="s">
        <v>17</v>
      </c>
      <c r="U10" s="371" t="s">
        <v>29</v>
      </c>
    </row>
    <row r="11" spans="1:24" s="1" customFormat="1" x14ac:dyDescent="0.3">
      <c r="B11" s="112"/>
      <c r="C11" s="99"/>
      <c r="D11" s="99"/>
      <c r="E11" s="99"/>
      <c r="F11" s="99"/>
      <c r="G11" s="99"/>
      <c r="H11" s="213"/>
      <c r="J11" s="99"/>
      <c r="K11" s="93" t="s">
        <v>7</v>
      </c>
      <c r="L11" s="93" t="s">
        <v>7</v>
      </c>
      <c r="M11" s="99"/>
      <c r="P11" s="376" t="s">
        <v>30</v>
      </c>
      <c r="Q11" s="377"/>
      <c r="R11" s="373"/>
      <c r="S11" s="373"/>
      <c r="T11" s="387">
        <f>0.207830737658616/1000</f>
        <v>2.0783073765861601E-4</v>
      </c>
      <c r="U11" s="393">
        <f>4.02/1000</f>
        <v>4.0199999999999993E-3</v>
      </c>
    </row>
    <row r="12" spans="1:24" s="1" customFormat="1" ht="27.6" x14ac:dyDescent="0.3">
      <c r="B12" s="94" t="s">
        <v>31</v>
      </c>
      <c r="C12" s="94" t="s">
        <v>32</v>
      </c>
      <c r="D12" s="94" t="s">
        <v>33</v>
      </c>
      <c r="E12" s="94" t="s">
        <v>34</v>
      </c>
      <c r="F12" s="97"/>
      <c r="G12" s="97"/>
      <c r="H12" s="214"/>
      <c r="I12" s="97"/>
      <c r="J12" s="94" t="s">
        <v>31</v>
      </c>
      <c r="K12" s="94" t="s">
        <v>162</v>
      </c>
      <c r="L12" s="94" t="s">
        <v>163</v>
      </c>
      <c r="M12" s="94" t="s">
        <v>34</v>
      </c>
      <c r="P12" s="380" t="s">
        <v>164</v>
      </c>
      <c r="Q12" s="381">
        <v>0.65</v>
      </c>
      <c r="U12" s="372">
        <f>$U$11*(1-Q12)</f>
        <v>1.4069999999999996E-3</v>
      </c>
      <c r="W12" s="372">
        <f>((T12*$C$13)+(U12*$D$13))/($D$13+$C$13)</f>
        <v>6.3541935483870944E-4</v>
      </c>
    </row>
    <row r="13" spans="1:24" s="1" customFormat="1" x14ac:dyDescent="0.3">
      <c r="B13" s="227">
        <v>45127</v>
      </c>
      <c r="C13" s="106">
        <f>IF((F2-B13-1)&lt;0,0,(F2-B13-1))</f>
        <v>17</v>
      </c>
      <c r="D13" s="106">
        <f>E13-F2+1</f>
        <v>14</v>
      </c>
      <c r="E13" s="227">
        <v>45158</v>
      </c>
      <c r="F13" s="215"/>
      <c r="G13" s="215"/>
      <c r="H13" s="216"/>
      <c r="I13" s="97"/>
      <c r="J13" s="107">
        <f>B13</f>
        <v>45127</v>
      </c>
      <c r="K13" s="108">
        <f>IF((M9-J13-1)&lt;0,0,(M9-J13-1))</f>
        <v>11</v>
      </c>
      <c r="L13" s="108">
        <f>M13-M9+1</f>
        <v>20</v>
      </c>
      <c r="M13" s="107">
        <f>E13</f>
        <v>45158</v>
      </c>
      <c r="P13" s="382" t="s">
        <v>165</v>
      </c>
      <c r="Q13" s="383">
        <v>0.4</v>
      </c>
      <c r="U13" s="372">
        <f t="shared" ref="U13:U15" si="3">$U$11*(1-Q13)</f>
        <v>2.4119999999999996E-3</v>
      </c>
      <c r="W13" s="372">
        <f t="shared" ref="W13:W15" si="4">((T13*$C$13)+(U13*$D$13))/($D$13+$C$13)</f>
        <v>1.0892903225806448E-3</v>
      </c>
    </row>
    <row r="14" spans="1:24" s="1" customFormat="1" x14ac:dyDescent="0.3">
      <c r="B14" s="192"/>
      <c r="C14" s="193"/>
      <c r="D14" s="193"/>
      <c r="E14" s="192"/>
      <c r="G14"/>
      <c r="H14"/>
      <c r="I14"/>
      <c r="J14"/>
      <c r="K14"/>
      <c r="N14" s="194"/>
      <c r="O14" s="195"/>
      <c r="P14" s="384" t="s">
        <v>166</v>
      </c>
      <c r="Q14" s="383">
        <v>0.1</v>
      </c>
      <c r="S14"/>
      <c r="T14" s="178"/>
      <c r="U14" s="372">
        <f t="shared" si="3"/>
        <v>3.6179999999999993E-3</v>
      </c>
      <c r="W14" s="372">
        <f t="shared" si="4"/>
        <v>1.6339354838709674E-3</v>
      </c>
    </row>
    <row r="15" spans="1:24" x14ac:dyDescent="0.3">
      <c r="B15" s="499" t="s">
        <v>178</v>
      </c>
      <c r="C15" s="500"/>
      <c r="D15" s="500"/>
      <c r="E15" s="500"/>
      <c r="F15" s="500"/>
      <c r="G15" s="500"/>
      <c r="H15" s="500"/>
      <c r="I15" s="500"/>
      <c r="J15" s="500"/>
      <c r="K15" s="501"/>
      <c r="M15" s="302"/>
      <c r="P15" s="385" t="s">
        <v>167</v>
      </c>
      <c r="Q15" s="386">
        <v>0</v>
      </c>
      <c r="U15" s="372">
        <f t="shared" si="3"/>
        <v>4.0199999999999993E-3</v>
      </c>
      <c r="W15" s="372">
        <f t="shared" si="4"/>
        <v>1.8154838709677416E-3</v>
      </c>
    </row>
    <row r="16" spans="1:24" x14ac:dyDescent="0.3">
      <c r="B16" s="280"/>
      <c r="C16" s="281"/>
      <c r="D16" s="281"/>
      <c r="E16" s="282"/>
      <c r="F16" s="283"/>
      <c r="G16" s="282"/>
      <c r="H16" s="284"/>
      <c r="I16" s="285" t="s">
        <v>53</v>
      </c>
      <c r="J16" s="286"/>
      <c r="K16" s="287"/>
      <c r="M16" s="302" t="s">
        <v>35</v>
      </c>
      <c r="O16" s="350"/>
    </row>
    <row r="17" spans="2:19" x14ac:dyDescent="0.3">
      <c r="B17" s="288" t="s">
        <v>73</v>
      </c>
      <c r="C17" s="289"/>
      <c r="D17" s="289"/>
      <c r="E17" s="290"/>
      <c r="F17" s="291"/>
      <c r="G17" s="290"/>
      <c r="H17" s="292"/>
      <c r="I17" s="293">
        <v>131</v>
      </c>
      <c r="J17" s="294"/>
      <c r="K17" s="295"/>
    </row>
    <row r="18" spans="2:19" ht="10.5" customHeight="1" x14ac:dyDescent="0.3">
      <c r="B18" s="296"/>
      <c r="C18" s="297"/>
      <c r="D18" s="297"/>
      <c r="E18" s="297"/>
      <c r="F18" s="297"/>
      <c r="G18" s="297"/>
      <c r="H18" s="297"/>
      <c r="I18" s="298"/>
      <c r="J18" s="299"/>
      <c r="K18" s="300"/>
    </row>
    <row r="19" spans="2:19" x14ac:dyDescent="0.3">
      <c r="B19" s="240" t="s">
        <v>36</v>
      </c>
      <c r="C19" s="241"/>
      <c r="D19" s="241"/>
      <c r="E19" s="223" t="s">
        <v>69</v>
      </c>
      <c r="F19" s="109"/>
      <c r="G19" s="223" t="s">
        <v>70</v>
      </c>
      <c r="H19" s="223" t="s">
        <v>14</v>
      </c>
      <c r="I19" s="223" t="s">
        <v>15</v>
      </c>
      <c r="J19" s="223" t="s">
        <v>71</v>
      </c>
      <c r="K19" s="242" t="s">
        <v>179</v>
      </c>
    </row>
    <row r="20" spans="2:19" x14ac:dyDescent="0.3">
      <c r="B20" s="243" t="s">
        <v>72</v>
      </c>
      <c r="C20" s="244"/>
      <c r="D20" s="244"/>
      <c r="E20" s="245"/>
      <c r="F20" s="244"/>
      <c r="G20" s="246"/>
      <c r="H20" s="244"/>
      <c r="I20" s="247"/>
      <c r="J20" s="247"/>
      <c r="K20" s="248">
        <f>+SUM(J22:J36)</f>
        <v>50.371241746854494</v>
      </c>
      <c r="M20" s="174"/>
      <c r="R20" s="308" t="s">
        <v>50</v>
      </c>
      <c r="S20" s="308" t="s">
        <v>51</v>
      </c>
    </row>
    <row r="21" spans="2:19" ht="6" customHeight="1" x14ac:dyDescent="0.3">
      <c r="B21" s="249"/>
      <c r="C21" s="250"/>
      <c r="D21" s="250"/>
      <c r="E21" s="251"/>
      <c r="F21" s="250"/>
      <c r="G21" s="252"/>
      <c r="H21" s="250"/>
      <c r="I21" s="253"/>
      <c r="J21" s="253"/>
      <c r="K21" s="254"/>
    </row>
    <row r="22" spans="2:19" ht="15.75" customHeight="1" x14ac:dyDescent="0.3">
      <c r="B22" s="249"/>
      <c r="C22" s="250" t="s">
        <v>299</v>
      </c>
      <c r="D22" s="250"/>
      <c r="E22" s="251"/>
      <c r="F22" s="250"/>
      <c r="G22" s="252"/>
      <c r="H22" s="250"/>
      <c r="I22" s="253"/>
      <c r="J22" s="301">
        <f>-H125</f>
        <v>-13.52</v>
      </c>
      <c r="K22" s="254"/>
      <c r="M22"/>
      <c r="N22"/>
      <c r="O22"/>
      <c r="P22"/>
      <c r="R22" s="327"/>
      <c r="S22" s="330"/>
    </row>
    <row r="23" spans="2:19" x14ac:dyDescent="0.3">
      <c r="B23" s="255">
        <v>0.65</v>
      </c>
      <c r="C23" s="138" t="s">
        <v>180</v>
      </c>
      <c r="D23" s="138"/>
      <c r="E23" s="256">
        <f>IF(I17&gt;0,30,0)</f>
        <v>30</v>
      </c>
      <c r="F23" s="138" t="s">
        <v>53</v>
      </c>
      <c r="G23" s="239">
        <f>G26*(1-B23)</f>
        <v>0.10697546774193546</v>
      </c>
      <c r="H23" s="239">
        <f>H26*(1-B23)</f>
        <v>0.10318429032258063</v>
      </c>
      <c r="I23" s="239">
        <f t="shared" ref="I23:I25" si="5">G23+H23</f>
        <v>0.21015975806451609</v>
      </c>
      <c r="J23" s="257">
        <f>ROUND(E23*G23,2)+ROUND(E23*H23,2)</f>
        <v>6.3100000000000005</v>
      </c>
      <c r="K23" s="254"/>
      <c r="M23"/>
      <c r="N23"/>
      <c r="O23"/>
      <c r="P23"/>
      <c r="R23" s="327">
        <f>IF(AND($B$13&lt;$F$2,$E$13&lt;$F$2),R6,IF($B$13&lt;$F$2,X6,U6))*(1-B23)</f>
        <v>6.8347248479547942E-2</v>
      </c>
      <c r="S23" s="330">
        <f>E23*R23</f>
        <v>2.0504174543864382</v>
      </c>
    </row>
    <row r="24" spans="2:19" x14ac:dyDescent="0.3">
      <c r="B24" s="255">
        <v>0.4</v>
      </c>
      <c r="C24" s="138" t="s">
        <v>181</v>
      </c>
      <c r="D24" s="138"/>
      <c r="E24" s="256">
        <f>IF(I17&gt;30,IF(I17&gt;100,70,I17-30),0)</f>
        <v>70</v>
      </c>
      <c r="F24" s="138" t="s">
        <v>53</v>
      </c>
      <c r="G24" s="239">
        <f>G26*(1-B24)</f>
        <v>0.18338651612903223</v>
      </c>
      <c r="H24" s="239">
        <f>H26*(1-B24)</f>
        <v>0.17688735483870965</v>
      </c>
      <c r="I24" s="239">
        <f t="shared" si="5"/>
        <v>0.36027387096774188</v>
      </c>
      <c r="J24" s="257">
        <f t="shared" ref="J24:J26" si="6">ROUND(E24*G24,2)+ROUND(E24*H24,2)</f>
        <v>25.22</v>
      </c>
      <c r="K24" s="254"/>
      <c r="R24" s="327">
        <f>IF(AND($B$13&lt;$F$2,$E$13&lt;$F$2),R6,IF($B$13&lt;$F$2,X6,U6))*(1-B24)</f>
        <v>0.11716671167922506</v>
      </c>
      <c r="S24" s="330">
        <f t="shared" ref="S24:S26" si="7">E24*R24</f>
        <v>8.2016698175457545</v>
      </c>
    </row>
    <row r="25" spans="2:19" x14ac:dyDescent="0.3">
      <c r="B25" s="255">
        <v>0.1</v>
      </c>
      <c r="C25" s="138" t="s">
        <v>182</v>
      </c>
      <c r="D25" s="138"/>
      <c r="E25" s="256">
        <f>IF(I17&gt;100,IF(I17&gt;220,220-100,I17-100),0)</f>
        <v>31</v>
      </c>
      <c r="F25" s="138" t="s">
        <v>53</v>
      </c>
      <c r="G25" s="239">
        <f>G26*(1-B25)</f>
        <v>0.27507977419354834</v>
      </c>
      <c r="H25" s="239">
        <f>H26*(1-B25)</f>
        <v>0.26533103225806448</v>
      </c>
      <c r="I25" s="239">
        <f t="shared" si="5"/>
        <v>0.54041080645161288</v>
      </c>
      <c r="J25" s="257">
        <f t="shared" si="6"/>
        <v>16.759999999999998</v>
      </c>
      <c r="K25" s="254"/>
      <c r="R25" s="327">
        <f>IF(AND($B$13&lt;$F$2,$E$13&lt;$F$2),R6,IF($B$13&lt;$F$2,X6,U6))*(1-B25)</f>
        <v>0.17575006751883759</v>
      </c>
      <c r="S25" s="330">
        <f t="shared" si="7"/>
        <v>5.4482520930839655</v>
      </c>
    </row>
    <row r="26" spans="2:19" x14ac:dyDescent="0.3">
      <c r="B26" s="255">
        <v>0</v>
      </c>
      <c r="C26" s="138" t="s">
        <v>183</v>
      </c>
      <c r="D26" s="138"/>
      <c r="E26" s="256">
        <f>IF(I17&gt;220,I17-220,0)</f>
        <v>0</v>
      </c>
      <c r="F26" s="138" t="s">
        <v>53</v>
      </c>
      <c r="G26" s="239">
        <f>IF(AND($B$13&lt;$F$2,$E$13&lt;$F$2),C6,IF($B$13&lt;$F$2,I6,F6))</f>
        <v>0.30564419354838707</v>
      </c>
      <c r="H26" s="239">
        <f>IF(AND($B$13&lt;$F$2,$E$13&lt;$F$2),D6,IF($B$13&lt;$F$2,J6,G6))</f>
        <v>0.29481225806451611</v>
      </c>
      <c r="I26" s="239">
        <f>G26+H26</f>
        <v>0.60045645161290317</v>
      </c>
      <c r="J26" s="257">
        <f t="shared" si="6"/>
        <v>0</v>
      </c>
      <c r="K26" s="254"/>
      <c r="R26" s="327">
        <f>IF(AND($B$13&lt;$F$2,$E$13&lt;$F$2),R6,IF($B$13&lt;$F$2,X6,U6))*(1-B26)</f>
        <v>0.19527785279870843</v>
      </c>
      <c r="S26" s="330">
        <f t="shared" si="7"/>
        <v>0</v>
      </c>
    </row>
    <row r="27" spans="2:19" x14ac:dyDescent="0.3">
      <c r="B27" s="249"/>
      <c r="C27" s="138" t="s">
        <v>184</v>
      </c>
      <c r="D27" s="138"/>
      <c r="E27" s="256"/>
      <c r="F27" s="138"/>
      <c r="G27" s="258"/>
      <c r="H27" s="258"/>
      <c r="I27" s="259"/>
      <c r="J27" s="257">
        <f>AC50-AC90</f>
        <v>0</v>
      </c>
      <c r="K27" s="254"/>
      <c r="R27" s="97" t="s">
        <v>300</v>
      </c>
    </row>
    <row r="28" spans="2:19" x14ac:dyDescent="0.3">
      <c r="B28" s="249"/>
      <c r="C28" s="138" t="s">
        <v>185</v>
      </c>
      <c r="D28" s="138"/>
      <c r="E28" s="256"/>
      <c r="F28" s="138"/>
      <c r="G28" s="258"/>
      <c r="H28" s="258"/>
      <c r="I28" s="259"/>
      <c r="J28" s="257">
        <f>AC59-AC99</f>
        <v>0</v>
      </c>
      <c r="K28" s="254"/>
      <c r="R28" s="327"/>
      <c r="S28" s="330">
        <f>D123*-R23</f>
        <v>-2.0504174543864382</v>
      </c>
    </row>
    <row r="29" spans="2:19" x14ac:dyDescent="0.3">
      <c r="B29" s="249"/>
      <c r="C29" s="138" t="s">
        <v>186</v>
      </c>
      <c r="D29" s="138"/>
      <c r="E29" s="256"/>
      <c r="F29" s="138"/>
      <c r="G29" s="258"/>
      <c r="H29" s="258"/>
      <c r="I29" s="259"/>
      <c r="J29" s="257">
        <f>AC68-AC108</f>
        <v>0</v>
      </c>
      <c r="K29" s="254"/>
      <c r="R29" s="327"/>
      <c r="S29" s="330">
        <f>D124*-R24</f>
        <v>-2.3433342335845011</v>
      </c>
    </row>
    <row r="30" spans="2:19" x14ac:dyDescent="0.3">
      <c r="B30" s="249"/>
      <c r="C30" s="138" t="s">
        <v>187</v>
      </c>
      <c r="D30" s="138"/>
      <c r="E30" s="256"/>
      <c r="F30" s="138"/>
      <c r="G30" s="258"/>
      <c r="H30" s="258"/>
      <c r="I30" s="259"/>
      <c r="J30" s="257">
        <f>AC77-AC117</f>
        <v>0</v>
      </c>
      <c r="K30" s="254"/>
    </row>
    <row r="31" spans="2:19" ht="6" customHeight="1" x14ac:dyDescent="0.3">
      <c r="B31" s="249"/>
      <c r="C31" s="138"/>
      <c r="D31" s="138"/>
      <c r="E31" s="256"/>
      <c r="F31" s="138"/>
      <c r="G31" s="258"/>
      <c r="H31" s="258"/>
      <c r="I31" s="258"/>
      <c r="J31" s="257"/>
      <c r="K31" s="254"/>
    </row>
    <row r="32" spans="2:19" x14ac:dyDescent="0.3">
      <c r="B32" s="260" t="s">
        <v>46</v>
      </c>
      <c r="C32" s="138"/>
      <c r="D32" s="138"/>
      <c r="E32" s="252" t="s">
        <v>188</v>
      </c>
      <c r="F32" s="252"/>
      <c r="G32" s="252"/>
      <c r="H32" s="252" t="s">
        <v>189</v>
      </c>
      <c r="I32" s="258"/>
      <c r="J32" s="257"/>
      <c r="K32" s="254"/>
    </row>
    <row r="33" spans="2:31" x14ac:dyDescent="0.3">
      <c r="B33" s="249"/>
      <c r="C33" s="138" t="s">
        <v>76</v>
      </c>
      <c r="D33" s="138"/>
      <c r="E33" s="261">
        <f>SUM(J22:J30)/(1-H33-H34)</f>
        <v>36.400753768844218</v>
      </c>
      <c r="F33" s="138"/>
      <c r="G33" s="258"/>
      <c r="H33" s="262">
        <v>8.0000000000000002E-3</v>
      </c>
      <c r="I33" s="258"/>
      <c r="J33" s="257">
        <f>E33*H33</f>
        <v>0.29120603015075375</v>
      </c>
      <c r="K33" s="254"/>
    </row>
    <row r="34" spans="2:31" x14ac:dyDescent="0.3">
      <c r="B34" s="249"/>
      <c r="C34" s="138" t="s">
        <v>190</v>
      </c>
      <c r="D34" s="138"/>
      <c r="E34" s="261">
        <f>E33</f>
        <v>36.400753768844218</v>
      </c>
      <c r="F34" s="138"/>
      <c r="G34" s="258"/>
      <c r="H34" s="262">
        <v>3.6799999999999999E-2</v>
      </c>
      <c r="I34" s="258"/>
      <c r="J34" s="257">
        <f t="shared" ref="J34:J36" si="8">E34*H34</f>
        <v>1.3395477386934671</v>
      </c>
      <c r="K34" s="254"/>
    </row>
    <row r="35" spans="2:31" x14ac:dyDescent="0.3">
      <c r="B35" s="249"/>
      <c r="C35" s="138" t="s">
        <v>191</v>
      </c>
      <c r="D35" s="138"/>
      <c r="E35" s="264">
        <f>(E33)/(1-H35)</f>
        <v>43.856329841980987</v>
      </c>
      <c r="F35" s="138"/>
      <c r="G35" s="258"/>
      <c r="H35" s="312">
        <v>0.17</v>
      </c>
      <c r="I35" s="258"/>
      <c r="J35" s="257">
        <f t="shared" si="8"/>
        <v>7.4555760731367684</v>
      </c>
      <c r="K35" s="254"/>
      <c r="M35" s="175"/>
    </row>
    <row r="36" spans="2:31" x14ac:dyDescent="0.3">
      <c r="B36" s="249"/>
      <c r="C36" s="263" t="s">
        <v>177</v>
      </c>
      <c r="D36" s="263"/>
      <c r="E36" s="264">
        <f>K67</f>
        <v>38.323011205138279</v>
      </c>
      <c r="F36" s="263"/>
      <c r="G36" s="265"/>
      <c r="H36" s="266">
        <v>0.17</v>
      </c>
      <c r="I36" s="265"/>
      <c r="J36" s="267">
        <f t="shared" si="8"/>
        <v>6.5149119048735082</v>
      </c>
      <c r="K36" s="254"/>
      <c r="M36" s="176"/>
      <c r="N36" s="176"/>
    </row>
    <row r="37" spans="2:31" ht="6" customHeight="1" x14ac:dyDescent="0.3">
      <c r="B37" s="249"/>
      <c r="C37" s="138"/>
      <c r="D37" s="138"/>
      <c r="E37" s="261"/>
      <c r="F37" s="138"/>
      <c r="G37" s="258"/>
      <c r="H37" s="268"/>
      <c r="I37" s="258"/>
      <c r="J37" s="269"/>
      <c r="K37" s="254"/>
      <c r="M37" s="177"/>
      <c r="N37" s="178"/>
    </row>
    <row r="38" spans="2:31" x14ac:dyDescent="0.3">
      <c r="B38" s="260" t="s">
        <v>192</v>
      </c>
      <c r="C38" s="138"/>
      <c r="D38" s="138"/>
      <c r="E38" s="261"/>
      <c r="F38" s="138"/>
      <c r="G38" s="258"/>
      <c r="H38" s="268"/>
      <c r="I38" s="258"/>
      <c r="J38" s="269"/>
      <c r="K38" s="254"/>
      <c r="M38"/>
      <c r="N38"/>
    </row>
    <row r="39" spans="2:31" x14ac:dyDescent="0.3">
      <c r="B39" s="249"/>
      <c r="C39" s="138"/>
      <c r="D39" s="138"/>
      <c r="E39" s="261"/>
      <c r="F39" s="138"/>
      <c r="G39" s="258"/>
      <c r="H39" s="268"/>
      <c r="I39" s="258"/>
      <c r="J39" s="269"/>
      <c r="K39" s="270"/>
      <c r="M39"/>
      <c r="N39"/>
    </row>
    <row r="40" spans="2:31" x14ac:dyDescent="0.3">
      <c r="B40" s="249"/>
      <c r="C40" s="138"/>
      <c r="D40" s="138"/>
      <c r="E40" s="261"/>
      <c r="F40" s="138"/>
      <c r="G40" s="258"/>
      <c r="H40" s="268"/>
      <c r="I40" s="258"/>
      <c r="J40" s="269"/>
      <c r="K40" s="270"/>
      <c r="M40"/>
      <c r="N40"/>
    </row>
    <row r="41" spans="2:31" x14ac:dyDescent="0.3">
      <c r="B41" s="271"/>
      <c r="C41" s="272"/>
      <c r="D41" s="272"/>
      <c r="E41" s="273"/>
      <c r="F41" s="272"/>
      <c r="G41" s="274"/>
      <c r="H41" s="275"/>
      <c r="I41" s="274"/>
      <c r="J41" s="276"/>
      <c r="K41" s="277"/>
      <c r="M41"/>
      <c r="N41"/>
      <c r="P41" s="97" t="s">
        <v>73</v>
      </c>
    </row>
    <row r="42" spans="2:31" ht="9" customHeight="1" x14ac:dyDescent="0.3">
      <c r="B42" s="138"/>
      <c r="C42" s="138"/>
      <c r="D42" s="138"/>
      <c r="E42" s="138"/>
      <c r="F42" s="138"/>
      <c r="G42" s="138"/>
      <c r="H42" s="138"/>
      <c r="I42" s="278"/>
      <c r="J42" s="278"/>
      <c r="K42" s="278"/>
      <c r="M42"/>
      <c r="N42"/>
    </row>
    <row r="43" spans="2:31" x14ac:dyDescent="0.3">
      <c r="B43" s="138"/>
      <c r="C43" s="138"/>
      <c r="D43" s="226"/>
      <c r="E43" s="250"/>
      <c r="F43" s="109"/>
      <c r="G43" s="109"/>
      <c r="H43" s="138"/>
      <c r="I43" s="491" t="s">
        <v>193</v>
      </c>
      <c r="J43" s="492"/>
      <c r="K43" s="493"/>
      <c r="P43" s="3" t="s">
        <v>12</v>
      </c>
      <c r="Q43" s="3"/>
      <c r="R43" s="3"/>
      <c r="S43" s="3"/>
      <c r="T43" s="3"/>
      <c r="U43" s="3"/>
      <c r="V43" s="8"/>
      <c r="W43" s="8"/>
      <c r="X43" s="9"/>
      <c r="Y43" s="45">
        <f>N4</f>
        <v>1.8849999999999999E-2</v>
      </c>
      <c r="Z43" s="50"/>
      <c r="AA43" s="6"/>
      <c r="AB43" s="6"/>
      <c r="AC43" s="11"/>
      <c r="AD43"/>
      <c r="AE43"/>
    </row>
    <row r="44" spans="2:31" ht="27.6" x14ac:dyDescent="0.3">
      <c r="B44" s="138"/>
      <c r="C44" s="138"/>
      <c r="D44" s="226"/>
      <c r="E44" s="279"/>
      <c r="F44" s="109"/>
      <c r="G44" s="138"/>
      <c r="H44" s="138"/>
      <c r="I44" s="494">
        <f>K20+K39+K40+K41</f>
        <v>50.371241746854494</v>
      </c>
      <c r="J44" s="495"/>
      <c r="K44" s="496"/>
      <c r="N44" s="179"/>
      <c r="P44"/>
      <c r="Q44" s="17" t="s">
        <v>73</v>
      </c>
      <c r="R44" s="497"/>
      <c r="S44" s="498"/>
      <c r="T44" s="64"/>
      <c r="U44" s="497"/>
      <c r="V44" s="498"/>
      <c r="W44" s="64"/>
      <c r="X44" s="497" t="s">
        <v>194</v>
      </c>
      <c r="Y44" s="498"/>
      <c r="Z44" s="64"/>
      <c r="AA44" s="497" t="s">
        <v>195</v>
      </c>
      <c r="AB44" s="498"/>
      <c r="AC44" s="18" t="s">
        <v>196</v>
      </c>
      <c r="AD44"/>
      <c r="AE44" s="2"/>
    </row>
    <row r="45" spans="2:31" x14ac:dyDescent="0.3">
      <c r="B45" s="97"/>
      <c r="C45" s="97"/>
      <c r="D45" s="97"/>
      <c r="E45" s="97"/>
      <c r="F45" s="97"/>
      <c r="G45" s="97"/>
      <c r="H45" s="97"/>
      <c r="I45" s="97"/>
      <c r="J45" s="97"/>
      <c r="K45" s="136"/>
      <c r="P45"/>
      <c r="Q45" s="19" t="s">
        <v>197</v>
      </c>
      <c r="R45" s="20"/>
      <c r="S45" s="20"/>
      <c r="T45" s="20"/>
      <c r="U45" s="20"/>
      <c r="V45" s="20"/>
      <c r="W45" s="20"/>
      <c r="X45" s="20"/>
      <c r="Y45" s="20" t="s">
        <v>14</v>
      </c>
      <c r="Z45" s="20"/>
      <c r="AA45" s="20" t="s">
        <v>13</v>
      </c>
      <c r="AB45" s="20" t="s">
        <v>14</v>
      </c>
      <c r="AC45" s="20" t="s">
        <v>198</v>
      </c>
      <c r="AD45"/>
      <c r="AE45" s="1"/>
    </row>
    <row r="46" spans="2:31" x14ac:dyDescent="0.3">
      <c r="B46" s="198" t="s">
        <v>199</v>
      </c>
      <c r="C46" s="199"/>
      <c r="D46" s="199"/>
      <c r="E46" s="199"/>
      <c r="F46" s="199"/>
      <c r="G46" s="199"/>
      <c r="H46" s="200">
        <f>K66</f>
        <v>30.383096451612907</v>
      </c>
      <c r="I46" s="96" t="s">
        <v>115</v>
      </c>
      <c r="J46" s="154"/>
      <c r="K46" s="180"/>
      <c r="L46" s="181"/>
      <c r="M46" s="181"/>
      <c r="N46" s="181"/>
      <c r="O46" s="181"/>
      <c r="P46"/>
      <c r="Q46" s="36">
        <f>IF($K$11=$P$43,(E23*($K$13)/($K$13+$L$13)),0)+IF($L$11=$P$43,(E23*($L$13)/($K$13+$L$13)),0)</f>
        <v>0</v>
      </c>
      <c r="R46" s="34"/>
      <c r="S46" s="34"/>
      <c r="T46" s="34"/>
      <c r="U46" s="4"/>
      <c r="V46" s="4"/>
      <c r="W46" s="4"/>
      <c r="X46" s="4"/>
      <c r="Y46" s="4">
        <f>$Y$43*(1-AE46)</f>
        <v>6.5974999999999992E-3</v>
      </c>
      <c r="Z46" s="4"/>
      <c r="AA46" s="5"/>
      <c r="AB46" s="5">
        <f>ROUND((Q46*Y46),2)</f>
        <v>0</v>
      </c>
      <c r="AC46" s="10">
        <f>AA46+AB46</f>
        <v>0</v>
      </c>
      <c r="AD46" s="12"/>
      <c r="AE46" s="16">
        <v>0.65</v>
      </c>
    </row>
    <row r="47" spans="2:31" x14ac:dyDescent="0.3">
      <c r="B47" s="366" t="s">
        <v>78</v>
      </c>
      <c r="C47" s="367"/>
      <c r="D47" s="368"/>
      <c r="E47" s="369"/>
      <c r="F47" s="369"/>
      <c r="G47" s="367"/>
      <c r="H47" s="366">
        <f>IF(AND($B$13&lt;$F$2,$E$13&lt;$F$2),(E23*U12)+(E24*U13)+(E25*U14)+(E26*U15)+(-30*U12)+(-20*U13),(E23*W12)+(E24*W13)+(E25*W14)+(E26*W15)+(-30*W12)+(-20*W13))</f>
        <v>0.10511651612903222</v>
      </c>
      <c r="N47" s="179"/>
      <c r="P47"/>
      <c r="Q47" s="36">
        <f>IF($K$11=$P$43,(E24*($K$13)/($K$13+$L$13)),0)+IF($L$11=$P$43,(E24*($L$13)/($K$13+$L$13)),0)</f>
        <v>0</v>
      </c>
      <c r="R47" s="34"/>
      <c r="S47" s="34"/>
      <c r="T47" s="34"/>
      <c r="U47" s="4"/>
      <c r="V47" s="4"/>
      <c r="W47" s="4"/>
      <c r="X47" s="4"/>
      <c r="Y47" s="4">
        <f t="shared" ref="Y47:Y49" si="9">$Y$43*(1-AE47)</f>
        <v>1.1309999999999999E-2</v>
      </c>
      <c r="Z47" s="4"/>
      <c r="AA47" s="5"/>
      <c r="AB47" s="5">
        <f t="shared" ref="AB47:AB49" si="10">ROUND((Q47*Y47),2)</f>
        <v>0</v>
      </c>
      <c r="AC47" s="10">
        <f>AA47+AB47</f>
        <v>0</v>
      </c>
      <c r="AD47" s="12"/>
      <c r="AE47" s="16">
        <v>0.4</v>
      </c>
    </row>
    <row r="48" spans="2:31" x14ac:dyDescent="0.3">
      <c r="G48" s="97"/>
      <c r="H48" s="97"/>
      <c r="N48" s="179"/>
      <c r="P48"/>
      <c r="Q48" s="36">
        <f>IF($K$11=$P$43,(E25*($K$13)/($K$13+$L$13)),0)+IF($L$11=$P$43,(E25*($L$13)/($K$13+$L$13)),0)</f>
        <v>0</v>
      </c>
      <c r="R48" s="34"/>
      <c r="S48" s="34"/>
      <c r="T48" s="34"/>
      <c r="U48" s="4"/>
      <c r="V48" s="4"/>
      <c r="W48" s="4"/>
      <c r="X48" s="4"/>
      <c r="Y48" s="4">
        <f t="shared" si="9"/>
        <v>1.6965000000000001E-2</v>
      </c>
      <c r="Z48" s="4"/>
      <c r="AA48" s="5"/>
      <c r="AB48" s="5">
        <f t="shared" si="10"/>
        <v>0</v>
      </c>
      <c r="AC48" s="10">
        <f>AA48+AB48</f>
        <v>0</v>
      </c>
      <c r="AD48" s="12"/>
      <c r="AE48" s="16">
        <v>0.1</v>
      </c>
    </row>
    <row r="49" spans="7:31" x14ac:dyDescent="0.3">
      <c r="G49" s="97"/>
      <c r="H49" s="97"/>
      <c r="I49" s="173" t="s">
        <v>200</v>
      </c>
      <c r="J49" s="173" t="s">
        <v>201</v>
      </c>
      <c r="K49" s="11"/>
      <c r="N49" s="179"/>
      <c r="P49"/>
      <c r="Q49" s="36">
        <f>IF($K$11=$P$43,(E26*($K$13)/($K$13+$L$13)),0)+IF($L$11=$P$43,(E26*($L$13)/($K$13+$L$13)),0)</f>
        <v>0</v>
      </c>
      <c r="R49" s="34"/>
      <c r="S49" s="34"/>
      <c r="T49" s="34"/>
      <c r="U49" s="4"/>
      <c r="V49" s="4"/>
      <c r="W49" s="4"/>
      <c r="X49" s="4"/>
      <c r="Y49" s="4">
        <f t="shared" si="9"/>
        <v>1.8849999999999999E-2</v>
      </c>
      <c r="Z49" s="4"/>
      <c r="AA49" s="5"/>
      <c r="AB49" s="5">
        <f t="shared" si="10"/>
        <v>0</v>
      </c>
      <c r="AC49" s="10">
        <f>AA49+AB49</f>
        <v>0</v>
      </c>
      <c r="AD49" s="12"/>
      <c r="AE49" s="16">
        <v>0</v>
      </c>
    </row>
    <row r="50" spans="7:31" x14ac:dyDescent="0.3">
      <c r="G50" s="182" t="s">
        <v>202</v>
      </c>
      <c r="H50" s="183">
        <f>I17</f>
        <v>131</v>
      </c>
      <c r="I50" s="4">
        <f>G26</f>
        <v>0.30564419354838707</v>
      </c>
      <c r="J50" s="4">
        <f>H26</f>
        <v>0.29481225806451611</v>
      </c>
      <c r="K50" s="10">
        <f>H50*(I50+J50)</f>
        <v>78.659795161290319</v>
      </c>
      <c r="L50" s="184"/>
      <c r="N50" s="179"/>
      <c r="P50"/>
      <c r="Q50" s="52" t="s">
        <v>66</v>
      </c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4"/>
      <c r="AC50" s="30">
        <f>SUM(AC46:AC49)</f>
        <v>0</v>
      </c>
      <c r="AD50"/>
      <c r="AE50"/>
    </row>
    <row r="51" spans="7:31" x14ac:dyDescent="0.3">
      <c r="G51" s="15" t="s">
        <v>12</v>
      </c>
      <c r="H51" s="183">
        <f>IF($K$11=$P$43,(H50*($K$13)/($K$13+$L$13)),0)+IF($L$11=$P$43,(H50*($L$13)/($K$13+$L$13)),0)</f>
        <v>0</v>
      </c>
      <c r="I51" s="97"/>
      <c r="J51" s="4">
        <f>Y43</f>
        <v>1.8849999999999999E-2</v>
      </c>
      <c r="K51" s="185">
        <f t="shared" ref="K51:K54" si="11">H51*(I51+J51)</f>
        <v>0</v>
      </c>
      <c r="P51" s="3"/>
      <c r="Q51" s="3"/>
      <c r="R51" s="3"/>
      <c r="S51" s="3"/>
      <c r="T51" s="3"/>
      <c r="U51" s="3"/>
      <c r="V51" s="8"/>
      <c r="W51" s="8"/>
      <c r="X51" s="9"/>
      <c r="Y51" s="9"/>
      <c r="Z51" s="9"/>
      <c r="AA51" s="6"/>
      <c r="AB51" s="6"/>
      <c r="AC51" s="31"/>
      <c r="AD51"/>
      <c r="AE51"/>
    </row>
    <row r="52" spans="7:31" x14ac:dyDescent="0.3">
      <c r="G52" s="15" t="s">
        <v>16</v>
      </c>
      <c r="H52" s="183">
        <f>IF($K$11=$P$52,(H50*($K$13)/($K$13+$L$13)),0)+IF($L$11=$P$52,(H50*($L$13)/($K$13+$L$13)),0)</f>
        <v>0</v>
      </c>
      <c r="I52" s="97"/>
      <c r="J52" s="4">
        <f>Y52</f>
        <v>4.4630000000000003E-2</v>
      </c>
      <c r="K52" s="185">
        <f t="shared" si="11"/>
        <v>0</v>
      </c>
      <c r="P52" s="3" t="s">
        <v>16</v>
      </c>
      <c r="Q52" s="3"/>
      <c r="R52" s="3"/>
      <c r="S52" s="3"/>
      <c r="T52" s="3"/>
      <c r="U52" s="3"/>
      <c r="V52" s="8"/>
      <c r="W52" s="8"/>
      <c r="X52" s="9"/>
      <c r="Y52" s="45">
        <f>N5</f>
        <v>4.4630000000000003E-2</v>
      </c>
      <c r="Z52" s="50"/>
      <c r="AA52" s="6"/>
      <c r="AB52" s="6"/>
      <c r="AC52" s="11"/>
      <c r="AD52"/>
      <c r="AE52"/>
    </row>
    <row r="53" spans="7:31" ht="27.6" x14ac:dyDescent="0.3">
      <c r="G53" s="15" t="s">
        <v>19</v>
      </c>
      <c r="H53" s="183">
        <f>IF($K$11=$P$61,(H50*($K$13)/($K$13+$L$13)),0)+IF($L$11=$P$61,(H50*($L$13)/($K$13+$L$13)),0)</f>
        <v>0</v>
      </c>
      <c r="J53" s="4">
        <f>Y61</f>
        <v>7.8770000000000007E-2</v>
      </c>
      <c r="K53" s="185">
        <f t="shared" si="11"/>
        <v>0</v>
      </c>
      <c r="P53"/>
      <c r="Q53" s="17" t="s">
        <v>73</v>
      </c>
      <c r="R53" s="497"/>
      <c r="S53" s="498"/>
      <c r="T53" s="64"/>
      <c r="U53" s="497"/>
      <c r="V53" s="498"/>
      <c r="W53" s="64"/>
      <c r="X53" s="497" t="s">
        <v>11</v>
      </c>
      <c r="Y53" s="498"/>
      <c r="Z53" s="64"/>
      <c r="AA53" s="497" t="s">
        <v>195</v>
      </c>
      <c r="AB53" s="498"/>
      <c r="AC53" s="18" t="s">
        <v>196</v>
      </c>
      <c r="AD53"/>
      <c r="AE53" s="2"/>
    </row>
    <row r="54" spans="7:31" x14ac:dyDescent="0.3">
      <c r="G54" s="15" t="s">
        <v>21</v>
      </c>
      <c r="H54" s="183">
        <f>IF($K$11=$P$70,(H50*($K$13)/($K$13+$L$13)),0)+IF($L$11=$P$70,(H50*($L$13)/($K$13+$L$13)),0)</f>
        <v>0</v>
      </c>
      <c r="J54" s="4">
        <f>Y70</f>
        <v>0.14199999999999999</v>
      </c>
      <c r="K54" s="185">
        <f t="shared" si="11"/>
        <v>0</v>
      </c>
      <c r="P54"/>
      <c r="Q54" s="19" t="s">
        <v>197</v>
      </c>
      <c r="R54" s="20"/>
      <c r="S54" s="20"/>
      <c r="T54" s="20"/>
      <c r="U54" s="20" t="s">
        <v>13</v>
      </c>
      <c r="V54" s="20" t="s">
        <v>14</v>
      </c>
      <c r="W54" s="20"/>
      <c r="X54" s="20" t="s">
        <v>13</v>
      </c>
      <c r="Y54" s="20" t="s">
        <v>14</v>
      </c>
      <c r="Z54" s="20"/>
      <c r="AA54" s="20" t="s">
        <v>13</v>
      </c>
      <c r="AB54" s="20" t="s">
        <v>14</v>
      </c>
      <c r="AC54" s="20" t="s">
        <v>198</v>
      </c>
      <c r="AD54"/>
      <c r="AE54" s="1"/>
    </row>
    <row r="55" spans="7:31" x14ac:dyDescent="0.3">
      <c r="P55"/>
      <c r="Q55" s="36">
        <f>IF($K$11=$P$52,(E23*($K$13)/($K$13+$L$13)),0)+IF($L$11=$P$52,(E23*($L$13)/($K$13+$L$13)),0)</f>
        <v>0</v>
      </c>
      <c r="R55" s="34"/>
      <c r="S55" s="34"/>
      <c r="T55" s="34"/>
      <c r="U55" s="4"/>
      <c r="V55" s="4"/>
      <c r="W55" s="4"/>
      <c r="X55" s="4"/>
      <c r="Y55" s="4">
        <f>$Y$52*(1-AE55)</f>
        <v>1.5620500000000001E-2</v>
      </c>
      <c r="Z55" s="4"/>
      <c r="AA55" s="5"/>
      <c r="AB55" s="5">
        <f>ROUND((Q55*Y55),2)</f>
        <v>0</v>
      </c>
      <c r="AC55" s="10">
        <f>AA55+AB55</f>
        <v>0</v>
      </c>
      <c r="AD55" s="12"/>
      <c r="AE55" s="16">
        <v>0.65</v>
      </c>
    </row>
    <row r="56" spans="7:31" x14ac:dyDescent="0.3">
      <c r="G56" s="138"/>
      <c r="H56" s="183">
        <f>IF(H50&gt;0,30,0)</f>
        <v>30</v>
      </c>
      <c r="I56" s="4">
        <f t="shared" ref="I56:J59" si="12">G23</f>
        <v>0.10697546774193546</v>
      </c>
      <c r="J56" s="4">
        <f t="shared" si="12"/>
        <v>0.10318429032258063</v>
      </c>
      <c r="K56" s="10">
        <f>H56*(I56+J56)</f>
        <v>6.3047927419354828</v>
      </c>
      <c r="P56"/>
      <c r="Q56" s="36">
        <f>IF($K$11=$P$52,(E24*($K$13)/($K$13+$L$13)),0)+IF($L$11=$P$52,(E24*($L$13)/($K$13+$L$13)),0)</f>
        <v>0</v>
      </c>
      <c r="R56" s="34"/>
      <c r="S56" s="34"/>
      <c r="T56" s="34"/>
      <c r="U56" s="4"/>
      <c r="V56" s="4"/>
      <c r="W56" s="4"/>
      <c r="X56" s="4"/>
      <c r="Y56" s="4">
        <f t="shared" ref="Y56:Y58" si="13">$Y$52*(1-AE56)</f>
        <v>2.6778E-2</v>
      </c>
      <c r="Z56" s="4"/>
      <c r="AA56" s="5"/>
      <c r="AB56" s="5">
        <f t="shared" ref="AB56:AB58" si="14">ROUND((Q56*Y56),2)</f>
        <v>0</v>
      </c>
      <c r="AC56" s="10">
        <f>AA56+AB56</f>
        <v>0</v>
      </c>
      <c r="AD56" s="12"/>
      <c r="AE56" s="16">
        <v>0.4</v>
      </c>
    </row>
    <row r="57" spans="7:31" x14ac:dyDescent="0.3">
      <c r="G57" s="138"/>
      <c r="H57" s="183">
        <f>IF(H50&gt;30,IF(H50&gt;100,70,H50-30),0)</f>
        <v>70</v>
      </c>
      <c r="I57" s="4">
        <f t="shared" si="12"/>
        <v>0.18338651612903223</v>
      </c>
      <c r="J57" s="4">
        <f t="shared" si="12"/>
        <v>0.17688735483870965</v>
      </c>
      <c r="K57" s="10">
        <f t="shared" ref="K57:K59" si="15">H57*(I57+J57)</f>
        <v>25.219170967741931</v>
      </c>
      <c r="P57"/>
      <c r="Q57" s="36">
        <f>IF($K$11=$P$52,(E25*($K$13)/($K$13+$L$13)),0)+IF($L$11=$P$52,(E25*($L$13)/($K$13+$L$13)),0)</f>
        <v>0</v>
      </c>
      <c r="R57" s="34"/>
      <c r="S57" s="34"/>
      <c r="T57" s="34"/>
      <c r="U57" s="4"/>
      <c r="V57" s="4"/>
      <c r="W57" s="4"/>
      <c r="X57" s="4"/>
      <c r="Y57" s="4">
        <f t="shared" si="13"/>
        <v>4.0167000000000001E-2</v>
      </c>
      <c r="Z57" s="4"/>
      <c r="AA57" s="5"/>
      <c r="AB57" s="5">
        <f t="shared" si="14"/>
        <v>0</v>
      </c>
      <c r="AC57" s="10">
        <f>AA57+AB57</f>
        <v>0</v>
      </c>
      <c r="AD57" s="12"/>
      <c r="AE57" s="16">
        <v>0.1</v>
      </c>
    </row>
    <row r="58" spans="7:31" x14ac:dyDescent="0.3">
      <c r="G58" s="138"/>
      <c r="H58" s="183">
        <f>IF(H50&gt;100,IF(H50&gt;220,220-100,H50-100),0)</f>
        <v>31</v>
      </c>
      <c r="I58" s="4">
        <f t="shared" si="12"/>
        <v>0.27507977419354834</v>
      </c>
      <c r="J58" s="4">
        <f t="shared" si="12"/>
        <v>0.26533103225806448</v>
      </c>
      <c r="K58" s="10">
        <f t="shared" si="15"/>
        <v>16.752734999999998</v>
      </c>
      <c r="P58"/>
      <c r="Q58" s="36">
        <f>IF($K$11=$P$52,(E26*($K$13)/($K$13+$L$13)),0)+IF($L$11=$P$52,(E26*($L$13)/($K$13+$L$13)),0)</f>
        <v>0</v>
      </c>
      <c r="R58" s="34"/>
      <c r="S58" s="34"/>
      <c r="T58" s="34"/>
      <c r="U58" s="4"/>
      <c r="V58" s="4"/>
      <c r="W58" s="4"/>
      <c r="X58" s="4"/>
      <c r="Y58" s="4">
        <f t="shared" si="13"/>
        <v>4.4630000000000003E-2</v>
      </c>
      <c r="Z58" s="4"/>
      <c r="AA58" s="5"/>
      <c r="AB58" s="5">
        <f t="shared" si="14"/>
        <v>0</v>
      </c>
      <c r="AC58" s="10">
        <f>AA58+AB58</f>
        <v>0</v>
      </c>
      <c r="AD58" s="12"/>
      <c r="AE58" s="16">
        <v>0</v>
      </c>
    </row>
    <row r="59" spans="7:31" x14ac:dyDescent="0.3">
      <c r="G59" s="138"/>
      <c r="H59" s="183">
        <f>IF(H50&gt;220,H50-220,0)</f>
        <v>0</v>
      </c>
      <c r="I59" s="4">
        <f t="shared" si="12"/>
        <v>0.30564419354838707</v>
      </c>
      <c r="J59" s="4">
        <f t="shared" si="12"/>
        <v>0.29481225806451611</v>
      </c>
      <c r="K59" s="10">
        <f t="shared" si="15"/>
        <v>0</v>
      </c>
      <c r="P59"/>
      <c r="Q59" s="52" t="s">
        <v>66</v>
      </c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4"/>
      <c r="AC59" s="30">
        <f>SUM(AC55:AC58)</f>
        <v>0</v>
      </c>
      <c r="AD59"/>
      <c r="AE59"/>
    </row>
    <row r="60" spans="7:31" x14ac:dyDescent="0.3">
      <c r="G60"/>
      <c r="K60" s="10">
        <f>SUM(K56:K59)</f>
        <v>48.276698709677412</v>
      </c>
      <c r="P60" s="3"/>
      <c r="Q60" s="3"/>
      <c r="R60" s="3"/>
      <c r="S60" s="3"/>
      <c r="T60" s="3"/>
      <c r="U60" s="3"/>
      <c r="V60" s="8"/>
      <c r="W60" s="8"/>
      <c r="X60" s="9"/>
      <c r="Y60" s="9"/>
      <c r="Z60" s="9"/>
      <c r="AA60" s="6"/>
      <c r="AB60" s="6"/>
      <c r="AC60" s="11"/>
      <c r="AD60"/>
      <c r="AE60"/>
    </row>
    <row r="61" spans="7:31" x14ac:dyDescent="0.3">
      <c r="G61" s="15" t="s">
        <v>12</v>
      </c>
      <c r="H61"/>
      <c r="I61"/>
      <c r="J61"/>
      <c r="K61" s="185">
        <f>AC50</f>
        <v>0</v>
      </c>
      <c r="P61" s="3" t="s">
        <v>19</v>
      </c>
      <c r="Q61" s="3"/>
      <c r="R61" s="3"/>
      <c r="S61" s="3"/>
      <c r="T61" s="3"/>
      <c r="U61" s="3"/>
      <c r="V61" s="8"/>
      <c r="W61" s="8"/>
      <c r="X61" s="9"/>
      <c r="Y61" s="45">
        <f>N6</f>
        <v>7.8770000000000007E-2</v>
      </c>
      <c r="Z61" s="50"/>
      <c r="AA61" s="6"/>
      <c r="AB61" s="6"/>
      <c r="AC61" s="11"/>
      <c r="AD61"/>
      <c r="AE61"/>
    </row>
    <row r="62" spans="7:31" ht="27.6" x14ac:dyDescent="0.3">
      <c r="G62" s="15" t="s">
        <v>16</v>
      </c>
      <c r="H62"/>
      <c r="I62"/>
      <c r="J62"/>
      <c r="K62" s="185">
        <f>AC59</f>
        <v>0</v>
      </c>
      <c r="P62"/>
      <c r="Q62" s="17" t="s">
        <v>73</v>
      </c>
      <c r="R62" s="497"/>
      <c r="S62" s="498"/>
      <c r="T62" s="64"/>
      <c r="U62" s="497"/>
      <c r="V62" s="498"/>
      <c r="W62" s="64"/>
      <c r="X62" s="497" t="s">
        <v>11</v>
      </c>
      <c r="Y62" s="498"/>
      <c r="Z62" s="64"/>
      <c r="AA62" s="497" t="s">
        <v>195</v>
      </c>
      <c r="AB62" s="498"/>
      <c r="AC62" s="18" t="s">
        <v>196</v>
      </c>
      <c r="AD62"/>
      <c r="AE62" s="2"/>
    </row>
    <row r="63" spans="7:31" x14ac:dyDescent="0.3">
      <c r="G63" s="15" t="s">
        <v>19</v>
      </c>
      <c r="H63"/>
      <c r="I63"/>
      <c r="J63"/>
      <c r="K63" s="185">
        <f>AC68</f>
        <v>0</v>
      </c>
      <c r="P63"/>
      <c r="Q63" s="19" t="s">
        <v>197</v>
      </c>
      <c r="R63" s="20"/>
      <c r="S63" s="20"/>
      <c r="T63" s="20"/>
      <c r="U63" s="20" t="s">
        <v>13</v>
      </c>
      <c r="V63" s="20" t="s">
        <v>14</v>
      </c>
      <c r="W63" s="20"/>
      <c r="X63" s="20" t="s">
        <v>13</v>
      </c>
      <c r="Y63" s="20" t="s">
        <v>14</v>
      </c>
      <c r="Z63" s="20"/>
      <c r="AA63" s="20" t="s">
        <v>13</v>
      </c>
      <c r="AB63" s="20" t="s">
        <v>14</v>
      </c>
      <c r="AC63" s="20" t="s">
        <v>198</v>
      </c>
      <c r="AD63"/>
      <c r="AE63" s="1"/>
    </row>
    <row r="64" spans="7:31" x14ac:dyDescent="0.3">
      <c r="G64" s="15" t="s">
        <v>21</v>
      </c>
      <c r="K64" s="185">
        <f>AC77</f>
        <v>0</v>
      </c>
      <c r="P64"/>
      <c r="Q64" s="36">
        <f>IF($K$11=$P$61,(E23*($K$13)/($K$13+$L$13)),0)+IF($L$11=$P$61,(E23*($L$13)/($K$13+$L$13)),0)</f>
        <v>0</v>
      </c>
      <c r="R64" s="34"/>
      <c r="S64" s="34"/>
      <c r="T64" s="34"/>
      <c r="U64" s="4"/>
      <c r="V64" s="4"/>
      <c r="W64" s="4"/>
      <c r="X64" s="4"/>
      <c r="Y64" s="4">
        <f>$Y$61*(1-AE64)</f>
        <v>2.75695E-2</v>
      </c>
      <c r="Z64" s="4"/>
      <c r="AA64" s="5"/>
      <c r="AB64" s="5">
        <f>ROUND((Q64*Y64),2)</f>
        <v>0</v>
      </c>
      <c r="AC64" s="10">
        <f>AA64+AB64</f>
        <v>0</v>
      </c>
      <c r="AD64" s="12"/>
      <c r="AE64" s="16">
        <v>0.65</v>
      </c>
    </row>
    <row r="65" spans="2:33" x14ac:dyDescent="0.3">
      <c r="P65"/>
      <c r="Q65" s="36">
        <f>IF($K$11=$P$61,(E24*($K$13)/($K$13+$L$13)),0)+IF($L$11=$P$61,(E24*($L$13)/($K$13+$L$13)),0)</f>
        <v>0</v>
      </c>
      <c r="R65" s="34"/>
      <c r="S65" s="34"/>
      <c r="T65" s="34"/>
      <c r="U65" s="4"/>
      <c r="V65" s="4"/>
      <c r="W65" s="4"/>
      <c r="X65" s="4"/>
      <c r="Y65" s="4">
        <f t="shared" ref="Y65:Y67" si="16">$Y$61*(1-AE65)</f>
        <v>4.7262000000000005E-2</v>
      </c>
      <c r="Z65" s="4"/>
      <c r="AA65" s="5"/>
      <c r="AB65" s="5">
        <f t="shared" ref="AB65:AB67" si="17">ROUND((Q65*Y65),2)</f>
        <v>0</v>
      </c>
      <c r="AC65" s="10">
        <f>AA65+AB65</f>
        <v>0</v>
      </c>
      <c r="AD65" s="12"/>
      <c r="AE65" s="16">
        <v>0.4</v>
      </c>
    </row>
    <row r="66" spans="2:33" x14ac:dyDescent="0.3">
      <c r="J66" s="186" t="s">
        <v>199</v>
      </c>
      <c r="K66" s="187">
        <f>K50-K60</f>
        <v>30.383096451612907</v>
      </c>
      <c r="L66" s="51" t="s">
        <v>203</v>
      </c>
      <c r="P66"/>
      <c r="Q66" s="36">
        <f>IF($K$11=$P$61,(E25*($K$13)/($K$13+$L$13)),0)+IF($L$11=$P$61,(E25*($L$13)/($K$13+$L$13)),0)</f>
        <v>0</v>
      </c>
      <c r="R66" s="34"/>
      <c r="S66" s="34"/>
      <c r="T66" s="34"/>
      <c r="U66" s="4"/>
      <c r="V66" s="4"/>
      <c r="W66" s="4"/>
      <c r="X66" s="4"/>
      <c r="Y66" s="4">
        <f t="shared" si="16"/>
        <v>7.0893000000000012E-2</v>
      </c>
      <c r="Z66" s="4"/>
      <c r="AA66" s="5"/>
      <c r="AB66" s="5">
        <f t="shared" si="17"/>
        <v>0</v>
      </c>
      <c r="AC66" s="10">
        <f>AA66+AB66</f>
        <v>0</v>
      </c>
      <c r="AD66" s="12"/>
      <c r="AE66" s="16">
        <v>0.1</v>
      </c>
    </row>
    <row r="67" spans="2:33" x14ac:dyDescent="0.3">
      <c r="J67" s="188" t="s">
        <v>102</v>
      </c>
      <c r="K67" s="189">
        <f>K70</f>
        <v>38.323011205138279</v>
      </c>
      <c r="L67" s="51" t="s">
        <v>204</v>
      </c>
      <c r="P67"/>
      <c r="Q67" s="36">
        <f>IF($K$11=$P$61,(E26*($K$13)/($K$13+$L$13)),0)+IF($L$11=$P$61,(E26*($L$13)/($K$13+$L$13)),0)</f>
        <v>0</v>
      </c>
      <c r="R67" s="34"/>
      <c r="S67" s="34"/>
      <c r="T67" s="34"/>
      <c r="U67" s="4"/>
      <c r="V67" s="4"/>
      <c r="W67" s="4"/>
      <c r="X67" s="4"/>
      <c r="Y67" s="4">
        <f t="shared" si="16"/>
        <v>7.8770000000000007E-2</v>
      </c>
      <c r="Z67" s="4"/>
      <c r="AA67" s="5"/>
      <c r="AB67" s="5">
        <f t="shared" si="17"/>
        <v>0</v>
      </c>
      <c r="AC67" s="10">
        <f>AA67+AB67</f>
        <v>0</v>
      </c>
      <c r="AD67" s="12"/>
      <c r="AE67" s="16">
        <v>0</v>
      </c>
    </row>
    <row r="68" spans="2:33" x14ac:dyDescent="0.3">
      <c r="J68" s="15" t="s">
        <v>54</v>
      </c>
      <c r="K68" s="190">
        <f>(K66+K51+K52+K53+K54-K61-K62-K63-K64)/(1-H33-H34)</f>
        <v>31.808099300264768</v>
      </c>
      <c r="L68" s="46"/>
      <c r="P68"/>
      <c r="Q68" s="52" t="s">
        <v>66</v>
      </c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4"/>
      <c r="AC68" s="30">
        <f>SUM(AC64:AC67)</f>
        <v>0</v>
      </c>
      <c r="AD68"/>
      <c r="AE68"/>
    </row>
    <row r="69" spans="2:33" x14ac:dyDescent="0.3">
      <c r="J69" s="15" t="s">
        <v>56</v>
      </c>
      <c r="K69" s="191">
        <f>K68</f>
        <v>31.808099300264768</v>
      </c>
      <c r="L69" s="46"/>
    </row>
    <row r="70" spans="2:33" x14ac:dyDescent="0.3">
      <c r="J70" s="15" t="s">
        <v>77</v>
      </c>
      <c r="K70" s="313">
        <f>(K68)/(1-H36)</f>
        <v>38.323011205138279</v>
      </c>
      <c r="L70"/>
      <c r="P70" t="s">
        <v>21</v>
      </c>
      <c r="Q70" s="3"/>
      <c r="R70" s="3"/>
      <c r="S70" s="3"/>
      <c r="T70" s="3"/>
      <c r="U70" s="3"/>
      <c r="V70" s="8"/>
      <c r="W70" s="8"/>
      <c r="X70" s="9"/>
      <c r="Y70" s="45">
        <f>N7</f>
        <v>0.14199999999999999</v>
      </c>
      <c r="Z70" s="50"/>
      <c r="AA70" s="6"/>
      <c r="AB70" s="6"/>
      <c r="AC70" s="11"/>
      <c r="AD70"/>
      <c r="AE70"/>
    </row>
    <row r="71" spans="2:33" ht="27.6" x14ac:dyDescent="0.3">
      <c r="P71"/>
      <c r="Q71" s="17" t="s">
        <v>73</v>
      </c>
      <c r="R71" s="497"/>
      <c r="S71" s="498"/>
      <c r="T71" s="64"/>
      <c r="U71" s="497"/>
      <c r="V71" s="498"/>
      <c r="W71" s="64"/>
      <c r="X71" s="497" t="s">
        <v>11</v>
      </c>
      <c r="Y71" s="498"/>
      <c r="Z71" s="64"/>
      <c r="AA71" s="497" t="s">
        <v>195</v>
      </c>
      <c r="AB71" s="498"/>
      <c r="AC71" s="18" t="s">
        <v>196</v>
      </c>
      <c r="AD71"/>
      <c r="AE71" s="2"/>
    </row>
    <row r="72" spans="2:33" x14ac:dyDescent="0.3">
      <c r="B72" s="63" t="s">
        <v>79</v>
      </c>
      <c r="C72" s="1"/>
      <c r="D72" s="13"/>
      <c r="E72" s="13"/>
      <c r="P72"/>
      <c r="Q72" s="19" t="s">
        <v>197</v>
      </c>
      <c r="R72" s="20"/>
      <c r="S72" s="20"/>
      <c r="T72" s="20"/>
      <c r="U72" s="20" t="s">
        <v>13</v>
      </c>
      <c r="V72" s="20" t="s">
        <v>14</v>
      </c>
      <c r="W72" s="20"/>
      <c r="X72" s="20" t="s">
        <v>13</v>
      </c>
      <c r="Y72" s="20" t="s">
        <v>14</v>
      </c>
      <c r="Z72" s="20"/>
      <c r="AA72" s="20" t="s">
        <v>13</v>
      </c>
      <c r="AB72" s="20" t="s">
        <v>14</v>
      </c>
      <c r="AC72" s="20" t="s">
        <v>198</v>
      </c>
      <c r="AD72"/>
      <c r="AE72" s="1"/>
      <c r="AG72"/>
    </row>
    <row r="73" spans="2:33" x14ac:dyDescent="0.3">
      <c r="B73" s="56"/>
      <c r="C73" s="57" t="s">
        <v>71</v>
      </c>
      <c r="D73" s="1"/>
      <c r="E73" s="1"/>
      <c r="P73"/>
      <c r="Q73" s="36">
        <f>IF($K$11=$P$70,(E23*($K$13)/($K$13+$L$13)),0)+IF($L$11=$P$70,(E23*($L$13)/($K$13+$L$13)),0)</f>
        <v>0</v>
      </c>
      <c r="R73" s="34"/>
      <c r="S73" s="34"/>
      <c r="T73" s="34"/>
      <c r="U73" s="4"/>
      <c r="V73" s="4"/>
      <c r="W73" s="4"/>
      <c r="X73" s="4"/>
      <c r="Y73" s="4">
        <f>$Y$70*(1-AE73)</f>
        <v>4.9699999999999994E-2</v>
      </c>
      <c r="Z73" s="4"/>
      <c r="AA73" s="5"/>
      <c r="AB73" s="5">
        <f>ROUND((Q73*Y73),2)</f>
        <v>0</v>
      </c>
      <c r="AC73" s="10">
        <f>AA73+AB73</f>
        <v>0</v>
      </c>
      <c r="AD73" s="12"/>
      <c r="AE73" s="16">
        <v>0.65</v>
      </c>
      <c r="AG73"/>
    </row>
    <row r="74" spans="2:33" x14ac:dyDescent="0.3">
      <c r="B74" s="56" t="s">
        <v>80</v>
      </c>
      <c r="C74" s="141">
        <f>SUM(J22:J30)*IF($B$13&lt;$F$2,D113,D85)</f>
        <v>18.392787162964176</v>
      </c>
      <c r="D74" s="1"/>
      <c r="E74" s="1"/>
      <c r="F74" s="13"/>
      <c r="G74" s="13"/>
      <c r="P74"/>
      <c r="Q74" s="36">
        <f t="shared" ref="Q74:Q76" si="18">IF($K$11=$P$70,(E24*($K$13)/($K$13+$L$13)),0)+IF($L$11=$P$70,(E24*($L$13)/($K$13+$L$13)),0)</f>
        <v>0</v>
      </c>
      <c r="R74" s="34"/>
      <c r="S74" s="34"/>
      <c r="T74" s="34"/>
      <c r="U74" s="4"/>
      <c r="V74" s="4"/>
      <c r="W74" s="4"/>
      <c r="X74" s="4"/>
      <c r="Y74" s="4">
        <f t="shared" ref="Y74:Y76" si="19">$Y$70*(1-AE74)</f>
        <v>8.5199999999999984E-2</v>
      </c>
      <c r="Z74" s="4"/>
      <c r="AA74" s="5"/>
      <c r="AB74" s="5">
        <f t="shared" ref="AB74:AB76" si="20">ROUND((Q74*Y74),2)</f>
        <v>0</v>
      </c>
      <c r="AC74" s="10">
        <f>AA74+AB74</f>
        <v>0</v>
      </c>
      <c r="AD74" s="12"/>
      <c r="AE74" s="16">
        <v>0.4</v>
      </c>
      <c r="AG74"/>
    </row>
    <row r="75" spans="2:33" x14ac:dyDescent="0.3">
      <c r="B75" s="56" t="s">
        <v>81</v>
      </c>
      <c r="C75" s="141">
        <f>SUM(J22:J30)*IF($B$13&lt;$F$2,F113,F85)</f>
        <v>10.854168933562491</v>
      </c>
      <c r="D75" s="1"/>
      <c r="E75" s="1"/>
      <c r="F75" s="1"/>
      <c r="G75" s="1"/>
      <c r="P75"/>
      <c r="Q75" s="36">
        <f t="shared" si="18"/>
        <v>0</v>
      </c>
      <c r="R75" s="34"/>
      <c r="S75" s="34"/>
      <c r="T75" s="34"/>
      <c r="U75" s="4"/>
      <c r="V75" s="4"/>
      <c r="W75" s="4"/>
      <c r="X75" s="4"/>
      <c r="Y75" s="4">
        <f t="shared" si="19"/>
        <v>0.1278</v>
      </c>
      <c r="Z75" s="4"/>
      <c r="AA75" s="5"/>
      <c r="AB75" s="5">
        <f t="shared" si="20"/>
        <v>0</v>
      </c>
      <c r="AC75" s="10">
        <f>AA75+AB75</f>
        <v>0</v>
      </c>
      <c r="AD75" s="12"/>
      <c r="AE75" s="16">
        <v>0.1</v>
      </c>
      <c r="AG75"/>
    </row>
    <row r="76" spans="2:33" x14ac:dyDescent="0.3">
      <c r="B76" s="56" t="s">
        <v>82</v>
      </c>
      <c r="C76" s="141">
        <f>SUM(J22:J30)*IF($B$13&lt;$F$2,E113,E85)</f>
        <v>3.4837621697608094</v>
      </c>
      <c r="D76" s="1"/>
      <c r="E76" s="1"/>
      <c r="F76" s="1"/>
      <c r="G76" s="1"/>
      <c r="P76"/>
      <c r="Q76" s="36">
        <f t="shared" si="18"/>
        <v>0</v>
      </c>
      <c r="R76" s="34"/>
      <c r="S76" s="34"/>
      <c r="T76" s="34"/>
      <c r="U76" s="4"/>
      <c r="V76" s="4"/>
      <c r="W76" s="4"/>
      <c r="X76" s="4"/>
      <c r="Y76" s="4">
        <f t="shared" si="19"/>
        <v>0.14199999999999999</v>
      </c>
      <c r="Z76" s="4"/>
      <c r="AA76" s="5"/>
      <c r="AB76" s="5">
        <f t="shared" si="20"/>
        <v>0</v>
      </c>
      <c r="AC76" s="10">
        <f>AA76+AB76</f>
        <v>0</v>
      </c>
      <c r="AD76" s="12"/>
      <c r="AE76" s="16">
        <v>0</v>
      </c>
      <c r="AG76"/>
    </row>
    <row r="77" spans="2:33" x14ac:dyDescent="0.3">
      <c r="B77" s="139" t="s">
        <v>83</v>
      </c>
      <c r="C77" s="141">
        <f>SUM(J22:J30)*IF($B$13&lt;$F$2,G113,G85)</f>
        <v>2.0392817337125235</v>
      </c>
      <c r="D77" s="1"/>
      <c r="E77" s="1"/>
      <c r="F77" s="1"/>
      <c r="G77" s="1"/>
      <c r="P77"/>
      <c r="Q77" s="52" t="s">
        <v>66</v>
      </c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4"/>
      <c r="AC77" s="30">
        <f>SUM(AC73:AC76)</f>
        <v>0</v>
      </c>
      <c r="AD77"/>
      <c r="AE77"/>
      <c r="AG77"/>
    </row>
    <row r="78" spans="2:33" x14ac:dyDescent="0.3">
      <c r="B78" s="56" t="s">
        <v>84</v>
      </c>
      <c r="C78" s="59">
        <f>J33+J34+J35+J36</f>
        <v>15.601241746854498</v>
      </c>
      <c r="D78" s="1"/>
      <c r="E78" s="1"/>
      <c r="F78" s="1"/>
      <c r="G78" s="1"/>
      <c r="AG78"/>
    </row>
    <row r="79" spans="2:33" x14ac:dyDescent="0.3">
      <c r="B79" s="60" t="s">
        <v>85</v>
      </c>
      <c r="C79" s="61">
        <f>SUM(C74:C78)</f>
        <v>50.371241746854494</v>
      </c>
      <c r="D79" s="1"/>
      <c r="E79" s="1"/>
      <c r="F79" s="1"/>
      <c r="G79" s="1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2:33" x14ac:dyDescent="0.3">
      <c r="B80" s="1"/>
      <c r="C80" s="1"/>
      <c r="D80" s="1"/>
      <c r="E80" s="1"/>
      <c r="F80" s="1"/>
      <c r="G80" s="1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2:33" x14ac:dyDescent="0.3">
      <c r="B81" s="15">
        <f>'Fatura B1 (Res) OK'!$B$68</f>
        <v>2024</v>
      </c>
      <c r="C81" s="15"/>
      <c r="D81" s="15" t="str">
        <f>'Fatura B1 (Res) OK'!$D$68</f>
        <v>Energia</v>
      </c>
      <c r="E81" s="15" t="str">
        <f>'Fatura B1 (Res) OK'!$E$68</f>
        <v>Transmissão</v>
      </c>
      <c r="F81" s="15" t="str">
        <f>'Fatura B1 (Res) OK'!$F$68</f>
        <v>Distribuição</v>
      </c>
      <c r="G81" s="15" t="str">
        <f>'Fatura B1 (Res) OK'!$G$68</f>
        <v>Setoriais</v>
      </c>
      <c r="P81" s="97" t="s">
        <v>296</v>
      </c>
      <c r="AD81"/>
      <c r="AE81"/>
      <c r="AF81"/>
      <c r="AG81"/>
    </row>
    <row r="82" spans="2:33" x14ac:dyDescent="0.3">
      <c r="B82" s="15" t="str">
        <f>'Fatura B1 (Res) OK'!$B$69</f>
        <v>Grupo B</v>
      </c>
      <c r="C82" s="15"/>
      <c r="D82" s="15" t="str">
        <f>'Fatura B1 (Res) OK'!$D$69</f>
        <v>%</v>
      </c>
      <c r="E82" s="15" t="str">
        <f>'Fatura B1 (Res) OK'!$E$69</f>
        <v>%</v>
      </c>
      <c r="F82" s="15" t="str">
        <f>'Fatura B1 (Res) OK'!$F$69</f>
        <v>%</v>
      </c>
      <c r="G82" s="15" t="str">
        <f>'Fatura B1 (Res) OK'!$G$69</f>
        <v>%</v>
      </c>
      <c r="AD82"/>
      <c r="AE82"/>
      <c r="AF82"/>
      <c r="AG82"/>
    </row>
    <row r="83" spans="2:33" x14ac:dyDescent="0.3">
      <c r="B83" s="15"/>
      <c r="C83" s="15"/>
      <c r="D83" s="15"/>
      <c r="E83" s="15"/>
      <c r="F83" s="15"/>
      <c r="G83" s="15"/>
      <c r="P83" s="3" t="s">
        <v>12</v>
      </c>
      <c r="Q83" s="3"/>
      <c r="R83" s="3"/>
      <c r="S83" s="3"/>
      <c r="T83" s="3"/>
      <c r="U83" s="3"/>
      <c r="V83" s="8"/>
      <c r="W83" s="8"/>
      <c r="X83" s="9"/>
      <c r="Y83" s="45">
        <f>Y43</f>
        <v>1.8849999999999999E-2</v>
      </c>
      <c r="Z83" s="50"/>
      <c r="AA83" s="6"/>
      <c r="AB83" s="6"/>
      <c r="AC83" s="11"/>
      <c r="AD83"/>
      <c r="AE83"/>
      <c r="AF83"/>
      <c r="AG83"/>
    </row>
    <row r="84" spans="2:33" ht="27.6" x14ac:dyDescent="0.3">
      <c r="B84" s="15" t="str">
        <f>'Fatura B1 (Res) OK'!$B$71</f>
        <v>B1 - Residencial</v>
      </c>
      <c r="C84" s="15"/>
      <c r="D84" s="62">
        <f>'Fatura B1 (Res) OK'!$D$71</f>
        <v>0.45246416638672077</v>
      </c>
      <c r="E84" s="62">
        <f>'Fatura B1 (Res) OK'!$E$71</f>
        <v>7.39594111182032E-2</v>
      </c>
      <c r="F84" s="62">
        <f>'Fatura B1 (Res) OK'!$F$71</f>
        <v>0.27500913257019954</v>
      </c>
      <c r="G84" s="62">
        <f>'Fatura B1 (Res) OK'!$G$71</f>
        <v>0.19856728992487654</v>
      </c>
      <c r="P84"/>
      <c r="Q84" s="17" t="s">
        <v>73</v>
      </c>
      <c r="R84" s="497"/>
      <c r="S84" s="498"/>
      <c r="T84" s="64"/>
      <c r="U84" s="497"/>
      <c r="V84" s="498"/>
      <c r="W84" s="64"/>
      <c r="X84" s="497" t="s">
        <v>194</v>
      </c>
      <c r="Y84" s="498"/>
      <c r="Z84" s="64"/>
      <c r="AA84" s="497" t="s">
        <v>195</v>
      </c>
      <c r="AB84" s="498"/>
      <c r="AC84" s="18" t="s">
        <v>196</v>
      </c>
      <c r="AD84"/>
      <c r="AE84"/>
      <c r="AF84"/>
      <c r="AG84"/>
    </row>
    <row r="85" spans="2:33" x14ac:dyDescent="0.3">
      <c r="B85" s="15" t="str">
        <f>'Fatura B1 (Res) OK'!$B$72</f>
        <v>B1 - Residencial Baixa Renda</v>
      </c>
      <c r="C85" s="15"/>
      <c r="D85" s="62">
        <f>'Fatura B1 (Res) OK'!$D$72</f>
        <v>0.53149575868436638</v>
      </c>
      <c r="E85" s="62">
        <f>'Fatura B1 (Res) OK'!$E$72</f>
        <v>8.6877848555460851E-2</v>
      </c>
      <c r="F85" s="62">
        <f>'Fatura B1 (Res) OK'!$F$72</f>
        <v>0.32304478104372042</v>
      </c>
      <c r="G85" s="62">
        <f>'Fatura B1 (Res) OK'!$G$72</f>
        <v>5.8581611716452382E-2</v>
      </c>
      <c r="P85"/>
      <c r="Q85" s="19" t="s">
        <v>197</v>
      </c>
      <c r="R85" s="20"/>
      <c r="S85" s="20"/>
      <c r="T85" s="20"/>
      <c r="U85" s="20"/>
      <c r="V85" s="20"/>
      <c r="W85" s="20"/>
      <c r="X85" s="20"/>
      <c r="Y85" s="20" t="s">
        <v>14</v>
      </c>
      <c r="Z85" s="20"/>
      <c r="AA85" s="20" t="s">
        <v>13</v>
      </c>
      <c r="AB85" s="20" t="s">
        <v>14</v>
      </c>
      <c r="AC85" s="20" t="s">
        <v>198</v>
      </c>
      <c r="AD85"/>
      <c r="AE85"/>
      <c r="AF85"/>
      <c r="AG85"/>
    </row>
    <row r="86" spans="2:33" x14ac:dyDescent="0.3">
      <c r="B86" s="15" t="str">
        <f>'Fatura B1 (Res) OK'!$B$73</f>
        <v>B2 - Rural</v>
      </c>
      <c r="C86" s="15"/>
      <c r="D86" s="62">
        <f>'Fatura B1 (Res) OK'!$D$73</f>
        <v>0.45246416638672077</v>
      </c>
      <c r="E86" s="62">
        <f>'Fatura B1 (Res) OK'!$E$73</f>
        <v>7.39594111182032E-2</v>
      </c>
      <c r="F86" s="62">
        <f>'Fatura B1 (Res) OK'!$F$73</f>
        <v>0.27500913257019954</v>
      </c>
      <c r="G86" s="62">
        <f>'Fatura B1 (Res) OK'!$G$73</f>
        <v>0.19856728992487654</v>
      </c>
      <c r="P86"/>
      <c r="Q86" s="36">
        <f>IF($K$11=$P$83,(D123*($K$13)/($K$13+$L$13)),0)+IF($L$11=$P$83,(D123*($L$13)/($K$13+$L$13)),0)</f>
        <v>0</v>
      </c>
      <c r="R86" s="34"/>
      <c r="S86" s="34"/>
      <c r="T86" s="34"/>
      <c r="U86" s="4"/>
      <c r="V86" s="4"/>
      <c r="W86" s="4"/>
      <c r="X86" s="4"/>
      <c r="Y86" s="4">
        <f>$Y$83*(1-AE86)</f>
        <v>6.5974999999999992E-3</v>
      </c>
      <c r="Z86" s="4"/>
      <c r="AA86" s="5"/>
      <c r="AB86" s="5">
        <f>ROUND((Q86*Y86),2)</f>
        <v>0</v>
      </c>
      <c r="AC86" s="10">
        <f>AA86+AB86</f>
        <v>0</v>
      </c>
      <c r="AD86"/>
      <c r="AE86" s="16">
        <v>0.65</v>
      </c>
      <c r="AF86"/>
      <c r="AG86"/>
    </row>
    <row r="87" spans="2:33" x14ac:dyDescent="0.3">
      <c r="B87" s="15" t="str">
        <f>'Fatura B1 (Res) OK'!$B$74</f>
        <v>B2 - Cooperativa Eletrificação Rural</v>
      </c>
      <c r="C87" s="15"/>
      <c r="D87" s="62">
        <f>'Fatura B1 (Res) OK'!$D$74</f>
        <v>0.45246416638672077</v>
      </c>
      <c r="E87" s="62">
        <f>'Fatura B1 (Res) OK'!$E$74</f>
        <v>7.39594111182032E-2</v>
      </c>
      <c r="F87" s="62">
        <f>'Fatura B1 (Res) OK'!$F$74</f>
        <v>0.27500913257019954</v>
      </c>
      <c r="G87" s="62">
        <f>'Fatura B1 (Res) OK'!$G$74</f>
        <v>0.19856728992487654</v>
      </c>
      <c r="P87"/>
      <c r="Q87" s="36">
        <f>IF($K$11=$P$83,(D124*($K$13)/($K$13+$L$13)),0)+IF($L$11=$P$83,(D124*($L$13)/($K$13+$L$13)),0)</f>
        <v>0</v>
      </c>
      <c r="R87" s="34"/>
      <c r="S87" s="34"/>
      <c r="T87" s="34"/>
      <c r="U87" s="4"/>
      <c r="V87" s="4"/>
      <c r="W87" s="4"/>
      <c r="X87" s="4"/>
      <c r="Y87" s="4">
        <f>$Y$83*(1-AE87)</f>
        <v>1.1309999999999999E-2</v>
      </c>
      <c r="Z87" s="4"/>
      <c r="AA87" s="5"/>
      <c r="AB87" s="5">
        <f t="shared" ref="AB87:AB89" si="21">ROUND((Q87*Y87),2)</f>
        <v>0</v>
      </c>
      <c r="AC87" s="10">
        <f>AA87+AB87</f>
        <v>0</v>
      </c>
      <c r="AD87"/>
      <c r="AE87" s="16">
        <v>0.4</v>
      </c>
      <c r="AF87"/>
      <c r="AG87"/>
    </row>
    <row r="88" spans="2:33" x14ac:dyDescent="0.3">
      <c r="B88" s="15" t="str">
        <f>'Fatura B1 (Res) OK'!$B$75</f>
        <v>B2 - Serviço de Irrigação</v>
      </c>
      <c r="C88" s="15"/>
      <c r="D88" s="62">
        <f>'Fatura B1 (Res) OK'!$D$75</f>
        <v>0.45246416638672077</v>
      </c>
      <c r="E88" s="62">
        <f>'Fatura B1 (Res) OK'!$E$75</f>
        <v>7.39594111182032E-2</v>
      </c>
      <c r="F88" s="62">
        <f>'Fatura B1 (Res) OK'!$F$75</f>
        <v>0.27500913257019954</v>
      </c>
      <c r="G88" s="62">
        <f>'Fatura B1 (Res) OK'!$G$75</f>
        <v>0.19856728992487654</v>
      </c>
      <c r="P88"/>
      <c r="Q88" s="36"/>
      <c r="R88" s="34"/>
      <c r="S88" s="34"/>
      <c r="T88" s="34"/>
      <c r="U88" s="4"/>
      <c r="V88" s="4"/>
      <c r="W88" s="4"/>
      <c r="X88" s="4"/>
      <c r="Y88" s="4">
        <f>$Y$83*(1-AE88)</f>
        <v>1.6965000000000001E-2</v>
      </c>
      <c r="Z88" s="4"/>
      <c r="AA88" s="5"/>
      <c r="AB88" s="5">
        <f t="shared" si="21"/>
        <v>0</v>
      </c>
      <c r="AC88" s="10">
        <f>AA88+AB88</f>
        <v>0</v>
      </c>
      <c r="AD88"/>
      <c r="AE88" s="16">
        <v>0.1</v>
      </c>
      <c r="AF88"/>
      <c r="AG88"/>
    </row>
    <row r="89" spans="2:33" x14ac:dyDescent="0.3">
      <c r="B89" s="15" t="str">
        <f>'Fatura B1 (Res) OK'!$B$76</f>
        <v>B3 - Demais Classes</v>
      </c>
      <c r="C89" s="15"/>
      <c r="D89" s="62">
        <f>'Fatura B1 (Res) OK'!$D$76</f>
        <v>0.45246416638672077</v>
      </c>
      <c r="E89" s="62">
        <f>'Fatura B1 (Res) OK'!$E$76</f>
        <v>7.39594111182032E-2</v>
      </c>
      <c r="F89" s="62">
        <f>'Fatura B1 (Res) OK'!$F$76</f>
        <v>0.27500913257019954</v>
      </c>
      <c r="G89" s="62">
        <f>'Fatura B1 (Res) OK'!$G$76</f>
        <v>0.19856728992487654</v>
      </c>
      <c r="P89"/>
      <c r="Q89" s="36"/>
      <c r="R89" s="34"/>
      <c r="S89" s="34"/>
      <c r="T89" s="34"/>
      <c r="U89" s="4"/>
      <c r="V89" s="4"/>
      <c r="W89" s="4"/>
      <c r="X89" s="4"/>
      <c r="Y89" s="4">
        <f>$Y$83*(1-AE89)</f>
        <v>1.8849999999999999E-2</v>
      </c>
      <c r="Z89" s="4"/>
      <c r="AA89" s="5"/>
      <c r="AB89" s="5">
        <f t="shared" si="21"/>
        <v>0</v>
      </c>
      <c r="AC89" s="10">
        <f>AA89+AB89</f>
        <v>0</v>
      </c>
      <c r="AD89"/>
      <c r="AE89" s="16">
        <v>0</v>
      </c>
      <c r="AF89"/>
      <c r="AG89"/>
    </row>
    <row r="90" spans="2:33" x14ac:dyDescent="0.3">
      <c r="B90" s="15" t="str">
        <f>'Fatura B1 (Res) OK'!$B$77</f>
        <v>B4 - Iluminação Pública</v>
      </c>
      <c r="C90" s="15"/>
      <c r="D90" s="62">
        <f>'Fatura B1 (Res) OK'!$D$77</f>
        <v>0.45246416638672071</v>
      </c>
      <c r="E90" s="62">
        <f>'Fatura B1 (Res) OK'!$E$77</f>
        <v>7.3959411118203186E-2</v>
      </c>
      <c r="F90" s="62">
        <f>'Fatura B1 (Res) OK'!$F$77</f>
        <v>0.27500913257019949</v>
      </c>
      <c r="G90" s="62">
        <f>'Fatura B1 (Res) OK'!$G$77</f>
        <v>0.19856728992487654</v>
      </c>
      <c r="P90"/>
      <c r="Q90" s="52" t="s">
        <v>66</v>
      </c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4"/>
      <c r="AC90" s="30">
        <f>SUM(AC86:AC89)</f>
        <v>0</v>
      </c>
      <c r="AD90"/>
      <c r="AE90"/>
      <c r="AF90"/>
      <c r="AG90"/>
    </row>
    <row r="91" spans="2:33" x14ac:dyDescent="0.3">
      <c r="B91" s="15" t="str">
        <f>'Fatura B1 (Res) OK'!$B$78</f>
        <v>B4a - Rede de Distribuição</v>
      </c>
      <c r="C91" s="15"/>
      <c r="D91" s="62">
        <f>'Fatura B1 (Res) OK'!$D$78</f>
        <v>0.45246416638672071</v>
      </c>
      <c r="E91" s="62">
        <f>'Fatura B1 (Res) OK'!$E$78</f>
        <v>7.3959411118203186E-2</v>
      </c>
      <c r="F91" s="62">
        <f>'Fatura B1 (Res) OK'!$F$78</f>
        <v>0.27500913257019949</v>
      </c>
      <c r="G91" s="62">
        <f>'Fatura B1 (Res) OK'!$G$78</f>
        <v>0.19856728992487654</v>
      </c>
      <c r="P91" s="3"/>
      <c r="Q91" s="3"/>
      <c r="R91" s="3"/>
      <c r="S91" s="3"/>
      <c r="T91" s="3"/>
      <c r="U91" s="3"/>
      <c r="V91" s="8"/>
      <c r="W91" s="8"/>
      <c r="X91" s="9"/>
      <c r="Y91" s="9"/>
      <c r="Z91" s="9"/>
      <c r="AA91" s="6"/>
      <c r="AB91" s="6"/>
      <c r="AC91" s="31"/>
      <c r="AD91"/>
      <c r="AE91"/>
      <c r="AF91"/>
      <c r="AG91"/>
    </row>
    <row r="92" spans="2:33" x14ac:dyDescent="0.3">
      <c r="B92" s="15" t="str">
        <f>'Fatura B1 (Res) OK'!$B$79</f>
        <v>B4b - Bulbo de Lâmpada</v>
      </c>
      <c r="C92" s="15"/>
      <c r="D92" s="62">
        <f>'Fatura B1 (Res) OK'!$D$79</f>
        <v>0.45246416638672071</v>
      </c>
      <c r="E92" s="62">
        <f>'Fatura B1 (Res) OK'!$E$79</f>
        <v>7.39594111182032E-2</v>
      </c>
      <c r="F92" s="62">
        <f>'Fatura B1 (Res) OK'!$F$79</f>
        <v>0.27500913257019954</v>
      </c>
      <c r="G92" s="62">
        <f>'Fatura B1 (Res) OK'!$G$79</f>
        <v>0.19856728992487657</v>
      </c>
      <c r="P92" s="3" t="s">
        <v>16</v>
      </c>
      <c r="Q92" s="3"/>
      <c r="R92" s="3"/>
      <c r="S92" s="3"/>
      <c r="T92" s="3"/>
      <c r="U92" s="3"/>
      <c r="V92" s="8"/>
      <c r="W92" s="8"/>
      <c r="X92" s="9"/>
      <c r="Y92" s="45">
        <f>Y52</f>
        <v>4.4630000000000003E-2</v>
      </c>
      <c r="Z92" s="50"/>
      <c r="AA92" s="6"/>
      <c r="AB92" s="6"/>
      <c r="AC92" s="11"/>
      <c r="AD92"/>
      <c r="AE92"/>
      <c r="AF92"/>
      <c r="AG92"/>
    </row>
    <row r="93" spans="2:33" ht="27.6" x14ac:dyDescent="0.3">
      <c r="B93" s="63"/>
      <c r="C93" s="63"/>
      <c r="D93" s="63"/>
      <c r="E93" s="63"/>
      <c r="F93" s="63"/>
      <c r="G93" s="63"/>
      <c r="P93"/>
      <c r="Q93" s="17" t="s">
        <v>73</v>
      </c>
      <c r="R93" s="497"/>
      <c r="S93" s="498"/>
      <c r="T93" s="64"/>
      <c r="U93" s="497"/>
      <c r="V93" s="498"/>
      <c r="W93" s="64"/>
      <c r="X93" s="497" t="s">
        <v>11</v>
      </c>
      <c r="Y93" s="498"/>
      <c r="Z93" s="64"/>
      <c r="AA93" s="497" t="s">
        <v>195</v>
      </c>
      <c r="AB93" s="498"/>
      <c r="AC93" s="18" t="s">
        <v>196</v>
      </c>
      <c r="AD93"/>
      <c r="AE93" s="2"/>
      <c r="AF93"/>
      <c r="AG93"/>
    </row>
    <row r="94" spans="2:33" x14ac:dyDescent="0.3">
      <c r="B94" s="63"/>
      <c r="C94" s="63"/>
      <c r="D94" s="63"/>
      <c r="E94" s="63"/>
      <c r="F94" s="63"/>
      <c r="G94" s="63"/>
      <c r="P94"/>
      <c r="Q94" s="19" t="s">
        <v>197</v>
      </c>
      <c r="R94" s="20"/>
      <c r="S94" s="20"/>
      <c r="T94" s="20"/>
      <c r="U94" s="20" t="s">
        <v>13</v>
      </c>
      <c r="V94" s="20" t="s">
        <v>14</v>
      </c>
      <c r="W94" s="20"/>
      <c r="X94" s="20" t="s">
        <v>13</v>
      </c>
      <c r="Y94" s="20" t="s">
        <v>14</v>
      </c>
      <c r="Z94" s="20"/>
      <c r="AA94" s="20" t="s">
        <v>13</v>
      </c>
      <c r="AB94" s="20" t="s">
        <v>14</v>
      </c>
      <c r="AC94" s="20" t="s">
        <v>198</v>
      </c>
      <c r="AD94"/>
      <c r="AE94" s="1"/>
      <c r="AF94"/>
      <c r="AG94"/>
    </row>
    <row r="95" spans="2:33" x14ac:dyDescent="0.3">
      <c r="B95" s="63">
        <f>'Fatura B1 (Res) OK'!$B$82</f>
        <v>2023</v>
      </c>
      <c r="C95" s="63"/>
      <c r="D95" s="15" t="str">
        <f>'Fatura B1 (Res) OK'!$D$68</f>
        <v>Energia</v>
      </c>
      <c r="E95" s="15" t="str">
        <f>'Fatura B1 (Res) OK'!$E$68</f>
        <v>Transmissão</v>
      </c>
      <c r="F95" s="15" t="str">
        <f>'Fatura B1 (Res) OK'!$F$68</f>
        <v>Distribuição</v>
      </c>
      <c r="G95" s="15" t="str">
        <f>'Fatura B1 (Res) OK'!$G$68</f>
        <v>Setoriais</v>
      </c>
      <c r="P95"/>
      <c r="Q95" s="36">
        <f>IF($K$11=$P$92,(D123*($K$13)/($K$13+$L$13)),0)+IF($L$11=$P$92,(D123*($L$13)/($K$13+$L$13)),0)</f>
        <v>0</v>
      </c>
      <c r="R95" s="34"/>
      <c r="S95" s="34"/>
      <c r="T95" s="34"/>
      <c r="U95" s="4"/>
      <c r="V95" s="4"/>
      <c r="W95" s="4"/>
      <c r="X95" s="4"/>
      <c r="Y95" s="4">
        <f>$Y$92*(1-AE95)</f>
        <v>1.5620500000000001E-2</v>
      </c>
      <c r="Z95" s="4"/>
      <c r="AA95" s="5"/>
      <c r="AB95" s="5">
        <f>ROUND((Q95*Y95),2)</f>
        <v>0</v>
      </c>
      <c r="AC95" s="10">
        <f>AA95+AB95</f>
        <v>0</v>
      </c>
      <c r="AD95"/>
      <c r="AE95" s="16">
        <v>0.65</v>
      </c>
      <c r="AF95"/>
      <c r="AG95"/>
    </row>
    <row r="96" spans="2:33" x14ac:dyDescent="0.3">
      <c r="B96" s="63" t="str">
        <f>'Fatura B1 (Res) OK'!$B$83</f>
        <v>Grupo B</v>
      </c>
      <c r="C96" s="63"/>
      <c r="D96" s="15" t="str">
        <f>'Fatura B1 (Res) OK'!$D$69</f>
        <v>%</v>
      </c>
      <c r="E96" s="15" t="str">
        <f>'Fatura B1 (Res) OK'!$E$69</f>
        <v>%</v>
      </c>
      <c r="F96" s="15" t="str">
        <f>'Fatura B1 (Res) OK'!$F$69</f>
        <v>%</v>
      </c>
      <c r="G96" s="15" t="str">
        <f>'Fatura B1 (Res) OK'!$G$69</f>
        <v>%</v>
      </c>
      <c r="P96"/>
      <c r="Q96" s="36">
        <f>IF($K$11=$P$92,(D124*($K$13)/($K$13+$L$13)),0)+IF($L$11=$P$92,(D124*($L$13)/($K$13+$L$13)),0)</f>
        <v>0</v>
      </c>
      <c r="R96" s="34"/>
      <c r="S96" s="34"/>
      <c r="T96" s="34"/>
      <c r="U96" s="4"/>
      <c r="V96" s="4"/>
      <c r="W96" s="4"/>
      <c r="X96" s="4"/>
      <c r="Y96" s="4">
        <f>$Y$92*(1-AE96)</f>
        <v>2.6778E-2</v>
      </c>
      <c r="Z96" s="4"/>
      <c r="AA96" s="5"/>
      <c r="AB96" s="5">
        <f t="shared" ref="AB96:AB98" si="22">ROUND((Q96*Y96),2)</f>
        <v>0</v>
      </c>
      <c r="AC96" s="10">
        <f>AA96+AB96</f>
        <v>0</v>
      </c>
      <c r="AD96"/>
      <c r="AE96" s="16">
        <v>0.4</v>
      </c>
      <c r="AF96"/>
      <c r="AG96"/>
    </row>
    <row r="97" spans="2:33" x14ac:dyDescent="0.3">
      <c r="B97" s="15"/>
      <c r="C97" s="15"/>
      <c r="D97" s="15"/>
      <c r="E97" s="15"/>
      <c r="F97" s="15"/>
      <c r="G97" s="15"/>
      <c r="P97"/>
      <c r="Q97" s="36"/>
      <c r="R97" s="34"/>
      <c r="S97" s="34"/>
      <c r="T97" s="34"/>
      <c r="U97" s="4"/>
      <c r="V97" s="4"/>
      <c r="W97" s="4"/>
      <c r="X97" s="4"/>
      <c r="Y97" s="4">
        <f>$Y$92*(1-AE97)</f>
        <v>4.0167000000000001E-2</v>
      </c>
      <c r="Z97" s="4"/>
      <c r="AA97" s="5"/>
      <c r="AB97" s="5">
        <f t="shared" si="22"/>
        <v>0</v>
      </c>
      <c r="AC97" s="10">
        <f>AA97+AB97</f>
        <v>0</v>
      </c>
      <c r="AD97"/>
      <c r="AE97" s="16">
        <v>0.1</v>
      </c>
      <c r="AF97"/>
      <c r="AG97"/>
    </row>
    <row r="98" spans="2:33" x14ac:dyDescent="0.3">
      <c r="B98" s="15" t="str">
        <f>'Fatura B1 (Res) OK'!$B$85</f>
        <v>B1 - Residencial</v>
      </c>
      <c r="C98" s="15"/>
      <c r="D98" s="62">
        <f>'Fatura B1 (Res) OK'!$D$85</f>
        <v>0.43939696077133034</v>
      </c>
      <c r="E98" s="62">
        <f>'Fatura B1 (Res) OK'!$E$85</f>
        <v>9.2697585625348772E-2</v>
      </c>
      <c r="F98" s="62">
        <f>'Fatura B1 (Res) OK'!$F$85</f>
        <v>0.25285207888477268</v>
      </c>
      <c r="G98" s="62">
        <f>'Fatura B1 (Res) OK'!$G$85</f>
        <v>0.21506308252114117</v>
      </c>
      <c r="P98"/>
      <c r="Q98" s="36"/>
      <c r="R98" s="34"/>
      <c r="S98" s="34"/>
      <c r="T98" s="34"/>
      <c r="U98" s="4"/>
      <c r="V98" s="4"/>
      <c r="W98" s="4"/>
      <c r="X98" s="4"/>
      <c r="Y98" s="4">
        <f>$Y$92*(1-AE98)</f>
        <v>4.4630000000000003E-2</v>
      </c>
      <c r="Z98" s="4"/>
      <c r="AA98" s="5"/>
      <c r="AB98" s="5">
        <f t="shared" si="22"/>
        <v>0</v>
      </c>
      <c r="AC98" s="10">
        <f>AA98+AB98</f>
        <v>0</v>
      </c>
      <c r="AD98"/>
      <c r="AE98" s="16">
        <v>0</v>
      </c>
      <c r="AF98"/>
      <c r="AG98"/>
    </row>
    <row r="99" spans="2:33" x14ac:dyDescent="0.3">
      <c r="B99" s="15" t="str">
        <f>'Fatura B1 (Res) OK'!$B$86</f>
        <v>B1 - Residencial Baixa Renda</v>
      </c>
      <c r="C99" s="15"/>
      <c r="D99" s="62">
        <f>'Fatura B1 (Res) OK'!$D$86</f>
        <v>0.52691619996872485</v>
      </c>
      <c r="E99" s="62">
        <f>'Fatura B1 (Res) OK'!$E$86</f>
        <v>0.11116112291319068</v>
      </c>
      <c r="F99" s="62">
        <f>'Fatura B1 (Res) OK'!$F$86</f>
        <v>0.30321524374287334</v>
      </c>
      <c r="G99" s="62">
        <f>'Fatura B1 (Res) OK'!$G$86</f>
        <v>5.8707433375211129E-2</v>
      </c>
      <c r="P99"/>
      <c r="Q99" s="52" t="s">
        <v>66</v>
      </c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4"/>
      <c r="AC99" s="30">
        <f>SUM(AC95:AC98)</f>
        <v>0</v>
      </c>
      <c r="AD99"/>
      <c r="AE99"/>
      <c r="AF99"/>
      <c r="AG99"/>
    </row>
    <row r="100" spans="2:33" x14ac:dyDescent="0.3">
      <c r="B100" s="15" t="str">
        <f>'Fatura B1 (Res) OK'!$B$87</f>
        <v>B2 - Rural</v>
      </c>
      <c r="C100" s="15"/>
      <c r="D100" s="62">
        <f>'Fatura B1 (Res) OK'!$D$87</f>
        <v>0.43939300245552615</v>
      </c>
      <c r="E100" s="62">
        <f>'Fatura B1 (Res) OK'!$E$87</f>
        <v>9.2696750557401245E-2</v>
      </c>
      <c r="F100" s="62">
        <f>'Fatura B1 (Res) OK'!$F$87</f>
        <v>0.25284980106205335</v>
      </c>
      <c r="G100" s="62">
        <f>'Fatura B1 (Res) OK'!$G$87</f>
        <v>0.21506044592501908</v>
      </c>
      <c r="P100" s="3"/>
      <c r="Q100" s="3"/>
      <c r="R100" s="3"/>
      <c r="S100" s="3"/>
      <c r="T100" s="3"/>
      <c r="U100" s="3"/>
      <c r="V100" s="8"/>
      <c r="W100" s="8"/>
      <c r="X100" s="9"/>
      <c r="Y100" s="9"/>
      <c r="Z100" s="9"/>
      <c r="AA100" s="6"/>
      <c r="AB100" s="6"/>
      <c r="AC100" s="11"/>
      <c r="AD100"/>
      <c r="AE100"/>
      <c r="AF100"/>
      <c r="AG100"/>
    </row>
    <row r="101" spans="2:33" x14ac:dyDescent="0.3">
      <c r="B101" s="15" t="str">
        <f>'Fatura B1 (Res) OK'!$B$88</f>
        <v>B2 - Cooperativa Eletrificação Rural</v>
      </c>
      <c r="C101" s="15"/>
      <c r="D101" s="62">
        <f>'Fatura B1 (Res) OK'!$D$88</f>
        <v>0.43939300245552615</v>
      </c>
      <c r="E101" s="62">
        <f>'Fatura B1 (Res) OK'!$E$88</f>
        <v>9.2696750557401245E-2</v>
      </c>
      <c r="F101" s="62">
        <f>'Fatura B1 (Res) OK'!$F$88</f>
        <v>0.25284980106205335</v>
      </c>
      <c r="G101" s="62">
        <f>'Fatura B1 (Res) OK'!$G$88</f>
        <v>0.21506044592501908</v>
      </c>
      <c r="P101" s="3" t="s">
        <v>19</v>
      </c>
      <c r="Q101" s="3"/>
      <c r="R101" s="3"/>
      <c r="S101" s="3"/>
      <c r="T101" s="3"/>
      <c r="U101" s="3"/>
      <c r="V101" s="8"/>
      <c r="W101" s="8"/>
      <c r="X101" s="9"/>
      <c r="Y101" s="45">
        <f>Y61</f>
        <v>7.8770000000000007E-2</v>
      </c>
      <c r="Z101" s="50"/>
      <c r="AA101" s="6"/>
      <c r="AB101" s="6"/>
      <c r="AC101" s="11"/>
      <c r="AD101"/>
      <c r="AE101"/>
      <c r="AF101"/>
      <c r="AG101"/>
    </row>
    <row r="102" spans="2:33" ht="27.6" x14ac:dyDescent="0.3">
      <c r="B102" s="15" t="str">
        <f>'Fatura B1 (Res) OK'!$B$89</f>
        <v>B2 - Serviço de Irrigação</v>
      </c>
      <c r="C102" s="15"/>
      <c r="D102" s="62">
        <f>'Fatura B1 (Res) OK'!$D$89</f>
        <v>0.43939300245552615</v>
      </c>
      <c r="E102" s="62">
        <f>'Fatura B1 (Res) OK'!$E$89</f>
        <v>9.2696750557401328E-2</v>
      </c>
      <c r="F102" s="62">
        <f>'Fatura B1 (Res) OK'!$F$89</f>
        <v>0.25284980106205335</v>
      </c>
      <c r="G102" s="62">
        <f>'Fatura B1 (Res) OK'!$G$89</f>
        <v>0.21506044592501908</v>
      </c>
      <c r="P102"/>
      <c r="Q102" s="17" t="s">
        <v>73</v>
      </c>
      <c r="R102" s="497"/>
      <c r="S102" s="498"/>
      <c r="T102" s="64"/>
      <c r="U102" s="497"/>
      <c r="V102" s="498"/>
      <c r="W102" s="64"/>
      <c r="X102" s="497" t="s">
        <v>11</v>
      </c>
      <c r="Y102" s="498"/>
      <c r="Z102" s="64"/>
      <c r="AA102" s="497" t="s">
        <v>195</v>
      </c>
      <c r="AB102" s="498"/>
      <c r="AC102" s="18" t="s">
        <v>196</v>
      </c>
      <c r="AD102"/>
      <c r="AE102" s="2"/>
      <c r="AF102"/>
      <c r="AG102"/>
    </row>
    <row r="103" spans="2:33" x14ac:dyDescent="0.3">
      <c r="B103" s="15" t="str">
        <f>'Fatura B1 (Res) OK'!$B$90</f>
        <v>B3 - Demais Classes</v>
      </c>
      <c r="C103" s="15"/>
      <c r="D103" s="62">
        <f>'Fatura B1 (Res) OK'!$D$90</f>
        <v>0.43939300245552615</v>
      </c>
      <c r="E103" s="62">
        <f>'Fatura B1 (Res) OK'!$E$90</f>
        <v>9.2696750557401328E-2</v>
      </c>
      <c r="F103" s="62">
        <f>'Fatura B1 (Res) OK'!$F$90</f>
        <v>0.25284980106205335</v>
      </c>
      <c r="G103" s="62">
        <f>'Fatura B1 (Res) OK'!$G$90</f>
        <v>0.21506044592501908</v>
      </c>
      <c r="P103"/>
      <c r="Q103" s="19" t="s">
        <v>197</v>
      </c>
      <c r="R103" s="20"/>
      <c r="S103" s="20"/>
      <c r="T103" s="20"/>
      <c r="U103" s="20" t="s">
        <v>13</v>
      </c>
      <c r="V103" s="20" t="s">
        <v>14</v>
      </c>
      <c r="W103" s="20"/>
      <c r="X103" s="20" t="s">
        <v>13</v>
      </c>
      <c r="Y103" s="20" t="s">
        <v>14</v>
      </c>
      <c r="Z103" s="20"/>
      <c r="AA103" s="20" t="s">
        <v>13</v>
      </c>
      <c r="AB103" s="20" t="s">
        <v>14</v>
      </c>
      <c r="AC103" s="20" t="s">
        <v>198</v>
      </c>
      <c r="AD103"/>
      <c r="AE103" s="1"/>
      <c r="AF103"/>
      <c r="AG103"/>
    </row>
    <row r="104" spans="2:33" x14ac:dyDescent="0.3">
      <c r="B104" s="15" t="str">
        <f>'Fatura B1 (Res) OK'!$B$91</f>
        <v>B4 - Iluminação Pública</v>
      </c>
      <c r="C104" s="15"/>
      <c r="D104" s="62">
        <f>'Fatura B1 (Res) OK'!$D$91</f>
        <v>0</v>
      </c>
      <c r="E104" s="62">
        <f>'Fatura B1 (Res) OK'!$E$91</f>
        <v>0</v>
      </c>
      <c r="F104" s="62">
        <f>'Fatura B1 (Res) OK'!$F$91</f>
        <v>0</v>
      </c>
      <c r="G104" s="62">
        <f>'Fatura B1 (Res) OK'!$G$91</f>
        <v>0</v>
      </c>
      <c r="P104"/>
      <c r="Q104" s="36">
        <f>IF($K$11=$P$101,(D123*($K$13)/($K$13+$L$13)),0)+IF($L$11=$P$101,(D123*($L$13)/($K$13+$L$13)),0)</f>
        <v>0</v>
      </c>
      <c r="R104" s="34"/>
      <c r="S104" s="34"/>
      <c r="T104" s="34"/>
      <c r="U104" s="4"/>
      <c r="V104" s="4"/>
      <c r="W104" s="4"/>
      <c r="X104" s="4"/>
      <c r="Y104" s="4">
        <f>$Y$101*(1-AE104)</f>
        <v>2.75695E-2</v>
      </c>
      <c r="Z104" s="4"/>
      <c r="AA104" s="5"/>
      <c r="AB104" s="5">
        <f>ROUND((Q104*Y104),2)</f>
        <v>0</v>
      </c>
      <c r="AC104" s="10">
        <f>AA104+AB104</f>
        <v>0</v>
      </c>
      <c r="AD104"/>
      <c r="AE104" s="16">
        <v>0.65</v>
      </c>
      <c r="AF104"/>
      <c r="AG104"/>
    </row>
    <row r="105" spans="2:33" x14ac:dyDescent="0.3">
      <c r="B105" s="15" t="str">
        <f>'Fatura B1 (Res) OK'!$B$92</f>
        <v>B4a - Rede de Distribuição</v>
      </c>
      <c r="C105" s="15"/>
      <c r="D105" s="62">
        <f>'Fatura B1 (Res) OK'!$D$92</f>
        <v>0.43938945729126549</v>
      </c>
      <c r="E105" s="62">
        <f>'Fatura B1 (Res) OK'!$E$92</f>
        <v>9.2697336752737058E-2</v>
      </c>
      <c r="F105" s="62">
        <f>'Fatura B1 (Res) OK'!$F$92</f>
        <v>0.25285140003260154</v>
      </c>
      <c r="G105" s="62">
        <f>'Fatura B1 (Res) OK'!$G$92</f>
        <v>0.21506180592339591</v>
      </c>
      <c r="P105"/>
      <c r="Q105" s="36">
        <f>IF($K$11=$P$101,(D124*($K$13)/($K$13+$L$13)),0)+IF($L$11=$P$101,(D124*($L$13)/($K$13+$L$13)),0)</f>
        <v>0</v>
      </c>
      <c r="R105" s="34"/>
      <c r="S105" s="34"/>
      <c r="T105" s="34"/>
      <c r="U105" s="4"/>
      <c r="V105" s="4"/>
      <c r="W105" s="4"/>
      <c r="X105" s="4"/>
      <c r="Y105" s="4">
        <f>$Y$101*(1-AE105)</f>
        <v>4.7262000000000005E-2</v>
      </c>
      <c r="Z105" s="4"/>
      <c r="AA105" s="5"/>
      <c r="AB105" s="5">
        <f t="shared" ref="AB105:AB107" si="23">ROUND((Q105*Y105),2)</f>
        <v>0</v>
      </c>
      <c r="AC105" s="10">
        <f>AA105+AB105</f>
        <v>0</v>
      </c>
      <c r="AD105"/>
      <c r="AE105" s="16">
        <v>0.4</v>
      </c>
      <c r="AF105"/>
      <c r="AG105"/>
    </row>
    <row r="106" spans="2:33" x14ac:dyDescent="0.3">
      <c r="B106" s="15" t="str">
        <f>'Fatura B1 (Res) OK'!$B$93</f>
        <v>B4b - Bulbo de Lâmpada</v>
      </c>
      <c r="C106" s="15"/>
      <c r="D106" s="62">
        <f>'Fatura B1 (Res) OK'!$D$93</f>
        <v>0.43938945729126527</v>
      </c>
      <c r="E106" s="62">
        <f>'Fatura B1 (Res) OK'!$E$93</f>
        <v>9.2697336752736934E-2</v>
      </c>
      <c r="F106" s="62">
        <f>'Fatura B1 (Res) OK'!$F$93</f>
        <v>0.25285140003260193</v>
      </c>
      <c r="G106" s="62">
        <f>'Fatura B1 (Res) OK'!$G$93</f>
        <v>0.21506180592339585</v>
      </c>
      <c r="P106"/>
      <c r="Q106" s="36"/>
      <c r="R106" s="34"/>
      <c r="S106" s="34"/>
      <c r="T106" s="34"/>
      <c r="U106" s="4"/>
      <c r="V106" s="4"/>
      <c r="W106" s="4"/>
      <c r="X106" s="4"/>
      <c r="Y106" s="4">
        <f>$Y$101*(1-AE106)</f>
        <v>7.0893000000000012E-2</v>
      </c>
      <c r="Z106" s="4"/>
      <c r="AA106" s="5"/>
      <c r="AB106" s="5">
        <f t="shared" si="23"/>
        <v>0</v>
      </c>
      <c r="AC106" s="10">
        <f>AA106+AB106</f>
        <v>0</v>
      </c>
      <c r="AD106"/>
      <c r="AE106" s="16">
        <v>0.1</v>
      </c>
      <c r="AF106"/>
      <c r="AG106"/>
    </row>
    <row r="107" spans="2:33" x14ac:dyDescent="0.3">
      <c r="B107" s="63"/>
      <c r="C107" s="63"/>
      <c r="D107" s="63"/>
      <c r="E107" s="63"/>
      <c r="F107" s="63"/>
      <c r="G107" s="63"/>
      <c r="P107"/>
      <c r="Q107" s="36"/>
      <c r="R107" s="34"/>
      <c r="S107" s="34"/>
      <c r="T107" s="34"/>
      <c r="U107" s="4"/>
      <c r="V107" s="4"/>
      <c r="W107" s="4"/>
      <c r="X107" s="4"/>
      <c r="Y107" s="4">
        <f>$Y$101*(1-AE107)</f>
        <v>7.8770000000000007E-2</v>
      </c>
      <c r="Z107" s="4"/>
      <c r="AA107" s="5"/>
      <c r="AB107" s="5">
        <f t="shared" si="23"/>
        <v>0</v>
      </c>
      <c r="AC107" s="10">
        <f>AA107+AB107</f>
        <v>0</v>
      </c>
      <c r="AD107"/>
      <c r="AE107" s="16">
        <v>0</v>
      </c>
      <c r="AF107"/>
      <c r="AG107"/>
    </row>
    <row r="108" spans="2:33" x14ac:dyDescent="0.3">
      <c r="B108" s="101" t="s">
        <v>98</v>
      </c>
      <c r="C108" s="63"/>
      <c r="D108" s="63"/>
      <c r="E108" s="63"/>
      <c r="F108" s="63"/>
      <c r="G108" s="63"/>
      <c r="P108"/>
      <c r="Q108" s="52" t="s">
        <v>66</v>
      </c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4"/>
      <c r="AC108" s="30">
        <f>SUM(AC104:AC107)</f>
        <v>0</v>
      </c>
      <c r="AD108"/>
      <c r="AE108"/>
      <c r="AF108"/>
      <c r="AG108"/>
    </row>
    <row r="109" spans="2:33" x14ac:dyDescent="0.3">
      <c r="B109" s="15"/>
      <c r="C109" s="15"/>
      <c r="D109" s="15" t="s">
        <v>80</v>
      </c>
      <c r="E109" s="15" t="s">
        <v>82</v>
      </c>
      <c r="F109" s="15" t="s">
        <v>81</v>
      </c>
      <c r="G109" s="15" t="s">
        <v>86</v>
      </c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2:33" x14ac:dyDescent="0.3">
      <c r="B110" s="15" t="s">
        <v>87</v>
      </c>
      <c r="C110" s="15"/>
      <c r="D110" s="62" t="s">
        <v>88</v>
      </c>
      <c r="E110" s="62" t="s">
        <v>88</v>
      </c>
      <c r="F110" s="62" t="s">
        <v>88</v>
      </c>
      <c r="G110" s="62" t="s">
        <v>88</v>
      </c>
      <c r="P110" t="s">
        <v>21</v>
      </c>
      <c r="Q110" s="3"/>
      <c r="R110" s="3"/>
      <c r="S110" s="3"/>
      <c r="T110" s="3"/>
      <c r="U110" s="3"/>
      <c r="V110" s="8"/>
      <c r="W110" s="8"/>
      <c r="X110" s="9"/>
      <c r="Y110" s="45">
        <f>Y70</f>
        <v>0.14199999999999999</v>
      </c>
      <c r="Z110" s="50"/>
      <c r="AA110" s="6"/>
      <c r="AB110" s="6"/>
      <c r="AC110" s="11"/>
      <c r="AD110"/>
      <c r="AE110"/>
      <c r="AF110"/>
      <c r="AG110"/>
    </row>
    <row r="111" spans="2:33" ht="27.6" x14ac:dyDescent="0.3">
      <c r="B111" s="15"/>
      <c r="C111" s="15"/>
      <c r="D111" s="62"/>
      <c r="E111" s="62"/>
      <c r="F111" s="62"/>
      <c r="G111" s="62"/>
      <c r="P111"/>
      <c r="Q111" s="17" t="s">
        <v>73</v>
      </c>
      <c r="R111" s="497"/>
      <c r="S111" s="498"/>
      <c r="T111" s="64"/>
      <c r="U111" s="497"/>
      <c r="V111" s="498"/>
      <c r="W111" s="64"/>
      <c r="X111" s="497" t="s">
        <v>11</v>
      </c>
      <c r="Y111" s="498"/>
      <c r="Z111" s="64"/>
      <c r="AA111" s="497" t="s">
        <v>195</v>
      </c>
      <c r="AB111" s="498"/>
      <c r="AC111" s="18" t="s">
        <v>196</v>
      </c>
      <c r="AD111"/>
      <c r="AE111" s="2"/>
      <c r="AF111"/>
      <c r="AG111"/>
    </row>
    <row r="112" spans="2:33" x14ac:dyDescent="0.3">
      <c r="B112" s="15" t="s">
        <v>89</v>
      </c>
      <c r="C112" s="15"/>
      <c r="D112" s="62">
        <f>((D98*$C$13)+(D84*$D$13))/($C$13+$D$13)</f>
        <v>0.44529827943634537</v>
      </c>
      <c r="E112" s="62">
        <f t="shared" ref="E112:G112" si="24">((E98*$C$13)+(E84*$D$13))/($C$13+$D$13)</f>
        <v>8.4235184235024962E-2</v>
      </c>
      <c r="F112" s="62">
        <f t="shared" si="24"/>
        <v>0.26285849022657837</v>
      </c>
      <c r="G112" s="62">
        <f t="shared" si="24"/>
        <v>0.20761336973573133</v>
      </c>
      <c r="P112"/>
      <c r="Q112" s="19" t="s">
        <v>197</v>
      </c>
      <c r="R112" s="20"/>
      <c r="S112" s="20"/>
      <c r="T112" s="20"/>
      <c r="U112" s="20" t="s">
        <v>13</v>
      </c>
      <c r="V112" s="20" t="s">
        <v>14</v>
      </c>
      <c r="W112" s="20"/>
      <c r="X112" s="20" t="s">
        <v>13</v>
      </c>
      <c r="Y112" s="20" t="s">
        <v>14</v>
      </c>
      <c r="Z112" s="20"/>
      <c r="AA112" s="20" t="s">
        <v>13</v>
      </c>
      <c r="AB112" s="20" t="s">
        <v>14</v>
      </c>
      <c r="AC112" s="20" t="s">
        <v>198</v>
      </c>
      <c r="AD112"/>
      <c r="AE112" s="1"/>
      <c r="AF112"/>
      <c r="AG112"/>
    </row>
    <row r="113" spans="2:33" x14ac:dyDescent="0.3">
      <c r="B113" s="15" t="s">
        <v>90</v>
      </c>
      <c r="C113" s="15"/>
      <c r="D113" s="62">
        <f t="shared" ref="D113:G120" si="25">((D99*$C$13)+(D85*$D$13))/($C$13+$D$13)</f>
        <v>0.52898438777578882</v>
      </c>
      <c r="E113" s="62">
        <f t="shared" si="25"/>
        <v>0.10019448288066753</v>
      </c>
      <c r="F113" s="62">
        <f t="shared" si="25"/>
        <v>0.31217051865293333</v>
      </c>
      <c r="G113" s="62">
        <f t="shared" si="25"/>
        <v>5.8650610690610401E-2</v>
      </c>
      <c r="P113"/>
      <c r="Q113" s="36">
        <f>IF($K$11=$P$110,(D123*($K$13)/($K$13+$L$13)),0)+IF($L$11=$P$110,(D123*($L$13)/($K$13+$L$13)),0)</f>
        <v>0</v>
      </c>
      <c r="R113" s="34"/>
      <c r="S113" s="34"/>
      <c r="T113" s="34"/>
      <c r="U113" s="4"/>
      <c r="V113" s="4"/>
      <c r="W113" s="4"/>
      <c r="X113" s="4"/>
      <c r="Y113" s="4">
        <f>$Y$101*(1-AE113)</f>
        <v>2.75695E-2</v>
      </c>
      <c r="Z113" s="4"/>
      <c r="AA113" s="5"/>
      <c r="AB113" s="5">
        <f>ROUND((Q113*Y113),2)</f>
        <v>0</v>
      </c>
      <c r="AC113" s="10">
        <f>AA113+AB113</f>
        <v>0</v>
      </c>
      <c r="AD113"/>
      <c r="AE113" s="16">
        <v>0.65</v>
      </c>
      <c r="AF113"/>
      <c r="AG113"/>
    </row>
    <row r="114" spans="2:33" x14ac:dyDescent="0.3">
      <c r="B114" s="15" t="s">
        <v>91</v>
      </c>
      <c r="C114" s="15"/>
      <c r="D114" s="62">
        <f t="shared" si="25"/>
        <v>0.4452961087470334</v>
      </c>
      <c r="E114" s="62">
        <f t="shared" si="25"/>
        <v>8.4234726294537626E-2</v>
      </c>
      <c r="F114" s="62">
        <f t="shared" si="25"/>
        <v>0.26285724109799036</v>
      </c>
      <c r="G114" s="62">
        <f t="shared" si="25"/>
        <v>0.20761192386043859</v>
      </c>
      <c r="P114"/>
      <c r="Q114" s="36">
        <f>IF($K$11=$P$110,(D124*($K$13)/($K$13+$L$13)),0)+IF($L$11=$P$110,(D124*($L$13)/($K$13+$L$13)),0)</f>
        <v>0</v>
      </c>
      <c r="R114" s="34"/>
      <c r="S114" s="34"/>
      <c r="T114" s="34"/>
      <c r="U114" s="4"/>
      <c r="V114" s="4"/>
      <c r="W114" s="4"/>
      <c r="X114" s="4"/>
      <c r="Y114" s="4">
        <f>$Y$101*(1-AE114)</f>
        <v>4.7262000000000005E-2</v>
      </c>
      <c r="Z114" s="4"/>
      <c r="AA114" s="5"/>
      <c r="AB114" s="5">
        <f t="shared" ref="AB114:AB116" si="26">ROUND((Q114*Y114),2)</f>
        <v>0</v>
      </c>
      <c r="AC114" s="10">
        <f>AA114+AB114</f>
        <v>0</v>
      </c>
      <c r="AD114"/>
      <c r="AE114" s="16">
        <v>0.4</v>
      </c>
      <c r="AF114"/>
      <c r="AG114"/>
    </row>
    <row r="115" spans="2:33" x14ac:dyDescent="0.3">
      <c r="B115" s="15" t="s">
        <v>92</v>
      </c>
      <c r="C115" s="15"/>
      <c r="D115" s="62">
        <f t="shared" si="25"/>
        <v>0.4452961087470334</v>
      </c>
      <c r="E115" s="62">
        <f t="shared" si="25"/>
        <v>8.4234726294537626E-2</v>
      </c>
      <c r="F115" s="62">
        <f t="shared" si="25"/>
        <v>0.26285724109799036</v>
      </c>
      <c r="G115" s="62">
        <f t="shared" si="25"/>
        <v>0.20761192386043859</v>
      </c>
      <c r="P115"/>
      <c r="Q115" s="36"/>
      <c r="R115" s="34"/>
      <c r="S115" s="34"/>
      <c r="T115" s="34"/>
      <c r="U115" s="4"/>
      <c r="V115" s="4"/>
      <c r="W115" s="4"/>
      <c r="X115" s="4"/>
      <c r="Y115" s="4">
        <f>$Y$101*(1-AE115)</f>
        <v>7.0893000000000012E-2</v>
      </c>
      <c r="Z115" s="4"/>
      <c r="AA115" s="5"/>
      <c r="AB115" s="5">
        <f t="shared" si="26"/>
        <v>0</v>
      </c>
      <c r="AC115" s="10">
        <f>AA115+AB115</f>
        <v>0</v>
      </c>
      <c r="AD115"/>
      <c r="AE115" s="16">
        <v>0.1</v>
      </c>
      <c r="AF115"/>
      <c r="AG115"/>
    </row>
    <row r="116" spans="2:33" x14ac:dyDescent="0.3">
      <c r="B116" s="15" t="s">
        <v>93</v>
      </c>
      <c r="C116" s="15"/>
      <c r="D116" s="62">
        <f t="shared" si="25"/>
        <v>0.4452961087470334</v>
      </c>
      <c r="E116" s="62">
        <f t="shared" si="25"/>
        <v>8.4234726294537654E-2</v>
      </c>
      <c r="F116" s="62">
        <f t="shared" si="25"/>
        <v>0.26285724109799036</v>
      </c>
      <c r="G116" s="62">
        <f t="shared" si="25"/>
        <v>0.20761192386043859</v>
      </c>
      <c r="P116"/>
      <c r="Q116" s="36"/>
      <c r="R116" s="34"/>
      <c r="S116" s="34"/>
      <c r="T116" s="34"/>
      <c r="U116" s="4"/>
      <c r="V116" s="4"/>
      <c r="W116" s="4"/>
      <c r="X116" s="4"/>
      <c r="Y116" s="4">
        <f>$Y$101*(1-AE116)</f>
        <v>7.8770000000000007E-2</v>
      </c>
      <c r="Z116" s="4"/>
      <c r="AA116" s="5"/>
      <c r="AB116" s="5">
        <f t="shared" si="26"/>
        <v>0</v>
      </c>
      <c r="AC116" s="10">
        <f>AA116+AB116</f>
        <v>0</v>
      </c>
      <c r="AD116"/>
      <c r="AE116" s="16">
        <v>0</v>
      </c>
      <c r="AF116"/>
      <c r="AG116"/>
    </row>
    <row r="117" spans="2:33" x14ac:dyDescent="0.3">
      <c r="B117" s="15" t="s">
        <v>94</v>
      </c>
      <c r="C117" s="15"/>
      <c r="D117" s="62">
        <f t="shared" si="25"/>
        <v>0.4452961087470334</v>
      </c>
      <c r="E117" s="62">
        <f t="shared" si="25"/>
        <v>8.4234726294537654E-2</v>
      </c>
      <c r="F117" s="62">
        <f t="shared" si="25"/>
        <v>0.26285724109799036</v>
      </c>
      <c r="G117" s="62">
        <f t="shared" si="25"/>
        <v>0.20761192386043859</v>
      </c>
      <c r="P117"/>
      <c r="Q117" s="52" t="s">
        <v>66</v>
      </c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4"/>
      <c r="AC117" s="30">
        <f>SUM(AC113:AC116)</f>
        <v>0</v>
      </c>
      <c r="AD117"/>
      <c r="AE117"/>
      <c r="AF117"/>
      <c r="AG117"/>
    </row>
    <row r="118" spans="2:33" x14ac:dyDescent="0.3">
      <c r="B118" s="15" t="s">
        <v>95</v>
      </c>
      <c r="C118" s="15"/>
      <c r="D118" s="62">
        <f t="shared" si="25"/>
        <v>0.20433865578755128</v>
      </c>
      <c r="E118" s="62">
        <f t="shared" si="25"/>
        <v>3.3401024375962735E-2</v>
      </c>
      <c r="F118" s="62">
        <f t="shared" si="25"/>
        <v>0.12419767277363848</v>
      </c>
      <c r="G118" s="62">
        <f t="shared" si="25"/>
        <v>8.9675550288653927E-2</v>
      </c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2:33" x14ac:dyDescent="0.3">
      <c r="B119" s="15" t="s">
        <v>96</v>
      </c>
      <c r="C119" s="15"/>
      <c r="D119" s="62">
        <f t="shared" si="25"/>
        <v>0.4452941646246969</v>
      </c>
      <c r="E119" s="62">
        <f t="shared" si="25"/>
        <v>8.4235047756495957E-2</v>
      </c>
      <c r="F119" s="62">
        <f t="shared" si="25"/>
        <v>0.262858117952807</v>
      </c>
      <c r="G119" s="62">
        <f t="shared" si="25"/>
        <v>0.20761266966600006</v>
      </c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2:33" x14ac:dyDescent="0.3">
      <c r="B120" s="15" t="s">
        <v>97</v>
      </c>
      <c r="C120" s="15"/>
      <c r="D120" s="62">
        <f t="shared" si="25"/>
        <v>0.44529416462469679</v>
      </c>
      <c r="E120" s="62">
        <f t="shared" si="25"/>
        <v>8.4235047756495887E-2</v>
      </c>
      <c r="F120" s="62">
        <f t="shared" si="25"/>
        <v>0.26285811795280734</v>
      </c>
      <c r="G120" s="62">
        <f t="shared" si="25"/>
        <v>0.20761266966600006</v>
      </c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2:33" x14ac:dyDescent="0.3"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2:33" x14ac:dyDescent="0.3"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2:33" x14ac:dyDescent="0.3">
      <c r="B123" t="s">
        <v>296</v>
      </c>
      <c r="C123"/>
      <c r="D123" s="32">
        <f>IF(I17&lt;30,I17,30)</f>
        <v>30</v>
      </c>
      <c r="E123" s="7">
        <f>G23</f>
        <v>0.10697546774193546</v>
      </c>
      <c r="F123" s="7">
        <f>H23</f>
        <v>0.10318429032258063</v>
      </c>
      <c r="G123" s="7">
        <f>E123+F123</f>
        <v>0.21015975806451609</v>
      </c>
      <c r="H123" s="10">
        <f>ROUND(D123*E123,2)+ROUND(D123*F123,2)</f>
        <v>6.3100000000000005</v>
      </c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2:33" x14ac:dyDescent="0.3">
      <c r="B124" t="s">
        <v>296</v>
      </c>
      <c r="C124"/>
      <c r="D124" s="32">
        <f>IF(IF(I17&lt;50,I17-30,20)&lt;0,0,IF(I17&lt;50,I17-30,20))</f>
        <v>20</v>
      </c>
      <c r="E124" s="7">
        <f>G24</f>
        <v>0.18338651612903223</v>
      </c>
      <c r="F124" s="7">
        <f>H24</f>
        <v>0.17688735483870965</v>
      </c>
      <c r="G124" s="7">
        <f>E124+F124</f>
        <v>0.36027387096774188</v>
      </c>
      <c r="H124" s="10">
        <f>ROUND(D124*E124,2)+ROUND(D124*F124,2)</f>
        <v>7.21</v>
      </c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2:33" x14ac:dyDescent="0.3">
      <c r="B125" s="3"/>
      <c r="C125" s="3"/>
      <c r="D125" s="3"/>
      <c r="E125" s="9"/>
      <c r="F125" s="9"/>
      <c r="G125" s="9"/>
      <c r="H125" s="10">
        <f>SUM(H123:H124)</f>
        <v>13.52</v>
      </c>
      <c r="I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2:33" x14ac:dyDescent="0.3">
      <c r="B126" t="s">
        <v>296</v>
      </c>
      <c r="C126" s="44" t="s">
        <v>184</v>
      </c>
      <c r="D126" s="3"/>
      <c r="E126" s="9"/>
      <c r="F126" s="9"/>
      <c r="G126" s="9"/>
      <c r="H126" s="35">
        <f>AC90</f>
        <v>0</v>
      </c>
      <c r="I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2:33" x14ac:dyDescent="0.3">
      <c r="B127" t="s">
        <v>296</v>
      </c>
      <c r="C127" s="44" t="s">
        <v>185</v>
      </c>
      <c r="D127" s="21"/>
      <c r="E127" s="21"/>
      <c r="F127" s="21"/>
      <c r="G127" s="21"/>
      <c r="H127" s="35">
        <f>AC99</f>
        <v>0</v>
      </c>
      <c r="I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2:33" x14ac:dyDescent="0.3">
      <c r="B128" t="s">
        <v>296</v>
      </c>
      <c r="C128" s="44" t="s">
        <v>186</v>
      </c>
      <c r="D128" s="21"/>
      <c r="E128" s="21"/>
      <c r="F128" s="21"/>
      <c r="G128" s="21"/>
      <c r="H128" s="35">
        <f>AC108</f>
        <v>0</v>
      </c>
      <c r="I128" s="6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2:33" x14ac:dyDescent="0.3">
      <c r="B129" t="s">
        <v>296</v>
      </c>
      <c r="C129" s="44" t="s">
        <v>187</v>
      </c>
      <c r="D129" s="21"/>
      <c r="E129" s="21"/>
      <c r="F129" s="21"/>
      <c r="G129" s="21"/>
      <c r="H129" s="35">
        <f>AC117</f>
        <v>0</v>
      </c>
      <c r="I129" s="6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2:33" x14ac:dyDescent="0.3">
      <c r="B130"/>
      <c r="C130" s="3"/>
      <c r="D130" s="3"/>
      <c r="E130" s="9"/>
      <c r="F130" s="9"/>
      <c r="G130" s="37" t="s">
        <v>301</v>
      </c>
      <c r="H130" s="35">
        <f>H126+H127+H128+H129</f>
        <v>0</v>
      </c>
      <c r="I130" s="35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2:33" x14ac:dyDescent="0.3">
      <c r="I131" s="35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2:33" x14ac:dyDescent="0.3"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2:33" x14ac:dyDescent="0.3"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2:33" x14ac:dyDescent="0.3"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2:33" x14ac:dyDescent="0.3"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2:33" x14ac:dyDescent="0.3"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2:33" x14ac:dyDescent="0.3"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2:33" x14ac:dyDescent="0.3"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2:33" x14ac:dyDescent="0.3"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2:33" x14ac:dyDescent="0.3"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2:33" x14ac:dyDescent="0.3">
      <c r="N141" s="302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2:33" x14ac:dyDescent="0.3"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2:33" x14ac:dyDescent="0.3"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2:33" x14ac:dyDescent="0.3"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6:33" x14ac:dyDescent="0.3"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6:33" x14ac:dyDescent="0.3"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6:33" x14ac:dyDescent="0.3"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6:33" x14ac:dyDescent="0.3"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6:33" x14ac:dyDescent="0.3"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6:33" x14ac:dyDescent="0.3"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6:33" x14ac:dyDescent="0.3"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6:33" x14ac:dyDescent="0.3"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6:33" x14ac:dyDescent="0.3"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6:33" x14ac:dyDescent="0.3"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6:33" x14ac:dyDescent="0.3"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6:33" x14ac:dyDescent="0.3"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6:33" x14ac:dyDescent="0.3"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6:33" x14ac:dyDescent="0.3"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6:33" x14ac:dyDescent="0.3"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6:33" x14ac:dyDescent="0.3"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6:33" x14ac:dyDescent="0.3"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6:33" x14ac:dyDescent="0.3"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6:33" x14ac:dyDescent="0.3"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6:33" x14ac:dyDescent="0.3"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6:33" x14ac:dyDescent="0.3"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6:33" x14ac:dyDescent="0.3"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6:33" x14ac:dyDescent="0.3"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6:33" x14ac:dyDescent="0.3"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6:33" x14ac:dyDescent="0.3"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6:33" x14ac:dyDescent="0.3"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6:33" x14ac:dyDescent="0.3"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6:33" x14ac:dyDescent="0.3"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6:33" x14ac:dyDescent="0.3"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6:33" x14ac:dyDescent="0.3"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6:33" x14ac:dyDescent="0.3"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6:33" x14ac:dyDescent="0.3"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6:33" x14ac:dyDescent="0.3"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6:33" x14ac:dyDescent="0.3"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6:33" x14ac:dyDescent="0.3"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6:33" x14ac:dyDescent="0.3"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6:33" x14ac:dyDescent="0.3"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6:33" x14ac:dyDescent="0.3"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6:33" x14ac:dyDescent="0.3"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6:33" x14ac:dyDescent="0.3"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6:33" x14ac:dyDescent="0.3"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6:33" x14ac:dyDescent="0.3"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6:33" x14ac:dyDescent="0.3"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6:33" x14ac:dyDescent="0.3"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6:33" x14ac:dyDescent="0.3"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6:33" x14ac:dyDescent="0.3"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6:33" x14ac:dyDescent="0.3"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6:33" x14ac:dyDescent="0.3"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6:33" x14ac:dyDescent="0.3"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6:33" x14ac:dyDescent="0.3"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6:33" x14ac:dyDescent="0.3"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6:33" x14ac:dyDescent="0.3"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6:33" x14ac:dyDescent="0.3"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6:33" x14ac:dyDescent="0.3"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6:33" x14ac:dyDescent="0.3"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6:33" x14ac:dyDescent="0.3"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6:33" x14ac:dyDescent="0.3"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6:33" x14ac:dyDescent="0.3"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6:33" x14ac:dyDescent="0.3"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6:33" x14ac:dyDescent="0.3"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6:33" x14ac:dyDescent="0.3"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6:33" x14ac:dyDescent="0.3"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6:33" x14ac:dyDescent="0.3"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6:33" x14ac:dyDescent="0.3"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6:33" x14ac:dyDescent="0.3"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6:33" x14ac:dyDescent="0.3"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6:33" x14ac:dyDescent="0.3"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6:33" x14ac:dyDescent="0.3"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6:33" x14ac:dyDescent="0.3"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6:33" x14ac:dyDescent="0.3"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6:33" x14ac:dyDescent="0.3"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6:33" x14ac:dyDescent="0.3"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6:33" x14ac:dyDescent="0.3"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6:33" x14ac:dyDescent="0.3"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6:33" x14ac:dyDescent="0.3"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6:33" x14ac:dyDescent="0.3"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6:33" x14ac:dyDescent="0.3"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6:33" x14ac:dyDescent="0.3"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6:33" x14ac:dyDescent="0.3"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6:33" x14ac:dyDescent="0.3"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6:32" x14ac:dyDescent="0.3"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</row>
    <row r="226" spans="16:32" x14ac:dyDescent="0.3"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</row>
    <row r="227" spans="16:32" x14ac:dyDescent="0.3"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</row>
    <row r="228" spans="16:32" x14ac:dyDescent="0.3"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</row>
    <row r="229" spans="16:32" x14ac:dyDescent="0.3"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</row>
    <row r="230" spans="16:32" x14ac:dyDescent="0.3"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</row>
    <row r="231" spans="16:32" x14ac:dyDescent="0.3"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</row>
  </sheetData>
  <customSheetViews>
    <customSheetView guid="{D812A0C8-60A1-4775-A604-FC65C9DC40BF}" scale="81" showGridLines="0" state="hidden">
      <selection activeCell="G33" sqref="G33"/>
      <pageMargins left="0" right="0" top="0" bottom="0" header="0" footer="0"/>
      <pageSetup paperSize="9" orientation="portrait" r:id="rId1"/>
    </customSheetView>
    <customSheetView guid="{8D3CE498-0ABB-4BB0-92D1-93DA2BDD5EDF}" scale="81" showGridLines="0" state="hidden">
      <selection activeCell="G33" sqref="G33"/>
      <pageMargins left="0" right="0" top="0" bottom="0" header="0" footer="0"/>
      <pageSetup paperSize="9" orientation="portrait" r:id="rId2"/>
    </customSheetView>
    <customSheetView guid="{455EF305-F4BF-4162-9D3A-67B1D57A792B}" scale="81" showGridLines="0">
      <selection activeCell="M22" sqref="M22:O22"/>
      <pageMargins left="0" right="0" top="0" bottom="0" header="0" footer="0"/>
      <pageSetup paperSize="9" orientation="portrait" r:id="rId3"/>
    </customSheetView>
    <customSheetView guid="{AED82DA2-4B0E-4368-BF7F-A78E16192BBB}" scale="80" showGridLines="0">
      <selection activeCell="O8" sqref="O8"/>
      <pageMargins left="0" right="0" top="0" bottom="0" header="0" footer="0"/>
      <pageSetup paperSize="9" orientation="portrait" r:id="rId4"/>
    </customSheetView>
    <customSheetView guid="{8AD5A21B-3743-481B-8B5E-3FEE10EB7B2F}" scale="81" showGridLines="0" state="hidden">
      <selection activeCell="G33" sqref="G33"/>
      <pageMargins left="0" right="0" top="0" bottom="0" header="0" footer="0"/>
      <pageSetup paperSize="9" orientation="portrait" r:id="rId5"/>
    </customSheetView>
  </customSheetViews>
  <mergeCells count="43">
    <mergeCell ref="Q4:Q5"/>
    <mergeCell ref="R4:T4"/>
    <mergeCell ref="U4:W4"/>
    <mergeCell ref="R111:S111"/>
    <mergeCell ref="U111:V111"/>
    <mergeCell ref="R84:S84"/>
    <mergeCell ref="U84:V84"/>
    <mergeCell ref="R93:S93"/>
    <mergeCell ref="U93:V93"/>
    <mergeCell ref="X111:Y111"/>
    <mergeCell ref="AA111:AB111"/>
    <mergeCell ref="C4:E4"/>
    <mergeCell ref="F4:H4"/>
    <mergeCell ref="I4:K4"/>
    <mergeCell ref="B15:K15"/>
    <mergeCell ref="I43:K43"/>
    <mergeCell ref="B4:B5"/>
    <mergeCell ref="R53:S53"/>
    <mergeCell ref="U53:V53"/>
    <mergeCell ref="X53:Y53"/>
    <mergeCell ref="AA53:AB53"/>
    <mergeCell ref="K10:L10"/>
    <mergeCell ref="I44:K44"/>
    <mergeCell ref="R44:S44"/>
    <mergeCell ref="U44:V44"/>
    <mergeCell ref="X44:Y44"/>
    <mergeCell ref="AA44:AB44"/>
    <mergeCell ref="R62:S62"/>
    <mergeCell ref="U62:V62"/>
    <mergeCell ref="X62:Y62"/>
    <mergeCell ref="AA62:AB62"/>
    <mergeCell ref="X84:Y84"/>
    <mergeCell ref="AA84:AB84"/>
    <mergeCell ref="R71:S71"/>
    <mergeCell ref="U71:V71"/>
    <mergeCell ref="X71:Y71"/>
    <mergeCell ref="AA71:AB71"/>
    <mergeCell ref="X93:Y93"/>
    <mergeCell ref="AA93:AB93"/>
    <mergeCell ref="R102:S102"/>
    <mergeCell ref="U102:V102"/>
    <mergeCell ref="X102:Y102"/>
    <mergeCell ref="AA102:AB102"/>
  </mergeCells>
  <conditionalFormatting sqref="K11:L11">
    <cfRule type="cellIs" dxfId="41" priority="1" operator="equal">
      <formula>"Escassez Hídrica"</formula>
    </cfRule>
    <cfRule type="cellIs" dxfId="40" priority="2" operator="equal">
      <formula>"VERDE"</formula>
    </cfRule>
    <cfRule type="cellIs" dxfId="39" priority="3" operator="equal">
      <formula>"BVM2"</formula>
    </cfRule>
    <cfRule type="cellIs" dxfId="38" priority="4" operator="equal">
      <formula>"BVM1"</formula>
    </cfRule>
    <cfRule type="cellIs" dxfId="37" priority="5" operator="equal">
      <formula>"BAM"</formula>
    </cfRule>
  </conditionalFormatting>
  <conditionalFormatting sqref="M3">
    <cfRule type="cellIs" dxfId="36" priority="16" operator="equal">
      <formula>"VERDE"</formula>
    </cfRule>
    <cfRule type="cellIs" dxfId="35" priority="17" operator="equal">
      <formula>"BVM2"</formula>
    </cfRule>
    <cfRule type="cellIs" dxfId="34" priority="18" operator="equal">
      <formula>"BVM1"</formula>
    </cfRule>
    <cfRule type="cellIs" dxfId="33" priority="19" operator="equal">
      <formula>"BAM"</formula>
    </cfRule>
  </conditionalFormatting>
  <conditionalFormatting sqref="M7:M8">
    <cfRule type="containsText" dxfId="32" priority="11" operator="containsText" text="Escassez Hídrica">
      <formula>NOT(ISERROR(SEARCH("Escassez Hídrica",M7)))</formula>
    </cfRule>
    <cfRule type="cellIs" dxfId="31" priority="12" operator="equal">
      <formula>"VERDE"</formula>
    </cfRule>
    <cfRule type="cellIs" dxfId="30" priority="13" operator="equal">
      <formula>"BVM2"</formula>
    </cfRule>
    <cfRule type="cellIs" dxfId="29" priority="14" operator="equal">
      <formula>"BVM1"</formula>
    </cfRule>
    <cfRule type="cellIs" dxfId="28" priority="15" operator="equal">
      <formula>"BAM"</formula>
    </cfRule>
  </conditionalFormatting>
  <dataValidations count="1">
    <dataValidation type="list" allowBlank="1" showInputMessage="1" showErrorMessage="1" sqref="K11:L11" xr:uid="{00000000-0002-0000-0C00-000000000000}">
      <formula1>$M$3:$M$7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6"/>
  <drawing r:id="rId7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1">
    <tabColor rgb="FFFFFF00"/>
  </sheetPr>
  <dimension ref="A1:Z127"/>
  <sheetViews>
    <sheetView showGridLines="0" zoomScale="80" zoomScaleNormal="80" workbookViewId="0">
      <selection activeCell="C10" sqref="C10"/>
    </sheetView>
  </sheetViews>
  <sheetFormatPr defaultColWidth="9.109375" defaultRowHeight="14.4" x14ac:dyDescent="0.3"/>
  <cols>
    <col min="1" max="1" width="5.44140625" style="1" customWidth="1"/>
    <col min="2" max="2" width="18.88671875" style="1" customWidth="1"/>
    <col min="3" max="3" width="11.6640625" style="1" customWidth="1"/>
    <col min="4" max="4" width="12.33203125" style="1" customWidth="1"/>
    <col min="5" max="15" width="11.6640625" style="1" customWidth="1"/>
    <col min="16" max="16" width="12.6640625" style="1" customWidth="1"/>
    <col min="17" max="17" width="13" style="99" bestFit="1" customWidth="1"/>
    <col min="18" max="18" width="14.33203125" style="99" bestFit="1" customWidth="1"/>
    <col min="19" max="19" width="13.109375" style="99" bestFit="1" customWidth="1"/>
    <col min="20" max="20" width="11.33203125" style="99" bestFit="1" customWidth="1"/>
    <col min="21" max="21" width="12.109375" style="99" bestFit="1" customWidth="1"/>
    <col min="22" max="22" width="13.109375" style="99" bestFit="1" customWidth="1"/>
    <col min="23" max="23" width="11.33203125" style="99" bestFit="1" customWidth="1"/>
    <col min="24" max="24" width="12.109375" style="99" bestFit="1" customWidth="1"/>
    <col min="25" max="25" width="13.109375" style="99" bestFit="1" customWidth="1"/>
    <col min="26" max="16384" width="9.109375" style="1"/>
  </cols>
  <sheetData>
    <row r="1" spans="1:26" x14ac:dyDescent="0.3">
      <c r="A1" s="1" t="s">
        <v>0</v>
      </c>
      <c r="G1"/>
      <c r="H1"/>
      <c r="I1"/>
      <c r="J1"/>
      <c r="K1"/>
    </row>
    <row r="2" spans="1:26" ht="18" x14ac:dyDescent="0.3">
      <c r="B2" s="43" t="s">
        <v>302</v>
      </c>
      <c r="C2" s="99"/>
      <c r="D2" s="99"/>
      <c r="E2" s="102" t="s">
        <v>2</v>
      </c>
      <c r="F2" s="104">
        <f>'Fatura B1 (Res) OK'!$F$2</f>
        <v>45876</v>
      </c>
      <c r="G2" s="97"/>
      <c r="H2" s="97"/>
      <c r="I2" s="97"/>
      <c r="J2" s="97"/>
      <c r="K2" s="97"/>
      <c r="L2" s="99"/>
      <c r="M2" s="47" t="s">
        <v>3</v>
      </c>
      <c r="N2" s="47" t="s">
        <v>4</v>
      </c>
      <c r="O2" s="99"/>
      <c r="P2" s="99"/>
      <c r="Q2" s="308" t="s">
        <v>6</v>
      </c>
      <c r="R2" s="326"/>
    </row>
    <row r="3" spans="1:26" customFormat="1" x14ac:dyDescent="0.3">
      <c r="M3" s="93" t="s">
        <v>7</v>
      </c>
      <c r="N3" s="48">
        <v>0</v>
      </c>
      <c r="Q3" s="99"/>
      <c r="R3" s="99"/>
      <c r="S3" s="99"/>
      <c r="T3" s="99"/>
      <c r="U3" s="99"/>
      <c r="V3" s="99"/>
      <c r="W3" s="99"/>
      <c r="X3" s="99"/>
      <c r="Y3" s="99"/>
    </row>
    <row r="4" spans="1:26" s="99" customFormat="1" ht="15" customHeight="1" x14ac:dyDescent="0.3">
      <c r="B4" s="489" t="s">
        <v>140</v>
      </c>
      <c r="C4" s="481" t="str">
        <f>'Fatura B1 (Res) OK'!C4:E4</f>
        <v>TARIFA ANTIGA - REH 3370/2024</v>
      </c>
      <c r="D4" s="481"/>
      <c r="E4" s="481"/>
      <c r="F4" s="481" t="str">
        <f>'Fatura B1 (Res) OK'!F4:H4</f>
        <v>TARIFA NOVA - REH xxxx/2025</v>
      </c>
      <c r="G4" s="481"/>
      <c r="H4" s="481"/>
      <c r="I4" s="482" t="s">
        <v>11</v>
      </c>
      <c r="J4" s="482"/>
      <c r="K4" s="482"/>
      <c r="M4" s="229" t="str">
        <f>'Fatura B1 (Res) OK'!M4</f>
        <v>BAM</v>
      </c>
      <c r="N4" s="230">
        <f>'Fatura B1 (Res) OK'!$N$4</f>
        <v>1.8849999999999999E-2</v>
      </c>
      <c r="Q4" s="483" t="s">
        <v>8</v>
      </c>
      <c r="R4" s="478" t="str">
        <f>C4</f>
        <v>TARIFA ANTIGA - REH 3370/2024</v>
      </c>
      <c r="S4" s="479"/>
      <c r="T4" s="480"/>
      <c r="U4" s="478" t="str">
        <f>F4</f>
        <v>TARIFA NOVA - REH xxxx/2025</v>
      </c>
      <c r="V4" s="479"/>
      <c r="W4" s="480"/>
    </row>
    <row r="5" spans="1:26" s="99" customFormat="1" x14ac:dyDescent="0.3">
      <c r="B5" s="490"/>
      <c r="C5" s="204" t="s">
        <v>13</v>
      </c>
      <c r="D5" s="204" t="s">
        <v>14</v>
      </c>
      <c r="E5" s="204" t="s">
        <v>15</v>
      </c>
      <c r="F5" s="204" t="s">
        <v>13</v>
      </c>
      <c r="G5" s="204" t="s">
        <v>14</v>
      </c>
      <c r="H5" s="204" t="s">
        <v>15</v>
      </c>
      <c r="I5" s="205" t="s">
        <v>13</v>
      </c>
      <c r="J5" s="205" t="s">
        <v>14</v>
      </c>
      <c r="K5" s="205" t="s">
        <v>15</v>
      </c>
      <c r="M5" s="231" t="str">
        <f>'Fatura B1 (Res) OK'!M5</f>
        <v>BVM1</v>
      </c>
      <c r="N5" s="232">
        <f>'Fatura B1 (Res) OK'!$N$5</f>
        <v>4.4630000000000003E-2</v>
      </c>
      <c r="Q5" s="484"/>
      <c r="R5" s="204" t="s">
        <v>17</v>
      </c>
      <c r="S5"/>
      <c r="T5"/>
      <c r="U5" s="204" t="s">
        <v>17</v>
      </c>
      <c r="V5"/>
      <c r="W5"/>
      <c r="X5" s="204" t="s">
        <v>17</v>
      </c>
      <c r="Y5"/>
    </row>
    <row r="6" spans="1:26" s="99" customFormat="1" x14ac:dyDescent="0.3">
      <c r="B6" s="207" t="s">
        <v>302</v>
      </c>
      <c r="C6" s="203">
        <f>'TABELA DE TARIFAS ANTIGAS'!G89/1000</f>
        <v>0.21093000000000001</v>
      </c>
      <c r="D6" s="203">
        <f>'TABELA DE TARIFAS ANTIGAS'!H89/1000</f>
        <v>0.16553000000000001</v>
      </c>
      <c r="E6" s="203">
        <f t="shared" ref="E6" si="0">C6+D6</f>
        <v>0.37646000000000002</v>
      </c>
      <c r="F6" s="203">
        <f>'TABELA DE TARIFAS NOVAS'!G89/1000</f>
        <v>0.25774999999999998</v>
      </c>
      <c r="G6" s="203">
        <f>'TABELA DE TARIFAS NOVAS'!H89/1000</f>
        <v>0.17638000000000001</v>
      </c>
      <c r="H6" s="203">
        <f t="shared" ref="H6:H7" si="1">F6+G6</f>
        <v>0.43413000000000002</v>
      </c>
      <c r="I6" s="303">
        <f>((C6*$C$13)+(F6*$D$13))/($D$13+$C$13)</f>
        <v>0.25774999999999998</v>
      </c>
      <c r="J6" s="303">
        <f>((D6*$C$13)+(G6*$D$13))/($D$13+$C$13)</f>
        <v>0.17638000000000001</v>
      </c>
      <c r="K6" s="206">
        <f t="shared" ref="K6:K7" si="2">I6+J6</f>
        <v>0.43413000000000002</v>
      </c>
      <c r="M6" s="39" t="str">
        <f>'Fatura B1 (Res) OK'!M6</f>
        <v>BVM2</v>
      </c>
      <c r="N6" s="40">
        <f>'Fatura B1 (Res) OK'!$N$6</f>
        <v>7.8770000000000007E-2</v>
      </c>
      <c r="Q6" s="207" t="str">
        <f>B6</f>
        <v>B4a</v>
      </c>
      <c r="R6" s="203">
        <f>'FIO B'!H34/1000</f>
        <v>0.10352887243195208</v>
      </c>
      <c r="S6"/>
      <c r="T6"/>
      <c r="U6" s="203">
        <f>'FIO B'!K34/1000</f>
        <v>0.11210689706248526</v>
      </c>
      <c r="V6"/>
      <c r="W6"/>
      <c r="X6" s="203">
        <f>((R6*$C$13)+(U6*$D$13))/($D$13+$C$13)</f>
        <v>0.11210689706248526</v>
      </c>
      <c r="Y6"/>
    </row>
    <row r="7" spans="1:26" s="99" customFormat="1" x14ac:dyDescent="0.3">
      <c r="B7" s="370" t="s">
        <v>20</v>
      </c>
      <c r="C7" s="387">
        <v>9.6620072980942111E-5</v>
      </c>
      <c r="D7" s="393">
        <v>1.8863545396326999E-3</v>
      </c>
      <c r="E7" s="206">
        <v>1.9829746126136419E-3</v>
      </c>
      <c r="F7" s="206">
        <f>T11</f>
        <v>1.03260968221576E-4</v>
      </c>
      <c r="G7" s="206">
        <f>U11</f>
        <v>-2.4217219077964001E-3</v>
      </c>
      <c r="H7" s="206">
        <f t="shared" si="1"/>
        <v>-2.3184609395748242E-3</v>
      </c>
      <c r="I7" s="203">
        <f>((C7*$C$13)+(F7*$D$13))/($D$13+$C$13)</f>
        <v>1.03260968221576E-4</v>
      </c>
      <c r="J7" s="203">
        <f>((D7*$C$13)+(G7*$D$13))/($D$13+$C$13)</f>
        <v>-2.4217219077964001E-3</v>
      </c>
      <c r="K7" s="206">
        <f t="shared" si="2"/>
        <v>-2.3184609395748242E-3</v>
      </c>
      <c r="M7" s="93" t="s">
        <v>21</v>
      </c>
      <c r="N7" s="305">
        <f>'Fatura B1 (Res) OK'!$N$7</f>
        <v>0.14199999999999999</v>
      </c>
      <c r="Q7"/>
      <c r="R7"/>
      <c r="S7"/>
      <c r="T7"/>
      <c r="U7"/>
      <c r="V7"/>
      <c r="W7"/>
      <c r="X7"/>
      <c r="Y7"/>
    </row>
    <row r="8" spans="1:26" customFormat="1" x14ac:dyDescent="0.3">
      <c r="P8" s="99"/>
      <c r="Q8" s="99"/>
      <c r="R8" s="99"/>
      <c r="S8" s="99"/>
      <c r="T8" s="99"/>
      <c r="U8" s="99"/>
    </row>
    <row r="9" spans="1:26" x14ac:dyDescent="0.3">
      <c r="B9" s="131"/>
      <c r="C9" s="132"/>
      <c r="D9" s="209"/>
      <c r="E9" s="132"/>
      <c r="F9" s="132"/>
      <c r="G9" s="132"/>
      <c r="H9" s="210" t="s">
        <v>22</v>
      </c>
      <c r="I9" s="97"/>
      <c r="J9" s="99"/>
      <c r="K9" s="99"/>
      <c r="L9" s="102" t="s">
        <v>23</v>
      </c>
      <c r="M9" s="104">
        <f>EOMONTH(B13,0)+1</f>
        <v>46143</v>
      </c>
      <c r="N9"/>
      <c r="O9"/>
      <c r="P9"/>
      <c r="Q9"/>
      <c r="R9"/>
      <c r="S9"/>
      <c r="T9"/>
      <c r="U9"/>
      <c r="V9"/>
      <c r="W9"/>
      <c r="X9"/>
      <c r="Y9"/>
    </row>
    <row r="10" spans="1:26" x14ac:dyDescent="0.3">
      <c r="B10" s="211" t="s">
        <v>24</v>
      </c>
      <c r="C10" s="105" t="s">
        <v>303</v>
      </c>
      <c r="D10" s="99"/>
      <c r="E10" s="97"/>
      <c r="F10" s="97"/>
      <c r="G10" s="97"/>
      <c r="H10" s="212">
        <f>E13</f>
        <v>46148</v>
      </c>
      <c r="J10" s="99"/>
      <c r="K10" s="485" t="s">
        <v>25</v>
      </c>
      <c r="L10" s="485"/>
      <c r="M10" s="99"/>
      <c r="N10"/>
      <c r="O10"/>
      <c r="P10" s="374" t="s">
        <v>26</v>
      </c>
      <c r="Q10" s="375"/>
      <c r="R10" s="371" t="s">
        <v>27</v>
      </c>
      <c r="S10" s="371" t="s">
        <v>28</v>
      </c>
      <c r="T10" s="371" t="s">
        <v>17</v>
      </c>
      <c r="U10" s="371" t="s">
        <v>29</v>
      </c>
      <c r="V10"/>
      <c r="W10"/>
      <c r="X10"/>
      <c r="Y10"/>
    </row>
    <row r="11" spans="1:26" x14ac:dyDescent="0.3">
      <c r="B11" s="112"/>
      <c r="C11" s="99"/>
      <c r="D11" s="99"/>
      <c r="E11" s="99"/>
      <c r="F11" s="99"/>
      <c r="G11" s="99"/>
      <c r="H11" s="213"/>
      <c r="J11" s="99"/>
      <c r="K11" s="93" t="str">
        <f>'Fatura B1 (Res) OK'!K11</f>
        <v>VERDE</v>
      </c>
      <c r="L11" s="93" t="str">
        <f>'Fatura B1 (Res) OK'!L11</f>
        <v>BAM</v>
      </c>
      <c r="M11" s="99"/>
      <c r="N11"/>
      <c r="O11"/>
      <c r="P11" s="376" t="s">
        <v>30</v>
      </c>
      <c r="Q11" s="377"/>
      <c r="R11" s="373"/>
      <c r="S11" s="373"/>
      <c r="T11" s="387">
        <f>0.103260968221576/1000</f>
        <v>1.03260968221576E-4</v>
      </c>
      <c r="U11" s="393">
        <f>-2.4217219077964/1000</f>
        <v>-2.4217219077964001E-3</v>
      </c>
      <c r="V11" s="97"/>
      <c r="W11" s="97"/>
      <c r="X11" s="97"/>
      <c r="Y11" s="97"/>
    </row>
    <row r="12" spans="1:26" ht="41.4" x14ac:dyDescent="0.3">
      <c r="B12" s="94" t="s">
        <v>31</v>
      </c>
      <c r="C12" s="94" t="s">
        <v>32</v>
      </c>
      <c r="D12" s="94" t="s">
        <v>33</v>
      </c>
      <c r="E12" s="94" t="s">
        <v>34</v>
      </c>
      <c r="F12" s="97"/>
      <c r="G12" s="97"/>
      <c r="H12" s="214"/>
      <c r="I12" s="97"/>
      <c r="J12" s="94" t="s">
        <v>31</v>
      </c>
      <c r="K12" s="94" t="s">
        <v>32</v>
      </c>
      <c r="L12" s="94" t="s">
        <v>33</v>
      </c>
      <c r="M12" s="94" t="s">
        <v>34</v>
      </c>
      <c r="N12"/>
      <c r="O12"/>
    </row>
    <row r="13" spans="1:26" x14ac:dyDescent="0.3">
      <c r="A13" s="1" t="s">
        <v>0</v>
      </c>
      <c r="B13" s="227">
        <f>'Fatura B1 (Res) OK'!B13</f>
        <v>46119</v>
      </c>
      <c r="C13" s="106">
        <f>IF((F2-B13-1)&lt;0,0,(F2-B13-1))</f>
        <v>0</v>
      </c>
      <c r="D13" s="106">
        <f>E13-F2+1</f>
        <v>273</v>
      </c>
      <c r="E13" s="227">
        <f>'Fatura B1 (Res) OK'!E13</f>
        <v>46148</v>
      </c>
      <c r="F13" s="215"/>
      <c r="G13" s="215"/>
      <c r="H13" s="216"/>
      <c r="I13" s="97"/>
      <c r="J13" s="107">
        <f>B13</f>
        <v>46119</v>
      </c>
      <c r="K13" s="108">
        <f>IF((M9-J13-1)&lt;0,0,(M9-J13-1))</f>
        <v>23</v>
      </c>
      <c r="L13" s="108">
        <f>M13-M9+1</f>
        <v>6</v>
      </c>
      <c r="M13" s="107">
        <f>E13</f>
        <v>46148</v>
      </c>
      <c r="N13"/>
      <c r="O13"/>
      <c r="P13" s="473" t="s">
        <v>35</v>
      </c>
      <c r="Q13" s="474"/>
      <c r="R13" s="475" t="s">
        <v>303</v>
      </c>
    </row>
    <row r="14" spans="1:26" customFormat="1" x14ac:dyDescent="0.3">
      <c r="B14" s="99"/>
      <c r="C14" s="99"/>
      <c r="D14" s="99"/>
      <c r="E14" s="99"/>
      <c r="F14" s="99"/>
      <c r="G14" s="99"/>
      <c r="H14" s="99"/>
      <c r="Q14" s="99"/>
      <c r="R14" s="99"/>
      <c r="S14" s="99"/>
      <c r="T14" s="99"/>
      <c r="U14" s="99"/>
      <c r="V14" s="99"/>
      <c r="W14" s="99"/>
      <c r="X14" s="99"/>
      <c r="Y14" s="99"/>
    </row>
    <row r="15" spans="1:26" customFormat="1" x14ac:dyDescent="0.3">
      <c r="B15" s="99"/>
      <c r="C15" s="99"/>
      <c r="D15" s="99"/>
      <c r="E15" s="99"/>
      <c r="F15" s="99"/>
      <c r="G15" s="99"/>
      <c r="H15" s="99"/>
      <c r="J15" s="302"/>
      <c r="Q15" s="99"/>
      <c r="R15" s="99"/>
      <c r="S15" s="99"/>
      <c r="T15" s="99"/>
      <c r="U15" s="99"/>
      <c r="V15" s="99"/>
      <c r="W15" s="99"/>
      <c r="X15" s="99"/>
      <c r="Y15" s="99"/>
      <c r="Z15" s="99"/>
    </row>
    <row r="16" spans="1:26" s="99" customFormat="1" ht="42" customHeight="1" x14ac:dyDescent="0.3">
      <c r="B16" s="394" t="s">
        <v>36</v>
      </c>
      <c r="C16" s="394" t="s">
        <v>37</v>
      </c>
      <c r="D16" s="394" t="s">
        <v>38</v>
      </c>
      <c r="E16" s="395" t="s">
        <v>39</v>
      </c>
      <c r="F16" s="395" t="s">
        <v>40</v>
      </c>
      <c r="G16" s="395" t="s">
        <v>41</v>
      </c>
      <c r="H16" s="395" t="s">
        <v>42</v>
      </c>
      <c r="I16" s="395" t="s">
        <v>43</v>
      </c>
      <c r="J16" s="395" t="s">
        <v>44</v>
      </c>
      <c r="K16" s="396" t="s">
        <v>45</v>
      </c>
      <c r="L16" s="394" t="s">
        <v>46</v>
      </c>
      <c r="M16" s="395" t="s">
        <v>47</v>
      </c>
      <c r="N16" s="395" t="s">
        <v>48</v>
      </c>
      <c r="O16" s="395" t="s">
        <v>49</v>
      </c>
    </row>
    <row r="17" spans="2:26" s="99" customFormat="1" x14ac:dyDescent="0.3">
      <c r="B17" s="401"/>
      <c r="C17" s="401"/>
      <c r="D17" s="401"/>
      <c r="E17" s="401"/>
      <c r="F17" s="401"/>
      <c r="G17" s="401"/>
      <c r="H17" s="401"/>
      <c r="I17" s="401"/>
      <c r="J17" s="401"/>
      <c r="K17" s="401"/>
      <c r="L17" s="120"/>
      <c r="M17" s="397"/>
      <c r="N17" s="397"/>
      <c r="O17" s="397"/>
      <c r="R17" s="308" t="s">
        <v>50</v>
      </c>
      <c r="S17" s="308" t="s">
        <v>51</v>
      </c>
    </row>
    <row r="18" spans="2:26" s="99" customFormat="1" x14ac:dyDescent="0.3">
      <c r="B18" s="397" t="s">
        <v>52</v>
      </c>
      <c r="C18" s="398" t="s">
        <v>53</v>
      </c>
      <c r="D18" s="437">
        <v>573</v>
      </c>
      <c r="E18" s="406">
        <f>(ROUND(D18*K18,2)+ROUND(G18,2)+ROUND(J18,2))/ROUND(D18,4)</f>
        <v>0.32186736474694588</v>
      </c>
      <c r="F18" s="404">
        <f>ROUND(D18*E18,2)</f>
        <v>184.43</v>
      </c>
      <c r="G18" s="404">
        <f>((D18*K18)/(1-$N$18-$N$19))*($N$18+$N$19)</f>
        <v>5.3883855721393017</v>
      </c>
      <c r="H18" s="411">
        <f t="shared" ref="H18:H23" si="3">(IF($I$18=12%,(D18*K18)/(1-$N$18-$N$19)/(1-$C$38)/$F$38*$C$38,(D18*K18)/(1-$N$18-$N$19)/(1-$I$18)))</f>
        <v>184.43269346040879</v>
      </c>
      <c r="I18" s="403">
        <v>0.17</v>
      </c>
      <c r="J18" s="411">
        <f>H18*$I$18</f>
        <v>31.353557888269496</v>
      </c>
      <c r="K18" s="406">
        <f>IF(AND($B$13&lt;$F$2,$E$13&lt;$F$2),C6,IF($B$13&lt;$F$2,I6,F6))</f>
        <v>0.25774999999999998</v>
      </c>
      <c r="L18" s="169" t="s">
        <v>54</v>
      </c>
      <c r="M18" s="404">
        <f>D61</f>
        <v>260.14718076285237</v>
      </c>
      <c r="N18" s="399">
        <f>'Fatura B1 (Res) OK'!N18</f>
        <v>6.3E-3</v>
      </c>
      <c r="O18" s="413">
        <f>ROUND(M18*N18,2)</f>
        <v>1.64</v>
      </c>
      <c r="R18" s="327">
        <f>IF(AND($B$13&lt;$F$2,$E$13&lt;$F$2),R6,IF($B$13&lt;$F$2,X6,U6))</f>
        <v>0.11210689706248526</v>
      </c>
      <c r="S18" s="328">
        <f>D18*R18</f>
        <v>64.23725201680405</v>
      </c>
    </row>
    <row r="19" spans="2:26" s="99" customFormat="1" x14ac:dyDescent="0.3">
      <c r="B19" s="397" t="s">
        <v>55</v>
      </c>
      <c r="C19" s="398" t="s">
        <v>53</v>
      </c>
      <c r="D19" s="438">
        <f>D18</f>
        <v>573</v>
      </c>
      <c r="E19" s="406">
        <f>(ROUND(D19*K19,2)+ROUND(G19,2)+ROUND(J19,2))/ROUND(D19,4)</f>
        <v>0.22027923211169284</v>
      </c>
      <c r="F19" s="404">
        <f t="shared" ref="F19:F22" si="4">ROUND(D19*E19,2)</f>
        <v>126.22</v>
      </c>
      <c r="G19" s="404">
        <f>((D19*K19)/(1-$N$18-$N$19))*($N$18+$N$19)</f>
        <v>3.6873072636815918</v>
      </c>
      <c r="H19" s="411">
        <f t="shared" si="3"/>
        <v>126.20849067913446</v>
      </c>
      <c r="I19" s="397"/>
      <c r="J19" s="411">
        <f t="shared" ref="J19:J23" si="5">H19*$I$18</f>
        <v>21.455443415452859</v>
      </c>
      <c r="K19" s="406">
        <f>IF(AND($B$13&lt;$F$2,$E$13&lt;$F$2),D6,IF($B$13&lt;$F$2,J6,G6))</f>
        <v>0.17638000000000001</v>
      </c>
      <c r="L19" s="169" t="s">
        <v>56</v>
      </c>
      <c r="M19" s="404">
        <f>M18</f>
        <v>260.14718076285237</v>
      </c>
      <c r="N19" s="399">
        <f>'Fatura B1 (Res) OK'!N19</f>
        <v>2.8899999999999999E-2</v>
      </c>
      <c r="O19" s="413">
        <f>ROUND(M19*N19,2)</f>
        <v>7.52</v>
      </c>
    </row>
    <row r="20" spans="2:26" s="99" customFormat="1" x14ac:dyDescent="0.3">
      <c r="B20" s="397" t="s">
        <v>57</v>
      </c>
      <c r="C20" s="398" t="s">
        <v>53</v>
      </c>
      <c r="D20" s="438">
        <f>IF($K$11=M4,(D18*(K13)/(K13+L13)),0)+IF($L$11=M4,(D18*(L13)/(K13+L13)),0)</f>
        <v>118.55172413793103</v>
      </c>
      <c r="E20" s="442">
        <f>IFERROR((ROUND(D20*K20,2)+ROUND(G20,2)+ROUND(J20,2))/ROUND(D20,4), 0)</f>
        <v>2.3449684821052759E-2</v>
      </c>
      <c r="F20" s="443">
        <f t="shared" si="4"/>
        <v>2.78</v>
      </c>
      <c r="G20" s="404">
        <f t="shared" ref="G20:G23" si="6">((D20*K20)/(1-$N$18-$N$19))*($N$18+$N$19)</f>
        <v>8.1531343283582067E-2</v>
      </c>
      <c r="H20" s="444">
        <f t="shared" si="3"/>
        <v>2.7906401726308214</v>
      </c>
      <c r="I20" s="397"/>
      <c r="J20" s="411">
        <f t="shared" si="5"/>
        <v>0.47440882934723966</v>
      </c>
      <c r="K20" s="406">
        <f>N4</f>
        <v>1.8849999999999999E-2</v>
      </c>
      <c r="L20" s="137"/>
      <c r="M20" s="400"/>
      <c r="N20" s="400"/>
      <c r="O20" s="400"/>
      <c r="R20" s="408"/>
    </row>
    <row r="21" spans="2:26" s="99" customFormat="1" x14ac:dyDescent="0.3">
      <c r="B21" s="397" t="s">
        <v>58</v>
      </c>
      <c r="C21" s="398" t="s">
        <v>53</v>
      </c>
      <c r="D21" s="438">
        <f>IF($K$11=M5,(D18*(K13)/(K13+L13)),0)+IF($L$11=M5,(D18*(L13)/(K13+L13)),0)</f>
        <v>0</v>
      </c>
      <c r="E21" s="406">
        <f t="shared" ref="E21:E23" si="7">K21/(1-$N$18-$N$19)/(1-$I$18)</f>
        <v>5.5732881775859666E-2</v>
      </c>
      <c r="F21" s="404">
        <f t="shared" si="4"/>
        <v>0</v>
      </c>
      <c r="G21" s="404">
        <f t="shared" si="6"/>
        <v>0</v>
      </c>
      <c r="H21" s="411">
        <f t="shared" si="3"/>
        <v>0</v>
      </c>
      <c r="I21" s="397"/>
      <c r="J21" s="411">
        <f>H21*$I$18</f>
        <v>0</v>
      </c>
      <c r="K21" s="406">
        <f>N5</f>
        <v>4.4630000000000003E-2</v>
      </c>
      <c r="O21" s="120"/>
      <c r="R21" s="408"/>
    </row>
    <row r="22" spans="2:26" s="99" customFormat="1" x14ac:dyDescent="0.3">
      <c r="B22" s="397" t="s">
        <v>59</v>
      </c>
      <c r="C22" s="398" t="s">
        <v>53</v>
      </c>
      <c r="D22" s="438">
        <f>IF($K$11=M6,(D18*(K13)/(K13+L13)),0)+IF($L$11=M6,(D18*(L13)/(K13+L13)),0)</f>
        <v>0</v>
      </c>
      <c r="E22" s="406">
        <f t="shared" si="7"/>
        <v>9.8366101220803637E-2</v>
      </c>
      <c r="F22" s="404">
        <f t="shared" si="4"/>
        <v>0</v>
      </c>
      <c r="G22" s="404">
        <f t="shared" si="6"/>
        <v>0</v>
      </c>
      <c r="H22" s="411">
        <f t="shared" si="3"/>
        <v>0</v>
      </c>
      <c r="I22" s="397"/>
      <c r="J22" s="411">
        <f t="shared" si="5"/>
        <v>0</v>
      </c>
      <c r="K22" s="406">
        <f>N6</f>
        <v>7.8770000000000007E-2</v>
      </c>
      <c r="O22" s="120"/>
      <c r="R22" s="409"/>
    </row>
    <row r="23" spans="2:26" s="99" customFormat="1" x14ac:dyDescent="0.3">
      <c r="B23" s="397" t="s">
        <v>60</v>
      </c>
      <c r="C23" s="398" t="s">
        <v>53</v>
      </c>
      <c r="D23" s="438">
        <f>IF($K$11=M7,(D18*(K13)/(K13+L13)),0)+IF($L$11=M7,(D18*(L13)/(K13+L13)),0)</f>
        <v>0</v>
      </c>
      <c r="E23" s="406">
        <f t="shared" si="7"/>
        <v>0.17732622030410197</v>
      </c>
      <c r="F23" s="404">
        <f>ROUND(D23*E23,2)</f>
        <v>0</v>
      </c>
      <c r="G23" s="404">
        <f t="shared" si="6"/>
        <v>0</v>
      </c>
      <c r="H23" s="411">
        <f t="shared" si="3"/>
        <v>0</v>
      </c>
      <c r="I23" s="397"/>
      <c r="J23" s="411">
        <f t="shared" si="5"/>
        <v>0</v>
      </c>
      <c r="K23" s="406">
        <f>N7</f>
        <v>0.14199999999999999</v>
      </c>
      <c r="O23" s="120"/>
    </row>
    <row r="24" spans="2:26" s="99" customFormat="1" x14ac:dyDescent="0.3">
      <c r="B24" s="397" t="s">
        <v>61</v>
      </c>
      <c r="C24" s="397"/>
      <c r="D24" s="438"/>
      <c r="E24" s="397"/>
      <c r="F24" s="402"/>
      <c r="G24" s="404"/>
      <c r="H24" s="411"/>
      <c r="I24" s="397"/>
      <c r="J24" s="411"/>
      <c r="K24" s="406"/>
      <c r="O24" s="120"/>
    </row>
    <row r="25" spans="2:26" s="99" customFormat="1" x14ac:dyDescent="0.3">
      <c r="B25" s="397" t="s">
        <v>62</v>
      </c>
      <c r="C25" s="397"/>
      <c r="D25" s="438"/>
      <c r="E25" s="397"/>
      <c r="F25" s="402"/>
      <c r="G25" s="397"/>
      <c r="H25" s="397"/>
      <c r="I25" s="397"/>
      <c r="J25" s="397"/>
      <c r="K25" s="397"/>
      <c r="O25" s="120"/>
    </row>
    <row r="26" spans="2:26" s="99" customFormat="1" x14ac:dyDescent="0.3">
      <c r="B26" s="397" t="s">
        <v>304</v>
      </c>
      <c r="C26" s="397"/>
      <c r="D26" s="438"/>
      <c r="E26" s="397"/>
      <c r="F26" s="402"/>
      <c r="G26" s="397"/>
      <c r="H26" s="397"/>
      <c r="I26" s="397"/>
      <c r="J26" s="397"/>
      <c r="K26" s="397"/>
      <c r="O26" s="120"/>
    </row>
    <row r="27" spans="2:26" s="99" customFormat="1" x14ac:dyDescent="0.3">
      <c r="B27" s="397" t="s">
        <v>305</v>
      </c>
      <c r="C27" s="398"/>
      <c r="D27" s="438">
        <v>1</v>
      </c>
      <c r="E27" s="406"/>
      <c r="F27" s="402">
        <f>-SUM(F18:F25)*1.2%</f>
        <v>-3.7611599999999994</v>
      </c>
      <c r="G27" s="397"/>
      <c r="H27" s="397"/>
      <c r="I27" s="397"/>
      <c r="J27" s="397"/>
      <c r="K27" s="397"/>
      <c r="O27" s="120"/>
    </row>
    <row r="28" spans="2:26" s="99" customFormat="1" x14ac:dyDescent="0.3">
      <c r="B28" s="397"/>
      <c r="C28" s="397"/>
      <c r="D28" s="438"/>
      <c r="E28" s="397"/>
      <c r="F28" s="397"/>
      <c r="G28" s="397"/>
      <c r="H28" s="397"/>
      <c r="I28" s="397"/>
      <c r="J28" s="397"/>
      <c r="K28" s="397"/>
      <c r="O28" s="120"/>
    </row>
    <row r="29" spans="2:26" s="99" customFormat="1" x14ac:dyDescent="0.3">
      <c r="B29" s="397"/>
      <c r="C29" s="397"/>
      <c r="D29" s="438"/>
      <c r="E29" s="397"/>
      <c r="F29" s="397"/>
      <c r="G29" s="397"/>
      <c r="H29" s="397"/>
      <c r="I29" s="397"/>
      <c r="J29" s="397"/>
      <c r="K29" s="397"/>
      <c r="O29" s="120"/>
    </row>
    <row r="30" spans="2:26" s="99" customFormat="1" x14ac:dyDescent="0.3">
      <c r="B30" s="405" t="s">
        <v>66</v>
      </c>
      <c r="C30" s="400"/>
      <c r="D30" s="439"/>
      <c r="E30" s="400"/>
      <c r="F30" s="407">
        <f>SUM(F18:F29)</f>
        <v>309.66883999999993</v>
      </c>
      <c r="G30" s="410">
        <f>SUM(G18:G29)</f>
        <v>9.1572241791044764</v>
      </c>
      <c r="H30" s="412">
        <f>SUM(H18:H29)</f>
        <v>313.43182431217411</v>
      </c>
      <c r="I30" s="400"/>
      <c r="J30" s="412">
        <f>SUM(J18:J29)</f>
        <v>53.283410133069594</v>
      </c>
      <c r="K30" s="400"/>
      <c r="L30" s="127"/>
      <c r="M30" s="127"/>
      <c r="N30" s="127"/>
      <c r="O30" s="137"/>
    </row>
    <row r="31" spans="2:26" s="99" customFormat="1" x14ac:dyDescent="0.3"/>
    <row r="32" spans="2:26" customFormat="1" x14ac:dyDescent="0.3">
      <c r="B32" s="415" t="s">
        <v>67</v>
      </c>
      <c r="C32" s="416">
        <f>D18</f>
        <v>573</v>
      </c>
      <c r="D32" s="417">
        <f>IF(AND($B$13&lt;$F$2,$E$13&lt;$F$2),C7,IF($B$13&lt;$F$2,I7,F7))</f>
        <v>1.03260968221576E-4</v>
      </c>
      <c r="E32" s="417">
        <f>IF(AND($B$13&lt;$F$2,$E$13&lt;$F$2),D7,IF($B$13&lt;$F$2,J7,G7))</f>
        <v>-2.4217219077964001E-3</v>
      </c>
      <c r="F32" s="415">
        <f>C32*(D32+E32)</f>
        <v>-1.3284781183763743</v>
      </c>
      <c r="G32" s="99"/>
      <c r="H32" s="99"/>
      <c r="I32" s="99"/>
      <c r="J32" s="99"/>
      <c r="K32" s="99"/>
      <c r="L32" s="99"/>
      <c r="M32" s="99"/>
      <c r="N32" s="99"/>
      <c r="O32" s="99"/>
      <c r="Q32" s="99"/>
      <c r="R32" s="99"/>
      <c r="S32" s="99"/>
      <c r="T32" s="99"/>
      <c r="U32" s="99"/>
      <c r="V32" s="99"/>
      <c r="W32" s="99"/>
      <c r="X32" s="99"/>
      <c r="Y32" s="99"/>
      <c r="Z32" s="99"/>
    </row>
    <row r="33" spans="1:25" s="99" customFormat="1" x14ac:dyDescent="0.3">
      <c r="I33"/>
      <c r="J33" s="302"/>
      <c r="K33"/>
      <c r="L33"/>
      <c r="M33"/>
      <c r="N33"/>
      <c r="O33"/>
    </row>
    <row r="34" spans="1:25" s="99" customFormat="1" x14ac:dyDescent="0.3">
      <c r="B34" s="99" t="s">
        <v>101</v>
      </c>
    </row>
    <row r="35" spans="1:25" s="99" customFormat="1" x14ac:dyDescent="0.3">
      <c r="B35" s="155"/>
      <c r="C35" s="155"/>
      <c r="D35" s="158" t="s">
        <v>102</v>
      </c>
      <c r="F35" s="158"/>
    </row>
    <row r="36" spans="1:25" s="99" customFormat="1" x14ac:dyDescent="0.3">
      <c r="B36" s="159" t="s">
        <v>54</v>
      </c>
      <c r="C36" s="24">
        <f>N18</f>
        <v>6.3E-3</v>
      </c>
      <c r="D36" s="160">
        <f>((D18*K18)+(D19*K19)+(D20*K20)+(D21*K21)+(D22*K22)+(D23*K23))/(1-$N$18-$N$19)</f>
        <v>260.14841417910446</v>
      </c>
      <c r="E36" s="100" t="s">
        <v>103</v>
      </c>
      <c r="F36" s="24">
        <f>C36</f>
        <v>6.3E-3</v>
      </c>
      <c r="G36" s="161">
        <f>D36*F36</f>
        <v>1.6389350093283581</v>
      </c>
    </row>
    <row r="37" spans="1:25" s="99" customFormat="1" x14ac:dyDescent="0.3">
      <c r="A37" s="221"/>
      <c r="B37" s="159" t="s">
        <v>56</v>
      </c>
      <c r="C37" s="24">
        <f>N19</f>
        <v>2.8899999999999999E-2</v>
      </c>
      <c r="D37" s="160">
        <f>D36</f>
        <v>260.14841417910446</v>
      </c>
      <c r="E37" s="100" t="s">
        <v>103</v>
      </c>
      <c r="F37" s="24">
        <f>C37</f>
        <v>2.8899999999999999E-2</v>
      </c>
      <c r="G37" s="161">
        <f>D37*F37</f>
        <v>7.5182891697761187</v>
      </c>
    </row>
    <row r="38" spans="1:25" s="99" customFormat="1" x14ac:dyDescent="0.3">
      <c r="B38" s="159" t="s">
        <v>77</v>
      </c>
      <c r="C38" s="25">
        <v>7.0000000000000007E-2</v>
      </c>
      <c r="D38" s="162">
        <f>H38/F38*C38</f>
        <v>163.1755286069652</v>
      </c>
      <c r="E38" s="100" t="s">
        <v>103</v>
      </c>
      <c r="F38" s="414">
        <v>0.12</v>
      </c>
      <c r="G38" s="161">
        <f>D38*F38</f>
        <v>19.581063432835823</v>
      </c>
      <c r="H38" s="161">
        <f>((D18*K18)+(D19*K19)+(D20*K20)+(D21*K21)+(D22*K22)+(D23*K23))/(1-F36-F37)/(1-(C38))</f>
        <v>279.7294776119403</v>
      </c>
      <c r="I38" s="309"/>
    </row>
    <row r="39" spans="1:25" s="99" customFormat="1" x14ac:dyDescent="0.3">
      <c r="B39" s="155"/>
      <c r="C39" s="155"/>
      <c r="D39" s="155"/>
      <c r="E39" s="161">
        <f>(O28)/(1-C36-C37-C38)</f>
        <v>0</v>
      </c>
      <c r="F39" s="156"/>
      <c r="G39" s="156"/>
      <c r="H39" s="155"/>
      <c r="I39" s="155"/>
      <c r="J39" s="157"/>
      <c r="K39" s="157"/>
      <c r="L39" s="157"/>
      <c r="M39" s="158"/>
      <c r="N39" s="158"/>
      <c r="O39" s="163"/>
    </row>
    <row r="40" spans="1:25" s="99" customFormat="1" x14ac:dyDescent="0.3">
      <c r="C40" s="164" t="s">
        <v>105</v>
      </c>
      <c r="D40" s="165" t="s">
        <v>106</v>
      </c>
      <c r="F40"/>
      <c r="G40"/>
      <c r="H40"/>
    </row>
    <row r="41" spans="1:25" s="99" customFormat="1" x14ac:dyDescent="0.3">
      <c r="C41" s="97"/>
      <c r="D41" s="97" t="s">
        <v>107</v>
      </c>
      <c r="F41" s="97"/>
      <c r="G41" s="97"/>
      <c r="H41" s="97"/>
      <c r="J41" s="97"/>
    </row>
    <row r="42" spans="1:25" customFormat="1" x14ac:dyDescent="0.3">
      <c r="B42" s="99"/>
      <c r="C42" s="97"/>
      <c r="D42" s="97"/>
      <c r="E42" s="99"/>
      <c r="F42" s="97"/>
      <c r="G42" s="97"/>
      <c r="H42" s="97"/>
      <c r="I42" s="99"/>
      <c r="J42" s="97"/>
      <c r="K42" s="99"/>
      <c r="L42" s="99"/>
      <c r="M42" s="99"/>
      <c r="N42" s="99"/>
      <c r="O42" s="99"/>
      <c r="Q42" s="99"/>
      <c r="R42" s="99"/>
      <c r="S42" s="99"/>
      <c r="T42" s="99"/>
      <c r="U42" s="99"/>
      <c r="V42" s="99"/>
      <c r="W42" s="99"/>
      <c r="X42" s="99"/>
      <c r="Y42" s="99"/>
    </row>
    <row r="43" spans="1:25" customFormat="1" x14ac:dyDescent="0.3">
      <c r="B43" s="99"/>
      <c r="C43" s="99"/>
      <c r="D43" s="99"/>
      <c r="E43" s="99"/>
      <c r="F43" s="99"/>
      <c r="G43" s="99"/>
      <c r="H43" s="99"/>
      <c r="Q43" s="99"/>
      <c r="R43" s="99"/>
      <c r="S43" s="99"/>
      <c r="T43" s="99"/>
      <c r="U43" s="99"/>
      <c r="V43" s="99"/>
      <c r="W43" s="99"/>
      <c r="X43" s="99"/>
      <c r="Y43" s="99"/>
    </row>
    <row r="44" spans="1:25" x14ac:dyDescent="0.3">
      <c r="B44" s="99"/>
      <c r="C44" s="99"/>
      <c r="D44" s="99"/>
      <c r="E44" s="99"/>
      <c r="F44" s="99"/>
      <c r="G44" s="99"/>
      <c r="H44" s="99"/>
      <c r="I44"/>
      <c r="J44"/>
      <c r="K44"/>
      <c r="L44"/>
      <c r="M44"/>
      <c r="N44"/>
      <c r="O44"/>
      <c r="P44"/>
    </row>
    <row r="45" spans="1:25" x14ac:dyDescent="0.3">
      <c r="B45" s="486" t="s">
        <v>306</v>
      </c>
      <c r="C45" s="487"/>
      <c r="D45" s="487"/>
      <c r="E45" s="487"/>
      <c r="F45" s="487"/>
      <c r="G45" s="487"/>
      <c r="H45" s="488"/>
      <c r="I45"/>
      <c r="J45" s="302"/>
      <c r="K45"/>
      <c r="L45"/>
      <c r="M45"/>
      <c r="N45"/>
      <c r="O45"/>
      <c r="P45"/>
    </row>
    <row r="46" spans="1:25" x14ac:dyDescent="0.3">
      <c r="A46" s="1" t="s">
        <v>0</v>
      </c>
      <c r="B46" s="112"/>
      <c r="C46" s="99"/>
      <c r="D46" s="98" t="s">
        <v>69</v>
      </c>
      <c r="E46" s="98" t="s">
        <v>70</v>
      </c>
      <c r="F46" s="98" t="s">
        <v>14</v>
      </c>
      <c r="G46" s="98" t="s">
        <v>15</v>
      </c>
      <c r="H46" s="169" t="s">
        <v>71</v>
      </c>
      <c r="I46"/>
      <c r="J46" s="302" t="s">
        <v>35</v>
      </c>
      <c r="K46" s="97"/>
      <c r="L46" s="350"/>
      <c r="M46"/>
      <c r="N46"/>
      <c r="O46"/>
      <c r="P46"/>
    </row>
    <row r="47" spans="1:25" x14ac:dyDescent="0.3">
      <c r="B47" s="217" t="s">
        <v>72</v>
      </c>
      <c r="C47" s="218"/>
      <c r="D47" s="219"/>
      <c r="E47" s="219"/>
      <c r="F47" s="219"/>
      <c r="G47" s="219"/>
      <c r="H47" s="220">
        <f>SUM(H49:H55)+SUM(H61:H63)</f>
        <v>313.43033826849683</v>
      </c>
      <c r="I47"/>
      <c r="J47"/>
      <c r="K47"/>
      <c r="L47"/>
      <c r="M47"/>
      <c r="N47"/>
      <c r="O47"/>
      <c r="P47"/>
      <c r="R47" s="308" t="s">
        <v>50</v>
      </c>
      <c r="S47" s="308" t="s">
        <v>51</v>
      </c>
    </row>
    <row r="48" spans="1:25" x14ac:dyDescent="0.3">
      <c r="B48" s="112"/>
      <c r="C48" s="99"/>
      <c r="D48" s="98"/>
      <c r="E48" s="98"/>
      <c r="F48" s="98"/>
      <c r="G48" s="98"/>
      <c r="H48" s="113"/>
      <c r="I48"/>
      <c r="J48"/>
      <c r="K48"/>
      <c r="L48"/>
      <c r="M48"/>
      <c r="N48"/>
      <c r="O48"/>
      <c r="P48"/>
      <c r="R48" s="327">
        <f>IF(AND($B$13&lt;$F$2,$E$13&lt;$F$2),R6,IF($B$13&lt;$F$2,X6,U6))</f>
        <v>0.11210689706248526</v>
      </c>
      <c r="S48" s="330">
        <f>D49*R48</f>
        <v>64.23725201680405</v>
      </c>
    </row>
    <row r="49" spans="2:16" x14ac:dyDescent="0.3">
      <c r="B49" s="112" t="s">
        <v>73</v>
      </c>
      <c r="C49" s="99"/>
      <c r="D49" s="228">
        <f>D18</f>
        <v>573</v>
      </c>
      <c r="E49" s="115">
        <f>IF(AND($B$13&lt;$F$2,$E$13&lt;$F$2),C6,IF($B$13&lt;$F$2,I6,F6))</f>
        <v>0.25774999999999998</v>
      </c>
      <c r="F49" s="115">
        <f>IF(AND($B$13&lt;$F$2,$E$13&lt;$F$2),D6,IF($B$13&lt;$F$2,J6,G6))</f>
        <v>0.17638000000000001</v>
      </c>
      <c r="G49" s="115">
        <f>E49+F49</f>
        <v>0.43413000000000002</v>
      </c>
      <c r="H49" s="116">
        <f>ROUND((D49*E49),2)+ROUND((D49*F49),2)</f>
        <v>248.76</v>
      </c>
      <c r="I49"/>
      <c r="J49"/>
      <c r="K49"/>
      <c r="L49"/>
      <c r="M49"/>
      <c r="N49"/>
      <c r="O49"/>
      <c r="P49"/>
    </row>
    <row r="50" spans="2:16" x14ac:dyDescent="0.3">
      <c r="B50" s="112"/>
      <c r="C50" s="99"/>
      <c r="D50" s="114" t="s">
        <v>0</v>
      </c>
      <c r="E50" s="117"/>
      <c r="F50" s="118"/>
      <c r="G50" s="118"/>
      <c r="H50" s="116"/>
      <c r="I50"/>
      <c r="J50"/>
      <c r="K50"/>
      <c r="L50"/>
      <c r="M50"/>
      <c r="N50"/>
      <c r="O50"/>
      <c r="P50"/>
    </row>
    <row r="51" spans="2:16" x14ac:dyDescent="0.3">
      <c r="B51" s="112"/>
      <c r="C51" s="99"/>
      <c r="D51" s="119"/>
      <c r="E51" s="99"/>
      <c r="F51" s="99"/>
      <c r="G51" s="99"/>
      <c r="H51" s="120"/>
      <c r="I51"/>
      <c r="J51"/>
      <c r="L51"/>
      <c r="M51"/>
      <c r="N51"/>
      <c r="O51"/>
      <c r="P51"/>
    </row>
    <row r="52" spans="2:16" x14ac:dyDescent="0.3">
      <c r="B52" s="112" t="s">
        <v>57</v>
      </c>
      <c r="C52" s="99"/>
      <c r="D52" s="121">
        <f>IF($K$11=M4,(D49*(K13)/(K13+L13)),0)+IF($L$11=M4,(D49*(L13)/(K13+L13)),0)</f>
        <v>118.55172413793103</v>
      </c>
      <c r="E52" s="99"/>
      <c r="F52" s="122">
        <f>N4</f>
        <v>1.8849999999999999E-2</v>
      </c>
      <c r="G52" s="122"/>
      <c r="H52" s="116">
        <f>ROUND(D52*(E52+F52),2)</f>
        <v>2.23</v>
      </c>
      <c r="I52"/>
      <c r="J52"/>
      <c r="L52"/>
      <c r="M52"/>
      <c r="N52"/>
      <c r="O52"/>
      <c r="P52"/>
    </row>
    <row r="53" spans="2:16" x14ac:dyDescent="0.3">
      <c r="B53" s="112" t="s">
        <v>58</v>
      </c>
      <c r="C53" s="99"/>
      <c r="D53" s="121">
        <f>IF($K$11=M5,(D49*(K13)/(K13+L13)),0)+IF($L$11=M5,(D49*(L13)/(K13+L13)),0)</f>
        <v>0</v>
      </c>
      <c r="E53" s="99"/>
      <c r="F53" s="122">
        <f>N5</f>
        <v>4.4630000000000003E-2</v>
      </c>
      <c r="G53" s="122"/>
      <c r="H53" s="116">
        <f>ROUND(D53*(E53+F53),2)</f>
        <v>0</v>
      </c>
      <c r="I53"/>
      <c r="J53"/>
      <c r="L53"/>
      <c r="M53"/>
      <c r="N53"/>
      <c r="O53"/>
      <c r="P53"/>
    </row>
    <row r="54" spans="2:16" x14ac:dyDescent="0.3">
      <c r="B54" s="112" t="s">
        <v>59</v>
      </c>
      <c r="C54" s="99"/>
      <c r="D54" s="121">
        <f>IF($K$11=M6,(D49*(K13)/(K13+L13)),0)+IF($L$11=M6,(D49*(L13)/(K13+L13)),0)</f>
        <v>0</v>
      </c>
      <c r="E54" s="99"/>
      <c r="F54" s="122">
        <f>N6</f>
        <v>7.8770000000000007E-2</v>
      </c>
      <c r="G54" s="122"/>
      <c r="H54" s="116">
        <f>ROUND(D54*(E54+F54),2)</f>
        <v>0</v>
      </c>
      <c r="I54"/>
      <c r="J54"/>
      <c r="L54"/>
      <c r="M54"/>
      <c r="N54"/>
      <c r="O54"/>
      <c r="P54"/>
    </row>
    <row r="55" spans="2:16" x14ac:dyDescent="0.3">
      <c r="B55" s="112" t="s">
        <v>74</v>
      </c>
      <c r="C55" s="99"/>
      <c r="D55" s="121">
        <f>IF($K$11=M7,(D49*(K13)/(K13+L13)),0)+IF($L$11=M7,(D49*(L13)/(K13+L13)),0)</f>
        <v>0</v>
      </c>
      <c r="E55" s="99"/>
      <c r="F55" s="122">
        <f>N7</f>
        <v>0.14199999999999999</v>
      </c>
      <c r="G55" s="122"/>
      <c r="H55" s="116">
        <f>ROUND(D55*(E55+F55),2)</f>
        <v>0</v>
      </c>
      <c r="I55"/>
      <c r="J55"/>
      <c r="L55"/>
      <c r="M55"/>
      <c r="N55"/>
      <c r="O55"/>
      <c r="P55"/>
    </row>
    <row r="56" spans="2:16" x14ac:dyDescent="0.3">
      <c r="B56" s="112"/>
      <c r="C56" s="99"/>
      <c r="D56" s="119"/>
      <c r="E56" s="99"/>
      <c r="F56" s="99"/>
      <c r="G56" s="99"/>
      <c r="H56" s="116"/>
      <c r="I56"/>
      <c r="J56"/>
      <c r="L56"/>
      <c r="M56"/>
      <c r="N56"/>
      <c r="O56"/>
      <c r="P56"/>
    </row>
    <row r="57" spans="2:16" x14ac:dyDescent="0.3">
      <c r="B57" s="124"/>
      <c r="C57" s="103"/>
      <c r="D57" s="103"/>
      <c r="E57" s="103"/>
      <c r="F57" s="103"/>
      <c r="G57" s="103"/>
      <c r="H57" s="125"/>
      <c r="I57"/>
      <c r="J57"/>
      <c r="L57"/>
      <c r="M57"/>
      <c r="N57"/>
      <c r="O57"/>
      <c r="P57"/>
    </row>
    <row r="58" spans="2:16" x14ac:dyDescent="0.3">
      <c r="B58" s="126"/>
      <c r="C58" s="127"/>
      <c r="D58" s="128"/>
      <c r="E58" s="129"/>
      <c r="F58" s="127"/>
      <c r="G58" s="127"/>
      <c r="H58" s="130"/>
      <c r="I58"/>
      <c r="J58"/>
      <c r="L58"/>
      <c r="M58"/>
      <c r="N58"/>
      <c r="O58"/>
      <c r="P58"/>
    </row>
    <row r="59" spans="2:16" x14ac:dyDescent="0.3">
      <c r="B59" s="131"/>
      <c r="C59" s="132"/>
      <c r="D59" s="132"/>
      <c r="E59" s="132"/>
      <c r="F59" s="132"/>
      <c r="G59" s="132"/>
      <c r="H59" s="133"/>
      <c r="I59"/>
      <c r="J59"/>
      <c r="L59"/>
      <c r="M59"/>
      <c r="N59"/>
      <c r="O59"/>
      <c r="P59"/>
    </row>
    <row r="60" spans="2:16" x14ac:dyDescent="0.3">
      <c r="B60" s="112"/>
      <c r="C60" s="99"/>
      <c r="D60" s="95" t="s">
        <v>75</v>
      </c>
      <c r="E60" s="111"/>
      <c r="F60" s="111"/>
      <c r="G60" s="111"/>
      <c r="H60" s="134"/>
      <c r="I60"/>
      <c r="J60"/>
      <c r="K60" s="14"/>
      <c r="L60"/>
      <c r="M60"/>
      <c r="N60"/>
      <c r="O60"/>
      <c r="P60"/>
    </row>
    <row r="61" spans="2:16" x14ac:dyDescent="0.3">
      <c r="B61" s="112" t="s">
        <v>76</v>
      </c>
      <c r="C61" s="99"/>
      <c r="D61" s="136">
        <f>(H49+H52+H53+H54+H55)/(1-(E61+E62))</f>
        <v>260.14718076285237</v>
      </c>
      <c r="E61" s="352">
        <f>N18</f>
        <v>6.3E-3</v>
      </c>
      <c r="F61" s="99"/>
      <c r="G61" s="99"/>
      <c r="H61" s="116">
        <f>D61*E61</f>
        <v>1.6389272388059699</v>
      </c>
      <c r="I61"/>
      <c r="J61"/>
      <c r="L61"/>
      <c r="M61"/>
      <c r="N61"/>
      <c r="O61"/>
      <c r="P61"/>
    </row>
    <row r="62" spans="2:16" x14ac:dyDescent="0.3">
      <c r="B62" s="112" t="s">
        <v>56</v>
      </c>
      <c r="C62" s="99"/>
      <c r="D62" s="136">
        <f>D61</f>
        <v>260.14718076285237</v>
      </c>
      <c r="E62" s="352">
        <f>N19</f>
        <v>2.8899999999999999E-2</v>
      </c>
      <c r="F62" s="99"/>
      <c r="G62" s="99"/>
      <c r="H62" s="116">
        <f>D62*E62</f>
        <v>7.5182535240464334</v>
      </c>
      <c r="I62"/>
      <c r="J62"/>
      <c r="L62"/>
      <c r="M62"/>
      <c r="N62"/>
      <c r="O62"/>
      <c r="P62"/>
    </row>
    <row r="63" spans="2:16" x14ac:dyDescent="0.3">
      <c r="B63" s="112" t="s">
        <v>77</v>
      </c>
      <c r="C63" s="99"/>
      <c r="D63" s="307">
        <f>IF((E63=17%),(D61)/(1-(E63)),D72)</f>
        <v>313.43033826849683</v>
      </c>
      <c r="E63" s="150">
        <f>I18</f>
        <v>0.17</v>
      </c>
      <c r="F63" s="99"/>
      <c r="G63" s="99"/>
      <c r="H63" s="116">
        <f>D63*E63</f>
        <v>53.283157505644461</v>
      </c>
      <c r="I63"/>
      <c r="J63"/>
      <c r="L63"/>
      <c r="M63"/>
      <c r="N63"/>
      <c r="O63"/>
      <c r="P63"/>
    </row>
    <row r="64" spans="2:16" x14ac:dyDescent="0.3">
      <c r="B64" s="126"/>
      <c r="C64" s="127"/>
      <c r="D64" s="127"/>
      <c r="E64" s="127"/>
      <c r="F64" s="127"/>
      <c r="G64" s="127"/>
      <c r="H64" s="137"/>
      <c r="I64"/>
      <c r="J64"/>
      <c r="L64"/>
      <c r="M64"/>
      <c r="N64"/>
      <c r="O64"/>
      <c r="P64"/>
    </row>
    <row r="65" spans="2:16" x14ac:dyDescent="0.3">
      <c r="B65" s="366" t="s">
        <v>78</v>
      </c>
      <c r="C65" s="367"/>
      <c r="D65" s="368">
        <f>D49</f>
        <v>573</v>
      </c>
      <c r="E65" s="369">
        <f>IF(AND($B$13&lt;$F$2,$E$13&lt;$F$2),C7,IF($B$13&lt;$F$2,I7,F7))</f>
        <v>1.03260968221576E-4</v>
      </c>
      <c r="F65" s="369">
        <f>IF(AND($B$13&lt;$F$2,$E$13&lt;$F$2),D7,IF($B$13&lt;$F$2,J7,G7))</f>
        <v>-2.4217219077964001E-3</v>
      </c>
      <c r="G65" s="367"/>
      <c r="H65" s="366">
        <f>D65*(E65+F65)</f>
        <v>-1.3284781183763743</v>
      </c>
      <c r="I65"/>
      <c r="J65"/>
      <c r="L65"/>
      <c r="M65"/>
      <c r="N65"/>
      <c r="O65"/>
      <c r="P65"/>
    </row>
    <row r="66" spans="2:16" x14ac:dyDescent="0.3">
      <c r="B66" s="99"/>
      <c r="C66" s="99"/>
      <c r="D66" s="99"/>
      <c r="E66" s="99"/>
      <c r="F66" s="99"/>
      <c r="G66" s="99"/>
      <c r="H66" s="99"/>
      <c r="I66"/>
      <c r="J66"/>
      <c r="L66"/>
      <c r="M66"/>
      <c r="N66"/>
      <c r="O66"/>
      <c r="P66"/>
    </row>
    <row r="67" spans="2:16" x14ac:dyDescent="0.3">
      <c r="B67" s="99" t="s">
        <v>145</v>
      </c>
      <c r="C67" s="99"/>
      <c r="D67" s="99"/>
      <c r="E67" s="99"/>
      <c r="F67" s="99"/>
      <c r="G67" s="99"/>
      <c r="H67" s="99"/>
      <c r="I67"/>
      <c r="J67"/>
      <c r="L67"/>
      <c r="M67"/>
      <c r="N67"/>
      <c r="O67"/>
      <c r="P67"/>
    </row>
    <row r="68" spans="2:16" x14ac:dyDescent="0.3">
      <c r="B68" s="99"/>
      <c r="C68" s="99"/>
      <c r="D68" s="99"/>
      <c r="E68" s="99"/>
      <c r="F68" s="99"/>
      <c r="G68" s="99"/>
      <c r="H68" s="99"/>
      <c r="I68"/>
      <c r="J68"/>
      <c r="L68"/>
      <c r="M68"/>
      <c r="N68"/>
      <c r="O68"/>
    </row>
    <row r="69" spans="2:16" x14ac:dyDescent="0.3">
      <c r="B69" s="3"/>
      <c r="C69" s="3"/>
      <c r="D69" s="9"/>
      <c r="E69" s="6" t="s">
        <v>102</v>
      </c>
      <c r="F69" s="6"/>
    </row>
    <row r="70" spans="2:16" x14ac:dyDescent="0.3">
      <c r="B70" s="23" t="s">
        <v>54</v>
      </c>
      <c r="C70" s="24">
        <f>E61</f>
        <v>6.3E-3</v>
      </c>
      <c r="D70" s="33">
        <f>(H49+H52+H53+H54+H55)/(1-(F70+F71))</f>
        <v>260.14718076285237</v>
      </c>
      <c r="E70" s="38" t="s">
        <v>103</v>
      </c>
      <c r="F70" s="24">
        <f>C70</f>
        <v>6.3E-3</v>
      </c>
      <c r="G70" s="22">
        <f>D70*F70</f>
        <v>1.6389272388059699</v>
      </c>
    </row>
    <row r="71" spans="2:16" x14ac:dyDescent="0.3">
      <c r="B71" s="23" t="s">
        <v>56</v>
      </c>
      <c r="C71" s="24">
        <f>E62</f>
        <v>2.8899999999999999E-2</v>
      </c>
      <c r="D71" s="33">
        <f>D70</f>
        <v>260.14718076285237</v>
      </c>
      <c r="E71" s="38" t="s">
        <v>103</v>
      </c>
      <c r="F71" s="24">
        <f>C71</f>
        <v>2.8899999999999999E-2</v>
      </c>
      <c r="G71" s="22">
        <f>D71*F71</f>
        <v>7.5182535240464334</v>
      </c>
    </row>
    <row r="72" spans="2:16" x14ac:dyDescent="0.3">
      <c r="B72" s="23" t="s">
        <v>77</v>
      </c>
      <c r="C72" s="25">
        <v>7.0000000000000007E-2</v>
      </c>
      <c r="D72" s="42">
        <f>H72/F72*C72</f>
        <v>163.17475495877841</v>
      </c>
      <c r="E72" s="38" t="s">
        <v>103</v>
      </c>
      <c r="F72" s="26">
        <v>0.12</v>
      </c>
      <c r="G72" s="22">
        <f>D72*F72</f>
        <v>19.580970595053408</v>
      </c>
      <c r="H72" s="161">
        <f>((SUM(H49:H55))/(1-F70-F71)/(1-(C72)))</f>
        <v>279.7281513579058</v>
      </c>
    </row>
    <row r="73" spans="2:16" x14ac:dyDescent="0.3">
      <c r="B73" s="3"/>
      <c r="C73" s="3"/>
      <c r="D73" s="22">
        <f>(O62)/(1-C70-C71-C72)</f>
        <v>0</v>
      </c>
      <c r="E73" s="8"/>
      <c r="F73" s="8"/>
      <c r="G73" s="3"/>
      <c r="H73" s="3"/>
      <c r="I73" s="9"/>
      <c r="J73" s="9"/>
      <c r="K73" s="9"/>
      <c r="L73" s="6"/>
      <c r="N73" s="6"/>
      <c r="O73" s="11"/>
    </row>
    <row r="75" spans="2:16" x14ac:dyDescent="0.3">
      <c r="B75"/>
      <c r="C75"/>
      <c r="D75" s="27" t="s">
        <v>105</v>
      </c>
      <c r="E75" s="28" t="s">
        <v>106</v>
      </c>
      <c r="F75" s="49"/>
      <c r="G75" t="s">
        <v>117</v>
      </c>
      <c r="H75" s="29">
        <f>H72/F72*C72</f>
        <v>163.17475495877841</v>
      </c>
    </row>
    <row r="76" spans="2:16" x14ac:dyDescent="0.3">
      <c r="B76"/>
      <c r="C76"/>
      <c r="D76"/>
      <c r="E76" t="s">
        <v>107</v>
      </c>
      <c r="F76"/>
      <c r="G76"/>
      <c r="H76"/>
      <c r="I76"/>
    </row>
    <row r="79" spans="2:16" x14ac:dyDescent="0.3">
      <c r="B79" s="63" t="s">
        <v>79</v>
      </c>
      <c r="D79" s="13"/>
      <c r="E79" s="13"/>
      <c r="F79" s="13"/>
      <c r="G79" s="13"/>
    </row>
    <row r="80" spans="2:16" x14ac:dyDescent="0.3">
      <c r="B80" s="56"/>
      <c r="C80" s="57" t="s">
        <v>71</v>
      </c>
    </row>
    <row r="81" spans="2:10" x14ac:dyDescent="0.3">
      <c r="B81" s="56" t="s">
        <v>80</v>
      </c>
      <c r="C81" s="58">
        <f>SUM(H49:H55)*IF($B$13&lt;$F$2,D126,D98)</f>
        <v>113.56398112140302</v>
      </c>
    </row>
    <row r="82" spans="2:10" x14ac:dyDescent="0.3">
      <c r="B82" s="56" t="s">
        <v>81</v>
      </c>
      <c r="C82" s="58">
        <f>SUM(H49:H55)*IF($B$13&lt;$F$2,F126,F98)</f>
        <v>69.024542183794367</v>
      </c>
    </row>
    <row r="83" spans="2:10" x14ac:dyDescent="0.3">
      <c r="B83" s="56" t="s">
        <v>82</v>
      </c>
      <c r="C83" s="58">
        <f>SUM(H49:H55)*IF($B$13&lt;$F$2,E126,E98)</f>
        <v>18.563072596557816</v>
      </c>
      <c r="J83" s="103"/>
    </row>
    <row r="84" spans="2:10" x14ac:dyDescent="0.3">
      <c r="B84" s="56" t="s">
        <v>83</v>
      </c>
      <c r="C84" s="58">
        <f>SUM(H49:H55)*IF($B$13&lt;$F$2,G126,G98)</f>
        <v>49.838404098244759</v>
      </c>
    </row>
    <row r="85" spans="2:10" x14ac:dyDescent="0.3">
      <c r="B85" s="56" t="s">
        <v>84</v>
      </c>
      <c r="C85" s="59">
        <f>H61+H62+H63</f>
        <v>62.440338268496866</v>
      </c>
    </row>
    <row r="86" spans="2:10" x14ac:dyDescent="0.3">
      <c r="B86" s="60" t="s">
        <v>85</v>
      </c>
      <c r="C86" s="61">
        <f>SUM(C81:C85)</f>
        <v>313.43033826849683</v>
      </c>
    </row>
    <row r="88" spans="2:10" x14ac:dyDescent="0.3">
      <c r="B88" s="15">
        <f>'Fatura B1 (Res) OK'!$B$68</f>
        <v>2024</v>
      </c>
      <c r="C88" s="15"/>
      <c r="D88" s="15" t="str">
        <f>'Fatura B1 (Res) OK'!$D$68</f>
        <v>Energia</v>
      </c>
      <c r="E88" s="15" t="str">
        <f>'Fatura B1 (Res) OK'!$E$68</f>
        <v>Transmissão</v>
      </c>
      <c r="F88" s="15" t="str">
        <f>'Fatura B1 (Res) OK'!$F$68</f>
        <v>Distribuição</v>
      </c>
      <c r="G88" s="15" t="str">
        <f>'Fatura B1 (Res) OK'!$G$68</f>
        <v>Setoriais</v>
      </c>
    </row>
    <row r="89" spans="2:10" x14ac:dyDescent="0.3">
      <c r="B89" s="15" t="str">
        <f>'Fatura B1 (Res) OK'!$B$69</f>
        <v>Grupo B</v>
      </c>
      <c r="C89" s="15"/>
      <c r="D89" s="15" t="str">
        <f>'Fatura B1 (Res) OK'!$D$69</f>
        <v>%</v>
      </c>
      <c r="E89" s="15" t="str">
        <f>'Fatura B1 (Res) OK'!$E$69</f>
        <v>%</v>
      </c>
      <c r="F89" s="15" t="str">
        <f>'Fatura B1 (Res) OK'!$F$69</f>
        <v>%</v>
      </c>
      <c r="G89" s="15" t="str">
        <f>'Fatura B1 (Res) OK'!$G$69</f>
        <v>%</v>
      </c>
    </row>
    <row r="90" spans="2:10" x14ac:dyDescent="0.3">
      <c r="B90" s="15"/>
      <c r="C90" s="15"/>
      <c r="D90" s="15"/>
      <c r="E90" s="15"/>
      <c r="F90" s="15"/>
      <c r="G90" s="15"/>
    </row>
    <row r="91" spans="2:10" x14ac:dyDescent="0.3">
      <c r="B91" s="15" t="str">
        <f>'Fatura B1 (Res) OK'!$B$71</f>
        <v>B1 - Residencial</v>
      </c>
      <c r="C91" s="15"/>
      <c r="D91" s="62">
        <f>'Fatura B1 (Res) OK'!$D$71</f>
        <v>0.45246416638672077</v>
      </c>
      <c r="E91" s="62">
        <f>'Fatura B1 (Res) OK'!$E$71</f>
        <v>7.39594111182032E-2</v>
      </c>
      <c r="F91" s="62">
        <f>'Fatura B1 (Res) OK'!$F$71</f>
        <v>0.27500913257019954</v>
      </c>
      <c r="G91" s="62">
        <f>'Fatura B1 (Res) OK'!$G$71</f>
        <v>0.19856728992487654</v>
      </c>
    </row>
    <row r="92" spans="2:10" x14ac:dyDescent="0.3">
      <c r="B92" s="15" t="str">
        <f>'Fatura B1 (Res) OK'!$B$72</f>
        <v>B1 - Residencial Baixa Renda</v>
      </c>
      <c r="C92" s="15"/>
      <c r="D92" s="62">
        <f>'Fatura B1 (Res) OK'!$D$72</f>
        <v>0.53149575868436638</v>
      </c>
      <c r="E92" s="62">
        <f>'Fatura B1 (Res) OK'!$E$72</f>
        <v>8.6877848555460851E-2</v>
      </c>
      <c r="F92" s="62">
        <f>'Fatura B1 (Res) OK'!$F$72</f>
        <v>0.32304478104372042</v>
      </c>
      <c r="G92" s="62">
        <f>'Fatura B1 (Res) OK'!$G$72</f>
        <v>5.8581611716452382E-2</v>
      </c>
    </row>
    <row r="93" spans="2:10" x14ac:dyDescent="0.3">
      <c r="B93" s="15" t="str">
        <f>'Fatura B1 (Res) OK'!$B$73</f>
        <v>B2 - Rural</v>
      </c>
      <c r="C93" s="15"/>
      <c r="D93" s="62">
        <f>'Fatura B1 (Res) OK'!$D$73</f>
        <v>0.45246416638672077</v>
      </c>
      <c r="E93" s="62">
        <f>'Fatura B1 (Res) OK'!$E$73</f>
        <v>7.39594111182032E-2</v>
      </c>
      <c r="F93" s="62">
        <f>'Fatura B1 (Res) OK'!$F$73</f>
        <v>0.27500913257019954</v>
      </c>
      <c r="G93" s="62">
        <f>'Fatura B1 (Res) OK'!$G$73</f>
        <v>0.19856728992487654</v>
      </c>
    </row>
    <row r="94" spans="2:10" x14ac:dyDescent="0.3">
      <c r="B94" s="15" t="str">
        <f>'Fatura B1 (Res) OK'!$B$74</f>
        <v>B2 - Cooperativa Eletrificação Rural</v>
      </c>
      <c r="C94" s="15"/>
      <c r="D94" s="62">
        <f>'Fatura B1 (Res) OK'!$D$74</f>
        <v>0.45246416638672077</v>
      </c>
      <c r="E94" s="62">
        <f>'Fatura B1 (Res) OK'!$E$74</f>
        <v>7.39594111182032E-2</v>
      </c>
      <c r="F94" s="62">
        <f>'Fatura B1 (Res) OK'!$F$74</f>
        <v>0.27500913257019954</v>
      </c>
      <c r="G94" s="62">
        <f>'Fatura B1 (Res) OK'!$G$74</f>
        <v>0.19856728992487654</v>
      </c>
    </row>
    <row r="95" spans="2:10" x14ac:dyDescent="0.3">
      <c r="B95" s="15" t="str">
        <f>'Fatura B1 (Res) OK'!$B$75</f>
        <v>B2 - Serviço de Irrigação</v>
      </c>
      <c r="C95" s="15"/>
      <c r="D95" s="62">
        <f>'Fatura B1 (Res) OK'!$D$75</f>
        <v>0.45246416638672077</v>
      </c>
      <c r="E95" s="62">
        <f>'Fatura B1 (Res) OK'!$E$75</f>
        <v>7.39594111182032E-2</v>
      </c>
      <c r="F95" s="62">
        <f>'Fatura B1 (Res) OK'!$F$75</f>
        <v>0.27500913257019954</v>
      </c>
      <c r="G95" s="62">
        <f>'Fatura B1 (Res) OK'!$G$75</f>
        <v>0.19856728992487654</v>
      </c>
    </row>
    <row r="96" spans="2:10" x14ac:dyDescent="0.3">
      <c r="B96" s="15" t="str">
        <f>'Fatura B1 (Res) OK'!$B$76</f>
        <v>B3 - Demais Classes</v>
      </c>
      <c r="C96" s="15"/>
      <c r="D96" s="62">
        <f>'Fatura B1 (Res) OK'!$D$76</f>
        <v>0.45246416638672077</v>
      </c>
      <c r="E96" s="62">
        <f>'Fatura B1 (Res) OK'!$E$76</f>
        <v>7.39594111182032E-2</v>
      </c>
      <c r="F96" s="62">
        <f>'Fatura B1 (Res) OK'!$F$76</f>
        <v>0.27500913257019954</v>
      </c>
      <c r="G96" s="62">
        <f>'Fatura B1 (Res) OK'!$G$76</f>
        <v>0.19856728992487654</v>
      </c>
    </row>
    <row r="97" spans="2:7" x14ac:dyDescent="0.3">
      <c r="B97" s="15" t="str">
        <f>'Fatura B1 (Res) OK'!$B$77</f>
        <v>B4 - Iluminação Pública</v>
      </c>
      <c r="C97" s="15"/>
      <c r="D97" s="62">
        <f>'Fatura B1 (Res) OK'!$D$77</f>
        <v>0.45246416638672071</v>
      </c>
      <c r="E97" s="62">
        <f>'Fatura B1 (Res) OK'!$E$77</f>
        <v>7.3959411118203186E-2</v>
      </c>
      <c r="F97" s="62">
        <f>'Fatura B1 (Res) OK'!$F$77</f>
        <v>0.27500913257019949</v>
      </c>
      <c r="G97" s="62">
        <f>'Fatura B1 (Res) OK'!$G$77</f>
        <v>0.19856728992487654</v>
      </c>
    </row>
    <row r="98" spans="2:7" x14ac:dyDescent="0.3">
      <c r="B98" s="15" t="str">
        <f>'Fatura B1 (Res) OK'!$B$78</f>
        <v>B4a - Rede de Distribuição</v>
      </c>
      <c r="C98" s="15"/>
      <c r="D98" s="62">
        <f>'Fatura B1 (Res) OK'!$D$78</f>
        <v>0.45246416638672071</v>
      </c>
      <c r="E98" s="62">
        <f>'Fatura B1 (Res) OK'!$E$78</f>
        <v>7.3959411118203186E-2</v>
      </c>
      <c r="F98" s="62">
        <f>'Fatura B1 (Res) OK'!$F$78</f>
        <v>0.27500913257019949</v>
      </c>
      <c r="G98" s="62">
        <f>'Fatura B1 (Res) OK'!$G$78</f>
        <v>0.19856728992487654</v>
      </c>
    </row>
    <row r="99" spans="2:7" x14ac:dyDescent="0.3">
      <c r="B99" s="15" t="str">
        <f>'Fatura B1 (Res) OK'!$B$79</f>
        <v>B4b - Bulbo de Lâmpada</v>
      </c>
      <c r="C99" s="15"/>
      <c r="D99" s="62">
        <f>'Fatura B1 (Res) OK'!$D$79</f>
        <v>0.45246416638672071</v>
      </c>
      <c r="E99" s="62">
        <f>'Fatura B1 (Res) OK'!$E$79</f>
        <v>7.39594111182032E-2</v>
      </c>
      <c r="F99" s="62">
        <f>'Fatura B1 (Res) OK'!$F$79</f>
        <v>0.27500913257019954</v>
      </c>
      <c r="G99" s="62">
        <f>'Fatura B1 (Res) OK'!$G$79</f>
        <v>0.19856728992487657</v>
      </c>
    </row>
    <row r="100" spans="2:7" x14ac:dyDescent="0.3">
      <c r="B100" s="63"/>
      <c r="C100" s="63"/>
      <c r="D100" s="63"/>
      <c r="E100" s="63"/>
      <c r="F100" s="63"/>
      <c r="G100" s="63"/>
    </row>
    <row r="101" spans="2:7" x14ac:dyDescent="0.3">
      <c r="B101" s="63"/>
      <c r="C101" s="63"/>
      <c r="D101" s="63"/>
      <c r="E101" s="63"/>
      <c r="F101" s="63"/>
      <c r="G101" s="63"/>
    </row>
    <row r="102" spans="2:7" x14ac:dyDescent="0.3">
      <c r="B102" s="63">
        <f>'Fatura B1 (Res) OK'!$B$82</f>
        <v>2023</v>
      </c>
      <c r="C102" s="63"/>
      <c r="D102" s="15" t="str">
        <f>'Fatura B1 (Res) OK'!$D$68</f>
        <v>Energia</v>
      </c>
      <c r="E102" s="15" t="str">
        <f>'Fatura B1 (Res) OK'!$E$68</f>
        <v>Transmissão</v>
      </c>
      <c r="F102" s="15" t="str">
        <f>'Fatura B1 (Res) OK'!$F$68</f>
        <v>Distribuição</v>
      </c>
      <c r="G102" s="15" t="str">
        <f>'Fatura B1 (Res) OK'!$G$68</f>
        <v>Setoriais</v>
      </c>
    </row>
    <row r="103" spans="2:7" x14ac:dyDescent="0.3">
      <c r="B103" s="63" t="str">
        <f>'Fatura B1 (Res) OK'!$B$83</f>
        <v>Grupo B</v>
      </c>
      <c r="C103" s="63"/>
      <c r="D103" s="15" t="str">
        <f>'Fatura B1 (Res) OK'!$D$69</f>
        <v>%</v>
      </c>
      <c r="E103" s="15" t="str">
        <f>'Fatura B1 (Res) OK'!$E$69</f>
        <v>%</v>
      </c>
      <c r="F103" s="15" t="str">
        <f>'Fatura B1 (Res) OK'!$F$69</f>
        <v>%</v>
      </c>
      <c r="G103" s="15" t="str">
        <f>'Fatura B1 (Res) OK'!$G$69</f>
        <v>%</v>
      </c>
    </row>
    <row r="104" spans="2:7" x14ac:dyDescent="0.3">
      <c r="B104" s="15"/>
      <c r="C104" s="15"/>
      <c r="D104" s="15"/>
      <c r="E104" s="15"/>
      <c r="F104" s="15"/>
      <c r="G104" s="15"/>
    </row>
    <row r="105" spans="2:7" x14ac:dyDescent="0.3">
      <c r="B105" s="15" t="str">
        <f>'Fatura B1 (Res) OK'!$B$85</f>
        <v>B1 - Residencial</v>
      </c>
      <c r="C105" s="15"/>
      <c r="D105" s="62">
        <f>'Fatura B1 (Res) OK'!$D$85</f>
        <v>0.43939696077133034</v>
      </c>
      <c r="E105" s="62">
        <f>'Fatura B1 (Res) OK'!$E$85</f>
        <v>9.2697585625348772E-2</v>
      </c>
      <c r="F105" s="62">
        <f>'Fatura B1 (Res) OK'!$F$85</f>
        <v>0.25285207888477268</v>
      </c>
      <c r="G105" s="62">
        <f>'Fatura B1 (Res) OK'!$G$85</f>
        <v>0.21506308252114117</v>
      </c>
    </row>
    <row r="106" spans="2:7" x14ac:dyDescent="0.3">
      <c r="B106" s="15" t="str">
        <f>'Fatura B1 (Res) OK'!$B$86</f>
        <v>B1 - Residencial Baixa Renda</v>
      </c>
      <c r="C106" s="15"/>
      <c r="D106" s="62">
        <f>'Fatura B1 (Res) OK'!$D$86</f>
        <v>0.52691619996872485</v>
      </c>
      <c r="E106" s="62">
        <f>'Fatura B1 (Res) OK'!$E$86</f>
        <v>0.11116112291319068</v>
      </c>
      <c r="F106" s="62">
        <f>'Fatura B1 (Res) OK'!$F$86</f>
        <v>0.30321524374287334</v>
      </c>
      <c r="G106" s="62">
        <f>'Fatura B1 (Res) OK'!$G$86</f>
        <v>5.8707433375211129E-2</v>
      </c>
    </row>
    <row r="107" spans="2:7" x14ac:dyDescent="0.3">
      <c r="B107" s="15" t="str">
        <f>'Fatura B1 (Res) OK'!$B$87</f>
        <v>B2 - Rural</v>
      </c>
      <c r="C107" s="15"/>
      <c r="D107" s="62">
        <f>'Fatura B1 (Res) OK'!$D$87</f>
        <v>0.43939300245552615</v>
      </c>
      <c r="E107" s="62">
        <f>'Fatura B1 (Res) OK'!$E$87</f>
        <v>9.2696750557401245E-2</v>
      </c>
      <c r="F107" s="62">
        <f>'Fatura B1 (Res) OK'!$F$87</f>
        <v>0.25284980106205335</v>
      </c>
      <c r="G107" s="62">
        <f>'Fatura B1 (Res) OK'!$G$87</f>
        <v>0.21506044592501908</v>
      </c>
    </row>
    <row r="108" spans="2:7" x14ac:dyDescent="0.3">
      <c r="B108" s="15" t="str">
        <f>'Fatura B1 (Res) OK'!$B$88</f>
        <v>B2 - Cooperativa Eletrificação Rural</v>
      </c>
      <c r="C108" s="15"/>
      <c r="D108" s="62">
        <f>'Fatura B1 (Res) OK'!$D$88</f>
        <v>0.43939300245552615</v>
      </c>
      <c r="E108" s="62">
        <f>'Fatura B1 (Res) OK'!$E$88</f>
        <v>9.2696750557401245E-2</v>
      </c>
      <c r="F108" s="62">
        <f>'Fatura B1 (Res) OK'!$F$88</f>
        <v>0.25284980106205335</v>
      </c>
      <c r="G108" s="62">
        <f>'Fatura B1 (Res) OK'!$G$88</f>
        <v>0.21506044592501908</v>
      </c>
    </row>
    <row r="109" spans="2:7" x14ac:dyDescent="0.3">
      <c r="B109" s="15" t="str">
        <f>'Fatura B1 (Res) OK'!$B$89</f>
        <v>B2 - Serviço de Irrigação</v>
      </c>
      <c r="C109" s="15"/>
      <c r="D109" s="62">
        <f>'Fatura B1 (Res) OK'!$D$89</f>
        <v>0.43939300245552615</v>
      </c>
      <c r="E109" s="62">
        <f>'Fatura B1 (Res) OK'!$E$89</f>
        <v>9.2696750557401328E-2</v>
      </c>
      <c r="F109" s="62">
        <f>'Fatura B1 (Res) OK'!$F$89</f>
        <v>0.25284980106205335</v>
      </c>
      <c r="G109" s="62">
        <f>'Fatura B1 (Res) OK'!$G$89</f>
        <v>0.21506044592501908</v>
      </c>
    </row>
    <row r="110" spans="2:7" x14ac:dyDescent="0.3">
      <c r="B110" s="15" t="str">
        <f>'Fatura B1 (Res) OK'!$B$90</f>
        <v>B3 - Demais Classes</v>
      </c>
      <c r="C110" s="15"/>
      <c r="D110" s="62">
        <f>'Fatura B1 (Res) OK'!$D$90</f>
        <v>0.43939300245552615</v>
      </c>
      <c r="E110" s="62">
        <f>'Fatura B1 (Res) OK'!$E$90</f>
        <v>9.2696750557401328E-2</v>
      </c>
      <c r="F110" s="62">
        <f>'Fatura B1 (Res) OK'!$F$90</f>
        <v>0.25284980106205335</v>
      </c>
      <c r="G110" s="62">
        <f>'Fatura B1 (Res) OK'!$G$90</f>
        <v>0.21506044592501908</v>
      </c>
    </row>
    <row r="111" spans="2:7" x14ac:dyDescent="0.3">
      <c r="B111" s="15" t="str">
        <f>'Fatura B1 (Res) OK'!$B$91</f>
        <v>B4 - Iluminação Pública</v>
      </c>
      <c r="C111" s="15"/>
      <c r="D111" s="62">
        <f>'Fatura B1 (Res) OK'!$D$91</f>
        <v>0</v>
      </c>
      <c r="E111" s="62">
        <f>'Fatura B1 (Res) OK'!$E$91</f>
        <v>0</v>
      </c>
      <c r="F111" s="62">
        <f>'Fatura B1 (Res) OK'!$F$91</f>
        <v>0</v>
      </c>
      <c r="G111" s="62">
        <f>'Fatura B1 (Res) OK'!$G$91</f>
        <v>0</v>
      </c>
    </row>
    <row r="112" spans="2:7" x14ac:dyDescent="0.3">
      <c r="B112" s="15" t="str">
        <f>'Fatura B1 (Res) OK'!$B$92</f>
        <v>B4a - Rede de Distribuição</v>
      </c>
      <c r="C112" s="15"/>
      <c r="D112" s="62">
        <f>'Fatura B1 (Res) OK'!$D$92</f>
        <v>0.43938945729126549</v>
      </c>
      <c r="E112" s="62">
        <f>'Fatura B1 (Res) OK'!$E$92</f>
        <v>9.2697336752737058E-2</v>
      </c>
      <c r="F112" s="62">
        <f>'Fatura B1 (Res) OK'!$F$92</f>
        <v>0.25285140003260154</v>
      </c>
      <c r="G112" s="62">
        <f>'Fatura B1 (Res) OK'!$G$92</f>
        <v>0.21506180592339591</v>
      </c>
    </row>
    <row r="113" spans="2:7" x14ac:dyDescent="0.3">
      <c r="B113" s="15" t="str">
        <f>'Fatura B1 (Res) OK'!$B$93</f>
        <v>B4b - Bulbo de Lâmpada</v>
      </c>
      <c r="C113" s="15"/>
      <c r="D113" s="62">
        <f>'Fatura B1 (Res) OK'!$D$93</f>
        <v>0.43938945729126527</v>
      </c>
      <c r="E113" s="62">
        <f>'Fatura B1 (Res) OK'!$E$93</f>
        <v>9.2697336752736934E-2</v>
      </c>
      <c r="F113" s="62">
        <f>'Fatura B1 (Res) OK'!$F$93</f>
        <v>0.25285140003260193</v>
      </c>
      <c r="G113" s="62">
        <f>'Fatura B1 (Res) OK'!$G$93</f>
        <v>0.21506180592339585</v>
      </c>
    </row>
    <row r="114" spans="2:7" x14ac:dyDescent="0.3">
      <c r="B114" s="63"/>
      <c r="C114" s="63"/>
      <c r="D114" s="63"/>
      <c r="E114" s="63"/>
      <c r="F114" s="63"/>
      <c r="G114" s="63"/>
    </row>
    <row r="115" spans="2:7" x14ac:dyDescent="0.3">
      <c r="B115" s="101" t="s">
        <v>98</v>
      </c>
      <c r="C115" s="63"/>
      <c r="D115" s="63"/>
      <c r="E115" s="63"/>
      <c r="F115" s="63"/>
      <c r="G115" s="63"/>
    </row>
    <row r="116" spans="2:7" x14ac:dyDescent="0.3">
      <c r="B116" s="15"/>
      <c r="C116" s="15"/>
      <c r="D116" s="15" t="s">
        <v>80</v>
      </c>
      <c r="E116" s="15" t="s">
        <v>82</v>
      </c>
      <c r="F116" s="15" t="s">
        <v>81</v>
      </c>
      <c r="G116" s="15" t="s">
        <v>86</v>
      </c>
    </row>
    <row r="117" spans="2:7" x14ac:dyDescent="0.3">
      <c r="B117" s="15" t="s">
        <v>87</v>
      </c>
      <c r="C117" s="15"/>
      <c r="D117" s="62" t="s">
        <v>88</v>
      </c>
      <c r="E117" s="62" t="s">
        <v>88</v>
      </c>
      <c r="F117" s="62" t="s">
        <v>88</v>
      </c>
      <c r="G117" s="62" t="s">
        <v>88</v>
      </c>
    </row>
    <row r="118" spans="2:7" x14ac:dyDescent="0.3">
      <c r="B118" s="15"/>
      <c r="C118" s="15"/>
      <c r="D118" s="62"/>
      <c r="E118" s="62"/>
      <c r="F118" s="62"/>
      <c r="G118" s="62"/>
    </row>
    <row r="119" spans="2:7" x14ac:dyDescent="0.3">
      <c r="B119" s="15" t="s">
        <v>89</v>
      </c>
      <c r="C119" s="15"/>
      <c r="D119" s="62">
        <f>((D105*$C$13)+(D91*$D$13))/($C$13+$D$13)</f>
        <v>0.45246416638672077</v>
      </c>
      <c r="E119" s="62">
        <f t="shared" ref="E119:G119" si="8">((E105*$C$13)+(E91*$D$13))/($C$13+$D$13)</f>
        <v>7.39594111182032E-2</v>
      </c>
      <c r="F119" s="62">
        <f t="shared" si="8"/>
        <v>0.27500913257019954</v>
      </c>
      <c r="G119" s="62">
        <f t="shared" si="8"/>
        <v>0.19856728992487654</v>
      </c>
    </row>
    <row r="120" spans="2:7" x14ac:dyDescent="0.3">
      <c r="B120" s="15" t="s">
        <v>90</v>
      </c>
      <c r="C120" s="15"/>
      <c r="D120" s="62">
        <f t="shared" ref="D120:G127" si="9">((D106*$C$13)+(D92*$D$13))/($C$13+$D$13)</f>
        <v>0.53149575868436638</v>
      </c>
      <c r="E120" s="62">
        <f t="shared" si="9"/>
        <v>8.6877848555460851E-2</v>
      </c>
      <c r="F120" s="62">
        <f t="shared" si="9"/>
        <v>0.32304478104372042</v>
      </c>
      <c r="G120" s="62">
        <f t="shared" si="9"/>
        <v>5.8581611716452382E-2</v>
      </c>
    </row>
    <row r="121" spans="2:7" x14ac:dyDescent="0.3">
      <c r="B121" s="15" t="s">
        <v>91</v>
      </c>
      <c r="C121" s="15"/>
      <c r="D121" s="62">
        <f t="shared" si="9"/>
        <v>0.45246416638672077</v>
      </c>
      <c r="E121" s="62">
        <f t="shared" si="9"/>
        <v>7.39594111182032E-2</v>
      </c>
      <c r="F121" s="62">
        <f t="shared" si="9"/>
        <v>0.27500913257019954</v>
      </c>
      <c r="G121" s="62">
        <f t="shared" si="9"/>
        <v>0.19856728992487654</v>
      </c>
    </row>
    <row r="122" spans="2:7" x14ac:dyDescent="0.3">
      <c r="B122" s="15" t="s">
        <v>92</v>
      </c>
      <c r="C122" s="15"/>
      <c r="D122" s="62">
        <f t="shared" si="9"/>
        <v>0.45246416638672077</v>
      </c>
      <c r="E122" s="62">
        <f t="shared" si="9"/>
        <v>7.39594111182032E-2</v>
      </c>
      <c r="F122" s="62">
        <f t="shared" si="9"/>
        <v>0.27500913257019954</v>
      </c>
      <c r="G122" s="62">
        <f t="shared" si="9"/>
        <v>0.19856728992487654</v>
      </c>
    </row>
    <row r="123" spans="2:7" x14ac:dyDescent="0.3">
      <c r="B123" s="15" t="s">
        <v>93</v>
      </c>
      <c r="C123" s="15"/>
      <c r="D123" s="62">
        <f t="shared" si="9"/>
        <v>0.45246416638672077</v>
      </c>
      <c r="E123" s="62">
        <f t="shared" si="9"/>
        <v>7.39594111182032E-2</v>
      </c>
      <c r="F123" s="62">
        <f t="shared" si="9"/>
        <v>0.27500913257019954</v>
      </c>
      <c r="G123" s="62">
        <f t="shared" si="9"/>
        <v>0.19856728992487654</v>
      </c>
    </row>
    <row r="124" spans="2:7" x14ac:dyDescent="0.3">
      <c r="B124" s="15" t="s">
        <v>94</v>
      </c>
      <c r="C124" s="15"/>
      <c r="D124" s="62">
        <f t="shared" si="9"/>
        <v>0.45246416638672077</v>
      </c>
      <c r="E124" s="62">
        <f t="shared" si="9"/>
        <v>7.39594111182032E-2</v>
      </c>
      <c r="F124" s="62">
        <f t="shared" si="9"/>
        <v>0.27500913257019954</v>
      </c>
      <c r="G124" s="62">
        <f t="shared" si="9"/>
        <v>0.19856728992487654</v>
      </c>
    </row>
    <row r="125" spans="2:7" x14ac:dyDescent="0.3">
      <c r="B125" s="15" t="s">
        <v>95</v>
      </c>
      <c r="C125" s="15"/>
      <c r="D125" s="62">
        <f t="shared" si="9"/>
        <v>0.45246416638672071</v>
      </c>
      <c r="E125" s="62">
        <f t="shared" si="9"/>
        <v>7.3959411118203186E-2</v>
      </c>
      <c r="F125" s="62">
        <f t="shared" si="9"/>
        <v>0.27500913257019949</v>
      </c>
      <c r="G125" s="62">
        <f t="shared" si="9"/>
        <v>0.19856728992487654</v>
      </c>
    </row>
    <row r="126" spans="2:7" x14ac:dyDescent="0.3">
      <c r="B126" s="15" t="s">
        <v>96</v>
      </c>
      <c r="C126" s="15"/>
      <c r="D126" s="62">
        <f t="shared" si="9"/>
        <v>0.45246416638672071</v>
      </c>
      <c r="E126" s="62">
        <f t="shared" si="9"/>
        <v>7.3959411118203186E-2</v>
      </c>
      <c r="F126" s="62">
        <f t="shared" si="9"/>
        <v>0.27500913257019949</v>
      </c>
      <c r="G126" s="62">
        <f t="shared" si="9"/>
        <v>0.19856728992487654</v>
      </c>
    </row>
    <row r="127" spans="2:7" x14ac:dyDescent="0.3">
      <c r="B127" s="15" t="s">
        <v>97</v>
      </c>
      <c r="C127" s="15"/>
      <c r="D127" s="62">
        <f t="shared" si="9"/>
        <v>0.45246416638672071</v>
      </c>
      <c r="E127" s="62">
        <f t="shared" si="9"/>
        <v>7.39594111182032E-2</v>
      </c>
      <c r="F127" s="62">
        <f t="shared" si="9"/>
        <v>0.27500913257019954</v>
      </c>
      <c r="G127" s="62">
        <f t="shared" si="9"/>
        <v>0.19856728992487657</v>
      </c>
    </row>
  </sheetData>
  <customSheetViews>
    <customSheetView guid="{D812A0C8-60A1-4775-A604-FC65C9DC40BF}" scale="70" showGridLines="0" topLeftCell="A2">
      <selection activeCell="Q30" sqref="Q30"/>
      <pageMargins left="0" right="0" top="0" bottom="0" header="0" footer="0"/>
      <pageSetup orientation="portrait" r:id="rId1"/>
    </customSheetView>
    <customSheetView guid="{8D3CE498-0ABB-4BB0-92D1-93DA2BDD5EDF}" scale="80" showGridLines="0" topLeftCell="A4">
      <selection activeCell="F33" sqref="F33"/>
      <pageMargins left="0" right="0" top="0" bottom="0" header="0" footer="0"/>
      <pageSetup orientation="portrait" r:id="rId2"/>
    </customSheetView>
    <customSheetView guid="{455EF305-F4BF-4162-9D3A-67B1D57A792B}" scale="80" showGridLines="0" topLeftCell="A13">
      <selection activeCell="J19" sqref="J19:L19"/>
      <pageMargins left="0" right="0" top="0" bottom="0" header="0" footer="0"/>
      <pageSetup orientation="portrait" r:id="rId3"/>
    </customSheetView>
    <customSheetView guid="{AED82DA2-4B0E-4368-BF7F-A78E16192BBB}" scale="80" showGridLines="0">
      <selection activeCell="P8" sqref="P8:U11"/>
      <pageMargins left="0" right="0" top="0" bottom="0" header="0" footer="0"/>
      <pageSetup orientation="portrait" r:id="rId4"/>
    </customSheetView>
    <customSheetView guid="{8AD5A21B-3743-481B-8B5E-3FEE10EB7B2F}" scale="80" showGridLines="0" topLeftCell="A4">
      <selection activeCell="Q14" sqref="Q14"/>
      <pageMargins left="0" right="0" top="0" bottom="0" header="0" footer="0"/>
      <pageSetup orientation="portrait" r:id="rId5"/>
    </customSheetView>
  </customSheetViews>
  <mergeCells count="9">
    <mergeCell ref="B45:H45"/>
    <mergeCell ref="K10:L10"/>
    <mergeCell ref="Q4:Q5"/>
    <mergeCell ref="R4:T4"/>
    <mergeCell ref="U4:W4"/>
    <mergeCell ref="B4:B5"/>
    <mergeCell ref="C4:E4"/>
    <mergeCell ref="F4:H4"/>
    <mergeCell ref="I4:K4"/>
  </mergeCells>
  <conditionalFormatting sqref="K11:L11">
    <cfRule type="cellIs" dxfId="27" priority="1" operator="equal">
      <formula>"Escassez Hídrica"</formula>
    </cfRule>
    <cfRule type="cellIs" dxfId="26" priority="2" operator="equal">
      <formula>"VERDE"</formula>
    </cfRule>
    <cfRule type="cellIs" dxfId="25" priority="3" operator="equal">
      <formula>"BVM2"</formula>
    </cfRule>
    <cfRule type="cellIs" dxfId="24" priority="4" operator="equal">
      <formula>"BVM1"</formula>
    </cfRule>
    <cfRule type="cellIs" dxfId="23" priority="5" operator="equal">
      <formula>"BAM"</formula>
    </cfRule>
  </conditionalFormatting>
  <conditionalFormatting sqref="M3">
    <cfRule type="cellIs" dxfId="22" priority="24" operator="equal">
      <formula>"VERDE"</formula>
    </cfRule>
    <cfRule type="cellIs" dxfId="21" priority="25" operator="equal">
      <formula>"BVM2"</formula>
    </cfRule>
    <cfRule type="cellIs" dxfId="20" priority="26" operator="equal">
      <formula>"BVM1"</formula>
    </cfRule>
    <cfRule type="cellIs" dxfId="19" priority="27" operator="equal">
      <formula>"BAM"</formula>
    </cfRule>
  </conditionalFormatting>
  <conditionalFormatting sqref="M7:M8">
    <cfRule type="containsText" dxfId="18" priority="11" operator="containsText" text="Escassez Hídrica">
      <formula>NOT(ISERROR(SEARCH("Escassez Hídrica",M7)))</formula>
    </cfRule>
    <cfRule type="cellIs" dxfId="17" priority="12" operator="equal">
      <formula>"VERDE"</formula>
    </cfRule>
    <cfRule type="cellIs" dxfId="16" priority="13" operator="equal">
      <formula>"BVM2"</formula>
    </cfRule>
    <cfRule type="cellIs" dxfId="15" priority="14" operator="equal">
      <formula>"BVM1"</formula>
    </cfRule>
    <cfRule type="cellIs" dxfId="14" priority="15" operator="equal">
      <formula>"BAM"</formula>
    </cfRule>
  </conditionalFormatting>
  <dataValidations count="1">
    <dataValidation type="list" allowBlank="1" showInputMessage="1" showErrorMessage="1" sqref="K11:L11" xr:uid="{00000000-0002-0000-0900-000000000000}">
      <formula1>$M$3:$M$7</formula1>
    </dataValidation>
  </dataValidations>
  <pageMargins left="0.511811024" right="0.511811024" top="0.78740157499999996" bottom="0.78740157499999996" header="0.31496062000000002" footer="0.31496062000000002"/>
  <pageSetup orientation="portrait" r:id="rId6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00E70-3B68-42A4-B135-FE62F2B7462E}">
  <sheetPr codeName="Planilha8">
    <tabColor rgb="FFFFFF00"/>
  </sheetPr>
  <dimension ref="A1:Z150"/>
  <sheetViews>
    <sheetView showGridLines="0" zoomScale="80" zoomScaleNormal="80" workbookViewId="0">
      <selection activeCell="C10" sqref="C10"/>
    </sheetView>
  </sheetViews>
  <sheetFormatPr defaultColWidth="9.109375" defaultRowHeight="14.4" x14ac:dyDescent="0.3"/>
  <cols>
    <col min="1" max="1" width="5.44140625" style="1" customWidth="1"/>
    <col min="2" max="2" width="20.6640625" style="1" customWidth="1"/>
    <col min="3" max="3" width="11.6640625" style="1" customWidth="1"/>
    <col min="4" max="4" width="13.109375" style="1" customWidth="1"/>
    <col min="5" max="15" width="11.6640625" style="1" customWidth="1"/>
    <col min="16" max="16" width="12.6640625" style="1" customWidth="1"/>
    <col min="17" max="17" width="9.44140625" style="99" bestFit="1" customWidth="1"/>
    <col min="18" max="18" width="13.6640625" style="99" customWidth="1"/>
    <col min="19" max="19" width="13.109375" style="99" bestFit="1" customWidth="1"/>
    <col min="20" max="20" width="11.33203125" style="99" bestFit="1" customWidth="1"/>
    <col min="21" max="21" width="12.109375" style="99" bestFit="1" customWidth="1"/>
    <col min="22" max="22" width="13.109375" style="99" bestFit="1" customWidth="1"/>
    <col min="23" max="23" width="11.33203125" style="99" bestFit="1" customWidth="1"/>
    <col min="24" max="24" width="12.109375" style="99" bestFit="1" customWidth="1"/>
    <col min="25" max="25" width="13.109375" style="99" bestFit="1" customWidth="1"/>
    <col min="26" max="26" width="11.33203125" style="99" bestFit="1" customWidth="1"/>
    <col min="27" max="16384" width="9.109375" style="1"/>
  </cols>
  <sheetData>
    <row r="1" spans="1:26" x14ac:dyDescent="0.3">
      <c r="A1" s="1" t="s">
        <v>0</v>
      </c>
      <c r="G1"/>
      <c r="H1"/>
      <c r="I1"/>
      <c r="J1"/>
      <c r="K1"/>
    </row>
    <row r="2" spans="1:26" ht="18" x14ac:dyDescent="0.3">
      <c r="B2" s="43" t="s">
        <v>139</v>
      </c>
      <c r="C2" s="99"/>
      <c r="D2" s="99"/>
      <c r="E2" s="102" t="s">
        <v>2</v>
      </c>
      <c r="F2" s="104">
        <f>'Fatura B1 (Res) OK'!$F$2</f>
        <v>45876</v>
      </c>
      <c r="G2" s="97"/>
      <c r="H2" s="97"/>
      <c r="I2" s="97"/>
      <c r="J2" s="97"/>
      <c r="K2" s="97"/>
      <c r="L2" s="99"/>
      <c r="M2" s="47" t="s">
        <v>3</v>
      </c>
      <c r="N2" s="47" t="s">
        <v>4</v>
      </c>
      <c r="O2" s="99"/>
      <c r="P2" s="99"/>
      <c r="Q2" s="308" t="s">
        <v>6</v>
      </c>
      <c r="R2" s="326"/>
    </row>
    <row r="3" spans="1:26" customFormat="1" x14ac:dyDescent="0.3">
      <c r="M3" s="93" t="s">
        <v>7</v>
      </c>
      <c r="N3" s="48">
        <v>0</v>
      </c>
      <c r="Q3" s="99"/>
      <c r="R3" s="99"/>
      <c r="S3" s="99"/>
      <c r="T3" s="99"/>
      <c r="U3" s="99"/>
      <c r="V3" s="99"/>
      <c r="W3" s="99"/>
      <c r="X3" s="99"/>
      <c r="Y3" s="99"/>
      <c r="Z3" s="99"/>
    </row>
    <row r="4" spans="1:26" s="99" customFormat="1" ht="15" customHeight="1" x14ac:dyDescent="0.3">
      <c r="B4" s="489" t="s">
        <v>140</v>
      </c>
      <c r="C4" s="481" t="str">
        <f>'Fatura B1 (Res) OK'!C4:E4</f>
        <v>TARIFA ANTIGA - REH 3370/2024</v>
      </c>
      <c r="D4" s="481"/>
      <c r="E4" s="481"/>
      <c r="F4" s="481" t="str">
        <f>'Fatura B1 (Res) OK'!F4:H4</f>
        <v>TARIFA NOVA - REH xxxx/2025</v>
      </c>
      <c r="G4" s="481"/>
      <c r="H4" s="481"/>
      <c r="I4" s="482" t="s">
        <v>11</v>
      </c>
      <c r="J4" s="482"/>
      <c r="K4" s="482"/>
      <c r="M4" s="229" t="str">
        <f>'Fatura B1 (Res) OK'!M4</f>
        <v>BAM</v>
      </c>
      <c r="N4" s="230">
        <f>'Fatura B1 (Res) OK'!$N$4</f>
        <v>1.8849999999999999E-2</v>
      </c>
      <c r="Q4" s="483" t="s">
        <v>8</v>
      </c>
      <c r="R4" s="478" t="str">
        <f>C4</f>
        <v>TARIFA ANTIGA - REH 3370/2024</v>
      </c>
      <c r="S4" s="479"/>
      <c r="T4" s="480"/>
      <c r="U4" s="478" t="str">
        <f>F4</f>
        <v>TARIFA NOVA - REH xxxx/2025</v>
      </c>
      <c r="V4" s="479"/>
      <c r="W4" s="480"/>
      <c r="X4" s="478" t="s">
        <v>11</v>
      </c>
      <c r="Y4" s="479"/>
      <c r="Z4" s="480"/>
    </row>
    <row r="5" spans="1:26" s="99" customFormat="1" x14ac:dyDescent="0.3">
      <c r="B5" s="490"/>
      <c r="C5" s="204" t="s">
        <v>13</v>
      </c>
      <c r="D5" s="204" t="s">
        <v>14</v>
      </c>
      <c r="E5" s="204" t="s">
        <v>15</v>
      </c>
      <c r="F5" s="204" t="s">
        <v>13</v>
      </c>
      <c r="G5" s="204" t="s">
        <v>14</v>
      </c>
      <c r="H5" s="204" t="s">
        <v>15</v>
      </c>
      <c r="I5" s="205" t="s">
        <v>13</v>
      </c>
      <c r="J5" s="205" t="s">
        <v>14</v>
      </c>
      <c r="K5" s="205" t="s">
        <v>15</v>
      </c>
      <c r="M5" s="231" t="str">
        <f>'Fatura B1 (Res) OK'!M5</f>
        <v>BVM1</v>
      </c>
      <c r="N5" s="232">
        <f>'Fatura B1 (Res) OK'!$N$5</f>
        <v>4.4630000000000003E-2</v>
      </c>
      <c r="Q5" s="484"/>
      <c r="R5" s="204" t="s">
        <v>17</v>
      </c>
      <c r="S5"/>
      <c r="T5"/>
      <c r="U5" s="204" t="s">
        <v>17</v>
      </c>
      <c r="V5"/>
      <c r="W5"/>
      <c r="X5" s="204" t="s">
        <v>17</v>
      </c>
      <c r="Y5"/>
      <c r="Z5"/>
    </row>
    <row r="6" spans="1:26" s="99" customFormat="1" x14ac:dyDescent="0.3">
      <c r="B6" s="207" t="s">
        <v>141</v>
      </c>
      <c r="C6" s="203">
        <f>'TABELA DE TARIFAS ANTIGAS'!G88/1000</f>
        <v>0.38351000000000002</v>
      </c>
      <c r="D6" s="203">
        <f>'TABELA DE TARIFAS ANTIGAS'!H88/1000</f>
        <v>0.30096000000000001</v>
      </c>
      <c r="E6" s="203">
        <f>C6+D6</f>
        <v>0.68447000000000002</v>
      </c>
      <c r="F6" s="203">
        <f>'TABELA DE TARIFAS NOVAS'!G88/1000</f>
        <v>0.46862999999999999</v>
      </c>
      <c r="G6" s="203">
        <f>'TABELA DE TARIFAS NOVAS'!H88/1000</f>
        <v>0.32068000000000002</v>
      </c>
      <c r="H6" s="203">
        <f>F6+G6</f>
        <v>0.78930999999999996</v>
      </c>
      <c r="I6" s="203">
        <f>((C6*$C$13)+(F6*$D$13))/($D$13+$C$13)</f>
        <v>0.46862999999999999</v>
      </c>
      <c r="J6" s="203">
        <f>((D6*$C$13)+(G6*$D$13))/($D$13+$C$13)</f>
        <v>0.32068000000000002</v>
      </c>
      <c r="K6" s="206">
        <f>I6+J6</f>
        <v>0.78930999999999996</v>
      </c>
      <c r="M6" s="39" t="str">
        <f>'Fatura B1 (Res) OK'!M6</f>
        <v>BVM2</v>
      </c>
      <c r="N6" s="40">
        <f>'Fatura B1 (Res) OK'!$N$6</f>
        <v>7.8770000000000007E-2</v>
      </c>
      <c r="Q6" s="207" t="str">
        <f>B6</f>
        <v>B3</v>
      </c>
      <c r="R6" s="203">
        <f>'FIO B'!H33/1000</f>
        <v>0.18823431351264014</v>
      </c>
      <c r="S6"/>
      <c r="T6"/>
      <c r="U6" s="203">
        <f>'FIO B'!K33/1000</f>
        <v>0.20383072193179136</v>
      </c>
      <c r="V6"/>
      <c r="W6"/>
      <c r="X6" s="203">
        <f>((R6*$C$13)+(U6*$D$13))/($D$13+$C$13)</f>
        <v>0.20383072193179136</v>
      </c>
      <c r="Y6"/>
      <c r="Z6"/>
    </row>
    <row r="7" spans="1:26" customFormat="1" x14ac:dyDescent="0.3">
      <c r="B7" s="370" t="s">
        <v>20</v>
      </c>
      <c r="C7" s="387">
        <v>1.7567285996534902E-4</v>
      </c>
      <c r="D7" s="393">
        <v>3.42973552660492E-3</v>
      </c>
      <c r="E7" s="206">
        <v>3.6054083865702689E-3</v>
      </c>
      <c r="F7" s="206">
        <f>T11</f>
        <v>1.8774721494831901E-4</v>
      </c>
      <c r="G7" s="206">
        <f>U11</f>
        <v>-4.4031307414479802E-3</v>
      </c>
      <c r="H7" s="206">
        <f>F7+G7</f>
        <v>-4.2153835264996612E-3</v>
      </c>
      <c r="I7" s="203">
        <f>((C7*$C$13)+(F7*$D$13))/($D$13+$C$13)</f>
        <v>1.8774721494831901E-4</v>
      </c>
      <c r="J7" s="203">
        <f>((D7*$C$13)+(G7*$D$13))/($D$13+$C$13)</f>
        <v>-4.4031307414479802E-3</v>
      </c>
      <c r="K7" s="206">
        <f>I7+J7</f>
        <v>-4.2153835264996612E-3</v>
      </c>
      <c r="M7" s="93" t="s">
        <v>21</v>
      </c>
      <c r="N7" s="305">
        <f>'Fatura B1 (Res) OK'!$N$7</f>
        <v>0.14199999999999999</v>
      </c>
    </row>
    <row r="8" spans="1:26" customFormat="1" x14ac:dyDescent="0.3">
      <c r="P8" s="99"/>
      <c r="Q8" s="99"/>
      <c r="R8" s="99"/>
      <c r="S8" s="99"/>
      <c r="T8" s="99"/>
      <c r="U8" s="99"/>
    </row>
    <row r="9" spans="1:26" x14ac:dyDescent="0.3">
      <c r="B9" s="131"/>
      <c r="C9" s="132"/>
      <c r="D9" s="209"/>
      <c r="E9" s="132"/>
      <c r="F9" s="132"/>
      <c r="G9" s="132"/>
      <c r="H9" s="210" t="s">
        <v>22</v>
      </c>
      <c r="I9" s="97"/>
      <c r="J9" s="99"/>
      <c r="K9" s="99"/>
      <c r="L9" s="102" t="s">
        <v>23</v>
      </c>
      <c r="M9" s="104">
        <f>EOMONTH(B13,0)+1</f>
        <v>46143</v>
      </c>
      <c r="P9"/>
      <c r="Q9"/>
      <c r="R9"/>
      <c r="S9"/>
      <c r="T9"/>
      <c r="U9"/>
      <c r="V9"/>
      <c r="W9"/>
      <c r="X9"/>
      <c r="Y9"/>
      <c r="Z9"/>
    </row>
    <row r="10" spans="1:26" x14ac:dyDescent="0.3">
      <c r="B10" s="211" t="s">
        <v>24</v>
      </c>
      <c r="C10" s="105" t="s">
        <v>303</v>
      </c>
      <c r="D10" s="99"/>
      <c r="E10" s="97"/>
      <c r="F10" s="97"/>
      <c r="G10" s="97"/>
      <c r="H10" s="212">
        <f>E13</f>
        <v>46148</v>
      </c>
      <c r="J10" s="99"/>
      <c r="K10" s="485" t="s">
        <v>25</v>
      </c>
      <c r="L10" s="485"/>
      <c r="M10" s="99"/>
      <c r="P10" s="374" t="s">
        <v>26</v>
      </c>
      <c r="Q10" s="375"/>
      <c r="R10" s="371" t="s">
        <v>27</v>
      </c>
      <c r="S10" s="371" t="s">
        <v>28</v>
      </c>
      <c r="T10" s="371" t="s">
        <v>17</v>
      </c>
      <c r="U10" s="371" t="s">
        <v>29</v>
      </c>
      <c r="V10"/>
      <c r="W10"/>
      <c r="X10"/>
      <c r="Y10"/>
      <c r="Z10"/>
    </row>
    <row r="11" spans="1:26" x14ac:dyDescent="0.3">
      <c r="B11" s="112"/>
      <c r="C11" s="99"/>
      <c r="D11" s="99"/>
      <c r="E11" s="99"/>
      <c r="F11" s="99"/>
      <c r="G11" s="99"/>
      <c r="H11" s="213"/>
      <c r="J11" s="99"/>
      <c r="K11" s="93" t="str">
        <f>'Fatura B1 (Res) OK'!K11</f>
        <v>VERDE</v>
      </c>
      <c r="L11" s="93" t="str">
        <f>'Fatura B1 (Res) OK'!L11</f>
        <v>BAM</v>
      </c>
      <c r="M11" s="99"/>
      <c r="P11" s="376" t="s">
        <v>30</v>
      </c>
      <c r="Q11" s="377"/>
      <c r="R11" s="373"/>
      <c r="S11" s="373"/>
      <c r="T11" s="387">
        <f>0.187747214948319/1000</f>
        <v>1.8774721494831901E-4</v>
      </c>
      <c r="U11" s="393">
        <f>-4.40313074144798/1000</f>
        <v>-4.4031307414479802E-3</v>
      </c>
      <c r="V11" s="97"/>
      <c r="W11" s="97"/>
      <c r="X11" s="97"/>
      <c r="Y11" s="97"/>
      <c r="Z11" s="97"/>
    </row>
    <row r="12" spans="1:26" ht="41.4" x14ac:dyDescent="0.3">
      <c r="B12" s="94" t="s">
        <v>31</v>
      </c>
      <c r="C12" s="94" t="s">
        <v>32</v>
      </c>
      <c r="D12" s="94" t="s">
        <v>33</v>
      </c>
      <c r="E12" s="94" t="s">
        <v>34</v>
      </c>
      <c r="F12" s="97"/>
      <c r="G12" s="97"/>
      <c r="H12" s="214"/>
      <c r="I12" s="97"/>
      <c r="J12" s="94" t="s">
        <v>31</v>
      </c>
      <c r="K12" s="94" t="s">
        <v>32</v>
      </c>
      <c r="L12" s="94" t="s">
        <v>33</v>
      </c>
      <c r="M12" s="94" t="s">
        <v>34</v>
      </c>
    </row>
    <row r="13" spans="1:26" x14ac:dyDescent="0.3">
      <c r="A13" s="1" t="s">
        <v>0</v>
      </c>
      <c r="B13" s="227">
        <f>'Fatura B1 (Res) OK'!B13</f>
        <v>46119</v>
      </c>
      <c r="C13" s="106">
        <f>IF((F2-B13-1)&lt;0,0,(F2-B13-1))</f>
        <v>0</v>
      </c>
      <c r="D13" s="106">
        <f>E13-F2+1</f>
        <v>273</v>
      </c>
      <c r="E13" s="227">
        <f>'Fatura B1 (Res) OK'!E13</f>
        <v>46148</v>
      </c>
      <c r="F13" s="215"/>
      <c r="G13" s="215"/>
      <c r="H13" s="216"/>
      <c r="I13" s="97"/>
      <c r="J13" s="107">
        <f>B13</f>
        <v>46119</v>
      </c>
      <c r="K13" s="108">
        <f>IF((M9-J13-1)&lt;0,0,(M9-J13-1))</f>
        <v>23</v>
      </c>
      <c r="L13" s="108">
        <f>M13-M9+1</f>
        <v>6</v>
      </c>
      <c r="M13" s="107">
        <f>E13</f>
        <v>46148</v>
      </c>
    </row>
    <row r="14" spans="1:26" customFormat="1" x14ac:dyDescent="0.3">
      <c r="B14" s="99"/>
      <c r="C14" s="99"/>
      <c r="D14" s="99"/>
      <c r="E14" s="99"/>
      <c r="F14" s="99"/>
      <c r="G14" s="99"/>
      <c r="H14" s="99"/>
      <c r="J14" s="302"/>
      <c r="P14" s="302" t="s">
        <v>35</v>
      </c>
      <c r="Q14" s="97"/>
      <c r="R14" s="350" t="s">
        <v>303</v>
      </c>
      <c r="S14" s="99"/>
      <c r="T14" s="99"/>
      <c r="U14" s="99"/>
      <c r="V14" s="99"/>
      <c r="W14" s="99"/>
      <c r="X14" s="99"/>
      <c r="Y14" s="99"/>
      <c r="Z14" s="99"/>
    </row>
    <row r="15" spans="1:26" customFormat="1" x14ac:dyDescent="0.3">
      <c r="B15" s="99"/>
      <c r="C15" s="99"/>
      <c r="D15" s="99"/>
      <c r="E15" s="99"/>
      <c r="F15" s="99"/>
      <c r="G15" s="99"/>
      <c r="H15" s="99"/>
      <c r="J15" s="302"/>
      <c r="Q15" s="99"/>
      <c r="R15" s="99"/>
      <c r="S15" s="99"/>
      <c r="T15" s="99"/>
      <c r="U15" s="99"/>
      <c r="V15" s="99"/>
      <c r="W15" s="99"/>
      <c r="X15" s="99"/>
      <c r="Y15" s="99"/>
      <c r="Z15" s="99"/>
    </row>
    <row r="16" spans="1:26" s="99" customFormat="1" ht="42" customHeight="1" x14ac:dyDescent="0.3">
      <c r="B16" s="394" t="s">
        <v>36</v>
      </c>
      <c r="C16" s="394" t="s">
        <v>37</v>
      </c>
      <c r="D16" s="394" t="s">
        <v>38</v>
      </c>
      <c r="E16" s="395" t="s">
        <v>39</v>
      </c>
      <c r="F16" s="395" t="s">
        <v>40</v>
      </c>
      <c r="G16" s="395" t="s">
        <v>41</v>
      </c>
      <c r="H16" s="395" t="s">
        <v>42</v>
      </c>
      <c r="I16" s="395" t="s">
        <v>43</v>
      </c>
      <c r="J16" s="395" t="s">
        <v>44</v>
      </c>
      <c r="K16" s="396" t="s">
        <v>45</v>
      </c>
      <c r="L16" s="394" t="s">
        <v>46</v>
      </c>
      <c r="M16" s="395" t="s">
        <v>47</v>
      </c>
      <c r="N16" s="395" t="s">
        <v>48</v>
      </c>
      <c r="O16" s="395" t="s">
        <v>49</v>
      </c>
    </row>
    <row r="17" spans="2:19" s="99" customFormat="1" x14ac:dyDescent="0.3">
      <c r="B17" s="401"/>
      <c r="C17" s="401"/>
      <c r="D17" s="401"/>
      <c r="E17" s="401"/>
      <c r="F17" s="401"/>
      <c r="G17" s="401"/>
      <c r="H17" s="401"/>
      <c r="I17" s="401"/>
      <c r="J17" s="401"/>
      <c r="K17" s="401"/>
      <c r="L17" s="120"/>
      <c r="M17" s="397"/>
      <c r="N17" s="397"/>
      <c r="O17" s="397"/>
      <c r="R17" s="308" t="s">
        <v>50</v>
      </c>
      <c r="S17" s="308" t="s">
        <v>51</v>
      </c>
    </row>
    <row r="18" spans="2:19" s="99" customFormat="1" x14ac:dyDescent="0.3">
      <c r="B18" s="397" t="s">
        <v>52</v>
      </c>
      <c r="C18" s="398" t="s">
        <v>53</v>
      </c>
      <c r="D18" s="437">
        <v>666</v>
      </c>
      <c r="E18" s="406">
        <f>(ROUND(D18*K18,2)+ROUND(G18,2)+ROUND(J18,2))/ROUND(D18,4)</f>
        <v>0.58522522522522524</v>
      </c>
      <c r="F18" s="404">
        <f t="shared" ref="F18:F23" si="0">ROUND(D18*E18,2)</f>
        <v>389.76</v>
      </c>
      <c r="G18" s="404">
        <f t="shared" ref="G18:G23" si="1">((D18*K18)/(1-$N$18-$N$19))*($N$18+$N$19)</f>
        <v>11.387009552238803</v>
      </c>
      <c r="H18" s="411">
        <f t="shared" ref="H18:H23" si="2">(IF($I$18=12%,(D18*K18)/(1-$N$18-$N$19)/(1-$C$42)/$F$42*$C$42,(D18*K18)/(1-$N$18-$N$19)/(1-$I$18)))</f>
        <v>389.75251753281782</v>
      </c>
      <c r="I18" s="403">
        <v>0.17</v>
      </c>
      <c r="J18" s="411">
        <f t="shared" ref="J18:J23" si="3">H18*$I$18</f>
        <v>66.257927980579041</v>
      </c>
      <c r="K18" s="406">
        <f>IF(AND($B$13&lt;$F$2,$E$13&lt;$F$2),C6,IF($B$13&lt;$F$2,I6,F6))</f>
        <v>0.46862999999999999</v>
      </c>
      <c r="L18" s="169" t="s">
        <v>54</v>
      </c>
      <c r="M18" s="404">
        <f>((D18*K18)+(D19*K19)+(D20*K20)+(D21*K21)+(D22*K22)+(D23*K23))/(1-$N$18-$N$19)</f>
        <v>547.55167910447767</v>
      </c>
      <c r="N18" s="399">
        <f>'Fatura B1 (Res) OK'!N18</f>
        <v>6.3E-3</v>
      </c>
      <c r="O18" s="413">
        <f>ROUND(M18*N18,2)</f>
        <v>3.45</v>
      </c>
      <c r="R18" s="327">
        <f>IF(AND($B$13&lt;$F$2,$E$13&lt;$F$2),R6,IF($B$13&lt;$F$2,X6,U6))</f>
        <v>0.20383072193179136</v>
      </c>
      <c r="S18" s="328">
        <f>D18*R18</f>
        <v>135.75126080657304</v>
      </c>
    </row>
    <row r="19" spans="2:19" s="99" customFormat="1" x14ac:dyDescent="0.3">
      <c r="B19" s="397" t="s">
        <v>55</v>
      </c>
      <c r="C19" s="398" t="s">
        <v>53</v>
      </c>
      <c r="D19" s="438">
        <f>D18</f>
        <v>666</v>
      </c>
      <c r="E19" s="442">
        <f>K19/(1-$N$18-$N$19)/(1-$I$18)</f>
        <v>0.40045755159943258</v>
      </c>
      <c r="F19" s="404">
        <f t="shared" si="0"/>
        <v>266.7</v>
      </c>
      <c r="G19" s="404">
        <f t="shared" si="1"/>
        <v>7.7920453731343287</v>
      </c>
      <c r="H19" s="411">
        <f t="shared" si="2"/>
        <v>266.70472936522214</v>
      </c>
      <c r="I19" s="397"/>
      <c r="J19" s="411">
        <f t="shared" si="3"/>
        <v>45.339803992087766</v>
      </c>
      <c r="K19" s="406">
        <f>IF(AND($B$13&lt;$F$2,$E$13&lt;$F$2),D6,IF($B$13&lt;$F$2,J6,G6))</f>
        <v>0.32068000000000002</v>
      </c>
      <c r="L19" s="169" t="s">
        <v>56</v>
      </c>
      <c r="M19" s="404">
        <f>D65</f>
        <v>547.55389718076299</v>
      </c>
      <c r="N19" s="399">
        <f>'Fatura B1 (Res) OK'!N19</f>
        <v>2.8899999999999999E-2</v>
      </c>
      <c r="O19" s="413">
        <f>ROUND(M19*N19,2)</f>
        <v>15.82</v>
      </c>
    </row>
    <row r="20" spans="2:19" s="99" customFormat="1" x14ac:dyDescent="0.3">
      <c r="B20" s="397" t="s">
        <v>57</v>
      </c>
      <c r="C20" s="398" t="s">
        <v>53</v>
      </c>
      <c r="D20" s="438">
        <f>IF($K$11=M4,(D18*(K13)/(K13+L13)),0)+IF($L$11=M4,(D18*(L13)/(K13+L13)),0)</f>
        <v>137.79310344827587</v>
      </c>
      <c r="E20" s="406">
        <f>IFERROR((ROUND(D20*K20,2)+ROUND(G20,2)+ROUND(J20,2))/ROUND(D20,4), 0)</f>
        <v>2.3513514101939793E-2</v>
      </c>
      <c r="F20" s="404">
        <f t="shared" si="0"/>
        <v>3.24</v>
      </c>
      <c r="G20" s="404">
        <f t="shared" si="1"/>
        <v>9.4764179104477597E-2</v>
      </c>
      <c r="H20" s="411">
        <f t="shared" si="2"/>
        <v>3.2435713001258768</v>
      </c>
      <c r="I20" s="397"/>
      <c r="J20" s="411">
        <f t="shared" si="3"/>
        <v>0.5514071210213991</v>
      </c>
      <c r="K20" s="406">
        <f>N4</f>
        <v>1.8849999999999999E-2</v>
      </c>
      <c r="L20" s="137"/>
      <c r="M20" s="400"/>
      <c r="N20" s="400"/>
      <c r="O20" s="400"/>
      <c r="R20" s="408"/>
    </row>
    <row r="21" spans="2:19" s="99" customFormat="1" x14ac:dyDescent="0.3">
      <c r="B21" s="397" t="s">
        <v>58</v>
      </c>
      <c r="C21" s="398" t="s">
        <v>53</v>
      </c>
      <c r="D21" s="438">
        <f>IF($K$11=M5,(D18*(K13)/(K13+L13)),0)+IF($L$11=M5,(D18*(L13)/(K13+L13)),0)</f>
        <v>0</v>
      </c>
      <c r="E21" s="406">
        <f>K21/(1-$N$18-$N$19)/(1-$I$18)</f>
        <v>5.5732881775859666E-2</v>
      </c>
      <c r="F21" s="404">
        <f t="shared" si="0"/>
        <v>0</v>
      </c>
      <c r="G21" s="404">
        <f t="shared" si="1"/>
        <v>0</v>
      </c>
      <c r="H21" s="411">
        <f t="shared" si="2"/>
        <v>0</v>
      </c>
      <c r="I21" s="397"/>
      <c r="J21" s="411">
        <f t="shared" si="3"/>
        <v>0</v>
      </c>
      <c r="K21" s="406">
        <f>N5</f>
        <v>4.4630000000000003E-2</v>
      </c>
      <c r="O21" s="120"/>
      <c r="R21" s="408"/>
    </row>
    <row r="22" spans="2:19" s="99" customFormat="1" x14ac:dyDescent="0.3">
      <c r="B22" s="397" t="s">
        <v>59</v>
      </c>
      <c r="C22" s="398" t="s">
        <v>53</v>
      </c>
      <c r="D22" s="438">
        <f>IF($K$11=M6,(D18*(K13)/(K13+L13)),0)+IF($L$11=M6,(D18*(L13)/(K13+L13)),0)</f>
        <v>0</v>
      </c>
      <c r="E22" s="406">
        <f>K22/(1-$N$18-$N$19)/(1-$I$18)</f>
        <v>9.8366101220803637E-2</v>
      </c>
      <c r="F22" s="404">
        <f t="shared" si="0"/>
        <v>0</v>
      </c>
      <c r="G22" s="404">
        <f t="shared" si="1"/>
        <v>0</v>
      </c>
      <c r="H22" s="411">
        <f t="shared" si="2"/>
        <v>0</v>
      </c>
      <c r="I22" s="397"/>
      <c r="J22" s="411">
        <f t="shared" si="3"/>
        <v>0</v>
      </c>
      <c r="K22" s="406">
        <f>N6</f>
        <v>7.8770000000000007E-2</v>
      </c>
      <c r="O22" s="120"/>
      <c r="R22" s="409"/>
    </row>
    <row r="23" spans="2:19" s="99" customFormat="1" x14ac:dyDescent="0.3">
      <c r="B23" s="397" t="s">
        <v>60</v>
      </c>
      <c r="C23" s="398" t="s">
        <v>53</v>
      </c>
      <c r="D23" s="438">
        <f>IF($K$11=M7,(D18*(K13)/(K13+L13)),0)+IF($L$11=M7,(D18*(L13)/(K13+L13)),0)</f>
        <v>0</v>
      </c>
      <c r="E23" s="406">
        <f>K23/(1-$N$18-$N$19)/(1-$I$18)</f>
        <v>0.17732622030410197</v>
      </c>
      <c r="F23" s="404">
        <f t="shared" si="0"/>
        <v>0</v>
      </c>
      <c r="G23" s="404">
        <f t="shared" si="1"/>
        <v>0</v>
      </c>
      <c r="H23" s="411">
        <f t="shared" si="2"/>
        <v>0</v>
      </c>
      <c r="I23" s="397"/>
      <c r="J23" s="411">
        <f t="shared" si="3"/>
        <v>0</v>
      </c>
      <c r="K23" s="406">
        <f>N7</f>
        <v>0.14199999999999999</v>
      </c>
      <c r="O23" s="120"/>
    </row>
    <row r="24" spans="2:19" s="99" customFormat="1" x14ac:dyDescent="0.3">
      <c r="B24" s="397" t="s">
        <v>61</v>
      </c>
      <c r="C24" s="397"/>
      <c r="D24" s="438"/>
      <c r="E24" s="397"/>
      <c r="F24" s="402"/>
      <c r="G24" s="397"/>
      <c r="H24" s="397"/>
      <c r="I24" s="397"/>
      <c r="J24" s="397"/>
      <c r="K24" s="397"/>
      <c r="O24" s="120"/>
    </row>
    <row r="25" spans="2:19" s="99" customFormat="1" x14ac:dyDescent="0.3">
      <c r="B25" s="397" t="s">
        <v>62</v>
      </c>
      <c r="C25" s="397"/>
      <c r="D25" s="438"/>
      <c r="E25" s="397"/>
      <c r="F25" s="402"/>
      <c r="G25" s="397"/>
      <c r="H25" s="397"/>
      <c r="I25" s="397"/>
      <c r="J25" s="397"/>
      <c r="K25" s="397"/>
      <c r="O25" s="120"/>
    </row>
    <row r="26" spans="2:19" s="99" customFormat="1" x14ac:dyDescent="0.3">
      <c r="B26" s="397" t="s">
        <v>307</v>
      </c>
      <c r="C26" s="397"/>
      <c r="D26" s="438"/>
      <c r="E26" s="397"/>
      <c r="F26" s="402">
        <f>-(SUM(F18:F25)*0.65%)</f>
        <v>-4.288050000000001</v>
      </c>
      <c r="G26" s="397"/>
      <c r="H26" s="397"/>
      <c r="I26" s="397"/>
      <c r="J26" s="397"/>
      <c r="K26" s="397"/>
      <c r="O26" s="120"/>
    </row>
    <row r="27" spans="2:19" s="99" customFormat="1" x14ac:dyDescent="0.3">
      <c r="B27" s="397" t="s">
        <v>308</v>
      </c>
      <c r="C27" s="397"/>
      <c r="D27" s="438"/>
      <c r="E27" s="397"/>
      <c r="F27" s="402">
        <f>-(SUM($F$18:$F$25)*1%)</f>
        <v>-6.5970000000000004</v>
      </c>
      <c r="G27" s="397"/>
      <c r="H27" s="397"/>
      <c r="I27" s="397"/>
      <c r="J27" s="397"/>
      <c r="K27" s="397"/>
      <c r="O27" s="120"/>
    </row>
    <row r="28" spans="2:19" s="99" customFormat="1" x14ac:dyDescent="0.3">
      <c r="B28" s="397" t="s">
        <v>305</v>
      </c>
      <c r="C28" s="397"/>
      <c r="D28" s="438"/>
      <c r="E28" s="397"/>
      <c r="F28" s="402">
        <f>-(SUM($F$18:$F$25)*1.2%)</f>
        <v>-7.9164000000000003</v>
      </c>
      <c r="G28" s="397"/>
      <c r="H28" s="397"/>
      <c r="I28" s="397"/>
      <c r="J28" s="397"/>
      <c r="K28" s="397"/>
      <c r="O28" s="120"/>
    </row>
    <row r="29" spans="2:19" s="99" customFormat="1" x14ac:dyDescent="0.3">
      <c r="B29" s="397" t="s">
        <v>309</v>
      </c>
      <c r="C29" s="397"/>
      <c r="D29" s="438"/>
      <c r="E29" s="397"/>
      <c r="F29" s="402">
        <f>-(SUM($F$18:$F$25)*3%)</f>
        <v>-19.791</v>
      </c>
      <c r="G29" s="397"/>
      <c r="H29" s="397"/>
      <c r="I29" s="397"/>
      <c r="J29" s="397"/>
      <c r="K29" s="397"/>
      <c r="O29" s="120"/>
    </row>
    <row r="30" spans="2:19" s="99" customFormat="1" x14ac:dyDescent="0.3">
      <c r="B30" s="397" t="s">
        <v>63</v>
      </c>
      <c r="C30" s="397"/>
      <c r="D30" s="438"/>
      <c r="E30" s="397"/>
      <c r="F30" s="402"/>
      <c r="G30" s="397"/>
      <c r="H30" s="397"/>
      <c r="I30" s="397"/>
      <c r="J30" s="397"/>
      <c r="K30" s="397"/>
      <c r="O30" s="120"/>
    </row>
    <row r="31" spans="2:19" s="99" customFormat="1" x14ac:dyDescent="0.3">
      <c r="B31" s="397" t="s">
        <v>65</v>
      </c>
      <c r="C31" s="397"/>
      <c r="D31" s="438"/>
      <c r="E31" s="397"/>
      <c r="F31" s="402">
        <v>131.5</v>
      </c>
      <c r="G31" s="397"/>
      <c r="H31" s="397"/>
      <c r="I31" s="397"/>
      <c r="J31" s="397"/>
      <c r="K31" s="397"/>
      <c r="O31" s="120"/>
    </row>
    <row r="32" spans="2:19" s="99" customFormat="1" x14ac:dyDescent="0.3">
      <c r="B32" s="397"/>
      <c r="C32" s="397"/>
      <c r="D32" s="438"/>
      <c r="E32" s="397"/>
      <c r="F32" s="397"/>
      <c r="G32" s="397"/>
      <c r="H32" s="397"/>
      <c r="I32" s="397"/>
      <c r="J32" s="397"/>
      <c r="K32" s="397"/>
      <c r="O32" s="120"/>
    </row>
    <row r="33" spans="1:26" s="99" customFormat="1" x14ac:dyDescent="0.3">
      <c r="B33" s="397"/>
      <c r="C33" s="397"/>
      <c r="D33" s="438"/>
      <c r="E33" s="397"/>
      <c r="F33" s="397"/>
      <c r="G33" s="397"/>
      <c r="H33" s="397"/>
      <c r="I33" s="397"/>
      <c r="J33" s="397"/>
      <c r="K33" s="397"/>
      <c r="O33" s="120"/>
    </row>
    <row r="34" spans="1:26" s="99" customFormat="1" x14ac:dyDescent="0.3">
      <c r="B34" s="405" t="s">
        <v>66</v>
      </c>
      <c r="C34" s="400"/>
      <c r="D34" s="439"/>
      <c r="E34" s="400"/>
      <c r="F34" s="407">
        <f>SUM(F18:F33)</f>
        <v>752.60755000000006</v>
      </c>
      <c r="G34" s="410">
        <f>SUM(G18:G33)</f>
        <v>19.273819104477607</v>
      </c>
      <c r="H34" s="412">
        <f>SUM(H18:H33)</f>
        <v>659.70081819816585</v>
      </c>
      <c r="I34" s="400"/>
      <c r="J34" s="412">
        <f>SUM(J18:J33)</f>
        <v>112.14913909368821</v>
      </c>
      <c r="K34" s="400"/>
      <c r="L34" s="127"/>
      <c r="M34" s="127"/>
      <c r="N34" s="127"/>
      <c r="O34" s="137"/>
    </row>
    <row r="35" spans="1:26" s="99" customFormat="1" x14ac:dyDescent="0.3"/>
    <row r="36" spans="1:26" s="99" customFormat="1" x14ac:dyDescent="0.3">
      <c r="B36" s="415" t="s">
        <v>67</v>
      </c>
      <c r="C36" s="416">
        <f>D18</f>
        <v>666</v>
      </c>
      <c r="D36" s="417">
        <f>IF(AND($B$13&lt;$F$2,$E$13&lt;$F$2),C7,IF($B$13&lt;$F$2,I7,F7))</f>
        <v>1.8774721494831901E-4</v>
      </c>
      <c r="E36" s="417">
        <f>IF(AND($B$13&lt;$F$2,$E$13&lt;$F$2),D7,IF($B$13&lt;$F$2,J7,G7))</f>
        <v>-4.4031307414479802E-3</v>
      </c>
      <c r="F36" s="415">
        <f>C36*(D36+E36)</f>
        <v>-2.8074454286487742</v>
      </c>
    </row>
    <row r="37" spans="1:26" customFormat="1" x14ac:dyDescent="0.3">
      <c r="B37" s="99"/>
      <c r="C37" s="99"/>
      <c r="D37" s="99"/>
      <c r="E37" s="99"/>
      <c r="F37" s="99"/>
      <c r="G37" s="99"/>
      <c r="H37" s="99"/>
      <c r="J37" s="302"/>
      <c r="Q37" s="99"/>
      <c r="R37" s="99"/>
      <c r="S37" s="99"/>
      <c r="T37" s="99"/>
      <c r="U37" s="99"/>
      <c r="V37" s="99"/>
      <c r="W37" s="99"/>
      <c r="X37" s="99"/>
      <c r="Y37" s="99"/>
      <c r="Z37" s="99"/>
    </row>
    <row r="38" spans="1:26" s="99" customFormat="1" x14ac:dyDescent="0.3">
      <c r="B38" s="99" t="s">
        <v>101</v>
      </c>
    </row>
    <row r="39" spans="1:26" s="99" customFormat="1" x14ac:dyDescent="0.3">
      <c r="B39" s="155"/>
      <c r="C39" s="155"/>
      <c r="D39" s="158" t="s">
        <v>102</v>
      </c>
      <c r="F39" s="158"/>
    </row>
    <row r="40" spans="1:26" s="99" customFormat="1" x14ac:dyDescent="0.3">
      <c r="B40" s="159" t="s">
        <v>54</v>
      </c>
      <c r="C40" s="24">
        <f>N18</f>
        <v>6.3E-3</v>
      </c>
      <c r="D40" s="160">
        <f>((D18*K18)+(D19*K19)+(D20*K20)+(D21*K21)+(D22*K22)+(D23*K23))/(1-$N$18-$N$19)</f>
        <v>547.55167910447767</v>
      </c>
      <c r="E40" s="100" t="s">
        <v>103</v>
      </c>
      <c r="F40" s="24">
        <f>C40</f>
        <v>6.3E-3</v>
      </c>
      <c r="G40" s="161">
        <f>D40*F40</f>
        <v>3.4495755783582092</v>
      </c>
    </row>
    <row r="41" spans="1:26" s="99" customFormat="1" x14ac:dyDescent="0.3">
      <c r="B41" s="159" t="s">
        <v>56</v>
      </c>
      <c r="C41" s="24">
        <f>N19</f>
        <v>2.8899999999999999E-2</v>
      </c>
      <c r="D41" s="160">
        <f>D40</f>
        <v>547.55167910447767</v>
      </c>
      <c r="E41" s="100" t="s">
        <v>103</v>
      </c>
      <c r="F41" s="24">
        <f>C41</f>
        <v>2.8899999999999999E-2</v>
      </c>
      <c r="G41" s="161">
        <f>D41*F41</f>
        <v>15.824243526119403</v>
      </c>
    </row>
    <row r="42" spans="1:26" s="99" customFormat="1" x14ac:dyDescent="0.3">
      <c r="A42" s="221"/>
      <c r="B42" s="159" t="s">
        <v>77</v>
      </c>
      <c r="C42" s="25">
        <v>7.0000000000000007E-2</v>
      </c>
      <c r="D42" s="162">
        <f>H42/F42*C42</f>
        <v>343.44639370352547</v>
      </c>
      <c r="E42" s="100" t="s">
        <v>103</v>
      </c>
      <c r="F42" s="414">
        <v>0.12</v>
      </c>
      <c r="G42" s="161">
        <f>D42*F42</f>
        <v>41.213567244423054</v>
      </c>
      <c r="H42" s="161">
        <f>((D18*K18)+(D19*K19)+(D20*K20)+(D21*K21)+(D22*K22)+(D23*K23))/(1-F40-F41)/(1-(C42))</f>
        <v>588.76524634890075</v>
      </c>
      <c r="I42" s="309"/>
    </row>
    <row r="43" spans="1:26" s="99" customFormat="1" x14ac:dyDescent="0.3">
      <c r="B43" s="155"/>
      <c r="C43" s="155"/>
      <c r="D43" s="155"/>
      <c r="E43" s="161">
        <f>(O32)/(1-C40-C41-C42)</f>
        <v>0</v>
      </c>
      <c r="F43" s="156"/>
      <c r="G43" s="156"/>
      <c r="H43" s="155"/>
      <c r="I43" s="155"/>
      <c r="J43" s="157"/>
      <c r="K43" s="157"/>
      <c r="L43" s="157"/>
      <c r="M43" s="158"/>
      <c r="N43" s="158"/>
      <c r="O43" s="163"/>
    </row>
    <row r="44" spans="1:26" s="99" customFormat="1" x14ac:dyDescent="0.3">
      <c r="C44" s="164" t="s">
        <v>105</v>
      </c>
      <c r="D44" s="165" t="s">
        <v>106</v>
      </c>
      <c r="F44"/>
      <c r="G44"/>
      <c r="H44"/>
    </row>
    <row r="45" spans="1:26" s="99" customFormat="1" x14ac:dyDescent="0.3">
      <c r="C45" s="97"/>
      <c r="D45" s="97" t="s">
        <v>107</v>
      </c>
      <c r="F45" s="97"/>
      <c r="G45" s="97"/>
      <c r="H45" s="97"/>
      <c r="J45" s="97"/>
    </row>
    <row r="46" spans="1:26" s="99" customFormat="1" x14ac:dyDescent="0.3">
      <c r="C46" s="97"/>
      <c r="D46" s="97"/>
      <c r="F46" s="97"/>
      <c r="G46" s="97"/>
      <c r="H46" s="97"/>
      <c r="J46" s="97"/>
    </row>
    <row r="47" spans="1:26" customFormat="1" x14ac:dyDescent="0.3">
      <c r="B47" s="99"/>
      <c r="C47" s="99"/>
      <c r="D47" s="99"/>
      <c r="E47" s="99"/>
      <c r="F47" s="99"/>
      <c r="G47" s="99"/>
      <c r="H47" s="99"/>
      <c r="J47" s="302"/>
      <c r="Q47" s="99"/>
      <c r="R47" s="99"/>
      <c r="S47" s="99"/>
      <c r="T47" s="99"/>
      <c r="U47" s="99"/>
      <c r="V47" s="99"/>
      <c r="W47" s="99"/>
      <c r="X47" s="99"/>
      <c r="Y47" s="99"/>
      <c r="Z47" s="99"/>
    </row>
    <row r="48" spans="1:26" customFormat="1" x14ac:dyDescent="0.3">
      <c r="B48" s="99"/>
      <c r="C48" s="99"/>
      <c r="D48" s="99"/>
      <c r="E48" s="99"/>
      <c r="F48" s="99"/>
      <c r="G48" s="99"/>
      <c r="H48" s="99"/>
      <c r="J48" s="302"/>
      <c r="Q48" s="99"/>
      <c r="R48" s="99"/>
      <c r="S48" s="99"/>
      <c r="T48" s="99"/>
      <c r="U48" s="99"/>
      <c r="V48" s="99"/>
      <c r="W48" s="99"/>
      <c r="X48" s="99"/>
      <c r="Y48" s="99"/>
      <c r="Z48" s="99"/>
    </row>
    <row r="49" spans="1:19" x14ac:dyDescent="0.3">
      <c r="A49" s="1" t="s">
        <v>0</v>
      </c>
      <c r="B49" s="486" t="s">
        <v>144</v>
      </c>
      <c r="C49" s="487"/>
      <c r="D49" s="487"/>
      <c r="E49" s="487"/>
      <c r="F49" s="487"/>
      <c r="G49" s="487"/>
      <c r="H49" s="488"/>
      <c r="I49"/>
    </row>
    <row r="50" spans="1:19" x14ac:dyDescent="0.3">
      <c r="B50" s="112"/>
      <c r="C50" s="99"/>
      <c r="D50" s="98" t="s">
        <v>69</v>
      </c>
      <c r="E50" s="98" t="s">
        <v>70</v>
      </c>
      <c r="F50" s="98" t="s">
        <v>14</v>
      </c>
      <c r="G50" s="98" t="s">
        <v>15</v>
      </c>
      <c r="H50" s="169" t="s">
        <v>71</v>
      </c>
      <c r="I50"/>
      <c r="J50"/>
      <c r="K50"/>
      <c r="L50"/>
      <c r="M50"/>
    </row>
    <row r="51" spans="1:19" x14ac:dyDescent="0.3">
      <c r="B51" s="217" t="s">
        <v>72</v>
      </c>
      <c r="C51" s="218"/>
      <c r="D51" s="219"/>
      <c r="E51" s="219"/>
      <c r="F51" s="219"/>
      <c r="G51" s="219"/>
      <c r="H51" s="220">
        <f>H53+SUM(H56:H59)+SUM(H65:H67)</f>
        <v>659.70349057923249</v>
      </c>
      <c r="I51"/>
    </row>
    <row r="52" spans="1:19" x14ac:dyDescent="0.3">
      <c r="B52" s="112"/>
      <c r="C52" s="99"/>
      <c r="D52" s="98"/>
      <c r="E52" s="98"/>
      <c r="F52" s="98"/>
      <c r="G52" s="98"/>
      <c r="H52" s="113"/>
      <c r="I52"/>
      <c r="R52" s="308" t="s">
        <v>50</v>
      </c>
      <c r="S52" s="308" t="s">
        <v>51</v>
      </c>
    </row>
    <row r="53" spans="1:19" s="99" customFormat="1" x14ac:dyDescent="0.3">
      <c r="A53" s="1"/>
      <c r="B53" s="112" t="s">
        <v>73</v>
      </c>
      <c r="D53" s="228">
        <f>D18</f>
        <v>666</v>
      </c>
      <c r="E53" s="115">
        <f>IF(AND($B$13&lt;$F$2,$E$13&lt;$F$2),C6,IF($B$13&lt;$F$2,I6,F6))</f>
        <v>0.46862999999999999</v>
      </c>
      <c r="F53" s="115">
        <f>IF(AND($B$13&lt;$F$2,$E$13&lt;$F$2),D6,IF($B$13&lt;$F$2,J6,G6))</f>
        <v>0.32068000000000002</v>
      </c>
      <c r="G53" s="115">
        <f>E53+F53</f>
        <v>0.78930999999999996</v>
      </c>
      <c r="H53" s="116">
        <f>ROUND((D53*E53),2)+ROUND((D53*F53),2)</f>
        <v>525.68000000000006</v>
      </c>
      <c r="I53"/>
      <c r="J53" s="1"/>
      <c r="K53" s="1"/>
      <c r="L53" s="1"/>
      <c r="M53" s="1"/>
      <c r="N53" s="1"/>
      <c r="O53" s="1"/>
      <c r="P53" s="1"/>
      <c r="R53" s="327">
        <f>IF(AND($B$13&lt;$F$2,$E$13&lt;$F$2),R6,IF($B$13&lt;$F$2,X6,U6))</f>
        <v>0.20383072193179136</v>
      </c>
      <c r="S53" s="328">
        <f>D53*R53</f>
        <v>135.75126080657304</v>
      </c>
    </row>
    <row r="54" spans="1:19" s="99" customFormat="1" x14ac:dyDescent="0.3">
      <c r="A54" s="1"/>
      <c r="B54" s="112"/>
      <c r="D54" s="114"/>
      <c r="E54" s="117"/>
      <c r="F54" s="118"/>
      <c r="G54" s="118"/>
      <c r="H54" s="116"/>
      <c r="I54"/>
      <c r="J54"/>
      <c r="K54"/>
      <c r="L54"/>
      <c r="M54"/>
      <c r="N54"/>
      <c r="O54"/>
      <c r="P54"/>
    </row>
    <row r="55" spans="1:19" s="99" customFormat="1" x14ac:dyDescent="0.3">
      <c r="A55" s="1"/>
      <c r="B55" s="112"/>
      <c r="D55" s="119"/>
      <c r="H55" s="120"/>
      <c r="I55"/>
      <c r="J55"/>
      <c r="K55"/>
      <c r="L55"/>
      <c r="M55"/>
      <c r="N55"/>
      <c r="O55"/>
      <c r="P55"/>
    </row>
    <row r="56" spans="1:19" s="99" customFormat="1" x14ac:dyDescent="0.3">
      <c r="A56" s="1"/>
      <c r="B56" s="112" t="s">
        <v>57</v>
      </c>
      <c r="D56" s="121">
        <f>IF($K$11=$M$4,(D53*(K13)/(K13+L13)),0)+IF($L$11=$M$4,(D53*(L13)/(K13+L13)),0)</f>
        <v>137.79310344827587</v>
      </c>
      <c r="F56" s="122">
        <f>N4</f>
        <v>1.8849999999999999E-2</v>
      </c>
      <c r="G56" s="122"/>
      <c r="H56" s="116">
        <f>ROUND(D56*(E56+F56),2)</f>
        <v>2.6</v>
      </c>
      <c r="I56"/>
      <c r="J56"/>
      <c r="K56" s="1"/>
      <c r="L56"/>
      <c r="M56"/>
      <c r="N56"/>
      <c r="O56"/>
      <c r="P56"/>
    </row>
    <row r="57" spans="1:19" s="99" customFormat="1" x14ac:dyDescent="0.3">
      <c r="A57" s="1"/>
      <c r="B57" s="112" t="s">
        <v>58</v>
      </c>
      <c r="D57" s="121">
        <f>IF($K$11=$M$5,(D53*(K13)/(K13+L13)),0)+IF($L$11=$M$5,(D53*(L13)/(K13+L13)),0)</f>
        <v>0</v>
      </c>
      <c r="F57" s="122">
        <f>N5</f>
        <v>4.4630000000000003E-2</v>
      </c>
      <c r="G57" s="122"/>
      <c r="H57" s="116">
        <f>ROUND(D57*(E57+F57),2)</f>
        <v>0</v>
      </c>
      <c r="I57"/>
      <c r="J57"/>
      <c r="K57" s="1"/>
      <c r="L57"/>
      <c r="M57"/>
      <c r="N57"/>
      <c r="O57"/>
      <c r="P57"/>
    </row>
    <row r="58" spans="1:19" s="99" customFormat="1" x14ac:dyDescent="0.3">
      <c r="A58" s="1"/>
      <c r="B58" s="112" t="s">
        <v>59</v>
      </c>
      <c r="D58" s="121">
        <f>IF($K$11=$M$6,(D53*(K13)/(K13+L13)),0)+IF($L$11=$M$6,(D53*(L13)/(K13+L13)),0)</f>
        <v>0</v>
      </c>
      <c r="F58" s="122">
        <f>N6</f>
        <v>7.8770000000000007E-2</v>
      </c>
      <c r="G58" s="122"/>
      <c r="H58" s="116">
        <f>ROUND(D58*(E58+F58),2)</f>
        <v>0</v>
      </c>
      <c r="I58"/>
      <c r="J58"/>
      <c r="K58" s="1"/>
      <c r="L58"/>
      <c r="M58"/>
      <c r="N58"/>
      <c r="O58"/>
      <c r="P58"/>
    </row>
    <row r="59" spans="1:19" s="99" customFormat="1" x14ac:dyDescent="0.3">
      <c r="A59" s="1"/>
      <c r="B59" s="112" t="s">
        <v>74</v>
      </c>
      <c r="D59" s="121">
        <f>IF($K$11=$M$7,(D53*(K13)/(K13+L13)),0)+IF($L$11=$M$7,(D53*(L13)/(K13+L13)),0)</f>
        <v>0</v>
      </c>
      <c r="F59" s="122">
        <f>N7</f>
        <v>0.14199999999999999</v>
      </c>
      <c r="G59" s="122"/>
      <c r="H59" s="116">
        <f>ROUND(D59*(E59+F59),2)</f>
        <v>0</v>
      </c>
      <c r="I59"/>
      <c r="J59"/>
      <c r="K59" s="1"/>
      <c r="L59"/>
      <c r="M59"/>
      <c r="N59"/>
      <c r="O59"/>
      <c r="P59"/>
    </row>
    <row r="60" spans="1:19" s="99" customFormat="1" x14ac:dyDescent="0.3">
      <c r="A60" s="1"/>
      <c r="B60" s="112"/>
      <c r="D60" s="119"/>
      <c r="H60" s="116"/>
      <c r="I60"/>
      <c r="J60"/>
      <c r="K60" s="1"/>
      <c r="L60"/>
      <c r="M60"/>
      <c r="N60"/>
      <c r="O60"/>
      <c r="P60"/>
    </row>
    <row r="61" spans="1:19" s="99" customFormat="1" x14ac:dyDescent="0.3">
      <c r="A61" s="1"/>
      <c r="B61" s="124"/>
      <c r="C61" s="103"/>
      <c r="D61" s="103"/>
      <c r="E61" s="103"/>
      <c r="F61" s="103"/>
      <c r="G61" s="103"/>
      <c r="H61" s="125"/>
      <c r="I61"/>
      <c r="J61"/>
      <c r="K61" s="1"/>
      <c r="L61"/>
      <c r="M61"/>
      <c r="N61"/>
      <c r="O61"/>
      <c r="P61"/>
    </row>
    <row r="62" spans="1:19" s="99" customFormat="1" x14ac:dyDescent="0.3">
      <c r="A62" s="1"/>
      <c r="B62" s="126"/>
      <c r="C62" s="127"/>
      <c r="D62" s="128"/>
      <c r="E62" s="129"/>
      <c r="F62" s="127"/>
      <c r="G62" s="127"/>
      <c r="H62" s="130"/>
      <c r="I62"/>
      <c r="J62"/>
      <c r="K62" s="1"/>
      <c r="L62"/>
      <c r="M62"/>
      <c r="N62"/>
      <c r="O62"/>
      <c r="P62"/>
    </row>
    <row r="63" spans="1:19" s="99" customFormat="1" x14ac:dyDescent="0.3">
      <c r="A63" s="1"/>
      <c r="B63" s="131"/>
      <c r="C63" s="132"/>
      <c r="D63" s="132"/>
      <c r="E63" s="132"/>
      <c r="F63" s="132"/>
      <c r="G63" s="132"/>
      <c r="H63" s="133"/>
      <c r="I63"/>
      <c r="J63"/>
      <c r="K63" s="1"/>
      <c r="L63"/>
      <c r="M63"/>
      <c r="N63"/>
      <c r="O63"/>
      <c r="P63"/>
    </row>
    <row r="64" spans="1:19" s="99" customFormat="1" x14ac:dyDescent="0.3">
      <c r="A64" s="1"/>
      <c r="B64" s="112"/>
      <c r="D64" s="95" t="s">
        <v>75</v>
      </c>
      <c r="E64" s="111"/>
      <c r="F64" s="111"/>
      <c r="G64" s="111"/>
      <c r="H64" s="134"/>
      <c r="I64"/>
      <c r="J64"/>
      <c r="K64" s="14"/>
      <c r="L64"/>
      <c r="M64"/>
      <c r="N64"/>
      <c r="O64"/>
      <c r="P64"/>
    </row>
    <row r="65" spans="1:16" s="99" customFormat="1" x14ac:dyDescent="0.3">
      <c r="A65" s="1"/>
      <c r="B65" s="112" t="s">
        <v>76</v>
      </c>
      <c r="D65" s="136">
        <f>(H53+H56+H57+H58+H59)/(1-(E65+E66))</f>
        <v>547.55389718076299</v>
      </c>
      <c r="E65" s="352">
        <f>N18</f>
        <v>6.3E-3</v>
      </c>
      <c r="H65" s="116">
        <f>D65*E65</f>
        <v>3.4495895522388067</v>
      </c>
      <c r="I65"/>
      <c r="J65"/>
      <c r="K65" s="1"/>
      <c r="L65"/>
      <c r="M65"/>
      <c r="N65"/>
      <c r="O65"/>
      <c r="P65"/>
    </row>
    <row r="66" spans="1:16" s="99" customFormat="1" x14ac:dyDescent="0.3">
      <c r="A66" s="1"/>
      <c r="B66" s="112" t="s">
        <v>56</v>
      </c>
      <c r="D66" s="136">
        <f>D65</f>
        <v>547.55389718076299</v>
      </c>
      <c r="E66" s="352">
        <f>N19</f>
        <v>2.8899999999999999E-2</v>
      </c>
      <c r="H66" s="116">
        <f>D66*E66</f>
        <v>15.82430762852405</v>
      </c>
      <c r="I66"/>
      <c r="J66"/>
      <c r="K66" s="1"/>
      <c r="L66"/>
      <c r="M66"/>
      <c r="N66"/>
      <c r="O66"/>
      <c r="P66"/>
    </row>
    <row r="67" spans="1:16" s="99" customFormat="1" x14ac:dyDescent="0.3">
      <c r="A67" s="1"/>
      <c r="B67" s="112" t="s">
        <v>77</v>
      </c>
      <c r="D67" s="307">
        <f>IF((E67=17%),(D65/(1-(E67))),D75)</f>
        <v>659.70349057923249</v>
      </c>
      <c r="E67" s="150">
        <f>I18</f>
        <v>0.17</v>
      </c>
      <c r="H67" s="116">
        <f>D67*E67</f>
        <v>112.14959339846953</v>
      </c>
      <c r="I67"/>
      <c r="J67"/>
      <c r="K67" s="1"/>
      <c r="L67"/>
      <c r="M67"/>
      <c r="N67"/>
      <c r="O67"/>
      <c r="P67"/>
    </row>
    <row r="68" spans="1:16" s="99" customFormat="1" x14ac:dyDescent="0.3">
      <c r="A68" s="1"/>
      <c r="B68" s="126"/>
      <c r="C68" s="127"/>
      <c r="D68" s="127"/>
      <c r="E68" s="127"/>
      <c r="F68" s="127"/>
      <c r="G68" s="127"/>
      <c r="H68" s="137"/>
      <c r="I68"/>
      <c r="J68"/>
      <c r="K68" s="1"/>
      <c r="L68"/>
      <c r="M68"/>
      <c r="N68"/>
      <c r="O68"/>
      <c r="P68"/>
    </row>
    <row r="69" spans="1:16" s="99" customFormat="1" x14ac:dyDescent="0.3">
      <c r="A69" s="1"/>
      <c r="B69" s="366" t="s">
        <v>78</v>
      </c>
      <c r="C69" s="367"/>
      <c r="D69" s="368">
        <f>D53</f>
        <v>666</v>
      </c>
      <c r="E69" s="369">
        <f>IF(AND($B$13&lt;$F$2,$E$13&lt;$F$2),C7,IF($B$13&lt;$F$2,I7,F7))</f>
        <v>1.8774721494831901E-4</v>
      </c>
      <c r="F69" s="369">
        <f>IF(AND($B$13&lt;$F$2,$E$13&lt;$F$2),D7,IF($B$13&lt;$F$2,J7,G7))</f>
        <v>-4.4031307414479802E-3</v>
      </c>
      <c r="G69" s="367"/>
      <c r="H69" s="366">
        <f>D69*(E69+F69)</f>
        <v>-2.8074454286487742</v>
      </c>
      <c r="I69"/>
      <c r="J69"/>
      <c r="K69" s="1"/>
      <c r="L69"/>
      <c r="M69"/>
      <c r="N69"/>
      <c r="O69"/>
      <c r="P69"/>
    </row>
    <row r="70" spans="1:16" s="99" customFormat="1" x14ac:dyDescent="0.3">
      <c r="A70" s="1"/>
      <c r="I70"/>
      <c r="J70"/>
      <c r="K70" s="1"/>
      <c r="L70"/>
      <c r="M70"/>
      <c r="N70"/>
      <c r="O70"/>
      <c r="P70"/>
    </row>
    <row r="71" spans="1:16" s="99" customFormat="1" x14ac:dyDescent="0.3">
      <c r="A71" s="1"/>
      <c r="B71" s="99" t="s">
        <v>145</v>
      </c>
      <c r="I71"/>
      <c r="J71"/>
      <c r="K71" s="1"/>
      <c r="L71"/>
      <c r="M71"/>
      <c r="N71"/>
      <c r="O71"/>
      <c r="P71"/>
    </row>
    <row r="72" spans="1:16" s="99" customFormat="1" x14ac:dyDescent="0.3">
      <c r="A72" s="1"/>
      <c r="B72" s="3"/>
      <c r="C72" s="3"/>
      <c r="D72" s="6" t="s">
        <v>102</v>
      </c>
      <c r="E72" s="1"/>
      <c r="F72" s="6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1:16" s="99" customFormat="1" x14ac:dyDescent="0.3">
      <c r="A73" s="1"/>
      <c r="B73" s="23" t="s">
        <v>54</v>
      </c>
      <c r="C73" s="24">
        <f>E65</f>
        <v>6.3E-3</v>
      </c>
      <c r="D73" s="33">
        <f>SUM(H53:H59)/(1-(C73+C74))</f>
        <v>547.55389718076299</v>
      </c>
      <c r="E73" s="38" t="s">
        <v>103</v>
      </c>
      <c r="F73" s="24">
        <f>C73</f>
        <v>6.3E-3</v>
      </c>
      <c r="G73" s="22">
        <f>D73*F73</f>
        <v>3.4495895522388067</v>
      </c>
      <c r="H73" s="1"/>
      <c r="I73" s="1"/>
      <c r="J73" s="1"/>
      <c r="K73" s="1"/>
      <c r="L73" s="1"/>
      <c r="M73" s="1"/>
      <c r="N73" s="1"/>
      <c r="O73" s="1"/>
      <c r="P73" s="1"/>
    </row>
    <row r="74" spans="1:16" s="99" customFormat="1" x14ac:dyDescent="0.3">
      <c r="A74" s="1"/>
      <c r="B74" s="23" t="s">
        <v>56</v>
      </c>
      <c r="C74" s="24">
        <f>E66</f>
        <v>2.8899999999999999E-2</v>
      </c>
      <c r="D74" s="33">
        <f>D73</f>
        <v>547.55389718076299</v>
      </c>
      <c r="E74" s="38" t="s">
        <v>103</v>
      </c>
      <c r="F74" s="24">
        <f>C74</f>
        <v>2.8899999999999999E-2</v>
      </c>
      <c r="G74" s="22">
        <f>D74*F74</f>
        <v>15.82430762852405</v>
      </c>
      <c r="H74" s="1"/>
      <c r="I74" s="1"/>
      <c r="J74" s="1"/>
      <c r="K74" s="1"/>
      <c r="L74" s="1"/>
      <c r="M74" s="1"/>
      <c r="N74" s="1"/>
      <c r="O74" s="1"/>
      <c r="P74" s="1"/>
    </row>
    <row r="75" spans="1:16" s="99" customFormat="1" x14ac:dyDescent="0.3">
      <c r="A75" s="1"/>
      <c r="B75" s="23" t="s">
        <v>77</v>
      </c>
      <c r="C75" s="25">
        <v>7.0000000000000007E-2</v>
      </c>
      <c r="D75" s="42">
        <f>H75/F75*C75</f>
        <v>343.44778497001272</v>
      </c>
      <c r="E75" s="38" t="s">
        <v>103</v>
      </c>
      <c r="F75" s="25">
        <v>0.12</v>
      </c>
      <c r="G75" s="22">
        <f>D75*F75</f>
        <v>41.213734196401525</v>
      </c>
      <c r="H75" s="161">
        <f>((SUM(H53:H59))/(1-F73-F74)/(1-(C75)))</f>
        <v>588.76763137716455</v>
      </c>
      <c r="I75" s="172"/>
      <c r="J75" s="1"/>
      <c r="K75" s="1"/>
      <c r="L75" s="1"/>
      <c r="M75" s="1"/>
      <c r="N75" s="1"/>
      <c r="O75" s="1"/>
      <c r="P75" s="1"/>
    </row>
    <row r="76" spans="1:16" s="99" customFormat="1" x14ac:dyDescent="0.3">
      <c r="A76" s="1"/>
      <c r="B76" s="3"/>
      <c r="C76" s="3"/>
      <c r="D76" s="22">
        <f>(O67)/(1-C73-C74-C75)</f>
        <v>0</v>
      </c>
      <c r="E76" s="8"/>
      <c r="F76" s="8"/>
      <c r="G76" s="3"/>
      <c r="H76" s="3"/>
      <c r="I76" s="9"/>
      <c r="J76" s="1"/>
      <c r="K76" s="9"/>
      <c r="L76" s="9"/>
      <c r="M76" s="6"/>
      <c r="N76" s="6"/>
      <c r="O76" s="11"/>
      <c r="P76" s="1"/>
    </row>
    <row r="77" spans="1:16" s="99" customFormat="1" x14ac:dyDescent="0.3">
      <c r="A77" s="1"/>
      <c r="B77"/>
      <c r="C77"/>
      <c r="D77" s="27" t="s">
        <v>105</v>
      </c>
      <c r="E77" s="28" t="s">
        <v>106</v>
      </c>
      <c r="F77" s="49"/>
      <c r="G77" t="s">
        <v>117</v>
      </c>
      <c r="H77" s="29">
        <f>H75/F75*C75</f>
        <v>343.44778497001272</v>
      </c>
      <c r="I77" s="1"/>
      <c r="J77" s="1"/>
      <c r="K77" s="1"/>
      <c r="L77" s="1"/>
      <c r="M77" s="1"/>
      <c r="N77" s="1"/>
      <c r="O77" s="1"/>
      <c r="P77" s="1"/>
    </row>
    <row r="78" spans="1:16" s="99" customFormat="1" x14ac:dyDescent="0.3">
      <c r="A78" s="1"/>
      <c r="B78"/>
      <c r="C78"/>
      <c r="D78"/>
      <c r="E78" t="s">
        <v>143</v>
      </c>
      <c r="F78"/>
      <c r="G78"/>
      <c r="H78"/>
      <c r="I78"/>
      <c r="J78" s="1"/>
      <c r="K78" s="1"/>
      <c r="L78" s="1"/>
      <c r="M78" s="1"/>
      <c r="N78" s="1"/>
      <c r="O78" s="1"/>
      <c r="P78" s="1"/>
    </row>
    <row r="80" spans="1:16" s="99" customFormat="1" x14ac:dyDescent="0.3">
      <c r="A80" s="1"/>
      <c r="B80" s="63" t="s">
        <v>79</v>
      </c>
      <c r="C80" s="1"/>
      <c r="D80" s="13"/>
      <c r="E80" s="13"/>
      <c r="F80" s="13"/>
      <c r="G80" s="13"/>
      <c r="H80" s="1"/>
      <c r="I80" s="1"/>
      <c r="J80" s="1"/>
      <c r="K80" s="1"/>
      <c r="L80" s="1"/>
      <c r="M80" s="1"/>
      <c r="N80" s="1"/>
      <c r="O80" s="1"/>
      <c r="P80" s="1"/>
    </row>
    <row r="81" spans="1:16" s="99" customFormat="1" x14ac:dyDescent="0.3">
      <c r="A81" s="1"/>
      <c r="B81" s="56"/>
      <c r="C81" s="57" t="s">
        <v>71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1:16" s="99" customFormat="1" x14ac:dyDescent="0.3">
      <c r="A82" s="1"/>
      <c r="B82" s="56" t="s">
        <v>80</v>
      </c>
      <c r="C82" s="58">
        <f>SUM(H53:H59)*IF($B$13&lt;$F$2,D125,D97)</f>
        <v>239.02776981877687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1:16" s="99" customFormat="1" x14ac:dyDescent="0.3">
      <c r="A83" s="1"/>
      <c r="B83" s="56" t="s">
        <v>81</v>
      </c>
      <c r="C83" s="58">
        <f>SUM(H53:H59)*IF($B$13&lt;$F$2,F125,F97)</f>
        <v>145.28182455418505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1:16" s="99" customFormat="1" x14ac:dyDescent="0.3">
      <c r="A84" s="1"/>
      <c r="B84" s="56" t="s">
        <v>82</v>
      </c>
      <c r="C84" s="58">
        <f>SUM(H53:H59)*IF($B$13&lt;$F$2,E125,E97)</f>
        <v>39.071277705524395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1:16" x14ac:dyDescent="0.3">
      <c r="B85" s="56" t="s">
        <v>83</v>
      </c>
      <c r="C85" s="58">
        <f>SUM(H53:H59)*IF($B$13&lt;$F$2,G125,G97)</f>
        <v>104.8991279215138</v>
      </c>
    </row>
    <row r="86" spans="1:16" x14ac:dyDescent="0.3">
      <c r="B86" s="56" t="s">
        <v>84</v>
      </c>
      <c r="C86" s="59">
        <f>H65+H66+H67</f>
        <v>131.42349057923238</v>
      </c>
    </row>
    <row r="87" spans="1:16" x14ac:dyDescent="0.3">
      <c r="B87" s="60" t="s">
        <v>85</v>
      </c>
      <c r="C87" s="61">
        <f>SUM(C82:C86)</f>
        <v>659.70349057923249</v>
      </c>
    </row>
    <row r="88" spans="1:16" x14ac:dyDescent="0.3">
      <c r="J88" s="103"/>
    </row>
    <row r="89" spans="1:16" x14ac:dyDescent="0.3">
      <c r="B89" s="15">
        <f>'Fatura B1 (Res) OK'!$B$68</f>
        <v>2024</v>
      </c>
      <c r="C89" s="15"/>
      <c r="D89" s="15" t="str">
        <f>'Fatura B1 (Res) OK'!$D$68</f>
        <v>Energia</v>
      </c>
      <c r="E89" s="15" t="str">
        <f>'Fatura B1 (Res) OK'!$E$68</f>
        <v>Transmissão</v>
      </c>
      <c r="F89" s="15" t="str">
        <f>'Fatura B1 (Res) OK'!$F$68</f>
        <v>Distribuição</v>
      </c>
      <c r="G89" s="15" t="str">
        <f>'Fatura B1 (Res) OK'!$G$68</f>
        <v>Setoriais</v>
      </c>
    </row>
    <row r="90" spans="1:16" x14ac:dyDescent="0.3">
      <c r="B90" s="15" t="str">
        <f>'Fatura B1 (Res) OK'!$B$69</f>
        <v>Grupo B</v>
      </c>
      <c r="C90" s="15"/>
      <c r="D90" s="15" t="str">
        <f>'Fatura B1 (Res) OK'!$D$69</f>
        <v>%</v>
      </c>
      <c r="E90" s="15" t="str">
        <f>'Fatura B1 (Res) OK'!$E$69</f>
        <v>%</v>
      </c>
      <c r="F90" s="15" t="str">
        <f>'Fatura B1 (Res) OK'!$F$69</f>
        <v>%</v>
      </c>
      <c r="G90" s="15" t="str">
        <f>'Fatura B1 (Res) OK'!$G$69</f>
        <v>%</v>
      </c>
    </row>
    <row r="91" spans="1:16" x14ac:dyDescent="0.3">
      <c r="B91" s="15"/>
      <c r="C91" s="15"/>
      <c r="D91" s="15"/>
      <c r="E91" s="15"/>
      <c r="F91" s="15"/>
      <c r="G91" s="15"/>
    </row>
    <row r="92" spans="1:16" x14ac:dyDescent="0.3">
      <c r="B92" s="15" t="str">
        <f>'Fatura B1 (Res) OK'!$B$71</f>
        <v>B1 - Residencial</v>
      </c>
      <c r="C92" s="15"/>
      <c r="D92" s="62">
        <f>'Fatura B1 (Res) OK'!$D$71</f>
        <v>0.45246416638672077</v>
      </c>
      <c r="E92" s="62">
        <f>'Fatura B1 (Res) OK'!$E$71</f>
        <v>7.39594111182032E-2</v>
      </c>
      <c r="F92" s="62">
        <f>'Fatura B1 (Res) OK'!$F$71</f>
        <v>0.27500913257019954</v>
      </c>
      <c r="G92" s="62">
        <f>'Fatura B1 (Res) OK'!$G$71</f>
        <v>0.19856728992487654</v>
      </c>
    </row>
    <row r="93" spans="1:16" x14ac:dyDescent="0.3">
      <c r="B93" s="15" t="str">
        <f>'Fatura B1 (Res) OK'!$B$72</f>
        <v>B1 - Residencial Baixa Renda</v>
      </c>
      <c r="C93" s="15"/>
      <c r="D93" s="62">
        <f>'Fatura B1 (Res) OK'!$D$72</f>
        <v>0.53149575868436638</v>
      </c>
      <c r="E93" s="62">
        <f>'Fatura B1 (Res) OK'!$E$72</f>
        <v>8.6877848555460851E-2</v>
      </c>
      <c r="F93" s="62">
        <f>'Fatura B1 (Res) OK'!$F$72</f>
        <v>0.32304478104372042</v>
      </c>
      <c r="G93" s="62">
        <f>'Fatura B1 (Res) OK'!$G$72</f>
        <v>5.8581611716452382E-2</v>
      </c>
    </row>
    <row r="94" spans="1:16" x14ac:dyDescent="0.3">
      <c r="B94" s="15" t="str">
        <f>'Fatura B1 (Res) OK'!$B$73</f>
        <v>B2 - Rural</v>
      </c>
      <c r="C94" s="15"/>
      <c r="D94" s="62">
        <f>'Fatura B1 (Res) OK'!$D$73</f>
        <v>0.45246416638672077</v>
      </c>
      <c r="E94" s="62">
        <f>'Fatura B1 (Res) OK'!$E$73</f>
        <v>7.39594111182032E-2</v>
      </c>
      <c r="F94" s="62">
        <f>'Fatura B1 (Res) OK'!$F$73</f>
        <v>0.27500913257019954</v>
      </c>
      <c r="G94" s="62">
        <f>'Fatura B1 (Res) OK'!$G$73</f>
        <v>0.19856728992487654</v>
      </c>
    </row>
    <row r="95" spans="1:16" x14ac:dyDescent="0.3">
      <c r="B95" s="15" t="str">
        <f>'Fatura B1 (Res) OK'!$B$74</f>
        <v>B2 - Cooperativa Eletrificação Rural</v>
      </c>
      <c r="C95" s="15"/>
      <c r="D95" s="62">
        <f>'Fatura B1 (Res) OK'!$D$74</f>
        <v>0.45246416638672077</v>
      </c>
      <c r="E95" s="62">
        <f>'Fatura B1 (Res) OK'!$E$74</f>
        <v>7.39594111182032E-2</v>
      </c>
      <c r="F95" s="62">
        <f>'Fatura B1 (Res) OK'!$F$74</f>
        <v>0.27500913257019954</v>
      </c>
      <c r="G95" s="62">
        <f>'Fatura B1 (Res) OK'!$G$74</f>
        <v>0.19856728992487654</v>
      </c>
    </row>
    <row r="96" spans="1:16" x14ac:dyDescent="0.3">
      <c r="B96" s="15" t="str">
        <f>'Fatura B1 (Res) OK'!$B$75</f>
        <v>B2 - Serviço de Irrigação</v>
      </c>
      <c r="C96" s="15"/>
      <c r="D96" s="62">
        <f>'Fatura B1 (Res) OK'!$D$75</f>
        <v>0.45246416638672077</v>
      </c>
      <c r="E96" s="62">
        <f>'Fatura B1 (Res) OK'!$E$75</f>
        <v>7.39594111182032E-2</v>
      </c>
      <c r="F96" s="62">
        <f>'Fatura B1 (Res) OK'!$F$75</f>
        <v>0.27500913257019954</v>
      </c>
      <c r="G96" s="62">
        <f>'Fatura B1 (Res) OK'!$G$75</f>
        <v>0.19856728992487654</v>
      </c>
    </row>
    <row r="97" spans="2:7" x14ac:dyDescent="0.3">
      <c r="B97" s="15" t="str">
        <f>'Fatura B1 (Res) OK'!$B$76</f>
        <v>B3 - Demais Classes</v>
      </c>
      <c r="C97" s="15"/>
      <c r="D97" s="62">
        <f>'Fatura B1 (Res) OK'!$D$76</f>
        <v>0.45246416638672077</v>
      </c>
      <c r="E97" s="62">
        <f>'Fatura B1 (Res) OK'!$E$76</f>
        <v>7.39594111182032E-2</v>
      </c>
      <c r="F97" s="62">
        <f>'Fatura B1 (Res) OK'!$F$76</f>
        <v>0.27500913257019954</v>
      </c>
      <c r="G97" s="62">
        <f>'Fatura B1 (Res) OK'!$G$76</f>
        <v>0.19856728992487654</v>
      </c>
    </row>
    <row r="98" spans="2:7" x14ac:dyDescent="0.3">
      <c r="B98" s="15" t="str">
        <f>'Fatura B1 (Res) OK'!$B$77</f>
        <v>B4 - Iluminação Pública</v>
      </c>
      <c r="C98" s="15"/>
      <c r="D98" s="62">
        <f>'Fatura B1 (Res) OK'!$D$77</f>
        <v>0.45246416638672071</v>
      </c>
      <c r="E98" s="62">
        <f>'Fatura B1 (Res) OK'!$E$77</f>
        <v>7.3959411118203186E-2</v>
      </c>
      <c r="F98" s="62">
        <f>'Fatura B1 (Res) OK'!$F$77</f>
        <v>0.27500913257019949</v>
      </c>
      <c r="G98" s="62">
        <f>'Fatura B1 (Res) OK'!$G$77</f>
        <v>0.19856728992487654</v>
      </c>
    </row>
    <row r="99" spans="2:7" x14ac:dyDescent="0.3">
      <c r="B99" s="15" t="str">
        <f>'Fatura B1 (Res) OK'!$B$78</f>
        <v>B4a - Rede de Distribuição</v>
      </c>
      <c r="C99" s="15"/>
      <c r="D99" s="62">
        <f>'Fatura B1 (Res) OK'!$D$78</f>
        <v>0.45246416638672071</v>
      </c>
      <c r="E99" s="62">
        <f>'Fatura B1 (Res) OK'!$E$78</f>
        <v>7.3959411118203186E-2</v>
      </c>
      <c r="F99" s="62">
        <f>'Fatura B1 (Res) OK'!$F$78</f>
        <v>0.27500913257019949</v>
      </c>
      <c r="G99" s="62">
        <f>'Fatura B1 (Res) OK'!$G$78</f>
        <v>0.19856728992487654</v>
      </c>
    </row>
    <row r="100" spans="2:7" x14ac:dyDescent="0.3">
      <c r="B100" s="15" t="str">
        <f>'Fatura B1 (Res) OK'!$B$79</f>
        <v>B4b - Bulbo de Lâmpada</v>
      </c>
      <c r="C100" s="15"/>
      <c r="D100" s="62">
        <f>'Fatura B1 (Res) OK'!$D$79</f>
        <v>0.45246416638672071</v>
      </c>
      <c r="E100" s="62">
        <f>'Fatura B1 (Res) OK'!$E$79</f>
        <v>7.39594111182032E-2</v>
      </c>
      <c r="F100" s="62">
        <f>'Fatura B1 (Res) OK'!$F$79</f>
        <v>0.27500913257019954</v>
      </c>
      <c r="G100" s="62">
        <f>'Fatura B1 (Res) OK'!$G$79</f>
        <v>0.19856728992487657</v>
      </c>
    </row>
    <row r="101" spans="2:7" x14ac:dyDescent="0.3">
      <c r="B101" s="63"/>
      <c r="C101" s="63"/>
      <c r="D101" s="63"/>
      <c r="E101" s="63"/>
      <c r="F101" s="63"/>
      <c r="G101" s="63"/>
    </row>
    <row r="102" spans="2:7" x14ac:dyDescent="0.3">
      <c r="B102" s="63"/>
      <c r="C102" s="63"/>
      <c r="D102" s="63"/>
      <c r="E102" s="63"/>
      <c r="F102" s="63"/>
      <c r="G102" s="63"/>
    </row>
    <row r="103" spans="2:7" x14ac:dyDescent="0.3">
      <c r="B103" s="63">
        <f>'Fatura B1 (Res) OK'!$B$82</f>
        <v>2023</v>
      </c>
      <c r="C103" s="63"/>
      <c r="D103" s="15" t="str">
        <f>'Fatura B1 (Res) OK'!$D$68</f>
        <v>Energia</v>
      </c>
      <c r="E103" s="15" t="str">
        <f>'Fatura B1 (Res) OK'!$E$68</f>
        <v>Transmissão</v>
      </c>
      <c r="F103" s="15" t="str">
        <f>'Fatura B1 (Res) OK'!$F$68</f>
        <v>Distribuição</v>
      </c>
      <c r="G103" s="15" t="str">
        <f>'Fatura B1 (Res) OK'!$G$68</f>
        <v>Setoriais</v>
      </c>
    </row>
    <row r="104" spans="2:7" x14ac:dyDescent="0.3">
      <c r="B104" s="63" t="str">
        <f>'Fatura B1 (Res) OK'!$B$83</f>
        <v>Grupo B</v>
      </c>
      <c r="C104" s="63"/>
      <c r="D104" s="15" t="str">
        <f>'Fatura B1 (Res) OK'!$D$69</f>
        <v>%</v>
      </c>
      <c r="E104" s="15" t="str">
        <f>'Fatura B1 (Res) OK'!$E$69</f>
        <v>%</v>
      </c>
      <c r="F104" s="15" t="str">
        <f>'Fatura B1 (Res) OK'!$F$69</f>
        <v>%</v>
      </c>
      <c r="G104" s="15" t="str">
        <f>'Fatura B1 (Res) OK'!$G$69</f>
        <v>%</v>
      </c>
    </row>
    <row r="105" spans="2:7" x14ac:dyDescent="0.3">
      <c r="B105" s="15"/>
      <c r="C105" s="15"/>
      <c r="D105" s="15"/>
      <c r="E105" s="15"/>
      <c r="F105" s="15"/>
      <c r="G105" s="15"/>
    </row>
    <row r="106" spans="2:7" x14ac:dyDescent="0.3">
      <c r="B106" s="15" t="str">
        <f>'Fatura B1 (Res) OK'!$B$85</f>
        <v>B1 - Residencial</v>
      </c>
      <c r="C106" s="15"/>
      <c r="D106" s="62">
        <f>'Fatura B1 (Res) OK'!$D$85</f>
        <v>0.43939696077133034</v>
      </c>
      <c r="E106" s="62">
        <f>'Fatura B1 (Res) OK'!$E$85</f>
        <v>9.2697585625348772E-2</v>
      </c>
      <c r="F106" s="62">
        <f>'Fatura B1 (Res) OK'!$F$85</f>
        <v>0.25285207888477268</v>
      </c>
      <c r="G106" s="62">
        <f>'Fatura B1 (Res) OK'!$G$85</f>
        <v>0.21506308252114117</v>
      </c>
    </row>
    <row r="107" spans="2:7" x14ac:dyDescent="0.3">
      <c r="B107" s="15" t="str">
        <f>'Fatura B1 (Res) OK'!$B$86</f>
        <v>B1 - Residencial Baixa Renda</v>
      </c>
      <c r="C107" s="15"/>
      <c r="D107" s="62">
        <f>'Fatura B1 (Res) OK'!$D$86</f>
        <v>0.52691619996872485</v>
      </c>
      <c r="E107" s="62">
        <f>'Fatura B1 (Res) OK'!$E$86</f>
        <v>0.11116112291319068</v>
      </c>
      <c r="F107" s="62">
        <f>'Fatura B1 (Res) OK'!$F$86</f>
        <v>0.30321524374287334</v>
      </c>
      <c r="G107" s="62">
        <f>'Fatura B1 (Res) OK'!$G$86</f>
        <v>5.8707433375211129E-2</v>
      </c>
    </row>
    <row r="108" spans="2:7" x14ac:dyDescent="0.3">
      <c r="B108" s="15" t="str">
        <f>'Fatura B1 (Res) OK'!$B$87</f>
        <v>B2 - Rural</v>
      </c>
      <c r="C108" s="15"/>
      <c r="D108" s="62">
        <f>'Fatura B1 (Res) OK'!$D$87</f>
        <v>0.43939300245552615</v>
      </c>
      <c r="E108" s="62">
        <f>'Fatura B1 (Res) OK'!$E$87</f>
        <v>9.2696750557401245E-2</v>
      </c>
      <c r="F108" s="62">
        <f>'Fatura B1 (Res) OK'!$F$87</f>
        <v>0.25284980106205335</v>
      </c>
      <c r="G108" s="62">
        <f>'Fatura B1 (Res) OK'!$G$87</f>
        <v>0.21506044592501908</v>
      </c>
    </row>
    <row r="109" spans="2:7" x14ac:dyDescent="0.3">
      <c r="B109" s="15" t="str">
        <f>'Fatura B1 (Res) OK'!$B$88</f>
        <v>B2 - Cooperativa Eletrificação Rural</v>
      </c>
      <c r="C109" s="15"/>
      <c r="D109" s="62">
        <f>'Fatura B1 (Res) OK'!$D$88</f>
        <v>0.43939300245552615</v>
      </c>
      <c r="E109" s="62">
        <f>'Fatura B1 (Res) OK'!$E$88</f>
        <v>9.2696750557401245E-2</v>
      </c>
      <c r="F109" s="62">
        <f>'Fatura B1 (Res) OK'!$F$88</f>
        <v>0.25284980106205335</v>
      </c>
      <c r="G109" s="62">
        <f>'Fatura B1 (Res) OK'!$G$88</f>
        <v>0.21506044592501908</v>
      </c>
    </row>
    <row r="110" spans="2:7" x14ac:dyDescent="0.3">
      <c r="B110" s="15" t="str">
        <f>'Fatura B1 (Res) OK'!$B$89</f>
        <v>B2 - Serviço de Irrigação</v>
      </c>
      <c r="C110" s="15"/>
      <c r="D110" s="62">
        <f>'Fatura B1 (Res) OK'!$D$89</f>
        <v>0.43939300245552615</v>
      </c>
      <c r="E110" s="62">
        <f>'Fatura B1 (Res) OK'!$E$89</f>
        <v>9.2696750557401328E-2</v>
      </c>
      <c r="F110" s="62">
        <f>'Fatura B1 (Res) OK'!$F$89</f>
        <v>0.25284980106205335</v>
      </c>
      <c r="G110" s="62">
        <f>'Fatura B1 (Res) OK'!$G$89</f>
        <v>0.21506044592501908</v>
      </c>
    </row>
    <row r="111" spans="2:7" x14ac:dyDescent="0.3">
      <c r="B111" s="15" t="str">
        <f>'Fatura B1 (Res) OK'!$B$90</f>
        <v>B3 - Demais Classes</v>
      </c>
      <c r="C111" s="15"/>
      <c r="D111" s="62">
        <f>'Fatura B1 (Res) OK'!$D$90</f>
        <v>0.43939300245552615</v>
      </c>
      <c r="E111" s="62">
        <f>'Fatura B1 (Res) OK'!$E$90</f>
        <v>9.2696750557401328E-2</v>
      </c>
      <c r="F111" s="62">
        <f>'Fatura B1 (Res) OK'!$F$90</f>
        <v>0.25284980106205335</v>
      </c>
      <c r="G111" s="62">
        <f>'Fatura B1 (Res) OK'!$G$90</f>
        <v>0.21506044592501908</v>
      </c>
    </row>
    <row r="112" spans="2:7" x14ac:dyDescent="0.3">
      <c r="B112" s="15" t="str">
        <f>'Fatura B1 (Res) OK'!$B$91</f>
        <v>B4 - Iluminação Pública</v>
      </c>
      <c r="C112" s="15"/>
      <c r="D112" s="62">
        <f>'Fatura B1 (Res) OK'!$D$91</f>
        <v>0</v>
      </c>
      <c r="E112" s="62">
        <f>'Fatura B1 (Res) OK'!$E$91</f>
        <v>0</v>
      </c>
      <c r="F112" s="62">
        <f>'Fatura B1 (Res) OK'!$F$91</f>
        <v>0</v>
      </c>
      <c r="G112" s="62">
        <f>'Fatura B1 (Res) OK'!$G$91</f>
        <v>0</v>
      </c>
    </row>
    <row r="113" spans="2:7" x14ac:dyDescent="0.3">
      <c r="B113" s="15" t="str">
        <f>'Fatura B1 (Res) OK'!$B$92</f>
        <v>B4a - Rede de Distribuição</v>
      </c>
      <c r="C113" s="15"/>
      <c r="D113" s="62">
        <f>'Fatura B1 (Res) OK'!$D$92</f>
        <v>0.43938945729126549</v>
      </c>
      <c r="E113" s="62">
        <f>'Fatura B1 (Res) OK'!$E$92</f>
        <v>9.2697336752737058E-2</v>
      </c>
      <c r="F113" s="62">
        <f>'Fatura B1 (Res) OK'!$F$92</f>
        <v>0.25285140003260154</v>
      </c>
      <c r="G113" s="62">
        <f>'Fatura B1 (Res) OK'!$G$92</f>
        <v>0.21506180592339591</v>
      </c>
    </row>
    <row r="114" spans="2:7" x14ac:dyDescent="0.3">
      <c r="B114" s="15" t="str">
        <f>'Fatura B1 (Res) OK'!$B$93</f>
        <v>B4b - Bulbo de Lâmpada</v>
      </c>
      <c r="C114" s="15"/>
      <c r="D114" s="62">
        <f>'Fatura B1 (Res) OK'!$D$93</f>
        <v>0.43938945729126527</v>
      </c>
      <c r="E114" s="62">
        <f>'Fatura B1 (Res) OK'!$E$93</f>
        <v>9.2697336752736934E-2</v>
      </c>
      <c r="F114" s="62">
        <f>'Fatura B1 (Res) OK'!$F$93</f>
        <v>0.25285140003260193</v>
      </c>
      <c r="G114" s="62">
        <f>'Fatura B1 (Res) OK'!$G$93</f>
        <v>0.21506180592339585</v>
      </c>
    </row>
    <row r="115" spans="2:7" x14ac:dyDescent="0.3">
      <c r="B115" s="63"/>
      <c r="C115" s="63"/>
      <c r="D115" s="63"/>
      <c r="E115" s="63"/>
      <c r="F115" s="63"/>
      <c r="G115" s="63"/>
    </row>
    <row r="116" spans="2:7" x14ac:dyDescent="0.3">
      <c r="B116" s="101" t="s">
        <v>98</v>
      </c>
      <c r="C116" s="63"/>
      <c r="D116" s="63"/>
      <c r="E116" s="63"/>
      <c r="F116" s="63"/>
      <c r="G116" s="63"/>
    </row>
    <row r="117" spans="2:7" x14ac:dyDescent="0.3">
      <c r="B117" s="15"/>
      <c r="C117" s="15"/>
      <c r="D117" s="15" t="s">
        <v>80</v>
      </c>
      <c r="E117" s="15" t="s">
        <v>82</v>
      </c>
      <c r="F117" s="15" t="s">
        <v>81</v>
      </c>
      <c r="G117" s="15" t="s">
        <v>86</v>
      </c>
    </row>
    <row r="118" spans="2:7" x14ac:dyDescent="0.3">
      <c r="B118" s="15" t="s">
        <v>87</v>
      </c>
      <c r="C118" s="15"/>
      <c r="D118" s="62" t="s">
        <v>88</v>
      </c>
      <c r="E118" s="62" t="s">
        <v>88</v>
      </c>
      <c r="F118" s="62" t="s">
        <v>88</v>
      </c>
      <c r="G118" s="62" t="s">
        <v>88</v>
      </c>
    </row>
    <row r="119" spans="2:7" x14ac:dyDescent="0.3">
      <c r="B119" s="15"/>
      <c r="C119" s="15"/>
      <c r="D119" s="62"/>
      <c r="E119" s="62"/>
      <c r="F119" s="62"/>
      <c r="G119" s="62"/>
    </row>
    <row r="120" spans="2:7" x14ac:dyDescent="0.3">
      <c r="B120" s="15" t="s">
        <v>89</v>
      </c>
      <c r="C120" s="15"/>
      <c r="D120" s="62">
        <f t="shared" ref="D120:G128" si="4">((D106*$C$13)+(D92*$D$13))/($C$13+$D$13)</f>
        <v>0.45246416638672077</v>
      </c>
      <c r="E120" s="62">
        <f t="shared" si="4"/>
        <v>7.39594111182032E-2</v>
      </c>
      <c r="F120" s="62">
        <f t="shared" si="4"/>
        <v>0.27500913257019954</v>
      </c>
      <c r="G120" s="62">
        <f t="shared" si="4"/>
        <v>0.19856728992487654</v>
      </c>
    </row>
    <row r="121" spans="2:7" x14ac:dyDescent="0.3">
      <c r="B121" s="15" t="s">
        <v>90</v>
      </c>
      <c r="C121" s="15"/>
      <c r="D121" s="62">
        <f t="shared" si="4"/>
        <v>0.53149575868436638</v>
      </c>
      <c r="E121" s="62">
        <f t="shared" si="4"/>
        <v>8.6877848555460851E-2</v>
      </c>
      <c r="F121" s="62">
        <f t="shared" si="4"/>
        <v>0.32304478104372042</v>
      </c>
      <c r="G121" s="62">
        <f t="shared" si="4"/>
        <v>5.8581611716452382E-2</v>
      </c>
    </row>
    <row r="122" spans="2:7" x14ac:dyDescent="0.3">
      <c r="B122" s="15" t="s">
        <v>91</v>
      </c>
      <c r="C122" s="15"/>
      <c r="D122" s="62">
        <f t="shared" si="4"/>
        <v>0.45246416638672077</v>
      </c>
      <c r="E122" s="62">
        <f t="shared" si="4"/>
        <v>7.39594111182032E-2</v>
      </c>
      <c r="F122" s="62">
        <f t="shared" si="4"/>
        <v>0.27500913257019954</v>
      </c>
      <c r="G122" s="62">
        <f t="shared" si="4"/>
        <v>0.19856728992487654</v>
      </c>
    </row>
    <row r="123" spans="2:7" x14ac:dyDescent="0.3">
      <c r="B123" s="15" t="s">
        <v>92</v>
      </c>
      <c r="C123" s="15"/>
      <c r="D123" s="62">
        <f t="shared" si="4"/>
        <v>0.45246416638672077</v>
      </c>
      <c r="E123" s="62">
        <f t="shared" si="4"/>
        <v>7.39594111182032E-2</v>
      </c>
      <c r="F123" s="62">
        <f t="shared" si="4"/>
        <v>0.27500913257019954</v>
      </c>
      <c r="G123" s="62">
        <f t="shared" si="4"/>
        <v>0.19856728992487654</v>
      </c>
    </row>
    <row r="124" spans="2:7" x14ac:dyDescent="0.3">
      <c r="B124" s="15" t="s">
        <v>93</v>
      </c>
      <c r="C124" s="15"/>
      <c r="D124" s="62">
        <f t="shared" si="4"/>
        <v>0.45246416638672077</v>
      </c>
      <c r="E124" s="62">
        <f t="shared" si="4"/>
        <v>7.39594111182032E-2</v>
      </c>
      <c r="F124" s="62">
        <f t="shared" si="4"/>
        <v>0.27500913257019954</v>
      </c>
      <c r="G124" s="62">
        <f t="shared" si="4"/>
        <v>0.19856728992487654</v>
      </c>
    </row>
    <row r="125" spans="2:7" x14ac:dyDescent="0.3">
      <c r="B125" s="15" t="s">
        <v>94</v>
      </c>
      <c r="C125" s="15"/>
      <c r="D125" s="62">
        <f t="shared" si="4"/>
        <v>0.45246416638672077</v>
      </c>
      <c r="E125" s="62">
        <f t="shared" si="4"/>
        <v>7.39594111182032E-2</v>
      </c>
      <c r="F125" s="62">
        <f t="shared" si="4"/>
        <v>0.27500913257019954</v>
      </c>
      <c r="G125" s="62">
        <f t="shared" si="4"/>
        <v>0.19856728992487654</v>
      </c>
    </row>
    <row r="126" spans="2:7" x14ac:dyDescent="0.3">
      <c r="B126" s="15" t="s">
        <v>95</v>
      </c>
      <c r="C126" s="15"/>
      <c r="D126" s="62">
        <f t="shared" si="4"/>
        <v>0.45246416638672071</v>
      </c>
      <c r="E126" s="62">
        <f t="shared" si="4"/>
        <v>7.3959411118203186E-2</v>
      </c>
      <c r="F126" s="62">
        <f t="shared" si="4"/>
        <v>0.27500913257019949</v>
      </c>
      <c r="G126" s="62">
        <f t="shared" si="4"/>
        <v>0.19856728992487654</v>
      </c>
    </row>
    <row r="127" spans="2:7" x14ac:dyDescent="0.3">
      <c r="B127" s="15" t="s">
        <v>96</v>
      </c>
      <c r="C127" s="15"/>
      <c r="D127" s="62">
        <f t="shared" si="4"/>
        <v>0.45246416638672071</v>
      </c>
      <c r="E127" s="62">
        <f t="shared" si="4"/>
        <v>7.3959411118203186E-2</v>
      </c>
      <c r="F127" s="62">
        <f t="shared" si="4"/>
        <v>0.27500913257019949</v>
      </c>
      <c r="G127" s="62">
        <f t="shared" si="4"/>
        <v>0.19856728992487654</v>
      </c>
    </row>
    <row r="128" spans="2:7" x14ac:dyDescent="0.3">
      <c r="B128" s="15" t="s">
        <v>97</v>
      </c>
      <c r="C128" s="15"/>
      <c r="D128" s="62">
        <f t="shared" si="4"/>
        <v>0.45246416638672071</v>
      </c>
      <c r="E128" s="62">
        <f t="shared" si="4"/>
        <v>7.39594111182032E-2</v>
      </c>
      <c r="F128" s="62">
        <f t="shared" si="4"/>
        <v>0.27500913257019954</v>
      </c>
      <c r="G128" s="62">
        <f t="shared" si="4"/>
        <v>0.19856728992487657</v>
      </c>
    </row>
    <row r="131" spans="2:8" s="99" customFormat="1" x14ac:dyDescent="0.3">
      <c r="B131" s="318" t="s">
        <v>146</v>
      </c>
      <c r="C131" s="109"/>
      <c r="D131" s="109"/>
      <c r="E131" s="109"/>
      <c r="F131" s="109"/>
      <c r="G131" s="138"/>
      <c r="H131" s="314"/>
    </row>
    <row r="132" spans="2:8" s="99" customFormat="1" x14ac:dyDescent="0.3">
      <c r="B132" s="138" t="s">
        <v>147</v>
      </c>
      <c r="C132" s="109"/>
      <c r="D132" s="314">
        <f>SUM(H53:H67)</f>
        <v>659.70349057923238</v>
      </c>
      <c r="E132" s="315">
        <v>1.2E-2</v>
      </c>
      <c r="F132" s="109"/>
      <c r="G132" s="138"/>
      <c r="H132" s="316">
        <f>-ROUND(D132*E132,2)</f>
        <v>-7.92</v>
      </c>
    </row>
    <row r="133" spans="2:8" s="99" customFormat="1" x14ac:dyDescent="0.3">
      <c r="B133" s="138" t="s">
        <v>148</v>
      </c>
      <c r="C133" s="109"/>
      <c r="D133" s="314">
        <f>D132</f>
        <v>659.70349057923238</v>
      </c>
      <c r="E133" s="317">
        <v>0.01</v>
      </c>
      <c r="F133" s="109"/>
      <c r="G133" s="138"/>
      <c r="H133" s="316">
        <f>-ROUND(D133*E133,2)</f>
        <v>-6.6</v>
      </c>
    </row>
    <row r="134" spans="2:8" s="99" customFormat="1" x14ac:dyDescent="0.3">
      <c r="B134" s="138" t="s">
        <v>149</v>
      </c>
      <c r="C134" s="109"/>
      <c r="D134" s="314">
        <f>D132</f>
        <v>659.70349057923238</v>
      </c>
      <c r="E134" s="317">
        <v>6.4999999999999997E-3</v>
      </c>
      <c r="F134" s="109"/>
      <c r="G134" s="138"/>
      <c r="H134" s="316">
        <f>-ROUND(D134*E134,2)</f>
        <v>-4.29</v>
      </c>
    </row>
    <row r="135" spans="2:8" s="99" customFormat="1" x14ac:dyDescent="0.3">
      <c r="B135" s="138" t="s">
        <v>56</v>
      </c>
      <c r="C135" s="109"/>
      <c r="D135" s="314">
        <f>D132</f>
        <v>659.70349057923238</v>
      </c>
      <c r="E135" s="317">
        <v>0.03</v>
      </c>
      <c r="F135" s="109"/>
      <c r="G135" s="138"/>
      <c r="H135" s="316">
        <f>-ROUND(D135*E135,2)</f>
        <v>-19.79</v>
      </c>
    </row>
    <row r="136" spans="2:8" s="99" customFormat="1" x14ac:dyDescent="0.3">
      <c r="B136" s="109"/>
      <c r="C136" s="109"/>
      <c r="D136" s="109"/>
      <c r="E136" s="109"/>
      <c r="F136" s="319"/>
      <c r="G136" s="138"/>
      <c r="H136" s="320"/>
    </row>
    <row r="137" spans="2:8" s="99" customFormat="1" x14ac:dyDescent="0.3">
      <c r="B137" s="321" t="s">
        <v>150</v>
      </c>
      <c r="C137" s="109"/>
      <c r="D137" s="109"/>
      <c r="E137" s="109"/>
      <c r="F137" s="319"/>
      <c r="G137" s="138"/>
      <c r="H137" s="320"/>
    </row>
    <row r="138" spans="2:8" s="99" customFormat="1" x14ac:dyDescent="0.3">
      <c r="B138" s="138" t="s">
        <v>147</v>
      </c>
      <c r="C138" s="109"/>
      <c r="D138" s="314">
        <f>H149+H150</f>
        <v>0</v>
      </c>
      <c r="E138" s="145">
        <f>E132</f>
        <v>1.2E-2</v>
      </c>
      <c r="F138" s="109"/>
      <c r="G138" s="138"/>
      <c r="H138" s="316">
        <f>-ROUND(D138*E138,2)</f>
        <v>0</v>
      </c>
    </row>
    <row r="139" spans="2:8" s="99" customFormat="1" x14ac:dyDescent="0.3">
      <c r="B139" s="138" t="s">
        <v>148</v>
      </c>
      <c r="C139" s="109"/>
      <c r="D139" s="314">
        <f>D138</f>
        <v>0</v>
      </c>
      <c r="E139" s="145">
        <f>E133</f>
        <v>0.01</v>
      </c>
      <c r="F139" s="109"/>
      <c r="G139" s="138"/>
      <c r="H139" s="316">
        <f>-ROUND(D139*E139,2)</f>
        <v>0</v>
      </c>
    </row>
    <row r="140" spans="2:8" s="99" customFormat="1" x14ac:dyDescent="0.3">
      <c r="B140" s="138" t="s">
        <v>149</v>
      </c>
      <c r="C140" s="109"/>
      <c r="D140" s="314">
        <f>D138</f>
        <v>0</v>
      </c>
      <c r="E140" s="145">
        <f>E134</f>
        <v>6.4999999999999997E-3</v>
      </c>
      <c r="F140" s="109"/>
      <c r="G140" s="138"/>
      <c r="H140" s="316">
        <f>-ROUND(D140*E140,2)</f>
        <v>0</v>
      </c>
    </row>
    <row r="141" spans="2:8" s="99" customFormat="1" x14ac:dyDescent="0.3">
      <c r="B141" s="138" t="s">
        <v>56</v>
      </c>
      <c r="C141" s="109"/>
      <c r="D141" s="314">
        <f>D138</f>
        <v>0</v>
      </c>
      <c r="E141" s="145">
        <f>E135</f>
        <v>0.03</v>
      </c>
      <c r="F141" s="109"/>
      <c r="G141" s="138"/>
      <c r="H141" s="316">
        <f>-ROUND(D141*E141,2)</f>
        <v>0</v>
      </c>
    </row>
    <row r="142" spans="2:8" s="99" customFormat="1" x14ac:dyDescent="0.3">
      <c r="B142" s="109"/>
      <c r="C142" s="109"/>
      <c r="D142" s="109"/>
      <c r="E142" s="109"/>
      <c r="F142" s="109"/>
      <c r="G142" s="138"/>
      <c r="H142" s="314"/>
    </row>
    <row r="143" spans="2:8" s="99" customFormat="1" x14ac:dyDescent="0.3">
      <c r="B143" s="321" t="s">
        <v>151</v>
      </c>
      <c r="C143" s="263"/>
      <c r="D143" s="263"/>
      <c r="E143" s="109"/>
      <c r="F143" s="319"/>
      <c r="G143" s="138"/>
      <c r="H143" s="320"/>
    </row>
    <row r="144" spans="2:8" s="99" customFormat="1" x14ac:dyDescent="0.3">
      <c r="B144" s="138" t="s">
        <v>147</v>
      </c>
      <c r="C144" s="109"/>
      <c r="D144" s="314">
        <f>D132+D138</f>
        <v>659.70349057923238</v>
      </c>
      <c r="E144" s="145">
        <f>E138</f>
        <v>1.2E-2</v>
      </c>
      <c r="F144" s="109"/>
      <c r="G144" s="138"/>
      <c r="H144" s="316">
        <f>-ROUND(D144*E144,2)</f>
        <v>-7.92</v>
      </c>
    </row>
    <row r="145" spans="2:8" s="99" customFormat="1" x14ac:dyDescent="0.3">
      <c r="B145" s="138" t="s">
        <v>148</v>
      </c>
      <c r="C145" s="109"/>
      <c r="D145" s="314">
        <f>D133+D139</f>
        <v>659.70349057923238</v>
      </c>
      <c r="E145" s="145">
        <f>E139</f>
        <v>0.01</v>
      </c>
      <c r="F145" s="109"/>
      <c r="G145" s="138"/>
      <c r="H145" s="316">
        <f>-ROUND(D145*E145,2)</f>
        <v>-6.6</v>
      </c>
    </row>
    <row r="146" spans="2:8" s="99" customFormat="1" x14ac:dyDescent="0.3">
      <c r="B146" s="138" t="s">
        <v>149</v>
      </c>
      <c r="C146" s="109"/>
      <c r="D146" s="314">
        <f>D134+D140</f>
        <v>659.70349057923238</v>
      </c>
      <c r="E146" s="145">
        <f>E140</f>
        <v>6.4999999999999997E-3</v>
      </c>
      <c r="F146" s="109"/>
      <c r="G146" s="138"/>
      <c r="H146" s="316">
        <f>-ROUND(D146*E146,2)</f>
        <v>-4.29</v>
      </c>
    </row>
    <row r="147" spans="2:8" s="99" customFormat="1" x14ac:dyDescent="0.3">
      <c r="B147" s="138" t="s">
        <v>56</v>
      </c>
      <c r="C147" s="109"/>
      <c r="D147" s="314">
        <f>D135+D141</f>
        <v>659.70349057923238</v>
      </c>
      <c r="E147" s="145">
        <f>E141</f>
        <v>0.03</v>
      </c>
      <c r="F147" s="109"/>
      <c r="G147" s="138"/>
      <c r="H147" s="316">
        <f>-ROUND(D147*E147,2)</f>
        <v>-19.79</v>
      </c>
    </row>
    <row r="149" spans="2:8" x14ac:dyDescent="0.3">
      <c r="B149" s="1" t="s">
        <v>61</v>
      </c>
      <c r="H149" s="322"/>
    </row>
    <row r="150" spans="2:8" x14ac:dyDescent="0.3">
      <c r="B150" s="1" t="s">
        <v>62</v>
      </c>
      <c r="H150" s="322"/>
    </row>
  </sheetData>
  <mergeCells count="10">
    <mergeCell ref="U4:W4"/>
    <mergeCell ref="X4:Z4"/>
    <mergeCell ref="K10:L10"/>
    <mergeCell ref="B49:H49"/>
    <mergeCell ref="B4:B5"/>
    <mergeCell ref="C4:E4"/>
    <mergeCell ref="F4:H4"/>
    <mergeCell ref="I4:K4"/>
    <mergeCell ref="Q4:Q5"/>
    <mergeCell ref="R4:T4"/>
  </mergeCells>
  <conditionalFormatting sqref="K11:L11">
    <cfRule type="cellIs" dxfId="13" priority="1" operator="equal">
      <formula>"Escassez Hídrica"</formula>
    </cfRule>
    <cfRule type="cellIs" dxfId="12" priority="2" operator="equal">
      <formula>"VERDE"</formula>
    </cfRule>
    <cfRule type="cellIs" dxfId="11" priority="3" operator="equal">
      <formula>"BVM2"</formula>
    </cfRule>
    <cfRule type="cellIs" dxfId="10" priority="4" operator="equal">
      <formula>"BVM1"</formula>
    </cfRule>
    <cfRule type="cellIs" dxfId="9" priority="5" operator="equal">
      <formula>"BAM"</formula>
    </cfRule>
  </conditionalFormatting>
  <conditionalFormatting sqref="M3">
    <cfRule type="cellIs" dxfId="8" priority="11" operator="equal">
      <formula>"VERDE"</formula>
    </cfRule>
    <cfRule type="cellIs" dxfId="7" priority="12" operator="equal">
      <formula>"BVM2"</formula>
    </cfRule>
    <cfRule type="cellIs" dxfId="6" priority="13" operator="equal">
      <formula>"BVM1"</formula>
    </cfRule>
    <cfRule type="cellIs" dxfId="5" priority="14" operator="equal">
      <formula>"BAM"</formula>
    </cfRule>
  </conditionalFormatting>
  <conditionalFormatting sqref="M7:M8">
    <cfRule type="containsText" dxfId="4" priority="6" operator="containsText" text="Escassez Hídrica">
      <formula>NOT(ISERROR(SEARCH("Escassez Hídrica",M7)))</formula>
    </cfRule>
    <cfRule type="cellIs" dxfId="3" priority="7" operator="equal">
      <formula>"VERDE"</formula>
    </cfRule>
    <cfRule type="cellIs" dxfId="2" priority="8" operator="equal">
      <formula>"BVM2"</formula>
    </cfRule>
    <cfRule type="cellIs" dxfId="1" priority="9" operator="equal">
      <formula>"BVM1"</formula>
    </cfRule>
    <cfRule type="cellIs" dxfId="0" priority="10" operator="equal">
      <formula>"BAM"</formula>
    </cfRule>
  </conditionalFormatting>
  <dataValidations count="1">
    <dataValidation type="list" allowBlank="1" showInputMessage="1" showErrorMessage="1" sqref="K11:L11" xr:uid="{C925A0FF-D1AF-4F45-85C1-93D9F1F94707}">
      <formula1>$M$3:$M$7</formula1>
    </dataValidation>
  </dataValidations>
  <pageMargins left="0.511811024" right="0.511811024" top="0.78740157499999996" bottom="0.78740157499999996" header="0.31496062000000002" footer="0.31496062000000002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A891448F6717847BCC1627ECE39252D" ma:contentTypeVersion="17" ma:contentTypeDescription="Create a new document." ma:contentTypeScope="" ma:versionID="049c324740bffa8f9db2ca46aa965dbf">
  <xsd:schema xmlns:xsd="http://www.w3.org/2001/XMLSchema" xmlns:xs="http://www.w3.org/2001/XMLSchema" xmlns:p="http://schemas.microsoft.com/office/2006/metadata/properties" xmlns:ns1="http://schemas.microsoft.com/sharepoint/v3" xmlns:ns2="dee4fbf6-117c-49a8-8347-1ad6b80523b2" xmlns:ns3="8a069c89-97f4-473c-8adf-a00e29b2cc6b" targetNamespace="http://schemas.microsoft.com/office/2006/metadata/properties" ma:root="true" ma:fieldsID="97e598d1cd753d817f5e8f1783bbf398" ns1:_="" ns2:_="" ns3:_="">
    <xsd:import namespace="http://schemas.microsoft.com/sharepoint/v3"/>
    <xsd:import namespace="dee4fbf6-117c-49a8-8347-1ad6b80523b2"/>
    <xsd:import namespace="8a069c89-97f4-473c-8adf-a00e29b2cc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bjectDetectorVersions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2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3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e4fbf6-117c-49a8-8347-1ad6b80523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13fef0e-ad1e-4996-aa84-7ac1ebeb22c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9c89-97f4-473c-8adf-a00e29b2cc6b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f6f367be-cbae-4434-adac-9267ed6ec758}" ma:internalName="TaxCatchAll" ma:showField="CatchAllData" ma:web="8a069c89-97f4-473c-8adf-a00e29b2cc6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8a069c89-97f4-473c-8adf-a00e29b2cc6b" xsi:nil="true"/>
    <_ip_UnifiedCompliancePolicyProperties xmlns="http://schemas.microsoft.com/sharepoint/v3" xsi:nil="true"/>
    <lcf76f155ced4ddcb4097134ff3c332f xmlns="dee4fbf6-117c-49a8-8347-1ad6b80523b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6F6B115-4995-49FB-BFAB-3F310222B36A}"/>
</file>

<file path=customXml/itemProps2.xml><?xml version="1.0" encoding="utf-8"?>
<ds:datastoreItem xmlns:ds="http://schemas.openxmlformats.org/officeDocument/2006/customXml" ds:itemID="{D72D88EE-420D-4AE7-A766-A40BA81C750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3DB8ED0-84AC-42FA-8736-398C29ABAB40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8a069c89-97f4-473c-8adf-a00e29b2cc6b"/>
    <ds:schemaRef ds:uri="dee4fbf6-117c-49a8-8347-1ad6b80523b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2</vt:i4>
      </vt:variant>
    </vt:vector>
  </HeadingPairs>
  <TitlesOfParts>
    <vt:vector size="18" baseType="lpstr">
      <vt:lpstr>Fatura B1 (Res) OK</vt:lpstr>
      <vt:lpstr>Fatura B2 (Rur) OK</vt:lpstr>
      <vt:lpstr>Fatura B2 (Irr) OK</vt:lpstr>
      <vt:lpstr>Fatura B3 OK</vt:lpstr>
      <vt:lpstr>Fatura B3 (AES)</vt:lpstr>
      <vt:lpstr>Fatura B3 (CP)  OK</vt:lpstr>
      <vt:lpstr>Baixa Renda</vt:lpstr>
      <vt:lpstr>Baixa Renda 1 OK</vt:lpstr>
      <vt:lpstr>Baixa Renda MP 1300</vt:lpstr>
      <vt:lpstr>TABELA DE TARIFAS ANTIGAS</vt:lpstr>
      <vt:lpstr>TABELA DE TARIFAS NOVAS</vt:lpstr>
      <vt:lpstr>FIO B</vt:lpstr>
      <vt:lpstr>Baixa Renda (INDIG) 1</vt:lpstr>
      <vt:lpstr>Baixa Renda (IND)</vt:lpstr>
      <vt:lpstr>Fatura B4a </vt:lpstr>
      <vt:lpstr>Fatura B3 (PPF)</vt:lpstr>
      <vt:lpstr>'TABELA DE TARIFAS ANTIGAS'!_Ref352134769</vt:lpstr>
      <vt:lpstr>'TABELA DE TARIFAS NOVAS'!_Ref352134769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Ivan Moises Stasieniuk Cavalcante</dc:creator>
  <cp:keywords/>
  <dc:description/>
  <cp:lastModifiedBy>Alex Da Costa Pereira</cp:lastModifiedBy>
  <cp:revision/>
  <dcterms:created xsi:type="dcterms:W3CDTF">2015-03-01T12:41:45Z</dcterms:created>
  <dcterms:modified xsi:type="dcterms:W3CDTF">2026-05-07T12:04:31Z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Validação IRT_ESCELSA_2017.xlsx</vt:lpwstr>
  </property>
  <property fmtid="{D5CDD505-2E9C-101B-9397-08002B2CF9AE}" pid="3" name="MSIP_Label_9811530c-902c-4b75-8616-d6c82cd1332a_Enabled">
    <vt:lpwstr>true</vt:lpwstr>
  </property>
  <property fmtid="{D5CDD505-2E9C-101B-9397-08002B2CF9AE}" pid="4" name="MSIP_Label_9811530c-902c-4b75-8616-d6c82cd1332a_SetDate">
    <vt:lpwstr>2025-08-27T11:13:56Z</vt:lpwstr>
  </property>
  <property fmtid="{D5CDD505-2E9C-101B-9397-08002B2CF9AE}" pid="5" name="MSIP_Label_9811530c-902c-4b75-8616-d6c82cd1332a_Method">
    <vt:lpwstr>Privileged</vt:lpwstr>
  </property>
  <property fmtid="{D5CDD505-2E9C-101B-9397-08002B2CF9AE}" pid="6" name="MSIP_Label_9811530c-902c-4b75-8616-d6c82cd1332a_Name">
    <vt:lpwstr>9811530c-902c-4b75-8616-d6c82cd1332a</vt:lpwstr>
  </property>
  <property fmtid="{D5CDD505-2E9C-101B-9397-08002B2CF9AE}" pid="7" name="MSIP_Label_9811530c-902c-4b75-8616-d6c82cd1332a_SiteId">
    <vt:lpwstr>bf86fbdb-f8c2-440e-923c-05a60dc2bc9b</vt:lpwstr>
  </property>
  <property fmtid="{D5CDD505-2E9C-101B-9397-08002B2CF9AE}" pid="8" name="MSIP_Label_9811530c-902c-4b75-8616-d6c82cd1332a_ActionId">
    <vt:lpwstr>21dedb1b-7742-4696-b7b5-cbab2b796381</vt:lpwstr>
  </property>
  <property fmtid="{D5CDD505-2E9C-101B-9397-08002B2CF9AE}" pid="9" name="MSIP_Label_9811530c-902c-4b75-8616-d6c82cd1332a_ContentBits">
    <vt:lpwstr>0</vt:lpwstr>
  </property>
  <property fmtid="{D5CDD505-2E9C-101B-9397-08002B2CF9AE}" pid="10" name="MSIP_Label_9811530c-902c-4b75-8616-d6c82cd1332a_Tag">
    <vt:lpwstr>10, 0, 1, 1</vt:lpwstr>
  </property>
  <property fmtid="{D5CDD505-2E9C-101B-9397-08002B2CF9AE}" pid="11" name="ContentTypeId">
    <vt:lpwstr>0x010100CA891448F6717847BCC1627ECE39252D</vt:lpwstr>
  </property>
  <property fmtid="{D5CDD505-2E9C-101B-9397-08002B2CF9AE}" pid="12" name="MediaServiceImageTags">
    <vt:lpwstr/>
  </property>
</Properties>
</file>