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coc10.escelsa.br\CGC\CGFA\Faturamento\Gestão Faturamento\15 - Relatório Gerencial - CGC\Arquivos PRT\Processos Tarifarios\2026_RTA_EDP_ES\Planilhas de Validação\EP2\Grupo B\"/>
    </mc:Choice>
  </mc:AlternateContent>
  <xr:revisionPtr revIDLastSave="0" documentId="13_ncr:1_{CBB39CF0-448A-45F3-B048-5B3E731E7CB5}" xr6:coauthVersionLast="47" xr6:coauthVersionMax="47" xr10:uidLastSave="{00000000-0000-0000-0000-000000000000}"/>
  <bookViews>
    <workbookView xWindow="-109" yWindow="-109" windowWidth="26301" windowHeight="14169" tabRatio="816" firstSheet="3" activeTab="3" xr2:uid="{00000000-000D-0000-FFFF-FFFF00000000}"/>
  </bookViews>
  <sheets>
    <sheet name="FIO B" sheetId="29" state="hidden" r:id="rId1"/>
    <sheet name="TABELA DE TARIFAS ANTIGAS" sheetId="28" state="hidden" r:id="rId2"/>
    <sheet name="TABELA DE TARIFAS NOVAS" sheetId="24" state="hidden" r:id="rId3"/>
    <sheet name="Fatura B1 (GD) OK" sheetId="10" r:id="rId4"/>
    <sheet name="Fatura B1 (GD I)" sheetId="9" state="hidden" r:id="rId5"/>
    <sheet name="Fatura B1CDE (GD) OK" sheetId="30" r:id="rId6"/>
    <sheet name="Fatura B3 (GD) OK" sheetId="18" r:id="rId7"/>
    <sheet name="Fatura B2 (GD) OK" sheetId="11" r:id="rId8"/>
    <sheet name="Fatura B2 IRRIG (GD) OK" sheetId="22" r:id="rId9"/>
    <sheet name="Fatura B1 BRe (GD)" sheetId="26" state="hidden" r:id="rId10"/>
    <sheet name="Fatura B1 BRe (GD) MP 1300 OK" sheetId="27" r:id="rId11"/>
    <sheet name="V4 MMGD GDII" sheetId="15" state="hidden" r:id="rId12"/>
    <sheet name="A4 MMGD GDII" sheetId="16" state="hidden" r:id="rId13"/>
    <sheet name="Fatura B1 (GD II) (Baixa Re (2)" sheetId="17" state="hidden" r:id="rId14"/>
  </sheets>
  <externalReferences>
    <externalReference r:id="rId15"/>
    <externalReference r:id="rId16"/>
    <externalReference r:id="rId17"/>
    <externalReference r:id="rId18"/>
    <externalReference r:id="rId19"/>
  </externalReferences>
  <definedNames>
    <definedName name="_xlnm._FilterDatabase" localSheetId="2" hidden="1">'TABELA DE TARIFAS NOVAS'!$B$1:$B$93</definedName>
    <definedName name="_Ref352134769" localSheetId="2">'TABELA DE TARIFAS NOVAS'!$A$93</definedName>
    <definedName name="Z_93A7E07A_AC2D_4310_B7ED_B74DACBA50A7_.wvu.FilterData" localSheetId="2" hidden="1">'TABELA DE TARIFAS NOVAS'!$B$1:$B$93</definedName>
    <definedName name="Z_A8592FA0_1011_4F02_BFB0_BB1C65ED9311_.wvu.FilterData" localSheetId="2" hidden="1">'TABELA DE TARIFAS NOVAS'!$B$1:$B$93</definedName>
    <definedName name="Z_E99E9347_E83C_4BCD_9209_A3E8998220A9_.wvu.FilterData" localSheetId="2" hidden="1">'TABELA DE TARIFAS NOVAS'!$B$1:$B$93</definedName>
    <definedName name="Z_EB662AE4_4B22_40EC_8355_9AD94D059B97_.wvu.FilterData" localSheetId="2" hidden="1">'TABELA DE TARIFAS NOVAS'!$B$1:$B$93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7" i="30" l="1"/>
  <c r="M24" i="30"/>
  <c r="D92" i="30"/>
  <c r="D93" i="30"/>
  <c r="G6" i="18" l="1"/>
  <c r="N24" i="18"/>
  <c r="N22" i="18"/>
  <c r="F2" i="30"/>
  <c r="I35" i="22"/>
  <c r="D35" i="22"/>
  <c r="J32" i="22"/>
  <c r="D51" i="22" l="1"/>
  <c r="D50" i="22"/>
  <c r="U11" i="27"/>
  <c r="U11" i="22"/>
  <c r="T11" i="22"/>
  <c r="U11" i="11"/>
  <c r="T11" i="11"/>
  <c r="T11" i="18"/>
  <c r="U11" i="18"/>
  <c r="U13" i="30"/>
  <c r="T13" i="30"/>
  <c r="F9" i="30" s="1"/>
  <c r="U12" i="30"/>
  <c r="G8" i="30"/>
  <c r="H8" i="30" s="1"/>
  <c r="F8" i="30"/>
  <c r="E8" i="30"/>
  <c r="U11" i="10"/>
  <c r="T11" i="10"/>
  <c r="C53" i="30"/>
  <c r="C52" i="30"/>
  <c r="C51" i="30"/>
  <c r="C50" i="30"/>
  <c r="D39" i="30"/>
  <c r="D38" i="30"/>
  <c r="D30" i="30"/>
  <c r="D29" i="30"/>
  <c r="D35" i="30"/>
  <c r="D34" i="30"/>
  <c r="D33" i="30"/>
  <c r="D32" i="30"/>
  <c r="E9" i="30"/>
  <c r="G7" i="30"/>
  <c r="F7" i="30"/>
  <c r="D7" i="30"/>
  <c r="C7" i="30"/>
  <c r="E86" i="30"/>
  <c r="E83" i="30"/>
  <c r="E84" i="30" s="1"/>
  <c r="E81" i="30"/>
  <c r="E82" i="30" s="1"/>
  <c r="D72" i="30"/>
  <c r="D71" i="30"/>
  <c r="F65" i="30"/>
  <c r="F72" i="30" s="1"/>
  <c r="D65" i="30"/>
  <c r="D64" i="30"/>
  <c r="D60" i="30"/>
  <c r="K39" i="30"/>
  <c r="K30" i="30"/>
  <c r="N26" i="30"/>
  <c r="N24" i="30"/>
  <c r="M16" i="30"/>
  <c r="J16" i="30"/>
  <c r="D16" i="30"/>
  <c r="C16" i="30"/>
  <c r="G9" i="30"/>
  <c r="H13" i="30"/>
  <c r="M12" i="30"/>
  <c r="U6" i="30"/>
  <c r="R6" i="30"/>
  <c r="Q6" i="30"/>
  <c r="N6" i="30"/>
  <c r="K38" i="30" s="1"/>
  <c r="G6" i="30"/>
  <c r="G10" i="30" s="1"/>
  <c r="F6" i="30"/>
  <c r="D6" i="30"/>
  <c r="C6" i="30"/>
  <c r="N5" i="30"/>
  <c r="K37" i="30" s="1"/>
  <c r="U4" i="30"/>
  <c r="R4" i="30"/>
  <c r="N4" i="30"/>
  <c r="K27" i="30" s="1"/>
  <c r="J9" i="30" l="1"/>
  <c r="E51" i="30" s="1"/>
  <c r="E53" i="30" s="1"/>
  <c r="H9" i="30"/>
  <c r="H30" i="30"/>
  <c r="J30" i="30" s="1"/>
  <c r="H7" i="30"/>
  <c r="L16" i="30"/>
  <c r="I7" i="30"/>
  <c r="H72" i="30"/>
  <c r="H6" i="30"/>
  <c r="I9" i="30"/>
  <c r="D51" i="30" s="1"/>
  <c r="D53" i="30" s="1"/>
  <c r="F53" i="30" s="1"/>
  <c r="J7" i="30"/>
  <c r="I8" i="30"/>
  <c r="J8" i="30"/>
  <c r="J6" i="30"/>
  <c r="E7" i="30"/>
  <c r="J10" i="30"/>
  <c r="K29" i="30"/>
  <c r="G29" i="30" s="1"/>
  <c r="K16" i="30"/>
  <c r="F64" i="30"/>
  <c r="F71" i="30" s="1"/>
  <c r="H71" i="30" s="1"/>
  <c r="H65" i="30"/>
  <c r="H38" i="30"/>
  <c r="J38" i="30" s="1"/>
  <c r="F63" i="30"/>
  <c r="F70" i="30" s="1"/>
  <c r="X6" i="30"/>
  <c r="R23" i="30" s="1"/>
  <c r="S23" i="30" s="1"/>
  <c r="H39" i="30"/>
  <c r="J39" i="30" s="1"/>
  <c r="F60" i="30"/>
  <c r="F67" i="30" s="1"/>
  <c r="I6" i="30"/>
  <c r="K28" i="30"/>
  <c r="G38" i="30"/>
  <c r="D88" i="30"/>
  <c r="E6" i="30"/>
  <c r="G39" i="30"/>
  <c r="K36" i="30"/>
  <c r="G30" i="30"/>
  <c r="F62" i="30"/>
  <c r="F69" i="30" s="1"/>
  <c r="K23" i="30" l="1"/>
  <c r="E92" i="30"/>
  <c r="K32" i="30"/>
  <c r="F92" i="30"/>
  <c r="K24" i="30"/>
  <c r="K26" i="30" s="1"/>
  <c r="E93" i="30"/>
  <c r="K33" i="30"/>
  <c r="K35" i="30" s="1"/>
  <c r="F93" i="30"/>
  <c r="K34" i="30"/>
  <c r="H32" i="30"/>
  <c r="J32" i="30" s="1"/>
  <c r="G32" i="30"/>
  <c r="E32" i="30" s="1"/>
  <c r="F32" i="30" s="1"/>
  <c r="K25" i="30"/>
  <c r="H25" i="30" s="1"/>
  <c r="J25" i="30" s="1"/>
  <c r="G23" i="30"/>
  <c r="H23" i="30"/>
  <c r="J23" i="30" s="1"/>
  <c r="G24" i="30"/>
  <c r="H24" i="30"/>
  <c r="J24" i="30" s="1"/>
  <c r="H33" i="30"/>
  <c r="J33" i="30" s="1"/>
  <c r="G33" i="30"/>
  <c r="E60" i="30"/>
  <c r="H60" i="30" s="1"/>
  <c r="E50" i="30"/>
  <c r="E52" i="30" s="1"/>
  <c r="F88" i="30"/>
  <c r="D50" i="30"/>
  <c r="E88" i="30"/>
  <c r="F51" i="30"/>
  <c r="K9" i="30"/>
  <c r="D37" i="30"/>
  <c r="D63" i="30"/>
  <c r="H63" i="30" s="1"/>
  <c r="D70" i="30"/>
  <c r="H70" i="30" s="1"/>
  <c r="D28" i="30"/>
  <c r="G28" i="30" s="1"/>
  <c r="K8" i="30"/>
  <c r="E30" i="30"/>
  <c r="F30" i="30" s="1"/>
  <c r="D36" i="30"/>
  <c r="G36" i="30" s="1"/>
  <c r="D27" i="30"/>
  <c r="H27" i="30" s="1"/>
  <c r="J27" i="30" s="1"/>
  <c r="K7" i="30"/>
  <c r="D62" i="30"/>
  <c r="H62" i="30" s="1"/>
  <c r="K6" i="30"/>
  <c r="H29" i="30"/>
  <c r="J29" i="30" s="1"/>
  <c r="E29" i="30" s="1"/>
  <c r="F29" i="30" s="1"/>
  <c r="E38" i="30"/>
  <c r="F38" i="30" s="1"/>
  <c r="H64" i="30"/>
  <c r="D69" i="30"/>
  <c r="H69" i="30" s="1"/>
  <c r="E39" i="30"/>
  <c r="F39" i="30" s="1"/>
  <c r="G93" i="30" l="1"/>
  <c r="H93" i="30"/>
  <c r="G92" i="30"/>
  <c r="H92" i="30"/>
  <c r="H88" i="30"/>
  <c r="G25" i="30"/>
  <c r="E25" i="30"/>
  <c r="F25" i="30" s="1"/>
  <c r="H28" i="30"/>
  <c r="J28" i="30" s="1"/>
  <c r="E28" i="30" s="1"/>
  <c r="F28" i="30" s="1"/>
  <c r="E24" i="30"/>
  <c r="F24" i="30" s="1"/>
  <c r="G60" i="30"/>
  <c r="E67" i="30"/>
  <c r="G67" i="30" s="1"/>
  <c r="E33" i="30"/>
  <c r="F33" i="30" s="1"/>
  <c r="G35" i="30"/>
  <c r="H35" i="30"/>
  <c r="J35" i="30" s="1"/>
  <c r="G26" i="30"/>
  <c r="H26" i="30"/>
  <c r="J26" i="30" s="1"/>
  <c r="D52" i="30"/>
  <c r="F52" i="30" s="1"/>
  <c r="F50" i="30"/>
  <c r="G34" i="30"/>
  <c r="H34" i="30"/>
  <c r="J34" i="30" s="1"/>
  <c r="D86" i="30"/>
  <c r="H86" i="30" s="1"/>
  <c r="H37" i="30"/>
  <c r="J37" i="30" s="1"/>
  <c r="G37" i="30"/>
  <c r="H36" i="30"/>
  <c r="J36" i="30" s="1"/>
  <c r="E36" i="30" s="1"/>
  <c r="F36" i="30" s="1"/>
  <c r="G27" i="30"/>
  <c r="D81" i="30"/>
  <c r="D83" i="30" s="1"/>
  <c r="H83" i="30" s="1"/>
  <c r="E23" i="30"/>
  <c r="F23" i="30" s="1"/>
  <c r="H67" i="30" l="1"/>
  <c r="H78" i="30" s="1"/>
  <c r="J91" i="30"/>
  <c r="F54" i="30"/>
  <c r="E26" i="30"/>
  <c r="F26" i="30" s="1"/>
  <c r="E34" i="30"/>
  <c r="F34" i="30" s="1"/>
  <c r="E35" i="30"/>
  <c r="F35" i="30" s="1"/>
  <c r="G48" i="30"/>
  <c r="E37" i="30"/>
  <c r="F37" i="30" s="1"/>
  <c r="H48" i="30"/>
  <c r="E27" i="30"/>
  <c r="F27" i="30" s="1"/>
  <c r="H81" i="30"/>
  <c r="J48" i="30"/>
  <c r="M23" i="30"/>
  <c r="O23" i="30" s="1"/>
  <c r="D85" i="30"/>
  <c r="H85" i="30" s="1"/>
  <c r="D82" i="30" l="1"/>
  <c r="D84" i="30" s="1"/>
  <c r="H84" i="30" s="1"/>
  <c r="M25" i="30"/>
  <c r="O25" i="30" s="1"/>
  <c r="F48" i="30"/>
  <c r="O24" i="30" l="1"/>
  <c r="H82" i="30"/>
  <c r="M26" i="30"/>
  <c r="O26" i="30" s="1"/>
  <c r="H58" i="30"/>
  <c r="N23" i="27" l="1"/>
  <c r="N22" i="27"/>
  <c r="N23" i="22"/>
  <c r="N21" i="22"/>
  <c r="U6" i="22"/>
  <c r="R6" i="22"/>
  <c r="G6" i="22"/>
  <c r="F6" i="22"/>
  <c r="D6" i="22"/>
  <c r="C6" i="22"/>
  <c r="U6" i="11"/>
  <c r="R6" i="11"/>
  <c r="G6" i="11"/>
  <c r="F6" i="11"/>
  <c r="D6" i="11"/>
  <c r="C6" i="11"/>
  <c r="F6" i="18"/>
  <c r="D6" i="18"/>
  <c r="C6" i="18"/>
  <c r="U6" i="18"/>
  <c r="R6" i="18"/>
  <c r="U6" i="10"/>
  <c r="R6" i="10"/>
  <c r="U6" i="27" l="1"/>
  <c r="R6" i="27"/>
  <c r="U12" i="27" l="1"/>
  <c r="AC12" i="27"/>
  <c r="AE12" i="27"/>
  <c r="U13" i="27"/>
  <c r="W15" i="27" s="1"/>
  <c r="AC13" i="27"/>
  <c r="AE13" i="27"/>
  <c r="AC14" i="27"/>
  <c r="AC15" i="27"/>
  <c r="E23" i="27" l="1"/>
  <c r="Q6" i="18" l="1"/>
  <c r="Q6" i="10"/>
  <c r="U4" i="10"/>
  <c r="R4" i="10"/>
  <c r="F2" i="27" l="1"/>
  <c r="F2" i="22"/>
  <c r="F2" i="18"/>
  <c r="F89" i="27" l="1"/>
  <c r="E89" i="27"/>
  <c r="G7" i="27"/>
  <c r="F7" i="27"/>
  <c r="H7" i="27" s="1"/>
  <c r="G6" i="27"/>
  <c r="F6" i="27"/>
  <c r="H6" i="27" s="1"/>
  <c r="D6" i="27"/>
  <c r="C6" i="27"/>
  <c r="E6" i="27" s="1"/>
  <c r="H6" i="22"/>
  <c r="G6" i="10"/>
  <c r="F6" i="10"/>
  <c r="D6" i="10"/>
  <c r="C6" i="10"/>
  <c r="F4" i="27"/>
  <c r="F4" i="22"/>
  <c r="F4" i="11"/>
  <c r="F4" i="18"/>
  <c r="U4" i="18" s="1"/>
  <c r="C4" i="27"/>
  <c r="C4" i="22"/>
  <c r="C4" i="11"/>
  <c r="C4" i="18"/>
  <c r="R4" i="18" s="1"/>
  <c r="E41" i="27"/>
  <c r="E42" i="27"/>
  <c r="E43" i="27"/>
  <c r="E44" i="27"/>
  <c r="H6" i="18" l="1"/>
  <c r="H6" i="11"/>
  <c r="E6" i="22"/>
  <c r="E6" i="11"/>
  <c r="H6" i="10"/>
  <c r="E6" i="18"/>
  <c r="E6" i="10"/>
  <c r="H11" i="27"/>
  <c r="M10" i="27"/>
  <c r="K160" i="27"/>
  <c r="K163" i="27" s="1"/>
  <c r="K154" i="27"/>
  <c r="K157" i="27" s="1"/>
  <c r="K148" i="27"/>
  <c r="K151" i="27" s="1"/>
  <c r="K142" i="27"/>
  <c r="K145" i="27" s="1"/>
  <c r="K133" i="27"/>
  <c r="K137" i="27" s="1"/>
  <c r="K36" i="27" s="1"/>
  <c r="E36" i="27" s="1"/>
  <c r="K126" i="27"/>
  <c r="K129" i="27" s="1"/>
  <c r="K33" i="27" s="1"/>
  <c r="E33" i="27" s="1"/>
  <c r="K119" i="27"/>
  <c r="K122" i="27" s="1"/>
  <c r="K31" i="27" s="1"/>
  <c r="E31" i="27" s="1"/>
  <c r="K112" i="27"/>
  <c r="K116" i="27" s="1"/>
  <c r="K30" i="27" s="1"/>
  <c r="E30" i="27" s="1"/>
  <c r="N99" i="27"/>
  <c r="Q99" i="27" s="1"/>
  <c r="J99" i="27"/>
  <c r="J98" i="27"/>
  <c r="J97" i="27"/>
  <c r="J96" i="27"/>
  <c r="H95" i="27"/>
  <c r="E87" i="27"/>
  <c r="E88" i="27" s="1"/>
  <c r="E84" i="27"/>
  <c r="E85" i="27" s="1"/>
  <c r="E82" i="27"/>
  <c r="E83" i="27" s="1"/>
  <c r="J78" i="27"/>
  <c r="J77" i="27"/>
  <c r="J76" i="27"/>
  <c r="J75" i="27"/>
  <c r="J61" i="27"/>
  <c r="J60" i="27"/>
  <c r="K57" i="27"/>
  <c r="G57" i="27"/>
  <c r="G58" i="27" s="1"/>
  <c r="G56" i="27"/>
  <c r="N39" i="27"/>
  <c r="N38" i="27"/>
  <c r="D38" i="27"/>
  <c r="D73" i="27" s="1"/>
  <c r="D25" i="27"/>
  <c r="D65" i="27" s="1"/>
  <c r="D24" i="27"/>
  <c r="D66" i="27" s="1"/>
  <c r="G8" i="27"/>
  <c r="Q6" i="27"/>
  <c r="R4" i="27"/>
  <c r="U4" i="27"/>
  <c r="D89" i="27" l="1"/>
  <c r="H103" i="27"/>
  <c r="K103" i="27" s="1"/>
  <c r="K130" i="27"/>
  <c r="K34" i="27" s="1"/>
  <c r="K136" i="27"/>
  <c r="K35" i="27" s="1"/>
  <c r="E35" i="27" s="1"/>
  <c r="K123" i="27"/>
  <c r="K32" i="27" s="1"/>
  <c r="D27" i="27"/>
  <c r="H58" i="27"/>
  <c r="D39" i="27"/>
  <c r="H98" i="27"/>
  <c r="K98" i="27" s="1"/>
  <c r="C130" i="27"/>
  <c r="N130" i="27" s="1"/>
  <c r="O130" i="27" s="1"/>
  <c r="H99" i="27"/>
  <c r="K99" i="27" s="1"/>
  <c r="C157" i="27"/>
  <c r="D43" i="27" s="1"/>
  <c r="F43" i="27" s="1"/>
  <c r="N103" i="27"/>
  <c r="Q103" i="27" s="1"/>
  <c r="C163" i="27"/>
  <c r="D44" i="27" s="1"/>
  <c r="F44" i="27" s="1"/>
  <c r="C137" i="27"/>
  <c r="D36" i="27" s="1"/>
  <c r="N102" i="27"/>
  <c r="Q102" i="27" s="1"/>
  <c r="C136" i="27"/>
  <c r="C129" i="27"/>
  <c r="D33" i="27" s="1"/>
  <c r="M14" i="27"/>
  <c r="L14" i="27" s="1"/>
  <c r="J14" i="27"/>
  <c r="K14" i="27" s="1"/>
  <c r="C115" i="27" s="1"/>
  <c r="D29" i="27" s="1"/>
  <c r="K41" i="27"/>
  <c r="K44" i="27"/>
  <c r="D26" i="27"/>
  <c r="H102" i="27"/>
  <c r="C14" i="27"/>
  <c r="K115" i="27"/>
  <c r="K29" i="27" s="1"/>
  <c r="E29" i="27" s="1"/>
  <c r="D14" i="27"/>
  <c r="C116" i="27" l="1"/>
  <c r="N116" i="27" s="1"/>
  <c r="O116" i="27" s="1"/>
  <c r="C145" i="27"/>
  <c r="D41" i="27" s="1"/>
  <c r="F41" i="27" s="1"/>
  <c r="H96" i="27"/>
  <c r="K96" i="27" s="1"/>
  <c r="N100" i="27"/>
  <c r="Q100" i="27" s="1"/>
  <c r="AK11" i="27"/>
  <c r="AK12" i="27" s="1"/>
  <c r="W14" i="27"/>
  <c r="W12" i="27"/>
  <c r="W13" i="27"/>
  <c r="X6" i="27"/>
  <c r="AJ11" i="27"/>
  <c r="F29" i="27"/>
  <c r="G33" i="27"/>
  <c r="F33" i="27"/>
  <c r="K42" i="27"/>
  <c r="E32" i="27"/>
  <c r="G36" i="27"/>
  <c r="F36" i="27"/>
  <c r="K43" i="27"/>
  <c r="E34" i="27"/>
  <c r="G43" i="27"/>
  <c r="G44" i="27"/>
  <c r="G29" i="27"/>
  <c r="N145" i="27"/>
  <c r="O145" i="27" s="1"/>
  <c r="H41" i="27" s="1"/>
  <c r="J41" i="27" s="1"/>
  <c r="N137" i="27"/>
  <c r="O137" i="27" s="1"/>
  <c r="N157" i="27"/>
  <c r="O157" i="27" s="1"/>
  <c r="H43" i="27" s="1"/>
  <c r="J43" i="27" s="1"/>
  <c r="D30" i="27"/>
  <c r="D34" i="27"/>
  <c r="H89" i="27" s="1"/>
  <c r="N136" i="27"/>
  <c r="O136" i="27" s="1"/>
  <c r="D35" i="27"/>
  <c r="N129" i="27"/>
  <c r="O129" i="27" s="1"/>
  <c r="N163" i="27"/>
  <c r="O163" i="27" s="1"/>
  <c r="O164" i="27" s="1"/>
  <c r="H97" i="27"/>
  <c r="K97" i="27" s="1"/>
  <c r="C122" i="27"/>
  <c r="C151" i="27"/>
  <c r="D42" i="27" s="1"/>
  <c r="F42" i="27" s="1"/>
  <c r="C123" i="27"/>
  <c r="N101" i="27"/>
  <c r="Q101" i="27" s="1"/>
  <c r="N115" i="27"/>
  <c r="O115" i="27" s="1"/>
  <c r="J6" i="27"/>
  <c r="I6" i="27"/>
  <c r="J8" i="27"/>
  <c r="J7" i="27"/>
  <c r="I7" i="27"/>
  <c r="Q104" i="27" l="1"/>
  <c r="G41" i="27"/>
  <c r="Q22" i="27"/>
  <c r="R22" i="27" s="1"/>
  <c r="Q23" i="27"/>
  <c r="R23" i="27" s="1"/>
  <c r="R24" i="27" s="1"/>
  <c r="AK13" i="27"/>
  <c r="F54" i="27"/>
  <c r="E65" i="27"/>
  <c r="E73" i="27"/>
  <c r="K25" i="27"/>
  <c r="F65" i="27"/>
  <c r="F73" i="27"/>
  <c r="K38" i="27"/>
  <c r="H38" i="27" s="1"/>
  <c r="K39" i="27"/>
  <c r="K27" i="27"/>
  <c r="H36" i="27"/>
  <c r="J36" i="27" s="1"/>
  <c r="H33" i="27"/>
  <c r="J33" i="27" s="1"/>
  <c r="G35" i="27"/>
  <c r="F35" i="27"/>
  <c r="H35" i="27" s="1"/>
  <c r="J35" i="27" s="1"/>
  <c r="G34" i="27"/>
  <c r="F34" i="27"/>
  <c r="H34" i="27" s="1"/>
  <c r="J34" i="27" s="1"/>
  <c r="G42" i="27"/>
  <c r="G30" i="27"/>
  <c r="F30" i="27"/>
  <c r="H30" i="27" s="1"/>
  <c r="J30" i="27" s="1"/>
  <c r="O146" i="27"/>
  <c r="D102" i="27" s="1"/>
  <c r="O158" i="27"/>
  <c r="D104" i="27" s="1"/>
  <c r="O131" i="27"/>
  <c r="H70" i="27" s="1"/>
  <c r="H44" i="27"/>
  <c r="J44" i="27" s="1"/>
  <c r="N151" i="27"/>
  <c r="O151" i="27" s="1"/>
  <c r="H42" i="27" s="1"/>
  <c r="J42" i="27" s="1"/>
  <c r="O138" i="27"/>
  <c r="N123" i="27"/>
  <c r="O123" i="27" s="1"/>
  <c r="D32" i="27"/>
  <c r="N122" i="27"/>
  <c r="O122" i="27" s="1"/>
  <c r="D31" i="27"/>
  <c r="H29" i="27"/>
  <c r="J29" i="27" s="1"/>
  <c r="O117" i="27"/>
  <c r="H78" i="27"/>
  <c r="D105" i="27"/>
  <c r="K7" i="27"/>
  <c r="K6" i="27"/>
  <c r="J102" i="27" l="1"/>
  <c r="J95" i="27"/>
  <c r="E25" i="27"/>
  <c r="F25" i="27" s="1"/>
  <c r="H25" i="27"/>
  <c r="J25" i="27" s="1"/>
  <c r="G25" i="27"/>
  <c r="K24" i="27"/>
  <c r="I102" i="27"/>
  <c r="K102" i="27" s="1"/>
  <c r="K105" i="27" s="1"/>
  <c r="H65" i="27"/>
  <c r="I95" i="27"/>
  <c r="K95" i="27" s="1"/>
  <c r="G65" i="27"/>
  <c r="E38" i="27"/>
  <c r="F38" i="27" s="1"/>
  <c r="G38" i="27"/>
  <c r="J38" i="27"/>
  <c r="E27" i="27"/>
  <c r="F27" i="27" s="1"/>
  <c r="G27" i="27"/>
  <c r="H27" i="27"/>
  <c r="J27" i="27" s="1"/>
  <c r="K26" i="27"/>
  <c r="G39" i="27"/>
  <c r="E39" i="27"/>
  <c r="F39" i="27" s="1"/>
  <c r="H39" i="27"/>
  <c r="J39" i="27" s="1"/>
  <c r="G73" i="27"/>
  <c r="H73" i="27"/>
  <c r="G31" i="27"/>
  <c r="F31" i="27"/>
  <c r="H31" i="27" s="1"/>
  <c r="J31" i="27" s="1"/>
  <c r="G32" i="27"/>
  <c r="F32" i="27"/>
  <c r="H32" i="27" s="1"/>
  <c r="J32" i="27" s="1"/>
  <c r="H75" i="27"/>
  <c r="H77" i="27"/>
  <c r="D94" i="27"/>
  <c r="O152" i="27"/>
  <c r="D103" i="27" s="1"/>
  <c r="H71" i="27"/>
  <c r="D95" i="27"/>
  <c r="O124" i="27"/>
  <c r="D92" i="27"/>
  <c r="H68" i="27"/>
  <c r="K100" i="27" l="1"/>
  <c r="K108" i="27"/>
  <c r="G24" i="27"/>
  <c r="H24" i="27"/>
  <c r="J24" i="27" s="1"/>
  <c r="E24" i="27"/>
  <c r="F24" i="27" s="1"/>
  <c r="E26" i="27"/>
  <c r="F26" i="27" s="1"/>
  <c r="G26" i="27"/>
  <c r="H26" i="27"/>
  <c r="J26" i="27" s="1"/>
  <c r="H76" i="27"/>
  <c r="D83" i="27" s="1"/>
  <c r="D87" i="27" s="1"/>
  <c r="H87" i="27" s="1"/>
  <c r="H69" i="27"/>
  <c r="D82" i="27" s="1"/>
  <c r="D93" i="27"/>
  <c r="L105" i="27" s="1"/>
  <c r="G52" i="27" l="1"/>
  <c r="K109" i="27"/>
  <c r="H23" i="27" s="1"/>
  <c r="J23" i="27" s="1"/>
  <c r="J52" i="27" s="1"/>
  <c r="H91" i="27"/>
  <c r="H108" i="27"/>
  <c r="M38" i="27"/>
  <c r="O38" i="27" s="1"/>
  <c r="H83" i="27"/>
  <c r="D85" i="27"/>
  <c r="H85" i="27" s="1"/>
  <c r="D84" i="27"/>
  <c r="H84" i="27" s="1"/>
  <c r="D86" i="27"/>
  <c r="H86" i="27" s="1"/>
  <c r="M22" i="27"/>
  <c r="H82" i="27"/>
  <c r="D22" i="27" l="1"/>
  <c r="D23" i="27" s="1"/>
  <c r="D88" i="27"/>
  <c r="H88" i="27" s="1"/>
  <c r="H109" i="27"/>
  <c r="H110" i="27"/>
  <c r="M39" i="27"/>
  <c r="O39" i="27" s="1"/>
  <c r="H63" i="27"/>
  <c r="H52" i="27"/>
  <c r="O22" i="27"/>
  <c r="M23" i="27"/>
  <c r="O23" i="27" s="1"/>
  <c r="F22" i="27" l="1"/>
  <c r="F23" i="27" s="1"/>
  <c r="F52" i="27" s="1"/>
  <c r="D29" i="11"/>
  <c r="N26" i="26"/>
  <c r="N61" i="26" s="1"/>
  <c r="N25" i="26"/>
  <c r="N60" i="26" s="1"/>
  <c r="L12" i="26"/>
  <c r="K12" i="26"/>
  <c r="E14" i="26"/>
  <c r="H11" i="26" s="1"/>
  <c r="B14" i="26"/>
  <c r="M10" i="26" s="1"/>
  <c r="K263" i="26"/>
  <c r="K261" i="26"/>
  <c r="K257" i="26"/>
  <c r="K248" i="26"/>
  <c r="K253" i="26" s="1"/>
  <c r="AB242" i="26"/>
  <c r="K242" i="26"/>
  <c r="AB241" i="26"/>
  <c r="K241" i="26"/>
  <c r="AB240" i="26"/>
  <c r="K240" i="26"/>
  <c r="AB239" i="26"/>
  <c r="K239" i="26"/>
  <c r="AB236" i="26"/>
  <c r="K236" i="26"/>
  <c r="K275" i="26" s="1"/>
  <c r="K233" i="26"/>
  <c r="K232" i="26"/>
  <c r="K231" i="26"/>
  <c r="K230" i="26"/>
  <c r="K227" i="26"/>
  <c r="AB224" i="26"/>
  <c r="K224" i="26"/>
  <c r="AB223" i="26"/>
  <c r="K223" i="26"/>
  <c r="AB222" i="26"/>
  <c r="K222" i="26"/>
  <c r="AB221" i="26"/>
  <c r="K221" i="26"/>
  <c r="AB218" i="26"/>
  <c r="K218" i="26"/>
  <c r="K215" i="26"/>
  <c r="K213" i="26"/>
  <c r="K212" i="26"/>
  <c r="K209" i="26"/>
  <c r="AB205" i="26"/>
  <c r="K205" i="26"/>
  <c r="AB204" i="26"/>
  <c r="K204" i="26"/>
  <c r="AB203" i="26"/>
  <c r="K203" i="26"/>
  <c r="AB202" i="26"/>
  <c r="K202" i="26"/>
  <c r="AB199" i="26"/>
  <c r="K199" i="26"/>
  <c r="AB196" i="26"/>
  <c r="K196" i="26"/>
  <c r="AB195" i="26"/>
  <c r="K195" i="26"/>
  <c r="AB194" i="26"/>
  <c r="K194" i="26"/>
  <c r="AB193" i="26"/>
  <c r="K193" i="26"/>
  <c r="K51" i="26" s="1"/>
  <c r="K78" i="26" s="1"/>
  <c r="K190" i="26"/>
  <c r="AB190" i="26" s="1"/>
  <c r="AB187" i="26"/>
  <c r="K187" i="26"/>
  <c r="K50" i="26" s="1"/>
  <c r="K77" i="26" s="1"/>
  <c r="AB186" i="26"/>
  <c r="K186" i="26"/>
  <c r="AB185" i="26"/>
  <c r="K185" i="26"/>
  <c r="AB184" i="26"/>
  <c r="K184" i="26"/>
  <c r="AB181" i="26"/>
  <c r="K181" i="26"/>
  <c r="AB178" i="26"/>
  <c r="K178" i="26"/>
  <c r="K46" i="26" s="1"/>
  <c r="K73" i="26" s="1"/>
  <c r="AB177" i="26"/>
  <c r="K177" i="26"/>
  <c r="AB176" i="26"/>
  <c r="K176" i="26"/>
  <c r="AB175" i="26"/>
  <c r="K175" i="26"/>
  <c r="K172" i="26"/>
  <c r="AB172" i="26" s="1"/>
  <c r="N158" i="26"/>
  <c r="J155" i="26"/>
  <c r="J154" i="26"/>
  <c r="J153" i="26"/>
  <c r="J152" i="26"/>
  <c r="H151" i="26"/>
  <c r="E144" i="26"/>
  <c r="E143" i="26"/>
  <c r="J129" i="26"/>
  <c r="J128" i="26"/>
  <c r="J127" i="26"/>
  <c r="J126" i="26"/>
  <c r="J109" i="26"/>
  <c r="J108" i="26"/>
  <c r="J107" i="26"/>
  <c r="J106" i="26"/>
  <c r="K98" i="26"/>
  <c r="G98" i="26"/>
  <c r="G99" i="26" s="1"/>
  <c r="G97" i="26"/>
  <c r="K83" i="26"/>
  <c r="K76" i="26"/>
  <c r="K70" i="26"/>
  <c r="D63" i="26"/>
  <c r="D62" i="26"/>
  <c r="D61" i="26"/>
  <c r="N152" i="26" s="1"/>
  <c r="D60" i="26"/>
  <c r="D126" i="26" s="1"/>
  <c r="K58" i="26"/>
  <c r="K85" i="26" s="1"/>
  <c r="K57" i="26"/>
  <c r="K84" i="26" s="1"/>
  <c r="K56" i="26"/>
  <c r="K54" i="26"/>
  <c r="K81" i="26" s="1"/>
  <c r="K53" i="26"/>
  <c r="K80" i="26" s="1"/>
  <c r="K52" i="26"/>
  <c r="K79" i="26" s="1"/>
  <c r="K49" i="26"/>
  <c r="K48" i="26"/>
  <c r="K75" i="26" s="1"/>
  <c r="K47" i="26"/>
  <c r="K74" i="26" s="1"/>
  <c r="K45" i="26"/>
  <c r="K72" i="26" s="1"/>
  <c r="K44" i="26"/>
  <c r="K71" i="26" s="1"/>
  <c r="K43" i="26"/>
  <c r="D32" i="26"/>
  <c r="D31" i="26"/>
  <c r="H164" i="26" s="1"/>
  <c r="D30" i="26"/>
  <c r="D39" i="26" s="1"/>
  <c r="D29" i="26"/>
  <c r="D116" i="26" s="1"/>
  <c r="D19" i="26"/>
  <c r="D28" i="26" s="1"/>
  <c r="U15" i="26"/>
  <c r="U14" i="26"/>
  <c r="U13" i="26"/>
  <c r="U12" i="26"/>
  <c r="U11" i="26"/>
  <c r="T11" i="26"/>
  <c r="U10" i="26"/>
  <c r="G8" i="26"/>
  <c r="G7" i="26"/>
  <c r="F7" i="26"/>
  <c r="H7" i="26" s="1"/>
  <c r="D7" i="26"/>
  <c r="C7" i="26"/>
  <c r="Q6" i="26"/>
  <c r="R4" i="26"/>
  <c r="F4" i="26"/>
  <c r="U4" i="26" s="1"/>
  <c r="F2" i="26"/>
  <c r="D22" i="11"/>
  <c r="N23" i="11"/>
  <c r="C49" i="11" s="1"/>
  <c r="F49" i="11" s="1"/>
  <c r="N21" i="11"/>
  <c r="K33" i="11"/>
  <c r="I29" i="11"/>
  <c r="J28" i="11"/>
  <c r="K26" i="11"/>
  <c r="L12" i="11"/>
  <c r="K12" i="11"/>
  <c r="C271" i="26" l="1"/>
  <c r="D80" i="26" s="1"/>
  <c r="G80" i="26" s="1"/>
  <c r="H99" i="26"/>
  <c r="D27" i="26"/>
  <c r="D36" i="26" s="1"/>
  <c r="J14" i="26"/>
  <c r="K14" i="26" s="1"/>
  <c r="E140" i="26"/>
  <c r="E141" i="26" s="1"/>
  <c r="E24" i="26"/>
  <c r="E138" i="26"/>
  <c r="E139" i="26" s="1"/>
  <c r="T230" i="26"/>
  <c r="T242" i="26"/>
  <c r="AE242" i="26" s="1"/>
  <c r="AF242" i="26" s="1"/>
  <c r="C278" i="26"/>
  <c r="D82" i="26" s="1"/>
  <c r="H154" i="26"/>
  <c r="K154" i="26" s="1"/>
  <c r="C194" i="26"/>
  <c r="C196" i="26"/>
  <c r="N196" i="26" s="1"/>
  <c r="O196" i="26" s="1"/>
  <c r="T202" i="26"/>
  <c r="AE202" i="26" s="1"/>
  <c r="AF202" i="26" s="1"/>
  <c r="T204" i="26"/>
  <c r="AE204" i="26" s="1"/>
  <c r="AF204" i="26" s="1"/>
  <c r="C231" i="26"/>
  <c r="N231" i="26" s="1"/>
  <c r="O231" i="26" s="1"/>
  <c r="T240" i="26"/>
  <c r="AE240" i="26" s="1"/>
  <c r="AF240" i="26" s="1"/>
  <c r="C279" i="26"/>
  <c r="D83" i="26" s="1"/>
  <c r="G83" i="26" s="1"/>
  <c r="T193" i="26"/>
  <c r="AE193" i="26" s="1"/>
  <c r="AF193" i="26" s="1"/>
  <c r="C202" i="26"/>
  <c r="N202" i="26" s="1"/>
  <c r="O202" i="26" s="1"/>
  <c r="C233" i="26"/>
  <c r="N233" i="26" s="1"/>
  <c r="O233" i="26" s="1"/>
  <c r="N162" i="26"/>
  <c r="Q162" i="26" s="1"/>
  <c r="H155" i="26"/>
  <c r="K155" i="26" s="1"/>
  <c r="T194" i="26"/>
  <c r="AE194" i="26" s="1"/>
  <c r="AF194" i="26" s="1"/>
  <c r="T196" i="26"/>
  <c r="AE196" i="26" s="1"/>
  <c r="AF196" i="26" s="1"/>
  <c r="C203" i="26"/>
  <c r="C205" i="26"/>
  <c r="N205" i="26" s="1"/>
  <c r="O205" i="26" s="1"/>
  <c r="T231" i="26"/>
  <c r="C239" i="26"/>
  <c r="N239" i="26" s="1"/>
  <c r="O239" i="26" s="1"/>
  <c r="C241" i="26"/>
  <c r="N241" i="26" s="1"/>
  <c r="O241" i="26" s="1"/>
  <c r="C281" i="26"/>
  <c r="N281" i="26" s="1"/>
  <c r="O281" i="26" s="1"/>
  <c r="F85" i="26" s="1"/>
  <c r="H85" i="26" s="1"/>
  <c r="J85" i="26" s="1"/>
  <c r="N161" i="26"/>
  <c r="Q161" i="26" s="1"/>
  <c r="T195" i="26"/>
  <c r="AE195" i="26" s="1"/>
  <c r="AF195" i="26" s="1"/>
  <c r="C204" i="26"/>
  <c r="N204" i="26" s="1"/>
  <c r="O204" i="26" s="1"/>
  <c r="C240" i="26"/>
  <c r="N240" i="26" s="1"/>
  <c r="O240" i="26" s="1"/>
  <c r="C272" i="26"/>
  <c r="D81" i="26" s="1"/>
  <c r="G81" i="26" s="1"/>
  <c r="C280" i="26"/>
  <c r="D84" i="26" s="1"/>
  <c r="G84" i="26" s="1"/>
  <c r="C232" i="26"/>
  <c r="N232" i="26" s="1"/>
  <c r="O232" i="26" s="1"/>
  <c r="C193" i="26"/>
  <c r="N193" i="26" s="1"/>
  <c r="O193" i="26" s="1"/>
  <c r="C195" i="26"/>
  <c r="N195" i="26" s="1"/>
  <c r="O195" i="26" s="1"/>
  <c r="T203" i="26"/>
  <c r="AE203" i="26" s="1"/>
  <c r="AF203" i="26" s="1"/>
  <c r="T205" i="26"/>
  <c r="AE205" i="26" s="1"/>
  <c r="AF205" i="26" s="1"/>
  <c r="T239" i="26"/>
  <c r="AE239" i="26" s="1"/>
  <c r="AF239" i="26" s="1"/>
  <c r="T241" i="26"/>
  <c r="AE241" i="26" s="1"/>
  <c r="AF241" i="26" s="1"/>
  <c r="C230" i="26"/>
  <c r="N230" i="26" s="1"/>
  <c r="O230" i="26" s="1"/>
  <c r="T232" i="26"/>
  <c r="C270" i="26"/>
  <c r="D79" i="26" s="1"/>
  <c r="G79" i="26" s="1"/>
  <c r="T233" i="26"/>
  <c r="C242" i="26"/>
  <c r="C269" i="26"/>
  <c r="D78" i="26" s="1"/>
  <c r="G78" i="26" s="1"/>
  <c r="D14" i="26"/>
  <c r="M14" i="26"/>
  <c r="L14" i="26" s="1"/>
  <c r="D37" i="26"/>
  <c r="H160" i="26"/>
  <c r="D109" i="26"/>
  <c r="K28" i="26"/>
  <c r="K55" i="26"/>
  <c r="E7" i="26"/>
  <c r="H165" i="26"/>
  <c r="D119" i="26"/>
  <c r="E129" i="26"/>
  <c r="E119" i="26"/>
  <c r="K68" i="26"/>
  <c r="K63" i="26"/>
  <c r="C14" i="26"/>
  <c r="F119" i="26"/>
  <c r="K41" i="26"/>
  <c r="K32" i="26"/>
  <c r="H163" i="26"/>
  <c r="D117" i="26"/>
  <c r="K37" i="26"/>
  <c r="D41" i="26"/>
  <c r="D127" i="26"/>
  <c r="K251" i="26"/>
  <c r="D129" i="26"/>
  <c r="K281" i="26"/>
  <c r="K279" i="26"/>
  <c r="K278" i="26"/>
  <c r="D40" i="26"/>
  <c r="D66" i="26"/>
  <c r="D118" i="26"/>
  <c r="N151" i="26"/>
  <c r="H162" i="26"/>
  <c r="D128" i="26"/>
  <c r="D67" i="26"/>
  <c r="D25" i="26"/>
  <c r="D38" i="26"/>
  <c r="N154" i="26"/>
  <c r="AB215" i="26"/>
  <c r="AB214" i="26"/>
  <c r="AB213" i="26"/>
  <c r="AB212" i="26"/>
  <c r="AB209" i="26"/>
  <c r="K214" i="26"/>
  <c r="K280" i="26"/>
  <c r="D26" i="26"/>
  <c r="D65" i="26"/>
  <c r="D68" i="26"/>
  <c r="N153" i="26"/>
  <c r="AB233" i="26"/>
  <c r="AB232" i="26"/>
  <c r="AB231" i="26"/>
  <c r="AB230" i="26"/>
  <c r="K266" i="26"/>
  <c r="AB227" i="26"/>
  <c r="K262" i="26"/>
  <c r="K260" i="26"/>
  <c r="K254" i="26"/>
  <c r="K252" i="26"/>
  <c r="D26" i="18"/>
  <c r="C44" i="11"/>
  <c r="D25" i="11"/>
  <c r="N24" i="11"/>
  <c r="D26" i="11"/>
  <c r="H26" i="11" s="1"/>
  <c r="D33" i="11"/>
  <c r="D32" i="11"/>
  <c r="C48" i="11"/>
  <c r="N22" i="11"/>
  <c r="F54" i="26" l="1"/>
  <c r="H54" i="26" s="1"/>
  <c r="J54" i="26" s="1"/>
  <c r="D85" i="26"/>
  <c r="G85" i="26" s="1"/>
  <c r="AE232" i="26"/>
  <c r="AF232" i="26" s="1"/>
  <c r="F57" i="26"/>
  <c r="H57" i="26" s="1"/>
  <c r="J57" i="26" s="1"/>
  <c r="F53" i="26"/>
  <c r="H53" i="26" s="1"/>
  <c r="J53" i="26" s="1"/>
  <c r="D108" i="26"/>
  <c r="C186" i="26" s="1"/>
  <c r="AE231" i="26"/>
  <c r="AF231" i="26" s="1"/>
  <c r="D51" i="26"/>
  <c r="G51" i="26" s="1"/>
  <c r="H159" i="26"/>
  <c r="D56" i="26"/>
  <c r="G56" i="26" s="1"/>
  <c r="AF197" i="26"/>
  <c r="D168" i="26" s="1"/>
  <c r="AE233" i="26"/>
  <c r="AF233" i="26" s="1"/>
  <c r="N160" i="26"/>
  <c r="Q160" i="26" s="1"/>
  <c r="T177" i="26"/>
  <c r="AE177" i="26" s="1"/>
  <c r="AF177" i="26" s="1"/>
  <c r="AF206" i="26"/>
  <c r="D169" i="26" s="1"/>
  <c r="N279" i="26"/>
  <c r="O279" i="26" s="1"/>
  <c r="F83" i="26" s="1"/>
  <c r="H83" i="26" s="1"/>
  <c r="J83" i="26" s="1"/>
  <c r="D57" i="26"/>
  <c r="G57" i="26" s="1"/>
  <c r="AE230" i="26"/>
  <c r="AF230" i="26" s="1"/>
  <c r="N278" i="26"/>
  <c r="O278" i="26" s="1"/>
  <c r="F82" i="26" s="1"/>
  <c r="H82" i="26" s="1"/>
  <c r="J82" i="26" s="1"/>
  <c r="N203" i="26"/>
  <c r="O203" i="26" s="1"/>
  <c r="F56" i="26" s="1"/>
  <c r="H56" i="26" s="1"/>
  <c r="J56" i="26" s="1"/>
  <c r="D53" i="26"/>
  <c r="G53" i="26" s="1"/>
  <c r="D52" i="26"/>
  <c r="G52" i="26" s="1"/>
  <c r="D54" i="26"/>
  <c r="G54" i="26" s="1"/>
  <c r="D55" i="26"/>
  <c r="G55" i="26" s="1"/>
  <c r="N280" i="26"/>
  <c r="O280" i="26" s="1"/>
  <c r="F84" i="26" s="1"/>
  <c r="H84" i="26" s="1"/>
  <c r="J84" i="26" s="1"/>
  <c r="N194" i="26"/>
  <c r="O194" i="26" s="1"/>
  <c r="F52" i="26" s="1"/>
  <c r="H52" i="26" s="1"/>
  <c r="J52" i="26" s="1"/>
  <c r="AF243" i="26"/>
  <c r="N242" i="26"/>
  <c r="O242" i="26" s="1"/>
  <c r="D58" i="26"/>
  <c r="G58" i="26" s="1"/>
  <c r="J7" i="26"/>
  <c r="C212" i="26"/>
  <c r="N212" i="26" s="1"/>
  <c r="O212" i="26" s="1"/>
  <c r="T215" i="26"/>
  <c r="AE215" i="26" s="1"/>
  <c r="AF215" i="26" s="1"/>
  <c r="T184" i="26"/>
  <c r="AE184" i="26" s="1"/>
  <c r="AF184" i="26" s="1"/>
  <c r="N159" i="26"/>
  <c r="Q159" i="26" s="1"/>
  <c r="T223" i="26"/>
  <c r="AE223" i="26" s="1"/>
  <c r="AF223" i="26" s="1"/>
  <c r="T213" i="26"/>
  <c r="AE213" i="26" s="1"/>
  <c r="AF213" i="26" s="1"/>
  <c r="T214" i="26"/>
  <c r="AE214" i="26" s="1"/>
  <c r="AF214" i="26" s="1"/>
  <c r="C251" i="26"/>
  <c r="N251" i="26" s="1"/>
  <c r="O251" i="26" s="1"/>
  <c r="T186" i="26"/>
  <c r="AE186" i="26" s="1"/>
  <c r="AF186" i="26" s="1"/>
  <c r="I7" i="26"/>
  <c r="T175" i="26"/>
  <c r="AE175" i="26" s="1"/>
  <c r="AF175" i="26" s="1"/>
  <c r="C221" i="26"/>
  <c r="N221" i="26" s="1"/>
  <c r="O221" i="26" s="1"/>
  <c r="O234" i="26"/>
  <c r="H123" i="26" s="1"/>
  <c r="C253" i="26"/>
  <c r="C262" i="26"/>
  <c r="C261" i="26"/>
  <c r="C252" i="26"/>
  <c r="C222" i="26"/>
  <c r="N222" i="26" s="1"/>
  <c r="O222" i="26" s="1"/>
  <c r="C213" i="26"/>
  <c r="N213" i="26" s="1"/>
  <c r="O213" i="26" s="1"/>
  <c r="K61" i="26"/>
  <c r="H63" i="26"/>
  <c r="J63" i="26" s="1"/>
  <c r="G63" i="26"/>
  <c r="K62" i="26"/>
  <c r="E63" i="26"/>
  <c r="F63" i="26" s="1"/>
  <c r="K60" i="26"/>
  <c r="C260" i="26"/>
  <c r="T187" i="26"/>
  <c r="AE187" i="26" s="1"/>
  <c r="AF187" i="26" s="1"/>
  <c r="H153" i="26"/>
  <c r="K153" i="26" s="1"/>
  <c r="T222" i="26"/>
  <c r="AE222" i="26" s="1"/>
  <c r="AF222" i="26" s="1"/>
  <c r="T185" i="26"/>
  <c r="AE185" i="26" s="1"/>
  <c r="AF185" i="26" s="1"/>
  <c r="F55" i="26"/>
  <c r="H55" i="26" s="1"/>
  <c r="J55" i="26" s="1"/>
  <c r="G37" i="26"/>
  <c r="H37" i="26"/>
  <c r="J37" i="26" s="1"/>
  <c r="D35" i="26"/>
  <c r="D107" i="26"/>
  <c r="H158" i="26"/>
  <c r="K271" i="26"/>
  <c r="N271" i="26" s="1"/>
  <c r="O271" i="26" s="1"/>
  <c r="F80" i="26" s="1"/>
  <c r="H80" i="26" s="1"/>
  <c r="J80" i="26" s="1"/>
  <c r="K269" i="26"/>
  <c r="N269" i="26" s="1"/>
  <c r="O269" i="26" s="1"/>
  <c r="K272" i="26"/>
  <c r="N272" i="26" s="1"/>
  <c r="O272" i="26" s="1"/>
  <c r="F81" i="26" s="1"/>
  <c r="H81" i="26" s="1"/>
  <c r="J81" i="26" s="1"/>
  <c r="K270" i="26"/>
  <c r="N270" i="26" s="1"/>
  <c r="O270" i="26" s="1"/>
  <c r="F79" i="26" s="1"/>
  <c r="H79" i="26" s="1"/>
  <c r="J79" i="26" s="1"/>
  <c r="E68" i="26"/>
  <c r="F68" i="26" s="1"/>
  <c r="K65" i="26"/>
  <c r="E65" i="26" s="1"/>
  <c r="F65" i="26" s="1"/>
  <c r="K67" i="26"/>
  <c r="E67" i="26" s="1"/>
  <c r="F67" i="26" s="1"/>
  <c r="K66" i="26"/>
  <c r="E66" i="26" s="1"/>
  <c r="F66" i="26" s="1"/>
  <c r="T221" i="26"/>
  <c r="AE221" i="26" s="1"/>
  <c r="AF221" i="26" s="1"/>
  <c r="T224" i="26"/>
  <c r="AE224" i="26" s="1"/>
  <c r="AF224" i="26" s="1"/>
  <c r="K82" i="26"/>
  <c r="G82" i="26" s="1"/>
  <c r="T178" i="26"/>
  <c r="AE178" i="26" s="1"/>
  <c r="AF178" i="26" s="1"/>
  <c r="K27" i="26"/>
  <c r="K25" i="26"/>
  <c r="E25" i="26" s="1"/>
  <c r="F25" i="26" s="1"/>
  <c r="E28" i="26"/>
  <c r="F28" i="26" s="1"/>
  <c r="K26" i="26"/>
  <c r="E26" i="26" s="1"/>
  <c r="F26" i="26" s="1"/>
  <c r="H152" i="26"/>
  <c r="K152" i="26" s="1"/>
  <c r="F51" i="26"/>
  <c r="H51" i="26" s="1"/>
  <c r="J51" i="26" s="1"/>
  <c r="E32" i="26"/>
  <c r="F32" i="26" s="1"/>
  <c r="K29" i="26"/>
  <c r="K31" i="26"/>
  <c r="K30" i="26"/>
  <c r="O154" i="26"/>
  <c r="E128" i="26"/>
  <c r="E126" i="26"/>
  <c r="E127" i="26"/>
  <c r="C224" i="26"/>
  <c r="N224" i="26" s="1"/>
  <c r="O224" i="26" s="1"/>
  <c r="H119" i="26"/>
  <c r="C215" i="26"/>
  <c r="N215" i="26" s="1"/>
  <c r="O215" i="26" s="1"/>
  <c r="T212" i="26"/>
  <c r="AE212" i="26" s="1"/>
  <c r="AF212" i="26" s="1"/>
  <c r="C223" i="26"/>
  <c r="N223" i="26" s="1"/>
  <c r="O223" i="26" s="1"/>
  <c r="C214" i="26"/>
  <c r="N214" i="26" s="1"/>
  <c r="O214" i="26" s="1"/>
  <c r="H68" i="26"/>
  <c r="J68" i="26" s="1"/>
  <c r="G68" i="26"/>
  <c r="H157" i="26"/>
  <c r="D106" i="26"/>
  <c r="D34" i="26"/>
  <c r="F95" i="26"/>
  <c r="H41" i="26"/>
  <c r="J41" i="26" s="1"/>
  <c r="G41" i="26"/>
  <c r="E41" i="26"/>
  <c r="F41" i="26" s="1"/>
  <c r="K38" i="26"/>
  <c r="E38" i="26" s="1"/>
  <c r="F38" i="26" s="1"/>
  <c r="K40" i="26"/>
  <c r="E40" i="26" s="1"/>
  <c r="F40" i="26" s="1"/>
  <c r="K39" i="26"/>
  <c r="G32" i="26"/>
  <c r="G28" i="26"/>
  <c r="C263" i="26"/>
  <c r="C254" i="26"/>
  <c r="K35" i="26"/>
  <c r="E35" i="26" s="1"/>
  <c r="K36" i="26"/>
  <c r="K34" i="26"/>
  <c r="E34" i="26" s="1"/>
  <c r="E37" i="26"/>
  <c r="F37" i="26" s="1"/>
  <c r="F129" i="26"/>
  <c r="P154" i="26" s="1"/>
  <c r="F109" i="26"/>
  <c r="F116" i="26"/>
  <c r="F118" i="26"/>
  <c r="F107" i="26"/>
  <c r="J158" i="26" s="1"/>
  <c r="J165" i="26"/>
  <c r="F117" i="26"/>
  <c r="F108" i="26"/>
  <c r="J159" i="26" s="1"/>
  <c r="F106" i="26"/>
  <c r="J157" i="26" s="1"/>
  <c r="H32" i="26"/>
  <c r="J32" i="26" s="1"/>
  <c r="C187" i="26"/>
  <c r="C178" i="26"/>
  <c r="E118" i="26"/>
  <c r="E107" i="26"/>
  <c r="E106" i="26"/>
  <c r="E109" i="26"/>
  <c r="E116" i="26"/>
  <c r="G119" i="26"/>
  <c r="E108" i="26"/>
  <c r="I165" i="26"/>
  <c r="E117" i="26"/>
  <c r="H28" i="26"/>
  <c r="J28" i="26" s="1"/>
  <c r="I6" i="26"/>
  <c r="J8" i="26"/>
  <c r="W12" i="26"/>
  <c r="W15" i="26"/>
  <c r="W13" i="26"/>
  <c r="J6" i="26"/>
  <c r="W14" i="26"/>
  <c r="T176" i="26"/>
  <c r="AE176" i="26" s="1"/>
  <c r="AF176" i="26" s="1"/>
  <c r="H33" i="11"/>
  <c r="E51" i="11"/>
  <c r="F48" i="11"/>
  <c r="G26" i="11"/>
  <c r="G33" i="11"/>
  <c r="C177" i="26" l="1"/>
  <c r="N177" i="26" s="1"/>
  <c r="O177" i="26" s="1"/>
  <c r="F45" i="26" s="1"/>
  <c r="H45" i="26" s="1"/>
  <c r="J45" i="26" s="1"/>
  <c r="G40" i="26"/>
  <c r="O282" i="26"/>
  <c r="D164" i="26" s="1"/>
  <c r="AF234" i="26"/>
  <c r="O197" i="26"/>
  <c r="D153" i="26" s="1"/>
  <c r="H129" i="26"/>
  <c r="D70" i="26"/>
  <c r="G70" i="26" s="1"/>
  <c r="O206" i="26"/>
  <c r="D154" i="26" s="1"/>
  <c r="K165" i="26"/>
  <c r="K7" i="26"/>
  <c r="AF188" i="26"/>
  <c r="D167" i="26" s="1"/>
  <c r="F58" i="26"/>
  <c r="H58" i="26" s="1"/>
  <c r="J58" i="26" s="1"/>
  <c r="O243" i="26"/>
  <c r="AF179" i="26"/>
  <c r="D166" i="26" s="1"/>
  <c r="H109" i="26"/>
  <c r="G66" i="26"/>
  <c r="O216" i="26"/>
  <c r="H121" i="26" s="1"/>
  <c r="Q154" i="26"/>
  <c r="H66" i="26"/>
  <c r="J66" i="26" s="1"/>
  <c r="H67" i="26"/>
  <c r="J67" i="26" s="1"/>
  <c r="G25" i="26"/>
  <c r="H25" i="26"/>
  <c r="J25" i="26" s="1"/>
  <c r="G67" i="26"/>
  <c r="K6" i="26"/>
  <c r="D158" i="26"/>
  <c r="H118" i="26"/>
  <c r="O225" i="26"/>
  <c r="D157" i="26" s="1"/>
  <c r="E39" i="26"/>
  <c r="F39" i="26" s="1"/>
  <c r="H39" i="26"/>
  <c r="J39" i="26" s="1"/>
  <c r="G39" i="26"/>
  <c r="H40" i="26"/>
  <c r="J40" i="26" s="1"/>
  <c r="G65" i="26"/>
  <c r="I157" i="26"/>
  <c r="K157" i="26" s="1"/>
  <c r="G106" i="26"/>
  <c r="H34" i="26"/>
  <c r="J34" i="26" s="1"/>
  <c r="F34" i="26"/>
  <c r="G34" i="26"/>
  <c r="AF216" i="26"/>
  <c r="O152" i="26"/>
  <c r="N260" i="26"/>
  <c r="O260" i="26" s="1"/>
  <c r="D74" i="26"/>
  <c r="G74" i="26" s="1"/>
  <c r="E36" i="26"/>
  <c r="F36" i="26" s="1"/>
  <c r="G36" i="26"/>
  <c r="H36" i="26"/>
  <c r="J36" i="26" s="1"/>
  <c r="G108" i="26"/>
  <c r="I159" i="26"/>
  <c r="K159" i="26" s="1"/>
  <c r="G107" i="26"/>
  <c r="I158" i="26"/>
  <c r="K158" i="26" s="1"/>
  <c r="J163" i="26"/>
  <c r="F127" i="26"/>
  <c r="G127" i="26" s="1"/>
  <c r="H106" i="26"/>
  <c r="C175" i="26"/>
  <c r="C184" i="26"/>
  <c r="H145" i="26"/>
  <c r="O151" i="26"/>
  <c r="H26" i="26"/>
  <c r="J26" i="26" s="1"/>
  <c r="E60" i="26"/>
  <c r="F60" i="26" s="1"/>
  <c r="G60" i="26"/>
  <c r="H60" i="26"/>
  <c r="J60" i="26" s="1"/>
  <c r="D72" i="26"/>
  <c r="G72" i="26" s="1"/>
  <c r="N253" i="26"/>
  <c r="O253" i="26" s="1"/>
  <c r="F72" i="26" s="1"/>
  <c r="H72" i="26" s="1"/>
  <c r="J72" i="26" s="1"/>
  <c r="N178" i="26"/>
  <c r="O178" i="26" s="1"/>
  <c r="F46" i="26" s="1"/>
  <c r="H46" i="26" s="1"/>
  <c r="J46" i="26" s="1"/>
  <c r="D46" i="26"/>
  <c r="G46" i="26" s="1"/>
  <c r="C176" i="26"/>
  <c r="H107" i="26"/>
  <c r="C185" i="26"/>
  <c r="E62" i="26"/>
  <c r="F62" i="26" s="1"/>
  <c r="G62" i="26"/>
  <c r="H62" i="26"/>
  <c r="J62" i="26" s="1"/>
  <c r="N252" i="26"/>
  <c r="O252" i="26" s="1"/>
  <c r="F71" i="26" s="1"/>
  <c r="H71" i="26" s="1"/>
  <c r="J71" i="26" s="1"/>
  <c r="D71" i="26"/>
  <c r="G71" i="26" s="1"/>
  <c r="G117" i="26"/>
  <c r="I163" i="26"/>
  <c r="N187" i="26"/>
  <c r="O187" i="26" s="1"/>
  <c r="F50" i="26" s="1"/>
  <c r="H50" i="26" s="1"/>
  <c r="J50" i="26" s="1"/>
  <c r="D50" i="26"/>
  <c r="G50" i="26" s="1"/>
  <c r="J164" i="26"/>
  <c r="F128" i="26"/>
  <c r="P153" i="26" s="1"/>
  <c r="H108" i="26"/>
  <c r="E30" i="26"/>
  <c r="F30" i="26" s="1"/>
  <c r="G30" i="26"/>
  <c r="H30" i="26"/>
  <c r="J30" i="26" s="1"/>
  <c r="N261" i="26"/>
  <c r="O261" i="26" s="1"/>
  <c r="F75" i="26" s="1"/>
  <c r="H75" i="26" s="1"/>
  <c r="J75" i="26" s="1"/>
  <c r="D75" i="26"/>
  <c r="G75" i="26" s="1"/>
  <c r="G38" i="26"/>
  <c r="O153" i="26"/>
  <c r="F126" i="26"/>
  <c r="P151" i="26" s="1"/>
  <c r="J162" i="26"/>
  <c r="N254" i="26"/>
  <c r="O254" i="26" s="1"/>
  <c r="F73" i="26" s="1"/>
  <c r="H73" i="26" s="1"/>
  <c r="J73" i="26" s="1"/>
  <c r="D73" i="26"/>
  <c r="G73" i="26" s="1"/>
  <c r="H31" i="26"/>
  <c r="J31" i="26" s="1"/>
  <c r="E31" i="26"/>
  <c r="F31" i="26" s="1"/>
  <c r="G31" i="26"/>
  <c r="G35" i="26"/>
  <c r="H35" i="26"/>
  <c r="J35" i="26" s="1"/>
  <c r="F35" i="26"/>
  <c r="F70" i="26"/>
  <c r="H70" i="26" s="1"/>
  <c r="J70" i="26" s="1"/>
  <c r="H38" i="26"/>
  <c r="J38" i="26" s="1"/>
  <c r="J160" i="26"/>
  <c r="J151" i="26"/>
  <c r="P158" i="26" s="1"/>
  <c r="D77" i="26"/>
  <c r="G77" i="26" s="1"/>
  <c r="N263" i="26"/>
  <c r="O263" i="26" s="1"/>
  <c r="F77" i="26" s="1"/>
  <c r="H77" i="26" s="1"/>
  <c r="J77" i="26" s="1"/>
  <c r="N186" i="26"/>
  <c r="O186" i="26" s="1"/>
  <c r="F49" i="26" s="1"/>
  <c r="H49" i="26" s="1"/>
  <c r="J49" i="26" s="1"/>
  <c r="D49" i="26"/>
  <c r="G49" i="26" s="1"/>
  <c r="E29" i="26"/>
  <c r="F29" i="26" s="1"/>
  <c r="H29" i="26"/>
  <c r="J29" i="26" s="1"/>
  <c r="G29" i="26"/>
  <c r="AF225" i="26"/>
  <c r="O273" i="26"/>
  <c r="F78" i="26"/>
  <c r="H78" i="26" s="1"/>
  <c r="J78" i="26" s="1"/>
  <c r="G26" i="26"/>
  <c r="H61" i="26"/>
  <c r="J61" i="26" s="1"/>
  <c r="E61" i="26"/>
  <c r="F61" i="26" s="1"/>
  <c r="G61" i="26"/>
  <c r="I164" i="26"/>
  <c r="G118" i="26"/>
  <c r="G116" i="26"/>
  <c r="I162" i="26"/>
  <c r="H116" i="26"/>
  <c r="H65" i="26"/>
  <c r="J65" i="26" s="1"/>
  <c r="I151" i="26"/>
  <c r="G109" i="26"/>
  <c r="I160" i="26"/>
  <c r="K160" i="26" s="1"/>
  <c r="G129" i="26"/>
  <c r="E27" i="26"/>
  <c r="F27" i="26" s="1"/>
  <c r="G27" i="26"/>
  <c r="H27" i="26"/>
  <c r="J27" i="26" s="1"/>
  <c r="H117" i="26"/>
  <c r="N262" i="26"/>
  <c r="O262" i="26" s="1"/>
  <c r="F76" i="26" s="1"/>
  <c r="H76" i="26" s="1"/>
  <c r="J76" i="26" s="1"/>
  <c r="D76" i="26"/>
  <c r="G76" i="26" s="1"/>
  <c r="K162" i="26" l="1"/>
  <c r="K164" i="26"/>
  <c r="D45" i="26"/>
  <c r="G45" i="26" s="1"/>
  <c r="H113" i="26"/>
  <c r="D156" i="26"/>
  <c r="H114" i="26"/>
  <c r="H134" i="26"/>
  <c r="H122" i="26"/>
  <c r="D159" i="26"/>
  <c r="R155" i="26" s="1"/>
  <c r="H124" i="26"/>
  <c r="Q153" i="26"/>
  <c r="G128" i="26"/>
  <c r="H126" i="26"/>
  <c r="P152" i="26"/>
  <c r="Q152" i="26" s="1"/>
  <c r="H127" i="26"/>
  <c r="Q151" i="26"/>
  <c r="K163" i="26"/>
  <c r="G126" i="26"/>
  <c r="N185" i="26"/>
  <c r="O185" i="26" s="1"/>
  <c r="F48" i="26" s="1"/>
  <c r="H48" i="26" s="1"/>
  <c r="J48" i="26" s="1"/>
  <c r="D48" i="26"/>
  <c r="G48" i="26" s="1"/>
  <c r="H133" i="26"/>
  <c r="D163" i="26"/>
  <c r="R154" i="26" s="1"/>
  <c r="O158" i="26"/>
  <c r="Q158" i="26" s="1"/>
  <c r="Q163" i="26" s="1"/>
  <c r="K151" i="26"/>
  <c r="K156" i="26" s="1"/>
  <c r="N184" i="26"/>
  <c r="O184" i="26" s="1"/>
  <c r="D47" i="26"/>
  <c r="G47" i="26" s="1"/>
  <c r="O255" i="26"/>
  <c r="N176" i="26"/>
  <c r="O176" i="26" s="1"/>
  <c r="F44" i="26" s="1"/>
  <c r="H44" i="26" s="1"/>
  <c r="J44" i="26" s="1"/>
  <c r="D44" i="26"/>
  <c r="G44" i="26" s="1"/>
  <c r="N175" i="26"/>
  <c r="O175" i="26" s="1"/>
  <c r="D43" i="26"/>
  <c r="G43" i="26" s="1"/>
  <c r="F74" i="26"/>
  <c r="H74" i="26" s="1"/>
  <c r="J74" i="26" s="1"/>
  <c r="O264" i="26"/>
  <c r="H128" i="26"/>
  <c r="K166" i="26" l="1"/>
  <c r="G93" i="26"/>
  <c r="H132" i="26"/>
  <c r="D162" i="26"/>
  <c r="D161" i="26"/>
  <c r="H131" i="26"/>
  <c r="O188" i="26"/>
  <c r="F47" i="26"/>
  <c r="H47" i="26" s="1"/>
  <c r="J47" i="26" s="1"/>
  <c r="Q155" i="26"/>
  <c r="O179" i="26"/>
  <c r="F43" i="26"/>
  <c r="H43" i="26" s="1"/>
  <c r="J43" i="26" s="1"/>
  <c r="R151" i="26" l="1"/>
  <c r="D139" i="26"/>
  <c r="D141" i="26" s="1"/>
  <c r="H141" i="26" s="1"/>
  <c r="D151" i="26"/>
  <c r="H111" i="26"/>
  <c r="D152" i="26"/>
  <c r="R153" i="26" s="1"/>
  <c r="H112" i="26"/>
  <c r="Q156" i="26"/>
  <c r="N22" i="22"/>
  <c r="N24" i="22"/>
  <c r="E113" i="22"/>
  <c r="D28" i="22"/>
  <c r="D79" i="22"/>
  <c r="D80" i="22"/>
  <c r="M60" i="26" l="1"/>
  <c r="M61" i="26" s="1"/>
  <c r="O61" i="26" s="1"/>
  <c r="D143" i="26"/>
  <c r="H143" i="26" s="1"/>
  <c r="H139" i="26"/>
  <c r="R152" i="26"/>
  <c r="R156" i="26" s="1"/>
  <c r="L166" i="26"/>
  <c r="K168" i="26" s="1"/>
  <c r="D138" i="26"/>
  <c r="D61" i="22"/>
  <c r="D60" i="22"/>
  <c r="D39" i="22"/>
  <c r="E111" i="22"/>
  <c r="E109" i="22"/>
  <c r="D116" i="22" l="1"/>
  <c r="O60" i="26"/>
  <c r="D142" i="26"/>
  <c r="H142" i="26" s="1"/>
  <c r="D140" i="26"/>
  <c r="H140" i="26" s="1"/>
  <c r="H138" i="26"/>
  <c r="M25" i="26"/>
  <c r="H147" i="26"/>
  <c r="D23" i="26"/>
  <c r="H168" i="26"/>
  <c r="H24" i="26"/>
  <c r="K33" i="18"/>
  <c r="D33" i="18"/>
  <c r="K26" i="18"/>
  <c r="D26" i="10"/>
  <c r="D33" i="10"/>
  <c r="K33" i="10"/>
  <c r="K26" i="10"/>
  <c r="C121" i="22"/>
  <c r="F121" i="22" s="1"/>
  <c r="C120" i="22"/>
  <c r="E114" i="22"/>
  <c r="E112" i="22"/>
  <c r="E110" i="22"/>
  <c r="I102" i="22"/>
  <c r="D91" i="22"/>
  <c r="D86" i="22"/>
  <c r="D72" i="22"/>
  <c r="F67" i="22"/>
  <c r="D67" i="22"/>
  <c r="F66" i="22"/>
  <c r="F85" i="22" s="1"/>
  <c r="F90" i="22" s="1"/>
  <c r="F65" i="22"/>
  <c r="F84" i="22" s="1"/>
  <c r="F64" i="22"/>
  <c r="F69" i="22" s="1"/>
  <c r="D34" i="22"/>
  <c r="I33" i="22"/>
  <c r="D33" i="22"/>
  <c r="J31" i="22"/>
  <c r="J30" i="22"/>
  <c r="D24" i="22"/>
  <c r="D23" i="22"/>
  <c r="I22" i="22"/>
  <c r="I34" i="22" s="1"/>
  <c r="M14" i="22"/>
  <c r="J14" i="22"/>
  <c r="G7" i="22"/>
  <c r="F7" i="22"/>
  <c r="H11" i="22"/>
  <c r="M10" i="22"/>
  <c r="Q6" i="22"/>
  <c r="G8" i="22"/>
  <c r="R4" i="22"/>
  <c r="U4" i="22"/>
  <c r="H104" i="26" l="1"/>
  <c r="H93" i="26"/>
  <c r="J24" i="26"/>
  <c r="J93" i="26" s="1"/>
  <c r="D24" i="26"/>
  <c r="F23" i="26"/>
  <c r="H169" i="26"/>
  <c r="H170" i="26"/>
  <c r="K169" i="26" s="1"/>
  <c r="D144" i="26" s="1"/>
  <c r="H144" i="26" s="1"/>
  <c r="M26" i="26"/>
  <c r="O26" i="26" s="1"/>
  <c r="O25" i="26"/>
  <c r="H26" i="10"/>
  <c r="J26" i="10" s="1"/>
  <c r="L14" i="22"/>
  <c r="H67" i="22"/>
  <c r="E123" i="22"/>
  <c r="F70" i="22"/>
  <c r="F86" i="22"/>
  <c r="H86" i="22" s="1"/>
  <c r="F83" i="22"/>
  <c r="F88" i="22" s="1"/>
  <c r="H7" i="22"/>
  <c r="H26" i="18"/>
  <c r="J26" i="18" s="1"/>
  <c r="G26" i="18"/>
  <c r="G26" i="10"/>
  <c r="F89" i="22"/>
  <c r="C126" i="22"/>
  <c r="F120" i="22"/>
  <c r="F71" i="22"/>
  <c r="C127" i="22"/>
  <c r="F127" i="22" s="1"/>
  <c r="K14" i="22"/>
  <c r="F72" i="22"/>
  <c r="H72" i="22" s="1"/>
  <c r="H77" i="22" s="1"/>
  <c r="C14" i="22"/>
  <c r="D14" i="22"/>
  <c r="J68" i="22" l="1"/>
  <c r="K28" i="22" s="1"/>
  <c r="H28" i="22" s="1"/>
  <c r="I6" i="22"/>
  <c r="J6" i="22"/>
  <c r="F24" i="26"/>
  <c r="F93" i="26" s="1"/>
  <c r="E26" i="10"/>
  <c r="F26" i="10" s="1"/>
  <c r="D25" i="22"/>
  <c r="D36" i="22"/>
  <c r="D26" i="22"/>
  <c r="D37" i="22"/>
  <c r="D65" i="22"/>
  <c r="D89" i="22"/>
  <c r="H89" i="22" s="1"/>
  <c r="H94" i="22" s="1"/>
  <c r="D70" i="22"/>
  <c r="H70" i="22" s="1"/>
  <c r="H75" i="22" s="1"/>
  <c r="D84" i="22"/>
  <c r="H84" i="22" s="1"/>
  <c r="D27" i="22"/>
  <c r="D38" i="22"/>
  <c r="D71" i="22"/>
  <c r="D90" i="22"/>
  <c r="H90" i="22" s="1"/>
  <c r="H95" i="22" s="1"/>
  <c r="D66" i="22"/>
  <c r="D85" i="22"/>
  <c r="F91" i="22"/>
  <c r="H91" i="22" s="1"/>
  <c r="H96" i="22" s="1"/>
  <c r="E26" i="18"/>
  <c r="F26" i="18" s="1"/>
  <c r="D88" i="22"/>
  <c r="H88" i="22" s="1"/>
  <c r="H93" i="22" s="1"/>
  <c r="D64" i="22"/>
  <c r="D69" i="22"/>
  <c r="H69" i="22" s="1"/>
  <c r="H74" i="22" s="1"/>
  <c r="D83" i="22"/>
  <c r="J8" i="22"/>
  <c r="J7" i="22"/>
  <c r="F126" i="22"/>
  <c r="X6" i="22"/>
  <c r="I7" i="22"/>
  <c r="E51" i="22" l="1"/>
  <c r="E50" i="22"/>
  <c r="E116" i="22"/>
  <c r="F50" i="22"/>
  <c r="F51" i="22"/>
  <c r="F116" i="22"/>
  <c r="R21" i="22"/>
  <c r="S21" i="22" s="1"/>
  <c r="R22" i="22"/>
  <c r="S22" i="22" s="1"/>
  <c r="S23" i="22" s="1"/>
  <c r="K6" i="22"/>
  <c r="F60" i="22"/>
  <c r="K23" i="22"/>
  <c r="E60" i="22"/>
  <c r="K21" i="22"/>
  <c r="J65" i="22"/>
  <c r="K25" i="22" s="1"/>
  <c r="H25" i="22" s="1"/>
  <c r="H65" i="22"/>
  <c r="J66" i="22"/>
  <c r="K26" i="22" s="1"/>
  <c r="H26" i="22" s="1"/>
  <c r="J26" i="22" s="1"/>
  <c r="H66" i="22"/>
  <c r="J67" i="22"/>
  <c r="K27" i="22" s="1"/>
  <c r="H27" i="22" s="1"/>
  <c r="J27" i="22" s="1"/>
  <c r="J85" i="22"/>
  <c r="K37" i="22" s="1"/>
  <c r="H37" i="22" s="1"/>
  <c r="H71" i="22"/>
  <c r="H76" i="22" s="1"/>
  <c r="J86" i="22"/>
  <c r="K38" i="22" s="1"/>
  <c r="H38" i="22" s="1"/>
  <c r="H85" i="22"/>
  <c r="J28" i="22"/>
  <c r="G28" i="22"/>
  <c r="J84" i="22"/>
  <c r="K36" i="22" s="1"/>
  <c r="G36" i="22" s="1"/>
  <c r="J87" i="22"/>
  <c r="K39" i="22" s="1"/>
  <c r="H39" i="22" s="1"/>
  <c r="K7" i="22"/>
  <c r="H83" i="22"/>
  <c r="H64" i="22"/>
  <c r="H116" i="22" l="1"/>
  <c r="H50" i="22"/>
  <c r="H51" i="22"/>
  <c r="T21" i="22"/>
  <c r="G21" i="22"/>
  <c r="H21" i="22"/>
  <c r="J21" i="22" s="1"/>
  <c r="K31" i="22"/>
  <c r="G31" i="22" s="1"/>
  <c r="K22" i="22"/>
  <c r="K32" i="22" s="1"/>
  <c r="H60" i="22"/>
  <c r="G60" i="22"/>
  <c r="G61" i="22" s="1"/>
  <c r="E61" i="22"/>
  <c r="E79" i="22"/>
  <c r="H23" i="22"/>
  <c r="J23" i="22" s="1"/>
  <c r="G23" i="22"/>
  <c r="K34" i="22"/>
  <c r="K24" i="22"/>
  <c r="K35" i="22" s="1"/>
  <c r="F61" i="22"/>
  <c r="K61" i="22" s="1"/>
  <c r="F79" i="22"/>
  <c r="F80" i="22" s="1"/>
  <c r="K80" i="22" s="1"/>
  <c r="J75" i="22" s="1"/>
  <c r="J76" i="22" s="1"/>
  <c r="J37" i="22"/>
  <c r="H36" i="22"/>
  <c r="J36" i="22" s="1"/>
  <c r="E36" i="22" s="1"/>
  <c r="F36" i="22" s="1"/>
  <c r="G26" i="22"/>
  <c r="E26" i="22" s="1"/>
  <c r="F26" i="22" s="1"/>
  <c r="G27" i="22"/>
  <c r="E27" i="22" s="1"/>
  <c r="F27" i="22" s="1"/>
  <c r="G37" i="22"/>
  <c r="J38" i="22"/>
  <c r="G38" i="22"/>
  <c r="J39" i="22"/>
  <c r="G39" i="22"/>
  <c r="G25" i="22"/>
  <c r="E28" i="22"/>
  <c r="F28" i="22" s="1"/>
  <c r="J25" i="22"/>
  <c r="G32" i="22" l="1"/>
  <c r="E32" i="22"/>
  <c r="F32" i="22" s="1"/>
  <c r="G35" i="22"/>
  <c r="H35" i="22"/>
  <c r="J35" i="22" s="1"/>
  <c r="E35" i="22" s="1"/>
  <c r="F35" i="22" s="1"/>
  <c r="H52" i="22"/>
  <c r="H128" i="22"/>
  <c r="I128" i="22" s="1"/>
  <c r="E23" i="22"/>
  <c r="F23" i="22" s="1"/>
  <c r="E80" i="22"/>
  <c r="H79" i="22"/>
  <c r="G79" i="22"/>
  <c r="G80" i="22" s="1"/>
  <c r="J61" i="22"/>
  <c r="H61" i="22"/>
  <c r="H22" i="22"/>
  <c r="J22" i="22" s="1"/>
  <c r="K30" i="22"/>
  <c r="G30" i="22" s="1"/>
  <c r="E30" i="22" s="1"/>
  <c r="F30" i="22" s="1"/>
  <c r="G22" i="22"/>
  <c r="H24" i="22"/>
  <c r="J24" i="22" s="1"/>
  <c r="G24" i="22"/>
  <c r="K33" i="22"/>
  <c r="H34" i="22"/>
  <c r="J34" i="22" s="1"/>
  <c r="G34" i="22"/>
  <c r="E31" i="22"/>
  <c r="F31" i="22" s="1"/>
  <c r="E21" i="22"/>
  <c r="F21" i="22" s="1"/>
  <c r="E37" i="22"/>
  <c r="F37" i="22" s="1"/>
  <c r="E38" i="22"/>
  <c r="F38" i="22" s="1"/>
  <c r="E39" i="22"/>
  <c r="F39" i="22" s="1"/>
  <c r="E25" i="22"/>
  <c r="F25" i="22" s="1"/>
  <c r="E22" i="22" l="1"/>
  <c r="F22" i="22" s="1"/>
  <c r="E34" i="22"/>
  <c r="F34" i="22" s="1"/>
  <c r="D128" i="22"/>
  <c r="G128" i="22" s="1"/>
  <c r="E24" i="22"/>
  <c r="F24" i="22" s="1"/>
  <c r="H62" i="22"/>
  <c r="J80" i="22"/>
  <c r="H80" i="22"/>
  <c r="H33" i="22"/>
  <c r="J33" i="22" s="1"/>
  <c r="J48" i="22" s="1"/>
  <c r="G33" i="22"/>
  <c r="D120" i="22" l="1"/>
  <c r="G120" i="22" s="1"/>
  <c r="E33" i="22"/>
  <c r="F33" i="22" s="1"/>
  <c r="F48" i="22" s="1"/>
  <c r="G48" i="22"/>
  <c r="H122" i="22"/>
  <c r="H81" i="22"/>
  <c r="D110" i="22" s="1"/>
  <c r="D126" i="22"/>
  <c r="H48" i="22"/>
  <c r="D109" i="22"/>
  <c r="H106" i="22"/>
  <c r="F53" i="22" l="1"/>
  <c r="D121" i="22"/>
  <c r="G121" i="22" s="1"/>
  <c r="H109" i="22"/>
  <c r="M21" i="22"/>
  <c r="D111" i="22"/>
  <c r="H111" i="22" s="1"/>
  <c r="D122" i="22"/>
  <c r="G122" i="22" s="1"/>
  <c r="I122" i="22"/>
  <c r="D127" i="22"/>
  <c r="G127" i="22" s="1"/>
  <c r="G126" i="22"/>
  <c r="M22" i="22"/>
  <c r="D114" i="22"/>
  <c r="H114" i="22" s="1"/>
  <c r="D112" i="22"/>
  <c r="H112" i="22" s="1"/>
  <c r="H110" i="22"/>
  <c r="D113" i="22" l="1"/>
  <c r="H113" i="22" s="1"/>
  <c r="M24" i="22"/>
  <c r="O24" i="22" s="1"/>
  <c r="O22" i="22"/>
  <c r="O21" i="22"/>
  <c r="M23" i="22"/>
  <c r="O23" i="22" s="1"/>
  <c r="H58" i="22"/>
  <c r="E84" i="11" l="1"/>
  <c r="E82" i="11"/>
  <c r="D68" i="11"/>
  <c r="D61" i="11"/>
  <c r="N6" i="18"/>
  <c r="N5" i="18"/>
  <c r="N4" i="18"/>
  <c r="G7" i="11"/>
  <c r="F7" i="11"/>
  <c r="N6" i="11"/>
  <c r="N5" i="11"/>
  <c r="N4" i="11"/>
  <c r="D56" i="18"/>
  <c r="D49" i="18"/>
  <c r="E72" i="18"/>
  <c r="E70" i="18"/>
  <c r="K32" i="11" l="1"/>
  <c r="H32" i="11" s="1"/>
  <c r="K25" i="11"/>
  <c r="H25" i="11" s="1"/>
  <c r="K31" i="11"/>
  <c r="K24" i="11"/>
  <c r="K30" i="11"/>
  <c r="K23" i="11"/>
  <c r="K25" i="18"/>
  <c r="K32" i="18"/>
  <c r="K24" i="18"/>
  <c r="K31" i="18"/>
  <c r="D89" i="11"/>
  <c r="H7" i="11"/>
  <c r="G25" i="11" l="1"/>
  <c r="G32" i="11"/>
  <c r="G7" i="18" l="1"/>
  <c r="F7" i="18"/>
  <c r="H7" i="18" l="1"/>
  <c r="K30" i="18"/>
  <c r="I29" i="18"/>
  <c r="D29" i="18"/>
  <c r="J28" i="18"/>
  <c r="K23" i="18"/>
  <c r="D22" i="18"/>
  <c r="C44" i="10"/>
  <c r="E73" i="10"/>
  <c r="H33" i="18" l="1"/>
  <c r="J33" i="18" s="1"/>
  <c r="G33" i="18"/>
  <c r="N22" i="10"/>
  <c r="N24" i="10"/>
  <c r="E71" i="10"/>
  <c r="D29" i="10"/>
  <c r="I29" i="10"/>
  <c r="J28" i="10"/>
  <c r="D57" i="10"/>
  <c r="D50" i="10"/>
  <c r="D22" i="10"/>
  <c r="N6" i="10"/>
  <c r="N5" i="10"/>
  <c r="N4" i="10"/>
  <c r="K30" i="10" s="1"/>
  <c r="G7" i="10"/>
  <c r="F7" i="10"/>
  <c r="H7" i="10" l="1"/>
  <c r="E33" i="18"/>
  <c r="F33" i="18" s="1"/>
  <c r="K25" i="10"/>
  <c r="K32" i="10"/>
  <c r="H33" i="10"/>
  <c r="J33" i="10" s="1"/>
  <c r="G33" i="10"/>
  <c r="K24" i="10"/>
  <c r="K31" i="10"/>
  <c r="K23" i="10"/>
  <c r="E33" i="10" l="1"/>
  <c r="F33" i="10" s="1"/>
  <c r="D78" i="10" l="1"/>
  <c r="D77" i="18" l="1"/>
  <c r="E75" i="18"/>
  <c r="E73" i="18"/>
  <c r="E71" i="18"/>
  <c r="D61" i="18"/>
  <c r="F54" i="18"/>
  <c r="F61" i="18" s="1"/>
  <c r="D54" i="18"/>
  <c r="F53" i="18"/>
  <c r="F60" i="18" s="1"/>
  <c r="F52" i="18"/>
  <c r="F59" i="18" s="1"/>
  <c r="F51" i="18"/>
  <c r="F58" i="18" s="1"/>
  <c r="M14" i="18"/>
  <c r="J14" i="18"/>
  <c r="D14" i="18"/>
  <c r="C14" i="18"/>
  <c r="H11" i="18"/>
  <c r="M10" i="18"/>
  <c r="G8" i="18"/>
  <c r="F2" i="11"/>
  <c r="E30" i="9"/>
  <c r="F7" i="9"/>
  <c r="G7" i="9"/>
  <c r="X6" i="18" l="1"/>
  <c r="I6" i="18"/>
  <c r="K21" i="18" s="1"/>
  <c r="J6" i="18"/>
  <c r="H61" i="18"/>
  <c r="K14" i="18"/>
  <c r="L14" i="18"/>
  <c r="R21" i="18"/>
  <c r="S21" i="18" s="1"/>
  <c r="I7" i="18"/>
  <c r="E77" i="18" s="1"/>
  <c r="H54" i="18"/>
  <c r="J8" i="18"/>
  <c r="J7" i="18"/>
  <c r="F77" i="18" s="1"/>
  <c r="F51" i="9"/>
  <c r="J7" i="9"/>
  <c r="I7" i="9"/>
  <c r="K7" i="9" s="1"/>
  <c r="E51" i="9"/>
  <c r="H7" i="9"/>
  <c r="K6" i="18" l="1"/>
  <c r="D31" i="18"/>
  <c r="D24" i="18"/>
  <c r="D52" i="18"/>
  <c r="H52" i="18" s="1"/>
  <c r="D59" i="18"/>
  <c r="H59" i="18" s="1"/>
  <c r="D32" i="18"/>
  <c r="D25" i="18"/>
  <c r="D53" i="18"/>
  <c r="H53" i="18" s="1"/>
  <c r="D60" i="18"/>
  <c r="H60" i="18" s="1"/>
  <c r="D30" i="18"/>
  <c r="D23" i="18"/>
  <c r="H23" i="18" s="1"/>
  <c r="F49" i="18"/>
  <c r="F56" i="18" s="1"/>
  <c r="K22" i="18"/>
  <c r="G21" i="18"/>
  <c r="H21" i="18"/>
  <c r="J21" i="18" s="1"/>
  <c r="E21" i="18" s="1"/>
  <c r="K28" i="18"/>
  <c r="D58" i="18"/>
  <c r="H58" i="18" s="1"/>
  <c r="D51" i="18"/>
  <c r="H51" i="18" s="1"/>
  <c r="H77" i="18"/>
  <c r="K7" i="18"/>
  <c r="E49" i="18"/>
  <c r="G28" i="18" l="1"/>
  <c r="E28" i="18" s="1"/>
  <c r="H24" i="18"/>
  <c r="J24" i="18" s="1"/>
  <c r="G24" i="18"/>
  <c r="H31" i="18"/>
  <c r="J31" i="18" s="1"/>
  <c r="G31" i="18"/>
  <c r="G23" i="18"/>
  <c r="G32" i="18"/>
  <c r="H32" i="18"/>
  <c r="J32" i="18" s="1"/>
  <c r="G25" i="18"/>
  <c r="H25" i="18"/>
  <c r="J25" i="18" s="1"/>
  <c r="F21" i="18"/>
  <c r="D75" i="18"/>
  <c r="H75" i="18" s="1"/>
  <c r="K29" i="18"/>
  <c r="G22" i="18"/>
  <c r="H22" i="18"/>
  <c r="J22" i="18" s="1"/>
  <c r="G30" i="18"/>
  <c r="H30" i="18"/>
  <c r="J30" i="18" s="1"/>
  <c r="J23" i="18"/>
  <c r="H49" i="18"/>
  <c r="G49" i="18"/>
  <c r="E56" i="18"/>
  <c r="E31" i="18" l="1"/>
  <c r="F31" i="18" s="1"/>
  <c r="E24" i="18"/>
  <c r="F24" i="18" s="1"/>
  <c r="F28" i="18"/>
  <c r="E32" i="18"/>
  <c r="F32" i="18" s="1"/>
  <c r="E25" i="18"/>
  <c r="F25" i="18" s="1"/>
  <c r="E30" i="18"/>
  <c r="F30" i="18" s="1"/>
  <c r="E23" i="18"/>
  <c r="F23" i="18" s="1"/>
  <c r="E22" i="18"/>
  <c r="F22" i="18" s="1"/>
  <c r="H29" i="18"/>
  <c r="G29" i="18"/>
  <c r="G41" i="18" s="1"/>
  <c r="H56" i="18"/>
  <c r="D71" i="18" s="1"/>
  <c r="M22" i="18" s="1"/>
  <c r="G56" i="18"/>
  <c r="D70" i="18"/>
  <c r="M21" i="18" s="1"/>
  <c r="J29" i="18" l="1"/>
  <c r="E29" i="18" s="1"/>
  <c r="H41" i="18"/>
  <c r="O21" i="18"/>
  <c r="M23" i="18"/>
  <c r="O23" i="18" s="1"/>
  <c r="O22" i="18"/>
  <c r="M24" i="18"/>
  <c r="O24" i="18" s="1"/>
  <c r="H67" i="18"/>
  <c r="D74" i="18"/>
  <c r="H74" i="18" s="1"/>
  <c r="H70" i="18"/>
  <c r="D72" i="18"/>
  <c r="H72" i="18" s="1"/>
  <c r="D73" i="18"/>
  <c r="H73" i="18" s="1"/>
  <c r="H71" i="18"/>
  <c r="J41" i="18" l="1"/>
  <c r="F29" i="18"/>
  <c r="F41" i="18" s="1"/>
  <c r="H47" i="18"/>
  <c r="D51" i="9" l="1"/>
  <c r="D81" i="17"/>
  <c r="M107" i="17"/>
  <c r="H95" i="17"/>
  <c r="C226" i="17"/>
  <c r="C225" i="17"/>
  <c r="C224" i="17"/>
  <c r="C223" i="17"/>
  <c r="C217" i="17"/>
  <c r="C216" i="17"/>
  <c r="C215" i="17"/>
  <c r="C214" i="17"/>
  <c r="C208" i="17"/>
  <c r="C207" i="17"/>
  <c r="C206" i="17"/>
  <c r="C205" i="17"/>
  <c r="C199" i="17"/>
  <c r="C198" i="17"/>
  <c r="C197" i="17"/>
  <c r="C196" i="17"/>
  <c r="C187" i="17"/>
  <c r="K186" i="17"/>
  <c r="C186" i="17"/>
  <c r="N186" i="17" s="1"/>
  <c r="O186" i="17" s="1"/>
  <c r="C185" i="17"/>
  <c r="K184" i="17"/>
  <c r="C184" i="17"/>
  <c r="N184" i="17" s="1"/>
  <c r="O184" i="17" s="1"/>
  <c r="K181" i="17"/>
  <c r="K220" i="17" s="1"/>
  <c r="C178" i="17"/>
  <c r="K177" i="17"/>
  <c r="C177" i="17"/>
  <c r="N177" i="17" s="1"/>
  <c r="O177" i="17" s="1"/>
  <c r="C176" i="17"/>
  <c r="K175" i="17"/>
  <c r="C175" i="17"/>
  <c r="N175" i="17" s="1"/>
  <c r="O175" i="17" s="1"/>
  <c r="K172" i="17"/>
  <c r="K211" i="17" s="1"/>
  <c r="K169" i="17"/>
  <c r="C169" i="17"/>
  <c r="N169" i="17" s="1"/>
  <c r="O169" i="17" s="1"/>
  <c r="K168" i="17"/>
  <c r="C168" i="17"/>
  <c r="N168" i="17" s="1"/>
  <c r="O168" i="17" s="1"/>
  <c r="K167" i="17"/>
  <c r="C167" i="17"/>
  <c r="N167" i="17" s="1"/>
  <c r="O167" i="17" s="1"/>
  <c r="K166" i="17"/>
  <c r="C166" i="17"/>
  <c r="N166" i="17" s="1"/>
  <c r="O166" i="17" s="1"/>
  <c r="K163" i="17"/>
  <c r="K202" i="17" s="1"/>
  <c r="C160" i="17"/>
  <c r="C159" i="17"/>
  <c r="C158" i="17"/>
  <c r="C157" i="17"/>
  <c r="K154" i="17"/>
  <c r="K160" i="17" s="1"/>
  <c r="C150" i="17"/>
  <c r="K149" i="17"/>
  <c r="C149" i="17"/>
  <c r="N149" i="17" s="1"/>
  <c r="O149" i="17" s="1"/>
  <c r="C148" i="17"/>
  <c r="K147" i="17"/>
  <c r="C147" i="17"/>
  <c r="N147" i="17" s="1"/>
  <c r="O147" i="17" s="1"/>
  <c r="K144" i="17"/>
  <c r="C141" i="17"/>
  <c r="K140" i="17"/>
  <c r="C140" i="17"/>
  <c r="N140" i="17" s="1"/>
  <c r="O140" i="17" s="1"/>
  <c r="C139" i="17"/>
  <c r="K138" i="17"/>
  <c r="C138" i="17"/>
  <c r="N138" i="17" s="1"/>
  <c r="O138" i="17" s="1"/>
  <c r="K135" i="17"/>
  <c r="K132" i="17"/>
  <c r="C132" i="17"/>
  <c r="N132" i="17" s="1"/>
  <c r="O132" i="17" s="1"/>
  <c r="K131" i="17"/>
  <c r="C131" i="17"/>
  <c r="N131" i="17" s="1"/>
  <c r="O131" i="17" s="1"/>
  <c r="K130" i="17"/>
  <c r="C130" i="17"/>
  <c r="N130" i="17" s="1"/>
  <c r="O130" i="17" s="1"/>
  <c r="K129" i="17"/>
  <c r="C129" i="17"/>
  <c r="N129" i="17" s="1"/>
  <c r="O129" i="17" s="1"/>
  <c r="K126" i="17"/>
  <c r="C123" i="17"/>
  <c r="C122" i="17"/>
  <c r="C121" i="17"/>
  <c r="C120" i="17"/>
  <c r="K117" i="17"/>
  <c r="J99" i="17"/>
  <c r="H99" i="17"/>
  <c r="K99" i="17" s="1"/>
  <c r="J98" i="17"/>
  <c r="H98" i="17"/>
  <c r="H97" i="17"/>
  <c r="H96" i="17"/>
  <c r="J93" i="17"/>
  <c r="H93" i="17"/>
  <c r="K93" i="17" s="1"/>
  <c r="J92" i="17"/>
  <c r="H92" i="17"/>
  <c r="K92" i="17" s="1"/>
  <c r="J91" i="17"/>
  <c r="J97" i="17" s="1"/>
  <c r="H91" i="17"/>
  <c r="K91" i="17" s="1"/>
  <c r="J90" i="17"/>
  <c r="J96" i="17" s="1"/>
  <c r="K96" i="17" s="1"/>
  <c r="H90" i="17"/>
  <c r="K90" i="17" s="1"/>
  <c r="E82" i="17"/>
  <c r="E81" i="17"/>
  <c r="E79" i="17"/>
  <c r="E77" i="17"/>
  <c r="J21" i="17"/>
  <c r="I21" i="17"/>
  <c r="G21" i="17"/>
  <c r="J20" i="17"/>
  <c r="I20" i="17"/>
  <c r="G20" i="17"/>
  <c r="J19" i="17"/>
  <c r="I19" i="17"/>
  <c r="G19" i="17"/>
  <c r="G16" i="17"/>
  <c r="M13" i="17"/>
  <c r="L13" i="17" s="1"/>
  <c r="J13" i="17"/>
  <c r="K13" i="17" s="1"/>
  <c r="D13" i="17"/>
  <c r="J6" i="17" s="1"/>
  <c r="C13" i="17"/>
  <c r="H10" i="17"/>
  <c r="M9" i="17"/>
  <c r="J7" i="17"/>
  <c r="F66" i="17" s="1"/>
  <c r="G7" i="17"/>
  <c r="U6" i="17"/>
  <c r="R6" i="17"/>
  <c r="Q6" i="17"/>
  <c r="I6" i="17"/>
  <c r="E46" i="17" s="1"/>
  <c r="H6" i="17"/>
  <c r="E6" i="17"/>
  <c r="U4" i="17"/>
  <c r="R4" i="17"/>
  <c r="X6" i="17" l="1"/>
  <c r="H51" i="9"/>
  <c r="K97" i="17"/>
  <c r="K98" i="17"/>
  <c r="N214" i="17"/>
  <c r="O214" i="17" s="1"/>
  <c r="K226" i="17"/>
  <c r="N226" i="17" s="1"/>
  <c r="O226" i="17" s="1"/>
  <c r="K224" i="17"/>
  <c r="N224" i="17" s="1"/>
  <c r="O224" i="17" s="1"/>
  <c r="K225" i="17"/>
  <c r="N225" i="17" s="1"/>
  <c r="O225" i="17" s="1"/>
  <c r="K223" i="17"/>
  <c r="E45" i="17"/>
  <c r="G46" i="17"/>
  <c r="E43" i="17"/>
  <c r="E33" i="17"/>
  <c r="E44" i="17"/>
  <c r="E34" i="17"/>
  <c r="E35" i="17"/>
  <c r="E66" i="17"/>
  <c r="E56" i="17"/>
  <c r="E36" i="17"/>
  <c r="O170" i="17"/>
  <c r="H49" i="17" s="1"/>
  <c r="K216" i="17"/>
  <c r="N216" i="17" s="1"/>
  <c r="O216" i="17" s="1"/>
  <c r="K214" i="17"/>
  <c r="K217" i="17"/>
  <c r="N217" i="17" s="1"/>
  <c r="O217" i="17" s="1"/>
  <c r="K215" i="17"/>
  <c r="N215" i="17" s="1"/>
  <c r="O215" i="17" s="1"/>
  <c r="O133" i="17"/>
  <c r="H39" i="17" s="1"/>
  <c r="F71" i="17"/>
  <c r="F65" i="17"/>
  <c r="F70" i="17" s="1"/>
  <c r="F63" i="17"/>
  <c r="F68" i="17" s="1"/>
  <c r="F64" i="17"/>
  <c r="F69" i="17" s="1"/>
  <c r="N121" i="17"/>
  <c r="O121" i="17" s="1"/>
  <c r="N160" i="17"/>
  <c r="O160" i="17" s="1"/>
  <c r="F46" i="17"/>
  <c r="G18" i="17"/>
  <c r="N223" i="17"/>
  <c r="O223" i="17" s="1"/>
  <c r="K207" i="17"/>
  <c r="N207" i="17" s="1"/>
  <c r="O207" i="17" s="1"/>
  <c r="K205" i="17"/>
  <c r="N205" i="17" s="1"/>
  <c r="O205" i="17" s="1"/>
  <c r="K208" i="17"/>
  <c r="K206" i="17"/>
  <c r="N206" i="17" s="1"/>
  <c r="O206" i="17" s="1"/>
  <c r="N208" i="17"/>
  <c r="O208" i="17" s="1"/>
  <c r="K193" i="17"/>
  <c r="K6" i="17"/>
  <c r="G17" i="17"/>
  <c r="G22" i="17" s="1"/>
  <c r="K120" i="17"/>
  <c r="N120" i="17" s="1"/>
  <c r="O120" i="17" s="1"/>
  <c r="K122" i="17"/>
  <c r="N122" i="17" s="1"/>
  <c r="O122" i="17" s="1"/>
  <c r="K139" i="17"/>
  <c r="N139" i="17" s="1"/>
  <c r="O139" i="17" s="1"/>
  <c r="K141" i="17"/>
  <c r="N141" i="17" s="1"/>
  <c r="O141" i="17" s="1"/>
  <c r="K157" i="17"/>
  <c r="N157" i="17" s="1"/>
  <c r="O157" i="17" s="1"/>
  <c r="K159" i="17"/>
  <c r="N159" i="17" s="1"/>
  <c r="O159" i="17" s="1"/>
  <c r="K176" i="17"/>
  <c r="N176" i="17" s="1"/>
  <c r="O176" i="17" s="1"/>
  <c r="K178" i="17"/>
  <c r="N178" i="17" s="1"/>
  <c r="O178" i="17" s="1"/>
  <c r="K148" i="17"/>
  <c r="N148" i="17" s="1"/>
  <c r="O148" i="17" s="1"/>
  <c r="K150" i="17"/>
  <c r="N150" i="17" s="1"/>
  <c r="O150" i="17" s="1"/>
  <c r="K185" i="17"/>
  <c r="N185" i="17" s="1"/>
  <c r="O185" i="17" s="1"/>
  <c r="K187" i="17"/>
  <c r="N187" i="17" s="1"/>
  <c r="O187" i="17" s="1"/>
  <c r="K121" i="17"/>
  <c r="K123" i="17"/>
  <c r="N123" i="17" s="1"/>
  <c r="O123" i="17" s="1"/>
  <c r="K158" i="17"/>
  <c r="N158" i="17" s="1"/>
  <c r="O158" i="17" s="1"/>
  <c r="O142" i="17" l="1"/>
  <c r="H40" i="17" s="1"/>
  <c r="O179" i="17"/>
  <c r="H50" i="17" s="1"/>
  <c r="O151" i="17"/>
  <c r="H41" i="17" s="1"/>
  <c r="O188" i="17"/>
  <c r="H51" i="17" s="1"/>
  <c r="O227" i="17"/>
  <c r="H61" i="17" s="1"/>
  <c r="K111" i="17" s="1"/>
  <c r="O218" i="17"/>
  <c r="H60" i="17" s="1"/>
  <c r="K110" i="17" s="1"/>
  <c r="G45" i="17"/>
  <c r="E55" i="17"/>
  <c r="G55" i="17" s="1"/>
  <c r="E71" i="17"/>
  <c r="G66" i="17"/>
  <c r="E63" i="17"/>
  <c r="E65" i="17"/>
  <c r="E64" i="17"/>
  <c r="E53" i="17"/>
  <c r="G53" i="17" s="1"/>
  <c r="O161" i="17"/>
  <c r="H48" i="17" s="1"/>
  <c r="I89" i="17"/>
  <c r="O209" i="17"/>
  <c r="H59" i="17" s="1"/>
  <c r="K109" i="17" s="1"/>
  <c r="F45" i="17"/>
  <c r="F55" i="17" s="1"/>
  <c r="F35" i="17"/>
  <c r="G35" i="17" s="1"/>
  <c r="F43" i="17"/>
  <c r="F53" i="17" s="1"/>
  <c r="F33" i="17"/>
  <c r="G33" i="17" s="1"/>
  <c r="F56" i="17"/>
  <c r="G56" i="17" s="1"/>
  <c r="F36" i="17"/>
  <c r="J89" i="17" s="1"/>
  <c r="J95" i="17" s="1"/>
  <c r="F44" i="17"/>
  <c r="F54" i="17" s="1"/>
  <c r="F34" i="17"/>
  <c r="G34" i="17" s="1"/>
  <c r="K199" i="17"/>
  <c r="N199" i="17" s="1"/>
  <c r="O199" i="17" s="1"/>
  <c r="K197" i="17"/>
  <c r="N197" i="17" s="1"/>
  <c r="O197" i="17" s="1"/>
  <c r="K198" i="17"/>
  <c r="N198" i="17" s="1"/>
  <c r="O198" i="17" s="1"/>
  <c r="K196" i="17"/>
  <c r="N196" i="17" s="1"/>
  <c r="O196" i="17" s="1"/>
  <c r="O124" i="17"/>
  <c r="H38" i="17" s="1"/>
  <c r="K103" i="17"/>
  <c r="G44" i="17"/>
  <c r="E54" i="17"/>
  <c r="G54" i="17" s="1"/>
  <c r="K104" i="17" l="1"/>
  <c r="G26" i="17"/>
  <c r="K105" i="17"/>
  <c r="O200" i="17"/>
  <c r="H58" i="17" s="1"/>
  <c r="K108" i="17" s="1"/>
  <c r="H44" i="17"/>
  <c r="H45" i="17"/>
  <c r="H43" i="17"/>
  <c r="H46" i="17"/>
  <c r="G71" i="17"/>
  <c r="I95" i="17"/>
  <c r="E69" i="17"/>
  <c r="G69" i="17" s="1"/>
  <c r="G64" i="17"/>
  <c r="G43" i="17"/>
  <c r="G65" i="17"/>
  <c r="E70" i="17"/>
  <c r="G70" i="17" s="1"/>
  <c r="E68" i="17"/>
  <c r="G68" i="17" s="1"/>
  <c r="G63" i="17"/>
  <c r="K102" i="17"/>
  <c r="G36" i="17"/>
  <c r="H53" i="17" l="1"/>
  <c r="D65" i="17"/>
  <c r="M95" i="17"/>
  <c r="H26" i="17"/>
  <c r="H34" i="17"/>
  <c r="H35" i="17"/>
  <c r="D33" i="17"/>
  <c r="H36" i="17"/>
  <c r="H56" i="17"/>
  <c r="D66" i="17"/>
  <c r="D64" i="17"/>
  <c r="H54" i="17"/>
  <c r="H33" i="17" l="1"/>
  <c r="K101" i="17" s="1"/>
  <c r="M101" i="17" s="1"/>
  <c r="H89" i="17"/>
  <c r="K89" i="17" s="1"/>
  <c r="M89" i="17" s="1"/>
  <c r="I25" i="17"/>
  <c r="K95" i="17"/>
  <c r="D63" i="17"/>
  <c r="H63" i="17" s="1"/>
  <c r="H55" i="17"/>
  <c r="D69" i="17"/>
  <c r="H69" i="17" s="1"/>
  <c r="H64" i="17"/>
  <c r="H66" i="17"/>
  <c r="D71" i="17"/>
  <c r="H71" i="17" s="1"/>
  <c r="H65" i="17"/>
  <c r="D70" i="17"/>
  <c r="H70" i="17" s="1"/>
  <c r="D68" i="17"/>
  <c r="H68" i="17" s="1"/>
  <c r="K107" i="17" l="1"/>
  <c r="D76" i="17"/>
  <c r="D78" i="17" s="1"/>
  <c r="H78" i="17" s="1"/>
  <c r="K27" i="17"/>
  <c r="D77" i="17"/>
  <c r="H77" i="17" s="1"/>
  <c r="H73" i="17"/>
  <c r="J73" i="17" s="1"/>
  <c r="I71" i="17"/>
  <c r="K114" i="17" l="1"/>
  <c r="D82" i="17" s="1"/>
  <c r="H82" i="17" s="1"/>
  <c r="H76" i="17"/>
  <c r="D80" i="17"/>
  <c r="H80" i="17" s="1"/>
  <c r="K113" i="17"/>
  <c r="H85" i="17" s="1"/>
  <c r="D79" i="17"/>
  <c r="H79" i="17" s="1"/>
  <c r="H81" i="17"/>
  <c r="H31" i="17" l="1"/>
  <c r="G8" i="10" l="1"/>
  <c r="D51" i="16" l="1"/>
  <c r="D50" i="16"/>
  <c r="D53" i="16"/>
  <c r="D50" i="15"/>
  <c r="D53" i="15" s="1"/>
  <c r="D49" i="15"/>
  <c r="D52" i="15" s="1"/>
  <c r="E67" i="16"/>
  <c r="E65" i="16"/>
  <c r="E64" i="16"/>
  <c r="E62" i="16"/>
  <c r="E61" i="16"/>
  <c r="D39" i="16"/>
  <c r="D38" i="16"/>
  <c r="D37" i="16"/>
  <c r="D36" i="16"/>
  <c r="D31" i="16"/>
  <c r="D30" i="16"/>
  <c r="D29" i="16"/>
  <c r="D28" i="16"/>
  <c r="M17" i="16"/>
  <c r="J17" i="16"/>
  <c r="H14" i="16"/>
  <c r="M13" i="16"/>
  <c r="K17" i="16" s="1"/>
  <c r="H8" i="16"/>
  <c r="G8" i="16"/>
  <c r="E8" i="16"/>
  <c r="D8" i="16"/>
  <c r="Q7" i="16"/>
  <c r="N7" i="16"/>
  <c r="F31" i="16" s="1"/>
  <c r="F39" i="16" s="1"/>
  <c r="H7" i="16"/>
  <c r="H10" i="16" s="1"/>
  <c r="G7" i="16"/>
  <c r="F7" i="16"/>
  <c r="E7" i="16"/>
  <c r="D7" i="16"/>
  <c r="C7" i="16"/>
  <c r="V6" i="16"/>
  <c r="U6" i="16"/>
  <c r="S6" i="16"/>
  <c r="R6" i="16"/>
  <c r="Q6" i="16"/>
  <c r="N6" i="16"/>
  <c r="F30" i="16" s="1"/>
  <c r="F38" i="16" s="1"/>
  <c r="H38" i="16" s="1"/>
  <c r="H6" i="16"/>
  <c r="H9" i="16" s="1"/>
  <c r="G6" i="16"/>
  <c r="F6" i="16"/>
  <c r="E6" i="16"/>
  <c r="D6" i="16"/>
  <c r="C6" i="16"/>
  <c r="N5" i="16"/>
  <c r="F29" i="16" s="1"/>
  <c r="N4" i="16"/>
  <c r="F28" i="16" s="1"/>
  <c r="F36" i="16" s="1"/>
  <c r="F4" i="16"/>
  <c r="U4" i="16" s="1"/>
  <c r="C4" i="16"/>
  <c r="R4" i="16" s="1"/>
  <c r="N3" i="16"/>
  <c r="F2" i="16"/>
  <c r="E66" i="15"/>
  <c r="E64" i="15"/>
  <c r="E63" i="15"/>
  <c r="E61" i="15"/>
  <c r="E60" i="15"/>
  <c r="E56" i="15"/>
  <c r="H56" i="15" s="1"/>
  <c r="D39" i="15"/>
  <c r="D38" i="15"/>
  <c r="D37" i="15"/>
  <c r="D36" i="15"/>
  <c r="D31" i="15"/>
  <c r="D30" i="15"/>
  <c r="D29" i="15"/>
  <c r="D28" i="15"/>
  <c r="M17" i="15"/>
  <c r="J17" i="15"/>
  <c r="H14" i="15"/>
  <c r="M13" i="15"/>
  <c r="H8" i="15"/>
  <c r="G8" i="15"/>
  <c r="E8" i="15"/>
  <c r="D8" i="15"/>
  <c r="Q7" i="15"/>
  <c r="N7" i="15"/>
  <c r="F31" i="15" s="1"/>
  <c r="F39" i="15" s="1"/>
  <c r="H7" i="15"/>
  <c r="H10" i="15" s="1"/>
  <c r="G7" i="15"/>
  <c r="E7" i="15"/>
  <c r="D7" i="15"/>
  <c r="V6" i="15"/>
  <c r="U6" i="15"/>
  <c r="S6" i="15"/>
  <c r="R6" i="15"/>
  <c r="Q6" i="15"/>
  <c r="N6" i="15"/>
  <c r="F30" i="15" s="1"/>
  <c r="H6" i="15"/>
  <c r="H9" i="15" s="1"/>
  <c r="G6" i="15"/>
  <c r="F6" i="15"/>
  <c r="E6" i="15"/>
  <c r="D6" i="15"/>
  <c r="C6" i="15"/>
  <c r="N5" i="15"/>
  <c r="F29" i="15" s="1"/>
  <c r="F37" i="15" s="1"/>
  <c r="N4" i="15"/>
  <c r="F28" i="15" s="1"/>
  <c r="F36" i="15" s="1"/>
  <c r="F4" i="15"/>
  <c r="U4" i="15" s="1"/>
  <c r="C4" i="15"/>
  <c r="R4" i="15" s="1"/>
  <c r="N3" i="15"/>
  <c r="F2" i="15"/>
  <c r="D17" i="15" s="1"/>
  <c r="D54" i="16" l="1"/>
  <c r="H30" i="16"/>
  <c r="C17" i="16"/>
  <c r="D17" i="16"/>
  <c r="H31" i="16"/>
  <c r="H28" i="16"/>
  <c r="L17" i="16"/>
  <c r="H39" i="16"/>
  <c r="H37" i="15"/>
  <c r="H36" i="15"/>
  <c r="H31" i="15"/>
  <c r="K17" i="15"/>
  <c r="H39" i="15"/>
  <c r="C17" i="15"/>
  <c r="K9" i="15" s="1"/>
  <c r="H29" i="15"/>
  <c r="H28" i="15"/>
  <c r="L17" i="15"/>
  <c r="H36" i="16"/>
  <c r="H30" i="15"/>
  <c r="F38" i="15"/>
  <c r="H38" i="15" s="1"/>
  <c r="F37" i="16"/>
  <c r="H37" i="16" s="1"/>
  <c r="H29" i="16"/>
  <c r="K6" i="16" l="1"/>
  <c r="F25" i="16" s="1"/>
  <c r="F33" i="16" s="1"/>
  <c r="J6" i="16"/>
  <c r="E25" i="16" s="1"/>
  <c r="E33" i="16" s="1"/>
  <c r="I6" i="15"/>
  <c r="E41" i="15" s="1"/>
  <c r="E47" i="15" s="1"/>
  <c r="H47" i="15" s="1"/>
  <c r="K10" i="16"/>
  <c r="F51" i="16" s="1"/>
  <c r="F54" i="16" s="1"/>
  <c r="K9" i="16"/>
  <c r="F50" i="16" s="1"/>
  <c r="F53" i="16" s="1"/>
  <c r="I7" i="16"/>
  <c r="E42" i="16" s="1"/>
  <c r="E57" i="16" s="1"/>
  <c r="H57" i="16" s="1"/>
  <c r="J7" i="16"/>
  <c r="E26" i="16" s="1"/>
  <c r="E51" i="16" s="1"/>
  <c r="X6" i="16"/>
  <c r="J41" i="16" s="1"/>
  <c r="J8" i="16"/>
  <c r="I6" i="16"/>
  <c r="E41" i="16" s="1"/>
  <c r="K8" i="16"/>
  <c r="F56" i="16" s="1"/>
  <c r="H56" i="16" s="1"/>
  <c r="Y6" i="16"/>
  <c r="J25" i="16" s="1"/>
  <c r="K25" i="16" s="1"/>
  <c r="K7" i="16"/>
  <c r="F26" i="16" s="1"/>
  <c r="F34" i="16" s="1"/>
  <c r="Y6" i="15"/>
  <c r="J25" i="15" s="1"/>
  <c r="K25" i="15" s="1"/>
  <c r="F49" i="15"/>
  <c r="K10" i="15"/>
  <c r="F50" i="15" s="1"/>
  <c r="F53" i="15" s="1"/>
  <c r="K6" i="15"/>
  <c r="F25" i="15" s="1"/>
  <c r="F33" i="15" s="1"/>
  <c r="X6" i="15"/>
  <c r="J41" i="15" s="1"/>
  <c r="J44" i="15" s="1"/>
  <c r="K44" i="15" s="1"/>
  <c r="J8" i="15"/>
  <c r="K7" i="15"/>
  <c r="F26" i="15" s="1"/>
  <c r="F34" i="15" s="1"/>
  <c r="J7" i="15"/>
  <c r="E26" i="15" s="1"/>
  <c r="J6" i="15"/>
  <c r="E25" i="15" s="1"/>
  <c r="K8" i="15"/>
  <c r="F55" i="15" s="1"/>
  <c r="H55" i="15" s="1"/>
  <c r="H33" i="16" l="1"/>
  <c r="H51" i="16"/>
  <c r="H25" i="16"/>
  <c r="E50" i="16"/>
  <c r="E53" i="16" s="1"/>
  <c r="G25" i="16"/>
  <c r="E44" i="15"/>
  <c r="H44" i="15" s="1"/>
  <c r="D61" i="15" s="1"/>
  <c r="H41" i="15"/>
  <c r="D67" i="16"/>
  <c r="H67" i="16" s="1"/>
  <c r="E54" i="16"/>
  <c r="G51" i="16"/>
  <c r="F52" i="15"/>
  <c r="D66" i="15" s="1"/>
  <c r="H66" i="15" s="1"/>
  <c r="H26" i="16"/>
  <c r="E48" i="16"/>
  <c r="H48" i="16" s="1"/>
  <c r="E45" i="16"/>
  <c r="H45" i="16" s="1"/>
  <c r="H42" i="16"/>
  <c r="K41" i="16"/>
  <c r="J44" i="16"/>
  <c r="K44" i="16" s="1"/>
  <c r="G26" i="16"/>
  <c r="E34" i="16"/>
  <c r="H34" i="16" s="1"/>
  <c r="E44" i="16"/>
  <c r="H44" i="16" s="1"/>
  <c r="E47" i="16"/>
  <c r="H47" i="16" s="1"/>
  <c r="H41" i="16"/>
  <c r="E33" i="15"/>
  <c r="H33" i="15" s="1"/>
  <c r="E49" i="15"/>
  <c r="E52" i="15" s="1"/>
  <c r="E34" i="15"/>
  <c r="H34" i="15" s="1"/>
  <c r="E50" i="15"/>
  <c r="E53" i="15" s="1"/>
  <c r="G53" i="15" s="1"/>
  <c r="K41" i="15"/>
  <c r="L41" i="15" s="1"/>
  <c r="H26" i="15"/>
  <c r="G25" i="15"/>
  <c r="H25" i="15"/>
  <c r="G26" i="15"/>
  <c r="D61" i="16" l="1"/>
  <c r="H61" i="16" s="1"/>
  <c r="H50" i="16"/>
  <c r="G50" i="16"/>
  <c r="D60" i="16"/>
  <c r="D66" i="16" s="1"/>
  <c r="H66" i="16" s="1"/>
  <c r="H53" i="15"/>
  <c r="D59" i="15"/>
  <c r="D62" i="15" s="1"/>
  <c r="H62" i="15" s="1"/>
  <c r="D62" i="16"/>
  <c r="G54" i="16"/>
  <c r="H54" i="16"/>
  <c r="G53" i="16"/>
  <c r="H53" i="16"/>
  <c r="L41" i="16"/>
  <c r="H50" i="15"/>
  <c r="G50" i="15"/>
  <c r="H49" i="15"/>
  <c r="G49" i="15"/>
  <c r="H61" i="15"/>
  <c r="D64" i="15"/>
  <c r="H64" i="15" s="1"/>
  <c r="D64" i="16" l="1"/>
  <c r="H64" i="16" s="1"/>
  <c r="D65" i="15"/>
  <c r="H65" i="15" s="1"/>
  <c r="H59" i="15"/>
  <c r="H60" i="16"/>
  <c r="D63" i="16"/>
  <c r="H63" i="16" s="1"/>
  <c r="H62" i="16"/>
  <c r="D65" i="16"/>
  <c r="H65" i="16" s="1"/>
  <c r="H52" i="15"/>
  <c r="D60" i="15" s="1"/>
  <c r="G52" i="15"/>
  <c r="H60" i="15" l="1"/>
  <c r="D63" i="15"/>
  <c r="H63" i="15" s="1"/>
  <c r="E87" i="11" l="1"/>
  <c r="E85" i="11"/>
  <c r="E83" i="11"/>
  <c r="D73" i="11"/>
  <c r="F66" i="11"/>
  <c r="F73" i="11" s="1"/>
  <c r="D66" i="11"/>
  <c r="F65" i="11"/>
  <c r="F72" i="11" s="1"/>
  <c r="F64" i="11"/>
  <c r="F71" i="11" s="1"/>
  <c r="F63" i="11"/>
  <c r="F70" i="11" s="1"/>
  <c r="M14" i="11"/>
  <c r="J14" i="11"/>
  <c r="D14" i="11"/>
  <c r="C14" i="11"/>
  <c r="H11" i="11"/>
  <c r="M10" i="11"/>
  <c r="G8" i="11"/>
  <c r="Q6" i="11"/>
  <c r="U4" i="11"/>
  <c r="R4" i="11"/>
  <c r="I6" i="11" l="1"/>
  <c r="K21" i="11" s="1"/>
  <c r="J6" i="11"/>
  <c r="K14" i="11"/>
  <c r="X6" i="11"/>
  <c r="R21" i="11" s="1"/>
  <c r="S21" i="11" s="1"/>
  <c r="J7" i="11"/>
  <c r="I7" i="11"/>
  <c r="J8" i="11"/>
  <c r="L14" i="11"/>
  <c r="H66" i="11"/>
  <c r="H73" i="11"/>
  <c r="E89" i="11" l="1"/>
  <c r="D44" i="11"/>
  <c r="F89" i="11"/>
  <c r="E44" i="11"/>
  <c r="K6" i="11"/>
  <c r="K22" i="11"/>
  <c r="H21" i="11"/>
  <c r="K28" i="11"/>
  <c r="G28" i="11" s="1"/>
  <c r="E28" i="11" s="1"/>
  <c r="F28" i="11" s="1"/>
  <c r="G21" i="11"/>
  <c r="D24" i="11"/>
  <c r="D31" i="11"/>
  <c r="D30" i="11"/>
  <c r="H30" i="11" s="1"/>
  <c r="D23" i="11"/>
  <c r="H23" i="11" s="1"/>
  <c r="D71" i="11"/>
  <c r="H71" i="11" s="1"/>
  <c r="D64" i="11"/>
  <c r="H64" i="11" s="1"/>
  <c r="K7" i="11"/>
  <c r="F61" i="11"/>
  <c r="E61" i="11"/>
  <c r="D65" i="11"/>
  <c r="H65" i="11" s="1"/>
  <c r="D63" i="11"/>
  <c r="H63" i="11" s="1"/>
  <c r="H89" i="11" l="1"/>
  <c r="H22" i="11"/>
  <c r="J22" i="11" s="1"/>
  <c r="K29" i="11"/>
  <c r="G22" i="11"/>
  <c r="F44" i="11"/>
  <c r="H31" i="11"/>
  <c r="J31" i="11" s="1"/>
  <c r="G31" i="11"/>
  <c r="H24" i="11"/>
  <c r="J24" i="11" s="1"/>
  <c r="G24" i="11"/>
  <c r="J23" i="11"/>
  <c r="G23" i="11"/>
  <c r="D48" i="11"/>
  <c r="H50" i="11"/>
  <c r="D50" i="11" s="1"/>
  <c r="G50" i="11" s="1"/>
  <c r="F68" i="11"/>
  <c r="J33" i="11"/>
  <c r="E33" i="11" s="1"/>
  <c r="F33" i="11" s="1"/>
  <c r="J26" i="11"/>
  <c r="E26" i="11" s="1"/>
  <c r="F26" i="11" s="1"/>
  <c r="J32" i="11"/>
  <c r="E32" i="11" s="1"/>
  <c r="F32" i="11" s="1"/>
  <c r="J25" i="11"/>
  <c r="E25" i="11" s="1"/>
  <c r="F25" i="11" s="1"/>
  <c r="J30" i="11"/>
  <c r="G30" i="11"/>
  <c r="H61" i="11"/>
  <c r="D82" i="11" s="1"/>
  <c r="M21" i="11" s="1"/>
  <c r="E68" i="11"/>
  <c r="G61" i="11"/>
  <c r="E22" i="11" l="1"/>
  <c r="F22" i="11" s="1"/>
  <c r="H29" i="11"/>
  <c r="J29" i="11" s="1"/>
  <c r="G29" i="11"/>
  <c r="G42" i="11" s="1"/>
  <c r="E31" i="11"/>
  <c r="F31" i="11" s="1"/>
  <c r="E24" i="11"/>
  <c r="F24" i="11" s="1"/>
  <c r="E30" i="11"/>
  <c r="F30" i="11" s="1"/>
  <c r="M23" i="11"/>
  <c r="O23" i="11" s="1"/>
  <c r="O21" i="11"/>
  <c r="J21" i="11"/>
  <c r="G48" i="11"/>
  <c r="D49" i="11"/>
  <c r="G49" i="11" s="1"/>
  <c r="E23" i="11"/>
  <c r="F23" i="11" s="1"/>
  <c r="G68" i="11"/>
  <c r="D84" i="11"/>
  <c r="H84" i="11" s="1"/>
  <c r="D86" i="11"/>
  <c r="H86" i="11" s="1"/>
  <c r="H82" i="11"/>
  <c r="H42" i="11" l="1"/>
  <c r="E29" i="11"/>
  <c r="F29" i="11" s="1"/>
  <c r="J42" i="11"/>
  <c r="E21" i="11"/>
  <c r="F21" i="11" s="1"/>
  <c r="D72" i="11"/>
  <c r="H72" i="11" s="1"/>
  <c r="D70" i="11"/>
  <c r="H70" i="11" s="1"/>
  <c r="H68" i="11"/>
  <c r="F42" i="11" l="1"/>
  <c r="H79" i="11"/>
  <c r="D83" i="11"/>
  <c r="M22" i="11" s="1"/>
  <c r="D87" i="11"/>
  <c r="H87" i="11" s="1"/>
  <c r="M24" i="11" l="1"/>
  <c r="O24" i="11" s="1"/>
  <c r="O22" i="11"/>
  <c r="D85" i="11"/>
  <c r="H85" i="11" s="1"/>
  <c r="H83" i="11"/>
  <c r="H59" i="11" l="1"/>
  <c r="G8" i="9" l="1"/>
  <c r="D55" i="10" l="1"/>
  <c r="D62" i="10"/>
  <c r="E76" i="10"/>
  <c r="E74" i="10"/>
  <c r="E72" i="10"/>
  <c r="F55" i="10"/>
  <c r="F62" i="10" s="1"/>
  <c r="F54" i="10"/>
  <c r="F61" i="10" s="1"/>
  <c r="F53" i="10"/>
  <c r="F60" i="10" s="1"/>
  <c r="F52" i="10"/>
  <c r="F59" i="10" s="1"/>
  <c r="M14" i="10"/>
  <c r="J14" i="10"/>
  <c r="D14" i="10"/>
  <c r="C14" i="10"/>
  <c r="H11" i="10"/>
  <c r="M10" i="10"/>
  <c r="D26" i="9"/>
  <c r="E49" i="9"/>
  <c r="E47" i="9"/>
  <c r="E45" i="9"/>
  <c r="D35" i="9"/>
  <c r="F28" i="9"/>
  <c r="F35" i="9" s="1"/>
  <c r="D28" i="9"/>
  <c r="F27" i="9"/>
  <c r="F34" i="9" s="1"/>
  <c r="F26" i="9"/>
  <c r="F33" i="9" s="1"/>
  <c r="F25" i="9"/>
  <c r="F32" i="9" s="1"/>
  <c r="M14" i="9"/>
  <c r="J14" i="9"/>
  <c r="D14" i="9"/>
  <c r="C14" i="9"/>
  <c r="J8" i="9" s="1"/>
  <c r="H11" i="9"/>
  <c r="M10" i="9"/>
  <c r="L14" i="9" s="1"/>
  <c r="U6" i="9"/>
  <c r="R6" i="9"/>
  <c r="Q6" i="9"/>
  <c r="H6" i="9"/>
  <c r="E6" i="9"/>
  <c r="U4" i="9"/>
  <c r="R4" i="9"/>
  <c r="X6" i="10" l="1"/>
  <c r="R21" i="10" s="1"/>
  <c r="S21" i="10" s="1"/>
  <c r="I6" i="10"/>
  <c r="J6" i="10"/>
  <c r="K22" i="10" s="1"/>
  <c r="I7" i="10"/>
  <c r="D44" i="10" s="1"/>
  <c r="J7" i="10"/>
  <c r="E44" i="10" s="1"/>
  <c r="K14" i="10"/>
  <c r="F78" i="10"/>
  <c r="J8" i="10"/>
  <c r="H55" i="10"/>
  <c r="L14" i="10"/>
  <c r="K21" i="10"/>
  <c r="H26" i="9"/>
  <c r="H28" i="9"/>
  <c r="K14" i="9"/>
  <c r="X6" i="9"/>
  <c r="H35" i="9"/>
  <c r="I6" i="9"/>
  <c r="J6" i="9"/>
  <c r="K6" i="10" l="1"/>
  <c r="D30" i="10"/>
  <c r="D23" i="10"/>
  <c r="H23" i="10" s="1"/>
  <c r="J23" i="10" s="1"/>
  <c r="D25" i="10"/>
  <c r="D32" i="10"/>
  <c r="D31" i="10"/>
  <c r="D24" i="10"/>
  <c r="G24" i="10" s="1"/>
  <c r="D53" i="10"/>
  <c r="H53" i="10" s="1"/>
  <c r="D60" i="10"/>
  <c r="H60" i="10" s="1"/>
  <c r="F44" i="10"/>
  <c r="H21" i="10"/>
  <c r="J21" i="10" s="1"/>
  <c r="G21" i="10"/>
  <c r="K28" i="10"/>
  <c r="F50" i="10"/>
  <c r="F57" i="10" s="1"/>
  <c r="K7" i="10"/>
  <c r="E78" i="10"/>
  <c r="H78" i="10" s="1"/>
  <c r="D25" i="9"/>
  <c r="H25" i="9" s="1"/>
  <c r="D52" i="10"/>
  <c r="H52" i="10" s="1"/>
  <c r="D54" i="10"/>
  <c r="H54" i="10" s="1"/>
  <c r="E50" i="10"/>
  <c r="E57" i="10" s="1"/>
  <c r="D27" i="9"/>
  <c r="H27" i="9" s="1"/>
  <c r="D33" i="9"/>
  <c r="H33" i="9" s="1"/>
  <c r="F23" i="9"/>
  <c r="F30" i="9" s="1"/>
  <c r="K6" i="9"/>
  <c r="E23" i="9"/>
  <c r="G28" i="10" l="1"/>
  <c r="E28" i="10" s="1"/>
  <c r="F28" i="10" s="1"/>
  <c r="H24" i="10"/>
  <c r="J24" i="10" s="1"/>
  <c r="E24" i="10" s="1"/>
  <c r="F24" i="10" s="1"/>
  <c r="G31" i="10"/>
  <c r="H31" i="10"/>
  <c r="J31" i="10" s="1"/>
  <c r="H32" i="10"/>
  <c r="J32" i="10" s="1"/>
  <c r="G32" i="10"/>
  <c r="H25" i="10"/>
  <c r="J25" i="10" s="1"/>
  <c r="G25" i="10"/>
  <c r="G23" i="10"/>
  <c r="E23" i="10" s="1"/>
  <c r="H30" i="10"/>
  <c r="J30" i="10" s="1"/>
  <c r="G30" i="10"/>
  <c r="H22" i="10"/>
  <c r="J22" i="10" s="1"/>
  <c r="G22" i="10"/>
  <c r="K29" i="10"/>
  <c r="G57" i="10"/>
  <c r="E21" i="10"/>
  <c r="F21" i="10" s="1"/>
  <c r="G50" i="10"/>
  <c r="H50" i="10"/>
  <c r="D71" i="10" s="1"/>
  <c r="M21" i="10" s="1"/>
  <c r="M23" i="10" s="1"/>
  <c r="H23" i="9"/>
  <c r="G23" i="9"/>
  <c r="E32" i="10" l="1"/>
  <c r="F32" i="10" s="1"/>
  <c r="E31" i="10"/>
  <c r="F31" i="10" s="1"/>
  <c r="E30" i="10"/>
  <c r="F30" i="10" s="1"/>
  <c r="E25" i="10"/>
  <c r="F25" i="10" s="1"/>
  <c r="H29" i="10"/>
  <c r="G29" i="10"/>
  <c r="G42" i="10" s="1"/>
  <c r="O21" i="10"/>
  <c r="E22" i="10"/>
  <c r="F22" i="10" s="1"/>
  <c r="F23" i="10"/>
  <c r="D44" i="9"/>
  <c r="D59" i="10"/>
  <c r="H62" i="10"/>
  <c r="G30" i="9"/>
  <c r="O23" i="10" l="1"/>
  <c r="J29" i="10"/>
  <c r="E29" i="10" s="1"/>
  <c r="H42" i="10"/>
  <c r="D32" i="9"/>
  <c r="H32" i="9" s="1"/>
  <c r="D73" i="10"/>
  <c r="H73" i="10" s="1"/>
  <c r="D75" i="10"/>
  <c r="H75" i="10" s="1"/>
  <c r="H71" i="10"/>
  <c r="D46" i="9"/>
  <c r="H46" i="9" s="1"/>
  <c r="D48" i="9"/>
  <c r="H48" i="9" s="1"/>
  <c r="H44" i="9"/>
  <c r="J42" i="10" l="1"/>
  <c r="F29" i="10"/>
  <c r="F42" i="10" s="1"/>
  <c r="D34" i="9"/>
  <c r="H34" i="9" s="1"/>
  <c r="D49" i="9" s="1"/>
  <c r="H30" i="9"/>
  <c r="H41" i="9" l="1"/>
  <c r="D45" i="9"/>
  <c r="H49" i="9"/>
  <c r="H45" i="9" l="1"/>
  <c r="D47" i="9"/>
  <c r="H47" i="9" s="1"/>
  <c r="H21" i="9" l="1"/>
  <c r="D61" i="10"/>
  <c r="H61" i="10" s="1"/>
  <c r="H59" i="10"/>
  <c r="H57" i="10" l="1"/>
  <c r="D76" i="10" l="1"/>
  <c r="H76" i="10" s="1"/>
  <c r="D72" i="10" l="1"/>
  <c r="H68" i="10"/>
  <c r="D74" i="10" l="1"/>
  <c r="H74" i="10" s="1"/>
  <c r="M22" i="10"/>
  <c r="H72" i="10"/>
  <c r="O22" i="10" l="1"/>
  <c r="M24" i="10"/>
  <c r="O24" i="10" s="1"/>
  <c r="H48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Giovanni Lombardi</author>
  </authors>
  <commentList>
    <comment ref="G8" authorId="0" shapeId="0" xr:uid="{795FA32D-8254-476E-9711-C9ED6CD38A0E}">
      <text>
        <r>
          <rPr>
            <b/>
            <sz val="9"/>
            <color indexed="81"/>
            <rFont val="Segoe UI"/>
            <family val="2"/>
          </rPr>
          <t>Simulação. Será conhecida no reajuste tarifário.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Giovanni Lombardi</author>
  </authors>
  <commentList>
    <comment ref="G8" authorId="0" shapeId="0" xr:uid="{76C757C2-1B39-467E-85CA-4D467BFE1A2F}">
      <text>
        <r>
          <rPr>
            <b/>
            <sz val="9"/>
            <color indexed="81"/>
            <rFont val="Segoe UI"/>
            <family val="2"/>
          </rPr>
          <t>Simulação. Será conhecida no reajuste tarifário.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Giovanni Lombardi</author>
  </authors>
  <commentList>
    <comment ref="G10" authorId="0" shapeId="0" xr:uid="{1B245773-9D41-4A7C-99B9-002B34911E64}">
      <text>
        <r>
          <rPr>
            <b/>
            <sz val="9"/>
            <color indexed="81"/>
            <rFont val="Segoe UI"/>
            <family val="2"/>
          </rPr>
          <t>Simulação. Será conhecida no reajuste tarifário.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Giovanni Lombardi</author>
  </authors>
  <commentList>
    <comment ref="G8" authorId="0" shapeId="0" xr:uid="{BF9E29DA-E0A3-4586-9390-87359770A9E3}">
      <text>
        <r>
          <rPr>
            <b/>
            <sz val="9"/>
            <color indexed="81"/>
            <rFont val="Segoe UI"/>
            <family val="2"/>
          </rPr>
          <t>Simulação. Será conhecida no reajuste tarifário.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Ivan Moises Stasieniuk Cavalcante</author>
  </authors>
  <commentList>
    <comment ref="J105" authorId="0" shapeId="0" xr:uid="{51892E4D-2C33-488B-AC0F-FB22C4BCE39B}">
      <text>
        <r>
          <rPr>
            <b/>
            <sz val="9"/>
            <color indexed="81"/>
            <rFont val="Segoe UI"/>
            <family val="2"/>
          </rPr>
          <t xml:space="preserve">NÃO APAGAR!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Ivan Moises Stasieniuk Cavalcante</author>
  </authors>
  <commentList>
    <comment ref="J59" authorId="0" shapeId="0" xr:uid="{5833BD61-8418-422B-A46D-1A1750FD1BBC}">
      <text>
        <r>
          <rPr>
            <b/>
            <sz val="9"/>
            <color indexed="81"/>
            <rFont val="Segoe UI"/>
            <family val="2"/>
          </rPr>
          <t xml:space="preserve">NÃO APAGAR!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Giovanni Lombardi</author>
  </authors>
  <commentList>
    <comment ref="F49" authorId="0" shapeId="0" xr:uid="{F0B1127D-D478-47E9-8AFC-92039EBA4367}">
      <text>
        <r>
          <rPr>
            <b/>
            <sz val="9"/>
            <color indexed="81"/>
            <rFont val="Segoe UI"/>
            <family val="2"/>
          </rPr>
          <t>TE SCEE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Giovanni Lombardi</author>
  </authors>
  <commentList>
    <comment ref="F50" authorId="0" shapeId="0" xr:uid="{01B7E631-6928-422F-9797-07EF43EAB42E}">
      <text>
        <r>
          <rPr>
            <b/>
            <sz val="9"/>
            <color indexed="81"/>
            <rFont val="Segoe UI"/>
            <family val="2"/>
          </rPr>
          <t>TE SCEE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Giovanni Lombardi</author>
  </authors>
  <commentList>
    <comment ref="F63" authorId="0" shapeId="0" xr:uid="{75A84DE0-2469-44D9-A8A8-12B4BAC03D18}">
      <text>
        <r>
          <rPr>
            <b/>
            <sz val="9"/>
            <color indexed="81"/>
            <rFont val="Segoe UI"/>
            <family val="2"/>
          </rPr>
          <t>TE SCEE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66" authorId="0" shapeId="0" xr:uid="{3AA851A0-3757-427D-8CEB-7B914192BCD1}">
      <text>
        <r>
          <rPr>
            <b/>
            <sz val="9"/>
            <color indexed="81"/>
            <rFont val="Segoe UI"/>
            <family val="2"/>
          </rPr>
          <t>TE SCEE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<sst xmlns="http://schemas.openxmlformats.org/spreadsheetml/2006/main" count="2941" uniqueCount="413">
  <si>
    <t>Regra do custo de disponibilidade</t>
  </si>
  <si>
    <t>Consumo =</t>
  </si>
  <si>
    <t>kWh</t>
  </si>
  <si>
    <t>Energia Injetada =</t>
  </si>
  <si>
    <t>TUSD =</t>
  </si>
  <si>
    <t>TE =</t>
  </si>
  <si>
    <t>R$/kWh</t>
  </si>
  <si>
    <t>R$</t>
  </si>
  <si>
    <t xml:space="preserve"> </t>
  </si>
  <si>
    <t>TE</t>
  </si>
  <si>
    <t>TUSD</t>
  </si>
  <si>
    <t>ICMS</t>
  </si>
  <si>
    <t>Bandeira</t>
  </si>
  <si>
    <t>VERDE</t>
  </si>
  <si>
    <t>BAM</t>
  </si>
  <si>
    <t>BVM1</t>
  </si>
  <si>
    <t>BVM2</t>
  </si>
  <si>
    <t>Escassez Hídrica</t>
  </si>
  <si>
    <t>Adicional de Bandeira Amarela</t>
  </si>
  <si>
    <t>Adicional de bandeira Vermelha 2</t>
  </si>
  <si>
    <t>Adicional de bandeira Vermelha 1</t>
  </si>
  <si>
    <t>Leitura Anterior</t>
  </si>
  <si>
    <t>Nº de dias tarifa Anterior</t>
  </si>
  <si>
    <t>Nº de dias tarifa Nova</t>
  </si>
  <si>
    <t>Leitura Atual</t>
  </si>
  <si>
    <t>Vigência das Tarifas (troca Bandeira):</t>
  </si>
  <si>
    <t>Altere a bandeira na célula abaixo</t>
  </si>
  <si>
    <t>B1 Res</t>
  </si>
  <si>
    <t>Vigência das Tarifas:</t>
  </si>
  <si>
    <t>ANEEL em 29/06</t>
  </si>
  <si>
    <t>TUSD FIO B</t>
  </si>
  <si>
    <t>TARIFA</t>
  </si>
  <si>
    <t>Tarifas Proporcionalizadas</t>
  </si>
  <si>
    <t>Tusd</t>
  </si>
  <si>
    <t>TUSD + TE</t>
  </si>
  <si>
    <t>Tusd (R$/kWh)</t>
  </si>
  <si>
    <t>B1</t>
  </si>
  <si>
    <t>Fatura</t>
  </si>
  <si>
    <t>INSTALAÇÃO</t>
  </si>
  <si>
    <t>Fatura B1 Residencial</t>
  </si>
  <si>
    <t>Qtde</t>
  </si>
  <si>
    <t>Fornecimento de Energia Elétrica</t>
  </si>
  <si>
    <t>Energia Fornecida</t>
  </si>
  <si>
    <t xml:space="preserve">Adicional BAM </t>
  </si>
  <si>
    <t>Adicional BVM 1</t>
  </si>
  <si>
    <t>Adicional BVM 2</t>
  </si>
  <si>
    <t>Adicional Escassez Hídrica</t>
  </si>
  <si>
    <t>Energia Injetada</t>
  </si>
  <si>
    <t>Base de Cálculo</t>
  </si>
  <si>
    <t xml:space="preserve">PIS </t>
  </si>
  <si>
    <t>PIS Eneg Inj</t>
  </si>
  <si>
    <t>COFINS</t>
  </si>
  <si>
    <t>COFINS Eneg Inj</t>
  </si>
  <si>
    <t>ICMS Eneg Inj</t>
  </si>
  <si>
    <t>Custo de disponibilidade</t>
  </si>
  <si>
    <t>Perc. de Redução da Energia Injetada</t>
  </si>
  <si>
    <t>bandeira proporcional</t>
  </si>
  <si>
    <t>TE SCEE</t>
  </si>
  <si>
    <t>TARIFA ANTIGA - REH 3091/2022</t>
  </si>
  <si>
    <t>TARIFA NOVA - REH XXXX/2023</t>
  </si>
  <si>
    <t>monofásico</t>
  </si>
  <si>
    <t>bifásico</t>
  </si>
  <si>
    <t>trifásico</t>
  </si>
  <si>
    <t>Cliente</t>
  </si>
  <si>
    <t>GDI</t>
  </si>
  <si>
    <t>GDII</t>
  </si>
  <si>
    <t>B3</t>
  </si>
  <si>
    <t>B2</t>
  </si>
  <si>
    <t>desconto:</t>
  </si>
  <si>
    <t>Energia Fornecida reservado</t>
  </si>
  <si>
    <t>Desconto reservado</t>
  </si>
  <si>
    <t>Adicional BAM PT Reservado</t>
  </si>
  <si>
    <t>Adicional BVM 1 PT Reservado</t>
  </si>
  <si>
    <t>Adicional BVM 2 PT Reservado</t>
  </si>
  <si>
    <t>Adicional Esc. Hídrica Reserv</t>
  </si>
  <si>
    <t>Desc Adicional BAM</t>
  </si>
  <si>
    <t xml:space="preserve">Desc Adicional BVM 1 </t>
  </si>
  <si>
    <t>Desc Adicional BVM 2</t>
  </si>
  <si>
    <t>Desc Adicional Escassez Hídrica</t>
  </si>
  <si>
    <t>Energia Injetada reservado</t>
  </si>
  <si>
    <t>Desconto Injetado reservado</t>
  </si>
  <si>
    <t>Adicional BAM Injet</t>
  </si>
  <si>
    <t>Adicional BVM 1 Injet</t>
  </si>
  <si>
    <t>Adicional BVM 2 Injet</t>
  </si>
  <si>
    <t>Adicional BAM PT Reservado Injet</t>
  </si>
  <si>
    <t>Adicional BVM 1 PT Reservado Injet</t>
  </si>
  <si>
    <t>Adicional BVM 2 PT Reservado Injet</t>
  </si>
  <si>
    <t>Desc Adicional BAM Injet</t>
  </si>
  <si>
    <t>Desc Adicional BVM 1 Injet</t>
  </si>
  <si>
    <t>Desc Adicional BVM 2 Injet</t>
  </si>
  <si>
    <t>Se for base reduzida: (célula E43 = 12%)</t>
  </si>
  <si>
    <t>Com tributos</t>
  </si>
  <si>
    <t>PIS</t>
  </si>
  <si>
    <t>x</t>
  </si>
  <si>
    <t>Rural c/ incrição</t>
  </si>
  <si>
    <t>Injetada</t>
  </si>
  <si>
    <t>A4 Verde</t>
  </si>
  <si>
    <t>MMGD</t>
  </si>
  <si>
    <t>OK</t>
  </si>
  <si>
    <t>Tusd (R$/kW)</t>
  </si>
  <si>
    <t>TE (R$/kWh)</t>
  </si>
  <si>
    <t>A4 Verde P</t>
  </si>
  <si>
    <t>A4 Verde FP</t>
  </si>
  <si>
    <t>Fatura A4 Verde - MMGD</t>
  </si>
  <si>
    <t xml:space="preserve">Documento impressão: </t>
  </si>
  <si>
    <t>TUSD Fio B</t>
  </si>
  <si>
    <t>Receita Fio B</t>
  </si>
  <si>
    <t>Consumo Ponta</t>
  </si>
  <si>
    <t>Consumo Fora Ponta</t>
  </si>
  <si>
    <t>Adicional BAM</t>
  </si>
  <si>
    <t>Adic. Escassez Hídrica</t>
  </si>
  <si>
    <t>Energ Injetada Ponta</t>
  </si>
  <si>
    <t>Energ Injetada Fora Ponta</t>
  </si>
  <si>
    <t>EUSD B</t>
  </si>
  <si>
    <t>Demanda</t>
  </si>
  <si>
    <t>Demanda não utilizada</t>
  </si>
  <si>
    <t>Ultrap Demanda</t>
  </si>
  <si>
    <t>ERE</t>
  </si>
  <si>
    <t>DRE</t>
  </si>
  <si>
    <t>PIS Injetado</t>
  </si>
  <si>
    <t>PIS não utilizada</t>
  </si>
  <si>
    <t>COFINS Injetado</t>
  </si>
  <si>
    <t>COFINS não utilizada</t>
  </si>
  <si>
    <t>ICMS Injetado TE</t>
  </si>
  <si>
    <t>A4 AZUL</t>
  </si>
  <si>
    <t>A4 Azul P</t>
  </si>
  <si>
    <t>A4 Azul FP</t>
  </si>
  <si>
    <t>Fatura A4 Azul - MMGD</t>
  </si>
  <si>
    <t>Demanda Ponta</t>
  </si>
  <si>
    <t>Demanda Fora Ponta</t>
  </si>
  <si>
    <t>Demanda não utilizada P</t>
  </si>
  <si>
    <t>Demanda não utilizada FP</t>
  </si>
  <si>
    <t>Ultrap Demanda P</t>
  </si>
  <si>
    <t>Ultrap Demanda FP</t>
  </si>
  <si>
    <t>Fornecida</t>
  </si>
  <si>
    <t>Fatura B2 Irrig</t>
  </si>
  <si>
    <t>Fatura B2</t>
  </si>
  <si>
    <t>Fatura B1 Baixa Renda</t>
  </si>
  <si>
    <t>TE SCEE P</t>
  </si>
  <si>
    <t>TE SCEE FP</t>
  </si>
  <si>
    <t>Energia Comp. P SCEE</t>
  </si>
  <si>
    <t>Energia Comp. FP SCEE</t>
  </si>
  <si>
    <t>Des Energ. Comp. P SCEE</t>
  </si>
  <si>
    <t>Des Energ. Comp. FP SCEE</t>
  </si>
  <si>
    <t>TUSD P</t>
  </si>
  <si>
    <t>TE P</t>
  </si>
  <si>
    <t>TUSD FP</t>
  </si>
  <si>
    <t>TE FP</t>
  </si>
  <si>
    <t>Energia Fornecida 0 - 30</t>
  </si>
  <si>
    <t>Energia Fornecida 31 - 100</t>
  </si>
  <si>
    <t>Energia Fornecida &gt; 220</t>
  </si>
  <si>
    <t>Energia Fornecida 101 - 220</t>
  </si>
  <si>
    <t>TARIFA 
R$ kWh</t>
  </si>
  <si>
    <t>Baixa renda</t>
  </si>
  <si>
    <t>B1 Baixa renda</t>
  </si>
  <si>
    <t>Consumo - Adicional de Bandeira</t>
  </si>
  <si>
    <t>Consumo</t>
  </si>
  <si>
    <t xml:space="preserve">Tarifas </t>
  </si>
  <si>
    <t>Receita</t>
  </si>
  <si>
    <t>Receita Total</t>
  </si>
  <si>
    <t>KWh</t>
  </si>
  <si>
    <t>Tusd+TE</t>
  </si>
  <si>
    <t>TOTAL</t>
  </si>
  <si>
    <t>Energia Inejtada 0 - 30</t>
  </si>
  <si>
    <t>Energia Injetada 31 - 100</t>
  </si>
  <si>
    <t>Energia Injetada 101 - 220</t>
  </si>
  <si>
    <t>Energia Injetada &gt; 220</t>
  </si>
  <si>
    <t>Benefício Tarifa Social</t>
  </si>
  <si>
    <t>(mensagem na fatura)</t>
  </si>
  <si>
    <t>TUSD          X</t>
  </si>
  <si>
    <t xml:space="preserve">TE           </t>
  </si>
  <si>
    <t>B1 Baixa Renda</t>
  </si>
  <si>
    <t>sem considerar as bandeiras</t>
  </si>
  <si>
    <t>considerando as bandeiras no cálculo dos tributos</t>
  </si>
  <si>
    <t>Energia Injetada - Adicional de Bandeira</t>
  </si>
  <si>
    <t>Energia Compensada SCEE  0 - 30</t>
  </si>
  <si>
    <t>Energia Compensada SCEE  31 - 100</t>
  </si>
  <si>
    <t>Energia Compensada SCEE 101 - 220</t>
  </si>
  <si>
    <t>Energia Compensada SCEE &gt; 220</t>
  </si>
  <si>
    <t>Des Energ. Comp. SCEE 0 - 30</t>
  </si>
  <si>
    <t>Des Energ. Comp. SCEE 31 - 100</t>
  </si>
  <si>
    <t>Des Energ. Comp. SCEE 101 - 220</t>
  </si>
  <si>
    <t>Des Energ. Comp. SCEE &gt; 220</t>
  </si>
  <si>
    <t>ICMS Desc Tarifa Social</t>
  </si>
  <si>
    <t>Consumo 0 - 30</t>
  </si>
  <si>
    <t>Consumo 31 - 100</t>
  </si>
  <si>
    <t>Consumo 101 - 220</t>
  </si>
  <si>
    <t>Consumo &gt; 220</t>
  </si>
  <si>
    <t>Baixa Renda</t>
  </si>
  <si>
    <t>Bx Renda Consumo</t>
  </si>
  <si>
    <t>Bx Renda Injetada</t>
  </si>
  <si>
    <t>Memória benefício Tarifa Social</t>
  </si>
  <si>
    <t>Com tributos e bandeiras (base ICMS)</t>
  </si>
  <si>
    <t>Informativo Escassez Hídrica</t>
  </si>
  <si>
    <t>CUSTO</t>
  </si>
  <si>
    <t>Part. TUSD (%)</t>
  </si>
  <si>
    <t>Part. TE (%)</t>
  </si>
  <si>
    <t>CDE CONTAS</t>
  </si>
  <si>
    <t>CDE COVID</t>
  </si>
  <si>
    <t>CDE ESCASSEZ HÍDRICA</t>
  </si>
  <si>
    <t>CDE Escassez Hídrica</t>
  </si>
  <si>
    <t>0 - 30</t>
  </si>
  <si>
    <t>31- 100</t>
  </si>
  <si>
    <t>101 - 220</t>
  </si>
  <si>
    <t>&gt;220</t>
  </si>
  <si>
    <t>prop</t>
  </si>
  <si>
    <t>Adicional BAM Inj</t>
  </si>
  <si>
    <t>Descrição</t>
  </si>
  <si>
    <t>Unidade</t>
  </si>
  <si>
    <t>Quantidade</t>
  </si>
  <si>
    <t>Preço Unit (R$)
com tributos</t>
  </si>
  <si>
    <t>Valor Total (R$)</t>
  </si>
  <si>
    <t>PIS/COFINS
(R$)</t>
  </si>
  <si>
    <t>Base de Cálculo ICMS
(R$)</t>
  </si>
  <si>
    <t>Alíquota ICMS
(%)</t>
  </si>
  <si>
    <t>ICMS
(R$)</t>
  </si>
  <si>
    <t>Preço Unit (R$)</t>
  </si>
  <si>
    <t>Tributos</t>
  </si>
  <si>
    <t>Base de Cálc
(R$)</t>
  </si>
  <si>
    <t>Alíquota
(%)</t>
  </si>
  <si>
    <t>Valor
(R$)</t>
  </si>
  <si>
    <t>TUSD - Consumo</t>
  </si>
  <si>
    <t>TE - Consumo</t>
  </si>
  <si>
    <t>Juros</t>
  </si>
  <si>
    <t>Multas</t>
  </si>
  <si>
    <t>CIP</t>
  </si>
  <si>
    <t>Informativo Escassez</t>
  </si>
  <si>
    <t>TUSD - Consumo inj</t>
  </si>
  <si>
    <t>TE - Consumo inj</t>
  </si>
  <si>
    <t>Adicional BAM inj</t>
  </si>
  <si>
    <t>PIS Inj</t>
  </si>
  <si>
    <t>COFINS Inj</t>
  </si>
  <si>
    <t>TUSD - Consumo Reservado</t>
  </si>
  <si>
    <t>TE - Consumo Reservado</t>
  </si>
  <si>
    <t>TUSD - Consumo inj Reservado</t>
  </si>
  <si>
    <t>TE - Consumo inj Reservado</t>
  </si>
  <si>
    <t>Doc Impr</t>
  </si>
  <si>
    <t>CONSUMO</t>
  </si>
  <si>
    <t>Desconto Bx renda</t>
  </si>
  <si>
    <t>Valor Bx Renda</t>
  </si>
  <si>
    <t>Tarifa reservada bandeira com desconto</t>
  </si>
  <si>
    <t>Base de cálculo reduzida     =</t>
  </si>
  <si>
    <t>Importe</t>
  </si>
  <si>
    <t>12% x 4%</t>
  </si>
  <si>
    <t>Não está considerando bandeira no cálculo do ICMS</t>
  </si>
  <si>
    <t xml:space="preserve">Adicional BVM1 </t>
  </si>
  <si>
    <t>Adicional BVM2</t>
  </si>
  <si>
    <t>Doações</t>
  </si>
  <si>
    <t>Adicional BVM1 inj</t>
  </si>
  <si>
    <t>Adicional BVM2 inj</t>
  </si>
  <si>
    <t>Adicional EH inj</t>
  </si>
  <si>
    <t>Adicional EH</t>
  </si>
  <si>
    <t xml:space="preserve">Adicional BVM2 </t>
  </si>
  <si>
    <t xml:space="preserve">Adicional EH </t>
  </si>
  <si>
    <t>INJEÇÃO</t>
  </si>
  <si>
    <t>DIFERENÇA</t>
  </si>
  <si>
    <t>COMPENSAÇÃO</t>
  </si>
  <si>
    <t>TUSD - EAF 0 a 30</t>
  </si>
  <si>
    <t>TUSD - EAF 31 a 100</t>
  </si>
  <si>
    <t>TUSD - EAF 101 a 220</t>
  </si>
  <si>
    <t>TUSD - EAF &gt; 220</t>
  </si>
  <si>
    <t>TUSD - EAFdc 0 a 30</t>
  </si>
  <si>
    <t>TUSD - EAFdc 31 a 100</t>
  </si>
  <si>
    <t>TUSD - EAFdc 101 a 220</t>
  </si>
  <si>
    <t>TUSD - EAFdc &gt; 220</t>
  </si>
  <si>
    <t>TE - EAF 0 a 30</t>
  </si>
  <si>
    <t>TE - EAF 31 a 100</t>
  </si>
  <si>
    <t>TE - EAF 101 a 220</t>
  </si>
  <si>
    <t>TE - EAF &gt; 220</t>
  </si>
  <si>
    <t>TE - EAFdc 0 a 30</t>
  </si>
  <si>
    <t>TE - EAFdc 31 a 100</t>
  </si>
  <si>
    <t>TE - EAFdc 101 a 220</t>
  </si>
  <si>
    <t>TE - EAFdc &gt; 220</t>
  </si>
  <si>
    <t>TUSD - EAF Inj</t>
  </si>
  <si>
    <t>TE - EAF Inj</t>
  </si>
  <si>
    <t>Adicional BVM1 Inj</t>
  </si>
  <si>
    <t>Adicional BVM2 Inj</t>
  </si>
  <si>
    <t>Adicional EH Inj</t>
  </si>
  <si>
    <t>EH</t>
  </si>
  <si>
    <t>Consumo - TOTAL</t>
  </si>
  <si>
    <t>Documento Impressão</t>
  </si>
  <si>
    <t>Se for base reduzida: (célula I18 = 12%)</t>
  </si>
  <si>
    <t>TABELA  1 – TARIFAS DE APLICAÇÃO E BASE ECONÔMICA PARA O GRUPO A.</t>
  </si>
  <si>
    <t>SUBGRUPO</t>
  </si>
  <si>
    <t>MODALIDADE</t>
  </si>
  <si>
    <t>UC</t>
  </si>
  <si>
    <t>POSTO</t>
  </si>
  <si>
    <t>TARIFAS DE APLICAÇÃO</t>
  </si>
  <si>
    <t>BASE ECONÔMICA</t>
  </si>
  <si>
    <t>Reajuste</t>
  </si>
  <si>
    <t>Dia</t>
  </si>
  <si>
    <t>Mês</t>
  </si>
  <si>
    <t>Ano</t>
  </si>
  <si>
    <t xml:space="preserve">TE </t>
  </si>
  <si>
    <t>De</t>
  </si>
  <si>
    <t>07</t>
  </si>
  <si>
    <t>08</t>
  </si>
  <si>
    <t>R$/kW</t>
  </si>
  <si>
    <t>R$/MWh</t>
  </si>
  <si>
    <t>BVD – R$/MWh</t>
  </si>
  <si>
    <t>BAM – R$/MWh</t>
  </si>
  <si>
    <t>BVM – R$/MWh</t>
  </si>
  <si>
    <t>Até</t>
  </si>
  <si>
    <t>31</t>
  </si>
  <si>
    <t>12</t>
  </si>
  <si>
    <t>AZUL</t>
  </si>
  <si>
    <t>NA</t>
  </si>
  <si>
    <t>P</t>
  </si>
  <si>
    <t>A1 (230 kV ou mais)</t>
  </si>
  <si>
    <t>FP</t>
  </si>
  <si>
    <t>AZUL APE</t>
  </si>
  <si>
    <t>A2 (88 a 138kV)</t>
  </si>
  <si>
    <t>DISTRIBUIÇÃO</t>
  </si>
  <si>
    <t>ELFSM</t>
  </si>
  <si>
    <t>GERAÇÃO</t>
  </si>
  <si>
    <t>UTE LASA</t>
  </si>
  <si>
    <t>UTE ALCON</t>
  </si>
  <si>
    <t>UTE SOL</t>
  </si>
  <si>
    <t>UHE MASCARENHAS - ENERGEST</t>
  </si>
  <si>
    <t>UHE SUICA</t>
  </si>
  <si>
    <t>PCH SAO JOAQUIM</t>
  </si>
  <si>
    <t>PCH SAO SIMAO</t>
  </si>
  <si>
    <t>PCH FRANCISCO GROSS</t>
  </si>
  <si>
    <t>PCH SAO PEDRO</t>
  </si>
  <si>
    <t>UTE LINHARES</t>
  </si>
  <si>
    <t>UTE POVOACAO 1</t>
  </si>
  <si>
    <t>UTE ARCEL</t>
  </si>
  <si>
    <t>UTE BIANCOGRES</t>
  </si>
  <si>
    <t>NOVO GERADOR</t>
  </si>
  <si>
    <t>A3 (69kV)</t>
  </si>
  <si>
    <t>A3a (30 a 44kV)</t>
  </si>
  <si>
    <t>VERDE APE</t>
  </si>
  <si>
    <t>CONVENCIONAL</t>
  </si>
  <si>
    <t>A4 (2,3 a 25kV)</t>
  </si>
  <si>
    <t>COELBA</t>
  </si>
  <si>
    <t>TABELA 2 – TARIFAS DE APLICAÇÃO E BASE ECONÔMICA PARA O GRUPO B.</t>
  </si>
  <si>
    <t>CLASSE</t>
  </si>
  <si>
    <t>SUBCLASSE</t>
  </si>
  <si>
    <t>TARIFAS BASE ECONÔMICA</t>
  </si>
  <si>
    <t>BRANCA</t>
  </si>
  <si>
    <t>RESIDENCIAL</t>
  </si>
  <si>
    <t>INT</t>
  </si>
  <si>
    <r>
      <t>BAIXA RENDA</t>
    </r>
    <r>
      <rPr>
        <vertAlign val="superscript"/>
        <sz val="8"/>
        <color theme="1"/>
        <rFont val="Times New Roman"/>
        <family val="1"/>
      </rPr>
      <t>(1)</t>
    </r>
  </si>
  <si>
    <t>RURAL</t>
  </si>
  <si>
    <t>COOPERATIVA DE ELETRIFICAÇÃO RURAL</t>
  </si>
  <si>
    <t>SERVIÇO PÚBLICO DE IRRIGAÇÃO RURAL</t>
  </si>
  <si>
    <t>B4</t>
  </si>
  <si>
    <t>ILUMINAÇÃO PÚBLICA</t>
  </si>
  <si>
    <t>B4a – REDE DE DISTRIBUIÇÃO</t>
  </si>
  <si>
    <t>B4b – BULBO DE LÂMPADA</t>
  </si>
  <si>
    <t>Bônus/Descontos</t>
  </si>
  <si>
    <t>Adicional BVM1</t>
  </si>
  <si>
    <t xml:space="preserve">Bx Ren </t>
  </si>
  <si>
    <t>Consumo Bx Renda</t>
  </si>
  <si>
    <t>Consumo B1</t>
  </si>
  <si>
    <t>Consumo Bx Renda Dif</t>
  </si>
  <si>
    <t>Consumo BR Dif</t>
  </si>
  <si>
    <t>Consumo BR Normal</t>
  </si>
  <si>
    <t>Teste</t>
  </si>
  <si>
    <t>Energia Injetada BX Ren</t>
  </si>
  <si>
    <t>Consumo Bx Ren</t>
  </si>
  <si>
    <t>Energia Injetada Normal</t>
  </si>
  <si>
    <t>0 - 80</t>
  </si>
  <si>
    <t>&gt;80</t>
  </si>
  <si>
    <t>TUSD - EAF 0 a 80</t>
  </si>
  <si>
    <t>TUSD - EAF &gt; 80</t>
  </si>
  <si>
    <t>TE - EAF 0 a 80</t>
  </si>
  <si>
    <t>TE - EAF &gt; 80</t>
  </si>
  <si>
    <t>Consumo &gt; 80</t>
  </si>
  <si>
    <t>Consumo &lt;80</t>
  </si>
  <si>
    <t xml:space="preserve">Energia Injetada </t>
  </si>
  <si>
    <t>Consumo BR</t>
  </si>
  <si>
    <t>TUSD - Ativo</t>
  </si>
  <si>
    <t>06</t>
  </si>
  <si>
    <t xml:space="preserve">CLASSE </t>
  </si>
  <si>
    <t>PRÉ-PAGAMENTO</t>
  </si>
  <si>
    <t>BAIXA RENDA</t>
  </si>
  <si>
    <t>NÃO SE APLICA</t>
  </si>
  <si>
    <t>ILUMINAÇÃO PÚBLICA – B4A</t>
  </si>
  <si>
    <t>ILUMINAÇÃO PÚBLICA – B4B</t>
  </si>
  <si>
    <t>B</t>
  </si>
  <si>
    <t>TIPO 01</t>
  </si>
  <si>
    <t>TIPO 02</t>
  </si>
  <si>
    <t>NOVO</t>
  </si>
  <si>
    <t>ANTIGO</t>
  </si>
  <si>
    <t>PROPORCIONAL</t>
  </si>
  <si>
    <t>RESIDENCIAL DESCONTO SOCIAL</t>
  </si>
  <si>
    <t>DESCONTO SOCIAL</t>
  </si>
  <si>
    <t>TUSD FIO B (RTP 2025)</t>
  </si>
  <si>
    <t>TUSD FIO B (RTA 2026)</t>
  </si>
  <si>
    <t>TARIFA NOVA - REH xxxx/2026</t>
  </si>
  <si>
    <t>TARIFA ANTIGA - REH 3508/2025</t>
  </si>
  <si>
    <t>não está considerando energia injetada</t>
  </si>
  <si>
    <t>ERRO EM  PRD QUANDO O CONSUMO É ABAIXO DO MÍNIMO NA UTILIZAÇÃO DA INJETADA</t>
  </si>
  <si>
    <t>NÃO ESTÁ CONSIDERANDO O DESCONTO DO RESERVADO DA CONSUMIDA</t>
  </si>
  <si>
    <t>B1CDE</t>
  </si>
  <si>
    <t>CDE Escassez Hídrica até 120 kWh</t>
  </si>
  <si>
    <t>CDE Escassez Hídrica acima 120 kWh</t>
  </si>
  <si>
    <t>TUSD - Consumo até 120 KWh</t>
  </si>
  <si>
    <t>TUSD - Consumo acima 120 KWh</t>
  </si>
  <si>
    <t>TUSD - Consumo inj até 120kwh</t>
  </si>
  <si>
    <t>TUSD - Consumo inj acima 120kwh</t>
  </si>
  <si>
    <t>TE - Consumo até 120 KWh</t>
  </si>
  <si>
    <t>TE - Consumo acima 120 KWh</t>
  </si>
  <si>
    <t>TE - Consumo inj até 120kwh</t>
  </si>
  <si>
    <t>TE - Consumo inj acima 120kwh</t>
  </si>
  <si>
    <t>não está correto no sistema, está com quantidades superiores e tributando</t>
  </si>
  <si>
    <t>Desconto Rural Irrigante</t>
  </si>
  <si>
    <t>TUSD - Consumo inj 11/2025</t>
  </si>
  <si>
    <t>TE - Consumo inj 11/2025</t>
  </si>
  <si>
    <t>Verifivar base do PIS e COFINS</t>
  </si>
  <si>
    <t>Consumo até 120 KWh</t>
  </si>
  <si>
    <t>Consumo acima 120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</si>
</sst>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.00_ ;[Red]\-#,##0.00\ "/>
    <numFmt numFmtId="165" formatCode="0.00000"/>
    <numFmt numFmtId="166" formatCode="0.000000"/>
    <numFmt numFmtId="167" formatCode="_(* #,##0.00_);_(* \(#,##0.00\);_(* &quot;-&quot;??_);_(@_)"/>
    <numFmt numFmtId="168" formatCode="0.00000000"/>
    <numFmt numFmtId="169" formatCode="0.0000000"/>
    <numFmt numFmtId="170" formatCode="0.00_ ;[Red]\-0.00\ "/>
    <numFmt numFmtId="171" formatCode="#,##0.00_ ;\-#,##0.00\ "/>
    <numFmt numFmtId="172" formatCode="#,##0.0_ ;[Red]\-#,##0.0\ "/>
    <numFmt numFmtId="173" formatCode="_(* #,##0.0_);_(* \(#,##0.0\);_(* &quot;-&quot;??_);_(@_)"/>
    <numFmt numFmtId="174" formatCode="_-* #,##0.0000000_-;\-* #,##0.0000000_-;_-* &quot;-&quot;???????_-;_-@_-"/>
    <numFmt numFmtId="175" formatCode="0.000"/>
    <numFmt numFmtId="176" formatCode="_-* #,##0.00000_-;\-* #,##0.00000_-;_-* &quot;-&quot;??_-;_-@_-"/>
    <numFmt numFmtId="177" formatCode="_(&quot;R$ &quot;* #,##0.00_);_(&quot;R$ &quot;* \(#,##0.00\);_(&quot;R$ &quot;* &quot;-&quot;??_);_(@_)"/>
    <numFmt numFmtId="178" formatCode="_-* #,##0.00000000_-;\-* #,##0.00000000_-;_-* &quot;-&quot;????????_-;_-@_-"/>
    <numFmt numFmtId="179" formatCode="_(* #,##0.0000_);_(* \(#,##0.0000\);_(* &quot;-&quot;??_);_(@_)"/>
    <numFmt numFmtId="180" formatCode="_-* #,##0.0000_-;\-* #,##0.0000_-;_-* &quot;-&quot;??_-;_-@_-"/>
    <numFmt numFmtId="181" formatCode="#,##0.00000000_ ;\-#,##0.00000000\ "/>
    <numFmt numFmtId="182" formatCode="0.0000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00000"/>
      <name val="Calibri"/>
      <family val="2"/>
      <scheme val="minor"/>
    </font>
    <font>
      <sz val="9"/>
      <color indexed="81"/>
      <name val="Segoe UI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rgb="FF0000FF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entury Gothic"/>
      <family val="2"/>
    </font>
    <font>
      <b/>
      <sz val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9"/>
      <color indexed="81"/>
      <name val="Segoe UI"/>
      <family val="2"/>
    </font>
    <font>
      <sz val="11"/>
      <color theme="4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sz val="12"/>
      <color rgb="FF0000FF"/>
      <name val="Calibri"/>
      <family val="2"/>
      <scheme val="minor"/>
    </font>
    <font>
      <b/>
      <sz val="10"/>
      <color theme="1"/>
      <name val="Times New Roman"/>
      <family val="1"/>
    </font>
    <font>
      <sz val="8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8"/>
      <name val="Times New Roman"/>
      <family val="1"/>
    </font>
    <font>
      <sz val="8"/>
      <name val="Times New Roman"/>
      <family val="1"/>
    </font>
    <font>
      <sz val="8"/>
      <color theme="1"/>
      <name val="Times New Roman"/>
      <family val="1"/>
    </font>
    <font>
      <sz val="9"/>
      <color theme="1"/>
      <name val="Calibri"/>
      <family val="2"/>
    </font>
    <font>
      <b/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b/>
      <sz val="8"/>
      <color theme="1"/>
      <name val="Calibri"/>
      <family val="2"/>
      <scheme val="minor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  <font>
      <b/>
      <sz val="10"/>
      <color rgb="FFFF0000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D1EB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4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indexed="64"/>
      </bottom>
      <diagonal/>
    </border>
    <border>
      <left/>
      <right style="thin">
        <color theme="0" tint="-0.34998626667073579"/>
      </right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167" fontId="1" fillId="0" borderId="0" applyFont="0" applyFill="0" applyBorder="0" applyAlignment="0" applyProtection="0"/>
    <xf numFmtId="0" fontId="36" fillId="0" borderId="0"/>
    <xf numFmtId="43" fontId="1" fillId="0" borderId="0" applyFont="0" applyFill="0" applyBorder="0" applyAlignment="0" applyProtection="0"/>
    <xf numFmtId="37" fontId="36" fillId="0" borderId="0"/>
    <xf numFmtId="44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2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165" fontId="9" fillId="5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165" fontId="9" fillId="6" borderId="4" xfId="0" applyNumberFormat="1" applyFont="1" applyFill="1" applyBorder="1" applyAlignment="1">
      <alignment horizontal="center" vertical="center"/>
    </xf>
    <xf numFmtId="165" fontId="9" fillId="7" borderId="4" xfId="0" applyNumberFormat="1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 wrapText="1"/>
    </xf>
    <xf numFmtId="14" fontId="11" fillId="9" borderId="1" xfId="0" applyNumberFormat="1" applyFont="1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right" vertical="center"/>
    </xf>
    <xf numFmtId="14" fontId="12" fillId="10" borderId="1" xfId="0" applyNumberFormat="1" applyFont="1" applyFill="1" applyBorder="1" applyAlignment="1">
      <alignment horizontal="center" vertical="center"/>
    </xf>
    <xf numFmtId="14" fontId="14" fillId="4" borderId="1" xfId="0" applyNumberFormat="1" applyFont="1" applyFill="1" applyBorder="1" applyAlignment="1">
      <alignment horizontal="center" vertical="center"/>
    </xf>
    <xf numFmtId="3" fontId="14" fillId="4" borderId="1" xfId="0" applyNumberFormat="1" applyFont="1" applyFill="1" applyBorder="1" applyAlignment="1">
      <alignment horizontal="center" vertical="center"/>
    </xf>
    <xf numFmtId="0" fontId="15" fillId="4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18" fillId="10" borderId="1" xfId="3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/>
    </xf>
    <xf numFmtId="166" fontId="6" fillId="0" borderId="1" xfId="3" applyNumberFormat="1" applyFont="1" applyBorder="1" applyAlignment="1">
      <alignment horizontal="center" vertical="center"/>
    </xf>
    <xf numFmtId="166" fontId="6" fillId="0" borderId="1" xfId="3" applyNumberFormat="1" applyFont="1" applyBorder="1" applyAlignment="1">
      <alignment vertical="center"/>
    </xf>
    <xf numFmtId="166" fontId="6" fillId="2" borderId="1" xfId="3" applyNumberFormat="1" applyFont="1" applyFill="1" applyBorder="1" applyAlignment="1">
      <alignment vertical="center"/>
    </xf>
    <xf numFmtId="10" fontId="0" fillId="4" borderId="0" xfId="2" applyNumberFormat="1" applyFont="1" applyFill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4" borderId="8" xfId="0" applyFill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vertical="center"/>
    </xf>
    <xf numFmtId="17" fontId="12" fillId="3" borderId="12" xfId="0" quotePrefix="1" applyNumberFormat="1" applyFont="1" applyFill="1" applyBorder="1" applyAlignment="1">
      <alignment horizontal="center" vertical="center"/>
    </xf>
    <xf numFmtId="0" fontId="0" fillId="4" borderId="10" xfId="0" applyFill="1" applyBorder="1" applyAlignment="1">
      <alignment vertical="center"/>
    </xf>
    <xf numFmtId="0" fontId="0" fillId="0" borderId="12" xfId="0" applyBorder="1"/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2" fillId="12" borderId="10" xfId="0" applyFont="1" applyFill="1" applyBorder="1" applyAlignment="1">
      <alignment vertical="center"/>
    </xf>
    <xf numFmtId="0" fontId="2" fillId="12" borderId="0" xfId="0" applyFont="1" applyFill="1" applyAlignment="1">
      <alignment vertical="center"/>
    </xf>
    <xf numFmtId="0" fontId="2" fillId="12" borderId="0" xfId="0" applyFont="1" applyFill="1" applyAlignment="1">
      <alignment horizontal="center" vertical="center"/>
    </xf>
    <xf numFmtId="4" fontId="2" fillId="12" borderId="12" xfId="0" applyNumberFormat="1" applyFont="1" applyFill="1" applyBorder="1" applyAlignment="1">
      <alignment horizontal="right" vertical="center"/>
    </xf>
    <xf numFmtId="0" fontId="0" fillId="4" borderId="12" xfId="0" applyFill="1" applyBorder="1" applyAlignment="1">
      <alignment horizontal="right" vertical="center"/>
    </xf>
    <xf numFmtId="168" fontId="0" fillId="0" borderId="0" xfId="0" applyNumberFormat="1" applyAlignment="1">
      <alignment vertical="center"/>
    </xf>
    <xf numFmtId="4" fontId="0" fillId="4" borderId="12" xfId="0" applyNumberFormat="1" applyFill="1" applyBorder="1" applyAlignment="1">
      <alignment vertical="center"/>
    </xf>
    <xf numFmtId="167" fontId="19" fillId="4" borderId="0" xfId="4" applyFont="1" applyFill="1" applyBorder="1" applyAlignment="1">
      <alignment vertical="center"/>
    </xf>
    <xf numFmtId="168" fontId="0" fillId="4" borderId="0" xfId="0" applyNumberFormat="1" applyFill="1" applyAlignment="1">
      <alignment vertical="center"/>
    </xf>
    <xf numFmtId="169" fontId="0" fillId="4" borderId="0" xfId="0" applyNumberFormat="1" applyFill="1" applyAlignment="1">
      <alignment vertical="center"/>
    </xf>
    <xf numFmtId="167" fontId="20" fillId="4" borderId="0" xfId="4" applyFont="1" applyFill="1" applyBorder="1" applyAlignment="1">
      <alignment vertical="center"/>
    </xf>
    <xf numFmtId="165" fontId="0" fillId="4" borderId="0" xfId="0" applyNumberFormat="1" applyFill="1" applyAlignment="1">
      <alignment vertical="center"/>
    </xf>
    <xf numFmtId="0" fontId="19" fillId="4" borderId="0" xfId="0" applyFont="1" applyFill="1" applyAlignment="1">
      <alignment vertical="center"/>
    </xf>
    <xf numFmtId="0" fontId="15" fillId="4" borderId="10" xfId="0" applyFont="1" applyFill="1" applyBorder="1" applyAlignment="1">
      <alignment vertical="center"/>
    </xf>
    <xf numFmtId="4" fontId="15" fillId="4" borderId="12" xfId="0" applyNumberFormat="1" applyFont="1" applyFill="1" applyBorder="1" applyAlignment="1">
      <alignment vertical="center"/>
    </xf>
    <xf numFmtId="0" fontId="1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4" fontId="2" fillId="4" borderId="12" xfId="0" applyNumberFormat="1" applyFont="1" applyFill="1" applyBorder="1" applyAlignment="1">
      <alignment vertical="center"/>
    </xf>
    <xf numFmtId="4" fontId="2" fillId="4" borderId="0" xfId="0" applyNumberFormat="1" applyFont="1" applyFill="1" applyAlignment="1">
      <alignment vertical="center"/>
    </xf>
    <xf numFmtId="4" fontId="0" fillId="4" borderId="0" xfId="0" applyNumberFormat="1" applyFill="1" applyAlignment="1">
      <alignment vertical="center"/>
    </xf>
    <xf numFmtId="170" fontId="0" fillId="4" borderId="0" xfId="0" applyNumberFormat="1" applyFill="1" applyAlignment="1">
      <alignment vertical="center"/>
    </xf>
    <xf numFmtId="10" fontId="19" fillId="9" borderId="0" xfId="0" applyNumberFormat="1" applyFont="1" applyFill="1" applyAlignment="1">
      <alignment vertical="center"/>
    </xf>
    <xf numFmtId="164" fontId="0" fillId="4" borderId="12" xfId="0" applyNumberFormat="1" applyFill="1" applyBorder="1" applyAlignment="1">
      <alignment vertical="center"/>
    </xf>
    <xf numFmtId="10" fontId="19" fillId="0" borderId="0" xfId="0" applyNumberFormat="1" applyFont="1" applyAlignment="1">
      <alignment vertical="center"/>
    </xf>
    <xf numFmtId="170" fontId="0" fillId="2" borderId="0" xfId="0" applyNumberFormat="1" applyFill="1" applyAlignment="1">
      <alignment vertical="center"/>
    </xf>
    <xf numFmtId="9" fontId="21" fillId="2" borderId="0" xfId="0" applyNumberFormat="1" applyFont="1" applyFill="1" applyAlignment="1">
      <alignment vertical="center"/>
    </xf>
    <xf numFmtId="0" fontId="0" fillId="4" borderId="15" xfId="0" applyFill="1" applyBorder="1" applyAlignment="1">
      <alignment vertical="center"/>
    </xf>
    <xf numFmtId="0" fontId="0" fillId="4" borderId="13" xfId="0" applyFill="1" applyBorder="1" applyAlignment="1">
      <alignment vertical="center"/>
    </xf>
    <xf numFmtId="170" fontId="0" fillId="4" borderId="13" xfId="0" applyNumberFormat="1" applyFill="1" applyBorder="1" applyAlignment="1">
      <alignment vertical="center"/>
    </xf>
    <xf numFmtId="9" fontId="0" fillId="4" borderId="13" xfId="0" applyNumberFormat="1" applyFill="1" applyBorder="1" applyAlignment="1">
      <alignment vertical="center"/>
    </xf>
    <xf numFmtId="170" fontId="0" fillId="4" borderId="14" xfId="0" applyNumberFormat="1" applyFill="1" applyBorder="1" applyAlignment="1">
      <alignment vertical="center"/>
    </xf>
    <xf numFmtId="166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69" fontId="0" fillId="2" borderId="0" xfId="0" applyNumberFormat="1" applyFill="1" applyAlignment="1">
      <alignment vertical="center"/>
    </xf>
    <xf numFmtId="166" fontId="6" fillId="0" borderId="0" xfId="3" applyNumberFormat="1" applyFont="1" applyAlignment="1">
      <alignment horizontal="center" vertical="center"/>
    </xf>
    <xf numFmtId="166" fontId="6" fillId="0" borderId="0" xfId="3" applyNumberFormat="1" applyFont="1" applyAlignment="1">
      <alignment vertical="center"/>
    </xf>
    <xf numFmtId="166" fontId="6" fillId="2" borderId="0" xfId="3" applyNumberFormat="1" applyFont="1" applyFill="1" applyAlignment="1">
      <alignment vertical="center"/>
    </xf>
    <xf numFmtId="10" fontId="19" fillId="9" borderId="0" xfId="2" applyNumberFormat="1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43" fontId="3" fillId="2" borderId="0" xfId="1" applyFont="1" applyFill="1" applyAlignment="1">
      <alignment horizontal="center" vertical="center"/>
    </xf>
    <xf numFmtId="0" fontId="0" fillId="13" borderId="0" xfId="0" applyFill="1" applyAlignment="1">
      <alignment vertical="center"/>
    </xf>
    <xf numFmtId="167" fontId="19" fillId="13" borderId="0" xfId="4" applyFont="1" applyFill="1" applyBorder="1" applyAlignment="1">
      <alignment vertical="center"/>
    </xf>
    <xf numFmtId="171" fontId="0" fillId="0" borderId="0" xfId="0" applyNumberFormat="1" applyAlignment="1">
      <alignment vertical="center"/>
    </xf>
    <xf numFmtId="43" fontId="23" fillId="4" borderId="0" xfId="0" applyNumberFormat="1" applyFont="1" applyFill="1" applyAlignment="1">
      <alignment vertical="center"/>
    </xf>
    <xf numFmtId="172" fontId="19" fillId="0" borderId="0" xfId="4" applyNumberFormat="1" applyFont="1" applyFill="1" applyBorder="1" applyAlignment="1">
      <alignment vertical="center"/>
    </xf>
    <xf numFmtId="173" fontId="19" fillId="0" borderId="0" xfId="4" applyNumberFormat="1" applyFont="1" applyFill="1" applyBorder="1" applyAlignment="1">
      <alignment vertical="center"/>
    </xf>
    <xf numFmtId="166" fontId="6" fillId="2" borderId="0" xfId="3" applyNumberFormat="1" applyFont="1" applyFill="1" applyAlignment="1">
      <alignment horizontal="center" vertical="center"/>
    </xf>
    <xf numFmtId="0" fontId="0" fillId="0" borderId="10" xfId="0" applyBorder="1" applyAlignment="1">
      <alignment vertical="center"/>
    </xf>
    <xf numFmtId="4" fontId="0" fillId="2" borderId="9" xfId="0" applyNumberFormat="1" applyFill="1" applyBorder="1" applyAlignment="1">
      <alignment vertical="center"/>
    </xf>
    <xf numFmtId="4" fontId="0" fillId="0" borderId="0" xfId="0" applyNumberFormat="1" applyAlignment="1">
      <alignment vertical="center"/>
    </xf>
    <xf numFmtId="43" fontId="0" fillId="0" borderId="0" xfId="1" applyFont="1"/>
    <xf numFmtId="0" fontId="25" fillId="4" borderId="0" xfId="0" applyFont="1" applyFill="1" applyAlignment="1">
      <alignment vertical="center"/>
    </xf>
    <xf numFmtId="0" fontId="2" fillId="9" borderId="0" xfId="0" applyFont="1" applyFill="1" applyAlignment="1">
      <alignment vertical="center"/>
    </xf>
    <xf numFmtId="0" fontId="0" fillId="14" borderId="0" xfId="0" applyFill="1" applyAlignment="1">
      <alignment horizontal="center" vertical="center"/>
    </xf>
    <xf numFmtId="0" fontId="10" fillId="9" borderId="6" xfId="0" applyFont="1" applyFill="1" applyBorder="1" applyAlignment="1">
      <alignment vertical="center"/>
    </xf>
    <xf numFmtId="9" fontId="10" fillId="9" borderId="6" xfId="0" applyNumberFormat="1" applyFont="1" applyFill="1" applyBorder="1" applyAlignment="1">
      <alignment vertical="center"/>
    </xf>
    <xf numFmtId="0" fontId="20" fillId="4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10" fontId="26" fillId="0" borderId="16" xfId="2" applyNumberFormat="1" applyFont="1" applyFill="1" applyBorder="1" applyAlignment="1">
      <alignment horizontal="right" vertical="center"/>
    </xf>
    <xf numFmtId="167" fontId="0" fillId="0" borderId="0" xfId="4" applyFont="1" applyAlignment="1">
      <alignment vertical="center"/>
    </xf>
    <xf numFmtId="167" fontId="2" fillId="0" borderId="0" xfId="4" applyFont="1" applyFill="1" applyAlignment="1">
      <alignment vertical="center"/>
    </xf>
    <xf numFmtId="0" fontId="15" fillId="0" borderId="0" xfId="0" applyFont="1" applyAlignment="1">
      <alignment horizontal="left" vertical="center"/>
    </xf>
    <xf numFmtId="10" fontId="26" fillId="2" borderId="16" xfId="2" quotePrefix="1" applyNumberFormat="1" applyFont="1" applyFill="1" applyBorder="1" applyAlignment="1">
      <alignment horizontal="right" vertical="center"/>
    </xf>
    <xf numFmtId="167" fontId="2" fillId="2" borderId="0" xfId="4" applyFont="1" applyFill="1" applyAlignment="1">
      <alignment vertical="center"/>
    </xf>
    <xf numFmtId="10" fontId="26" fillId="0" borderId="16" xfId="2" quotePrefix="1" applyNumberFormat="1" applyFont="1" applyFill="1" applyBorder="1" applyAlignment="1">
      <alignment horizontal="right" vertical="center"/>
    </xf>
    <xf numFmtId="43" fontId="0" fillId="4" borderId="0" xfId="0" applyNumberFormat="1" applyFill="1" applyAlignment="1">
      <alignment vertical="center"/>
    </xf>
    <xf numFmtId="0" fontId="24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0" xfId="0" applyFill="1" applyAlignment="1">
      <alignment vertical="center"/>
    </xf>
    <xf numFmtId="164" fontId="19" fillId="3" borderId="0" xfId="4" applyNumberFormat="1" applyFont="1" applyFill="1" applyBorder="1" applyAlignment="1">
      <alignment vertical="center"/>
    </xf>
    <xf numFmtId="168" fontId="0" fillId="3" borderId="0" xfId="0" applyNumberFormat="1" applyFill="1" applyAlignment="1">
      <alignment vertical="center"/>
    </xf>
    <xf numFmtId="169" fontId="0" fillId="3" borderId="0" xfId="0" applyNumberFormat="1" applyFill="1" applyAlignment="1">
      <alignment vertical="center"/>
    </xf>
    <xf numFmtId="4" fontId="0" fillId="3" borderId="12" xfId="0" applyNumberFormat="1" applyFill="1" applyBorder="1" applyAlignment="1">
      <alignment vertical="center"/>
    </xf>
    <xf numFmtId="167" fontId="20" fillId="3" borderId="0" xfId="4" applyFont="1" applyFill="1" applyBorder="1" applyAlignment="1">
      <alignment vertical="center"/>
    </xf>
    <xf numFmtId="165" fontId="0" fillId="3" borderId="0" xfId="0" applyNumberFormat="1" applyFill="1" applyAlignment="1">
      <alignment vertical="center"/>
    </xf>
    <xf numFmtId="0" fontId="15" fillId="0" borderId="0" xfId="0" applyFont="1" applyAlignment="1">
      <alignment vertical="center"/>
    </xf>
    <xf numFmtId="1" fontId="0" fillId="0" borderId="1" xfId="0" applyNumberFormat="1" applyBorder="1" applyAlignment="1">
      <alignment vertical="center"/>
    </xf>
    <xf numFmtId="0" fontId="6" fillId="4" borderId="10" xfId="0" applyFont="1" applyFill="1" applyBorder="1" applyAlignment="1">
      <alignment vertical="center"/>
    </xf>
    <xf numFmtId="0" fontId="6" fillId="4" borderId="0" xfId="0" applyFont="1" applyFill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6" fillId="4" borderId="12" xfId="0" applyFont="1" applyFill="1" applyBorder="1" applyAlignment="1">
      <alignment vertical="center"/>
    </xf>
    <xf numFmtId="167" fontId="11" fillId="9" borderId="0" xfId="4" applyFont="1" applyFill="1" applyBorder="1" applyAlignment="1">
      <alignment vertical="center"/>
    </xf>
    <xf numFmtId="168" fontId="6" fillId="0" borderId="0" xfId="0" applyNumberFormat="1" applyFont="1" applyAlignment="1">
      <alignment vertical="center"/>
    </xf>
    <xf numFmtId="4" fontId="6" fillId="4" borderId="12" xfId="0" applyNumberFormat="1" applyFont="1" applyFill="1" applyBorder="1" applyAlignment="1">
      <alignment vertical="center"/>
    </xf>
    <xf numFmtId="2" fontId="6" fillId="2" borderId="0" xfId="0" applyNumberFormat="1" applyFont="1" applyFill="1" applyAlignment="1">
      <alignment vertical="center"/>
    </xf>
    <xf numFmtId="43" fontId="0" fillId="2" borderId="0" xfId="0" applyNumberFormat="1" applyFill="1" applyAlignment="1">
      <alignment vertical="center"/>
    </xf>
    <xf numFmtId="174" fontId="2" fillId="2" borderId="0" xfId="0" applyNumberFormat="1" applyFont="1" applyFill="1" applyAlignment="1">
      <alignment vertical="center"/>
    </xf>
    <xf numFmtId="0" fontId="11" fillId="4" borderId="0" xfId="0" applyFont="1" applyFill="1" applyAlignment="1">
      <alignment vertical="center"/>
    </xf>
    <xf numFmtId="167" fontId="14" fillId="4" borderId="0" xfId="4" applyFont="1" applyFill="1" applyBorder="1" applyAlignment="1">
      <alignment vertical="center"/>
    </xf>
    <xf numFmtId="165" fontId="6" fillId="4" borderId="0" xfId="0" applyNumberFormat="1" applyFont="1" applyFill="1" applyAlignment="1">
      <alignment vertical="center"/>
    </xf>
    <xf numFmtId="0" fontId="14" fillId="4" borderId="0" xfId="0" applyFont="1" applyFill="1" applyAlignment="1">
      <alignment vertical="center"/>
    </xf>
    <xf numFmtId="168" fontId="6" fillId="4" borderId="0" xfId="0" applyNumberFormat="1" applyFont="1" applyFill="1" applyAlignment="1">
      <alignment vertical="center"/>
    </xf>
    <xf numFmtId="43" fontId="0" fillId="15" borderId="0" xfId="0" applyNumberFormat="1" applyFill="1" applyAlignment="1">
      <alignment vertical="center"/>
    </xf>
    <xf numFmtId="2" fontId="0" fillId="2" borderId="0" xfId="0" applyNumberFormat="1" applyFill="1" applyAlignment="1">
      <alignment vertical="center"/>
    </xf>
    <xf numFmtId="167" fontId="11" fillId="4" borderId="0" xfId="4" applyFont="1" applyFill="1" applyBorder="1" applyAlignment="1">
      <alignment vertical="center"/>
    </xf>
    <xf numFmtId="166" fontId="6" fillId="4" borderId="0" xfId="0" applyNumberFormat="1" applyFont="1" applyFill="1" applyAlignment="1">
      <alignment vertical="center"/>
    </xf>
    <xf numFmtId="0" fontId="6" fillId="4" borderId="15" xfId="0" applyFont="1" applyFill="1" applyBorder="1" applyAlignment="1">
      <alignment vertical="center"/>
    </xf>
    <xf numFmtId="0" fontId="6" fillId="4" borderId="13" xfId="0" applyFont="1" applyFill="1" applyBorder="1" applyAlignment="1">
      <alignment vertical="center"/>
    </xf>
    <xf numFmtId="166" fontId="6" fillId="4" borderId="13" xfId="0" applyNumberFormat="1" applyFont="1" applyFill="1" applyBorder="1" applyAlignment="1">
      <alignment vertical="center"/>
    </xf>
    <xf numFmtId="4" fontId="6" fillId="4" borderId="14" xfId="0" applyNumberFormat="1" applyFont="1" applyFill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4" borderId="8" xfId="0" applyFont="1" applyFill="1" applyBorder="1" applyAlignment="1">
      <alignment vertical="center"/>
    </xf>
    <xf numFmtId="0" fontId="6" fillId="0" borderId="9" xfId="0" applyFont="1" applyBorder="1" applyAlignment="1">
      <alignment vertical="center"/>
    </xf>
    <xf numFmtId="0" fontId="18" fillId="4" borderId="0" xfId="0" applyFont="1" applyFill="1" applyAlignment="1">
      <alignment vertical="center"/>
    </xf>
    <xf numFmtId="0" fontId="10" fillId="4" borderId="0" xfId="0" applyFont="1" applyFill="1" applyAlignment="1">
      <alignment vertical="center"/>
    </xf>
    <xf numFmtId="4" fontId="10" fillId="4" borderId="12" xfId="0" applyNumberFormat="1" applyFont="1" applyFill="1" applyBorder="1" applyAlignment="1">
      <alignment vertical="center"/>
    </xf>
    <xf numFmtId="4" fontId="6" fillId="4" borderId="0" xfId="0" applyNumberFormat="1" applyFont="1" applyFill="1" applyAlignment="1">
      <alignment vertical="center"/>
    </xf>
    <xf numFmtId="10" fontId="11" fillId="9" borderId="0" xfId="2" applyNumberFormat="1" applyFont="1" applyFill="1" applyBorder="1" applyAlignment="1">
      <alignment vertical="center"/>
    </xf>
    <xf numFmtId="10" fontId="11" fillId="4" borderId="0" xfId="0" applyNumberFormat="1" applyFont="1" applyFill="1" applyAlignment="1">
      <alignment vertical="center"/>
    </xf>
    <xf numFmtId="4" fontId="6" fillId="16" borderId="13" xfId="0" applyNumberFormat="1" applyFont="1" applyFill="1" applyBorder="1" applyAlignment="1">
      <alignment vertical="center"/>
    </xf>
    <xf numFmtId="9" fontId="11" fillId="16" borderId="13" xfId="0" applyNumberFormat="1" applyFont="1" applyFill="1" applyBorder="1" applyAlignment="1">
      <alignment vertical="center"/>
    </xf>
    <xf numFmtId="172" fontId="19" fillId="17" borderId="0" xfId="4" applyNumberFormat="1" applyFont="1" applyFill="1" applyBorder="1" applyAlignment="1">
      <alignment vertical="center"/>
    </xf>
    <xf numFmtId="9" fontId="0" fillId="4" borderId="0" xfId="0" applyNumberFormat="1" applyFill="1" applyAlignment="1">
      <alignment vertical="center"/>
    </xf>
    <xf numFmtId="0" fontId="18" fillId="18" borderId="17" xfId="3" applyFont="1" applyFill="1" applyBorder="1" applyAlignment="1">
      <alignment horizontal="center" vertical="center"/>
    </xf>
    <xf numFmtId="0" fontId="18" fillId="18" borderId="20" xfId="3" applyFont="1" applyFill="1" applyBorder="1" applyAlignment="1">
      <alignment horizontal="center" vertical="center" wrapText="1"/>
    </xf>
    <xf numFmtId="0" fontId="18" fillId="18" borderId="21" xfId="3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vertical="center" wrapText="1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4" fontId="2" fillId="3" borderId="4" xfId="0" applyNumberFormat="1" applyFont="1" applyFill="1" applyBorder="1" applyAlignment="1">
      <alignment vertical="center"/>
    </xf>
    <xf numFmtId="0" fontId="28" fillId="0" borderId="5" xfId="0" applyFont="1" applyBorder="1" applyAlignment="1">
      <alignment vertical="center"/>
    </xf>
    <xf numFmtId="0" fontId="0" fillId="4" borderId="4" xfId="0" applyFill="1" applyBorder="1" applyAlignment="1">
      <alignment vertical="center"/>
    </xf>
    <xf numFmtId="177" fontId="0" fillId="4" borderId="0" xfId="0" applyNumberFormat="1" applyFill="1" applyAlignment="1">
      <alignment vertical="center"/>
    </xf>
    <xf numFmtId="177" fontId="0" fillId="0" borderId="0" xfId="0" applyNumberFormat="1" applyAlignment="1">
      <alignment vertical="center"/>
    </xf>
    <xf numFmtId="43" fontId="0" fillId="0" borderId="0" xfId="0" applyNumberFormat="1" applyAlignment="1">
      <alignment vertical="center"/>
    </xf>
    <xf numFmtId="0" fontId="29" fillId="4" borderId="22" xfId="0" applyFont="1" applyFill="1" applyBorder="1" applyAlignment="1">
      <alignment horizontal="right" vertical="center"/>
    </xf>
    <xf numFmtId="0" fontId="28" fillId="4" borderId="0" xfId="0" applyFont="1" applyFill="1" applyAlignment="1">
      <alignment vertical="center"/>
    </xf>
    <xf numFmtId="0" fontId="28" fillId="0" borderId="0" xfId="0" applyFont="1" applyAlignment="1">
      <alignment vertical="center"/>
    </xf>
    <xf numFmtId="0" fontId="0" fillId="8" borderId="10" xfId="0" applyFill="1" applyBorder="1" applyAlignment="1">
      <alignment vertical="center"/>
    </xf>
    <xf numFmtId="0" fontId="0" fillId="8" borderId="0" xfId="0" applyFill="1" applyAlignment="1">
      <alignment vertical="center"/>
    </xf>
    <xf numFmtId="164" fontId="19" fillId="8" borderId="0" xfId="4" applyNumberFormat="1" applyFont="1" applyFill="1" applyBorder="1" applyAlignment="1">
      <alignment vertical="center"/>
    </xf>
    <xf numFmtId="168" fontId="0" fillId="8" borderId="0" xfId="0" applyNumberFormat="1" applyFill="1" applyAlignment="1">
      <alignment vertical="center"/>
    </xf>
    <xf numFmtId="4" fontId="0" fillId="8" borderId="12" xfId="0" applyNumberFormat="1" applyFill="1" applyBorder="1" applyAlignment="1">
      <alignment vertical="center"/>
    </xf>
    <xf numFmtId="167" fontId="20" fillId="8" borderId="0" xfId="4" applyFont="1" applyFill="1" applyBorder="1" applyAlignment="1">
      <alignment vertical="center"/>
    </xf>
    <xf numFmtId="165" fontId="0" fillId="8" borderId="0" xfId="0" applyNumberFormat="1" applyFill="1" applyAlignment="1">
      <alignment vertical="center"/>
    </xf>
    <xf numFmtId="43" fontId="0" fillId="0" borderId="0" xfId="0" applyNumberFormat="1" applyAlignment="1">
      <alignment horizontal="left" vertical="center"/>
    </xf>
    <xf numFmtId="43" fontId="0" fillId="0" borderId="0" xfId="1" applyFont="1" applyAlignment="1">
      <alignment vertical="center"/>
    </xf>
    <xf numFmtId="0" fontId="6" fillId="0" borderId="0" xfId="0" applyFont="1" applyAlignment="1">
      <alignment horizontal="left" vertical="center"/>
    </xf>
    <xf numFmtId="1" fontId="6" fillId="0" borderId="17" xfId="3" applyNumberFormat="1" applyFont="1" applyBorder="1" applyAlignment="1">
      <alignment vertical="center"/>
    </xf>
    <xf numFmtId="165" fontId="6" fillId="0" borderId="17" xfId="3" applyNumberFormat="1" applyFont="1" applyBorder="1" applyAlignment="1">
      <alignment vertical="center"/>
    </xf>
    <xf numFmtId="2" fontId="10" fillId="10" borderId="17" xfId="3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2" fontId="10" fillId="0" borderId="17" xfId="3" applyNumberFormat="1" applyFont="1" applyBorder="1" applyAlignment="1">
      <alignment vertical="center"/>
    </xf>
    <xf numFmtId="165" fontId="6" fillId="13" borderId="17" xfId="3" applyNumberFormat="1" applyFont="1" applyFill="1" applyBorder="1" applyAlignment="1">
      <alignment vertical="center"/>
    </xf>
    <xf numFmtId="1" fontId="6" fillId="0" borderId="0" xfId="3" applyNumberFormat="1" applyFont="1" applyAlignment="1">
      <alignment vertical="center"/>
    </xf>
    <xf numFmtId="165" fontId="6" fillId="0" borderId="0" xfId="3" applyNumberFormat="1" applyFont="1" applyAlignment="1">
      <alignment vertical="center"/>
    </xf>
    <xf numFmtId="0" fontId="6" fillId="13" borderId="0" xfId="0" applyFont="1" applyFill="1" applyAlignment="1">
      <alignment vertical="center"/>
    </xf>
    <xf numFmtId="4" fontId="10" fillId="13" borderId="0" xfId="0" applyNumberFormat="1" applyFont="1" applyFill="1" applyAlignment="1">
      <alignment vertical="center"/>
    </xf>
    <xf numFmtId="0" fontId="30" fillId="0" borderId="0" xfId="0" applyFont="1" applyAlignment="1">
      <alignment horizontal="right" vertical="center"/>
    </xf>
    <xf numFmtId="2" fontId="6" fillId="0" borderId="0" xfId="0" applyNumberFormat="1" applyFont="1" applyAlignment="1">
      <alignment vertical="center"/>
    </xf>
    <xf numFmtId="165" fontId="27" fillId="0" borderId="17" xfId="0" applyNumberFormat="1" applyFont="1" applyBorder="1" applyAlignment="1">
      <alignment vertical="center"/>
    </xf>
    <xf numFmtId="175" fontId="27" fillId="0" borderId="0" xfId="0" applyNumberFormat="1" applyFont="1" applyAlignment="1">
      <alignment vertical="center"/>
    </xf>
    <xf numFmtId="0" fontId="18" fillId="18" borderId="21" xfId="3" applyFont="1" applyFill="1" applyBorder="1" applyAlignment="1">
      <alignment horizontal="center" vertical="center"/>
    </xf>
    <xf numFmtId="2" fontId="14" fillId="0" borderId="17" xfId="0" applyNumberFormat="1" applyFont="1" applyBorder="1" applyAlignment="1">
      <alignment vertical="center"/>
    </xf>
    <xf numFmtId="176" fontId="6" fillId="0" borderId="17" xfId="3" applyNumberFormat="1" applyFont="1" applyBorder="1" applyAlignment="1">
      <alignment vertical="center"/>
    </xf>
    <xf numFmtId="2" fontId="6" fillId="0" borderId="17" xfId="3" applyNumberFormat="1" applyFont="1" applyBorder="1" applyAlignment="1">
      <alignment vertical="center"/>
    </xf>
    <xf numFmtId="2" fontId="0" fillId="0" borderId="0" xfId="0" applyNumberFormat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2" fontId="10" fillId="3" borderId="17" xfId="3" applyNumberFormat="1" applyFont="1" applyFill="1" applyBorder="1" applyAlignment="1">
      <alignment vertical="center"/>
    </xf>
    <xf numFmtId="2" fontId="2" fillId="0" borderId="0" xfId="0" applyNumberFormat="1" applyFont="1" applyAlignment="1">
      <alignment vertical="center"/>
    </xf>
    <xf numFmtId="43" fontId="6" fillId="0" borderId="1" xfId="1" applyFont="1" applyBorder="1" applyAlignment="1">
      <alignment vertical="center"/>
    </xf>
    <xf numFmtId="2" fontId="10" fillId="19" borderId="17" xfId="3" applyNumberFormat="1" applyFont="1" applyFill="1" applyBorder="1" applyAlignment="1">
      <alignment vertical="center"/>
    </xf>
    <xf numFmtId="0" fontId="31" fillId="2" borderId="5" xfId="0" applyFont="1" applyFill="1" applyBorder="1" applyAlignment="1">
      <alignment horizontal="center" vertical="center"/>
    </xf>
    <xf numFmtId="0" fontId="0" fillId="4" borderId="6" xfId="0" applyFill="1" applyBorder="1" applyAlignment="1">
      <alignment vertical="center"/>
    </xf>
    <xf numFmtId="170" fontId="0" fillId="4" borderId="6" xfId="0" applyNumberFormat="1" applyFill="1" applyBorder="1" applyAlignment="1">
      <alignment vertical="center"/>
    </xf>
    <xf numFmtId="9" fontId="0" fillId="4" borderId="6" xfId="0" applyNumberFormat="1" applyFill="1" applyBorder="1" applyAlignment="1">
      <alignment vertical="center"/>
    </xf>
    <xf numFmtId="170" fontId="0" fillId="4" borderId="4" xfId="0" applyNumberFormat="1" applyFill="1" applyBorder="1" applyAlignment="1">
      <alignment vertical="center"/>
    </xf>
    <xf numFmtId="164" fontId="19" fillId="13" borderId="0" xfId="4" applyNumberFormat="1" applyFont="1" applyFill="1" applyBorder="1" applyAlignment="1">
      <alignment vertical="center"/>
    </xf>
    <xf numFmtId="167" fontId="32" fillId="9" borderId="0" xfId="4" applyFont="1" applyFill="1" applyBorder="1" applyAlignment="1">
      <alignment vertical="center"/>
    </xf>
    <xf numFmtId="4" fontId="6" fillId="9" borderId="0" xfId="0" applyNumberFormat="1" applyFont="1" applyFill="1" applyAlignment="1">
      <alignment vertical="center"/>
    </xf>
    <xf numFmtId="168" fontId="6" fillId="9" borderId="0" xfId="0" applyNumberFormat="1" applyFont="1" applyFill="1" applyAlignment="1">
      <alignment vertical="center"/>
    </xf>
    <xf numFmtId="0" fontId="8" fillId="6" borderId="23" xfId="0" applyFont="1" applyFill="1" applyBorder="1" applyAlignment="1">
      <alignment horizontal="center" vertical="center"/>
    </xf>
    <xf numFmtId="0" fontId="18" fillId="13" borderId="24" xfId="0" applyFont="1" applyFill="1" applyBorder="1" applyAlignment="1">
      <alignment horizontal="left" vertical="center"/>
    </xf>
    <xf numFmtId="0" fontId="18" fillId="13" borderId="25" xfId="0" applyFont="1" applyFill="1" applyBorder="1" applyAlignment="1">
      <alignment horizontal="center" vertical="center"/>
    </xf>
    <xf numFmtId="0" fontId="18" fillId="10" borderId="26" xfId="3" applyFont="1" applyFill="1" applyBorder="1" applyAlignment="1">
      <alignment horizontal="center" vertical="center"/>
    </xf>
    <xf numFmtId="0" fontId="10" fillId="8" borderId="24" xfId="0" applyFont="1" applyFill="1" applyBorder="1" applyAlignment="1">
      <alignment horizontal="left" vertical="center"/>
    </xf>
    <xf numFmtId="0" fontId="10" fillId="8" borderId="25" xfId="0" applyFont="1" applyFill="1" applyBorder="1" applyAlignment="1">
      <alignment horizontal="center" vertical="center"/>
    </xf>
    <xf numFmtId="10" fontId="10" fillId="8" borderId="26" xfId="2" applyNumberFormat="1" applyFont="1" applyFill="1" applyBorder="1" applyAlignment="1">
      <alignment vertical="center"/>
    </xf>
    <xf numFmtId="166" fontId="10" fillId="8" borderId="26" xfId="3" applyNumberFormat="1" applyFont="1" applyFill="1" applyBorder="1" applyAlignment="1">
      <alignment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center" vertical="center"/>
    </xf>
    <xf numFmtId="10" fontId="6" fillId="0" borderId="26" xfId="2" applyNumberFormat="1" applyFont="1" applyFill="1" applyBorder="1" applyAlignment="1">
      <alignment vertical="center"/>
    </xf>
    <xf numFmtId="166" fontId="6" fillId="0" borderId="26" xfId="3" applyNumberFormat="1" applyFont="1" applyBorder="1" applyAlignment="1">
      <alignment vertical="center"/>
    </xf>
    <xf numFmtId="0" fontId="10" fillId="0" borderId="24" xfId="0" applyFont="1" applyBorder="1" applyAlignment="1">
      <alignment horizontal="left" vertical="center"/>
    </xf>
    <xf numFmtId="0" fontId="10" fillId="0" borderId="25" xfId="0" applyFont="1" applyBorder="1" applyAlignment="1">
      <alignment horizontal="center" vertical="center"/>
    </xf>
    <xf numFmtId="10" fontId="10" fillId="0" borderId="26" xfId="2" applyNumberFormat="1" applyFont="1" applyFill="1" applyBorder="1" applyAlignment="1">
      <alignment vertical="center"/>
    </xf>
    <xf numFmtId="166" fontId="10" fillId="0" borderId="26" xfId="3" applyNumberFormat="1" applyFont="1" applyBorder="1" applyAlignment="1">
      <alignment vertical="center"/>
    </xf>
    <xf numFmtId="166" fontId="6" fillId="0" borderId="1" xfId="3" applyNumberFormat="1" applyFont="1" applyBorder="1" applyAlignment="1">
      <alignment horizontal="left" vertical="center"/>
    </xf>
    <xf numFmtId="167" fontId="0" fillId="0" borderId="0" xfId="0" applyNumberFormat="1" applyAlignment="1">
      <alignment vertical="center"/>
    </xf>
    <xf numFmtId="0" fontId="0" fillId="4" borderId="0" xfId="0" applyFill="1"/>
    <xf numFmtId="0" fontId="0" fillId="4" borderId="27" xfId="0" applyFill="1" applyBorder="1" applyAlignment="1">
      <alignment horizontal="left" vertical="center"/>
    </xf>
    <xf numFmtId="9" fontId="6" fillId="4" borderId="27" xfId="0" applyNumberFormat="1" applyFont="1" applyFill="1" applyBorder="1" applyAlignment="1">
      <alignment horizontal="center" vertical="center"/>
    </xf>
    <xf numFmtId="0" fontId="0" fillId="4" borderId="28" xfId="0" applyFill="1" applyBorder="1" applyAlignment="1">
      <alignment horizontal="left" vertical="center"/>
    </xf>
    <xf numFmtId="9" fontId="6" fillId="4" borderId="28" xfId="0" applyNumberFormat="1" applyFont="1" applyFill="1" applyBorder="1" applyAlignment="1">
      <alignment horizontal="center" vertical="center"/>
    </xf>
    <xf numFmtId="14" fontId="14" fillId="4" borderId="28" xfId="0" applyNumberFormat="1" applyFont="1" applyFill="1" applyBorder="1" applyAlignment="1">
      <alignment horizontal="left" vertical="center"/>
    </xf>
    <xf numFmtId="0" fontId="31" fillId="0" borderId="0" xfId="0" applyFont="1" applyAlignment="1">
      <alignment vertical="center"/>
    </xf>
    <xf numFmtId="0" fontId="0" fillId="0" borderId="29" xfId="0" applyBorder="1" applyAlignment="1">
      <alignment horizontal="left" vertical="center"/>
    </xf>
    <xf numFmtId="9" fontId="6" fillId="4" borderId="29" xfId="0" applyNumberFormat="1" applyFont="1" applyFill="1" applyBorder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166" fontId="6" fillId="2" borderId="0" xfId="0" applyNumberFormat="1" applyFont="1" applyFill="1" applyAlignment="1">
      <alignment vertical="center"/>
    </xf>
    <xf numFmtId="0" fontId="0" fillId="4" borderId="14" xfId="0" applyFill="1" applyBorder="1" applyAlignment="1">
      <alignment vertical="center"/>
    </xf>
    <xf numFmtId="166" fontId="6" fillId="2" borderId="26" xfId="3" applyNumberFormat="1" applyFont="1" applyFill="1" applyBorder="1" applyAlignment="1">
      <alignment vertical="center"/>
    </xf>
    <xf numFmtId="166" fontId="10" fillId="2" borderId="26" xfId="3" applyNumberFormat="1" applyFont="1" applyFill="1" applyBorder="1" applyAlignment="1">
      <alignment vertical="center"/>
    </xf>
    <xf numFmtId="10" fontId="19" fillId="0" borderId="0" xfId="2" applyNumberFormat="1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/>
    </xf>
    <xf numFmtId="0" fontId="0" fillId="4" borderId="12" xfId="0" applyFill="1" applyBorder="1" applyAlignment="1">
      <alignment vertical="center"/>
    </xf>
    <xf numFmtId="0" fontId="0" fillId="4" borderId="23" xfId="0" applyFill="1" applyBorder="1" applyAlignment="1">
      <alignment vertical="center"/>
    </xf>
    <xf numFmtId="0" fontId="0" fillId="4" borderId="23" xfId="0" applyFill="1" applyBorder="1" applyAlignment="1">
      <alignment horizontal="center" vertical="center"/>
    </xf>
    <xf numFmtId="179" fontId="19" fillId="9" borderId="23" xfId="4" applyNumberFormat="1" applyFont="1" applyFill="1" applyBorder="1" applyAlignment="1">
      <alignment vertical="center"/>
    </xf>
    <xf numFmtId="168" fontId="0" fillId="4" borderId="23" xfId="0" applyNumberFormat="1" applyFill="1" applyBorder="1" applyAlignment="1">
      <alignment vertical="center"/>
    </xf>
    <xf numFmtId="167" fontId="0" fillId="4" borderId="23" xfId="0" applyNumberFormat="1" applyFill="1" applyBorder="1" applyAlignment="1">
      <alignment vertical="center"/>
    </xf>
    <xf numFmtId="43" fontId="0" fillId="4" borderId="23" xfId="0" applyNumberFormat="1" applyFill="1" applyBorder="1" applyAlignment="1">
      <alignment vertical="center"/>
    </xf>
    <xf numFmtId="9" fontId="21" fillId="2" borderId="23" xfId="0" applyNumberFormat="1" applyFont="1" applyFill="1" applyBorder="1" applyAlignment="1">
      <alignment vertical="center"/>
    </xf>
    <xf numFmtId="10" fontId="19" fillId="9" borderId="23" xfId="0" applyNumberFormat="1" applyFont="1" applyFill="1" applyBorder="1" applyAlignment="1">
      <alignment vertical="center"/>
    </xf>
    <xf numFmtId="167" fontId="2" fillId="10" borderId="23" xfId="0" applyNumberFormat="1" applyFont="1" applyFill="1" applyBorder="1" applyAlignment="1">
      <alignment vertical="center"/>
    </xf>
    <xf numFmtId="179" fontId="0" fillId="4" borderId="23" xfId="0" applyNumberFormat="1" applyFill="1" applyBorder="1" applyAlignment="1">
      <alignment vertical="center"/>
    </xf>
    <xf numFmtId="0" fontId="0" fillId="4" borderId="3" xfId="0" applyFill="1" applyBorder="1" applyAlignment="1">
      <alignment vertical="center"/>
    </xf>
    <xf numFmtId="10" fontId="0" fillId="4" borderId="0" xfId="0" applyNumberFormat="1" applyFill="1" applyAlignment="1">
      <alignment vertical="center"/>
    </xf>
    <xf numFmtId="2" fontId="0" fillId="4" borderId="0" xfId="0" applyNumberFormat="1" applyFill="1" applyAlignment="1">
      <alignment vertical="center"/>
    </xf>
    <xf numFmtId="167" fontId="19" fillId="9" borderId="23" xfId="4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179" fontId="0" fillId="4" borderId="3" xfId="0" applyNumberFormat="1" applyFill="1" applyBorder="1" applyAlignment="1">
      <alignment vertical="center"/>
    </xf>
    <xf numFmtId="167" fontId="2" fillId="20" borderId="3" xfId="0" applyNumberFormat="1" applyFont="1" applyFill="1" applyBorder="1" applyAlignment="1">
      <alignment vertical="center"/>
    </xf>
    <xf numFmtId="167" fontId="2" fillId="4" borderId="3" xfId="0" applyNumberFormat="1" applyFont="1" applyFill="1" applyBorder="1" applyAlignment="1">
      <alignment vertical="center"/>
    </xf>
    <xf numFmtId="167" fontId="2" fillId="10" borderId="3" xfId="0" applyNumberFormat="1" applyFont="1" applyFill="1" applyBorder="1" applyAlignment="1">
      <alignment vertical="center"/>
    </xf>
    <xf numFmtId="167" fontId="18" fillId="16" borderId="0" xfId="4" applyFont="1" applyFill="1" applyBorder="1" applyAlignment="1">
      <alignment vertical="center"/>
    </xf>
    <xf numFmtId="4" fontId="14" fillId="16" borderId="0" xfId="0" applyNumberFormat="1" applyFont="1" applyFill="1" applyAlignment="1">
      <alignment vertical="center"/>
    </xf>
    <xf numFmtId="168" fontId="14" fillId="16" borderId="0" xfId="0" applyNumberFormat="1" applyFont="1" applyFill="1" applyAlignment="1">
      <alignment vertical="center"/>
    </xf>
    <xf numFmtId="0" fontId="32" fillId="8" borderId="1" xfId="0" applyFont="1" applyFill="1" applyBorder="1" applyAlignment="1">
      <alignment horizontal="center" vertical="center" wrapText="1"/>
    </xf>
    <xf numFmtId="1" fontId="32" fillId="11" borderId="0" xfId="4" applyNumberFormat="1" applyFont="1" applyFill="1" applyBorder="1" applyAlignment="1">
      <alignment horizontal="center" vertical="center"/>
    </xf>
    <xf numFmtId="3" fontId="6" fillId="4" borderId="0" xfId="0" applyNumberFormat="1" applyFont="1" applyFill="1" applyAlignment="1">
      <alignment horizontal="center"/>
    </xf>
    <xf numFmtId="14" fontId="14" fillId="4" borderId="0" xfId="0" applyNumberFormat="1" applyFont="1" applyFill="1" applyAlignment="1">
      <alignment horizontal="center"/>
    </xf>
    <xf numFmtId="3" fontId="14" fillId="4" borderId="0" xfId="0" applyNumberFormat="1" applyFont="1" applyFill="1" applyAlignment="1">
      <alignment horizontal="center"/>
    </xf>
    <xf numFmtId="14" fontId="11" fillId="4" borderId="0" xfId="0" applyNumberFormat="1" applyFont="1" applyFill="1" applyAlignment="1">
      <alignment horizontal="center"/>
    </xf>
    <xf numFmtId="0" fontId="0" fillId="10" borderId="23" xfId="0" applyFill="1" applyBorder="1" applyAlignment="1">
      <alignment vertical="center"/>
    </xf>
    <xf numFmtId="2" fontId="0" fillId="21" borderId="23" xfId="0" applyNumberFormat="1" applyFill="1" applyBorder="1" applyAlignment="1">
      <alignment vertical="center"/>
    </xf>
    <xf numFmtId="168" fontId="0" fillId="21" borderId="23" xfId="0" applyNumberFormat="1" applyFill="1" applyBorder="1" applyAlignment="1">
      <alignment vertical="center"/>
    </xf>
    <xf numFmtId="167" fontId="0" fillId="10" borderId="23" xfId="4" applyFont="1" applyFill="1" applyBorder="1" applyAlignment="1">
      <alignment vertical="center"/>
    </xf>
    <xf numFmtId="2" fontId="0" fillId="10" borderId="23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9" fontId="6" fillId="4" borderId="10" xfId="0" applyNumberFormat="1" applyFont="1" applyFill="1" applyBorder="1" applyAlignment="1">
      <alignment horizontal="center" vertical="center"/>
    </xf>
    <xf numFmtId="10" fontId="0" fillId="0" borderId="0" xfId="0" applyNumberFormat="1"/>
    <xf numFmtId="180" fontId="0" fillId="0" borderId="0" xfId="0" applyNumberFormat="1"/>
    <xf numFmtId="9" fontId="0" fillId="0" borderId="0" xfId="0" applyNumberFormat="1"/>
    <xf numFmtId="0" fontId="0" fillId="3" borderId="23" xfId="0" applyFill="1" applyBorder="1" applyAlignment="1">
      <alignment vertical="center"/>
    </xf>
    <xf numFmtId="0" fontId="0" fillId="3" borderId="23" xfId="0" applyFill="1" applyBorder="1" applyAlignment="1">
      <alignment horizontal="center" vertical="center"/>
    </xf>
    <xf numFmtId="167" fontId="0" fillId="3" borderId="23" xfId="0" applyNumberFormat="1" applyFill="1" applyBorder="1" applyAlignment="1">
      <alignment vertical="center"/>
    </xf>
    <xf numFmtId="168" fontId="0" fillId="3" borderId="23" xfId="0" applyNumberFormat="1" applyFill="1" applyBorder="1" applyAlignment="1">
      <alignment vertical="center"/>
    </xf>
    <xf numFmtId="43" fontId="0" fillId="3" borderId="23" xfId="0" applyNumberFormat="1" applyFill="1" applyBorder="1" applyAlignment="1">
      <alignment vertical="center"/>
    </xf>
    <xf numFmtId="2" fontId="0" fillId="0" borderId="0" xfId="0" applyNumberFormat="1"/>
    <xf numFmtId="43" fontId="0" fillId="0" borderId="0" xfId="0" applyNumberFormat="1"/>
    <xf numFmtId="166" fontId="6" fillId="0" borderId="1" xfId="3" applyNumberFormat="1" applyFont="1" applyBorder="1"/>
    <xf numFmtId="9" fontId="6" fillId="4" borderId="0" xfId="0" applyNumberFormat="1" applyFont="1" applyFill="1" applyAlignment="1">
      <alignment horizontal="center" vertical="center"/>
    </xf>
    <xf numFmtId="178" fontId="0" fillId="2" borderId="0" xfId="0" applyNumberFormat="1" applyFill="1" applyAlignment="1">
      <alignment vertical="center"/>
    </xf>
    <xf numFmtId="0" fontId="11" fillId="22" borderId="11" xfId="0" applyFont="1" applyFill="1" applyBorder="1" applyAlignment="1">
      <alignment vertical="center"/>
    </xf>
    <xf numFmtId="0" fontId="0" fillId="0" borderId="0" xfId="0" applyAlignment="1">
      <alignment horizontal="right" vertical="center"/>
    </xf>
    <xf numFmtId="0" fontId="24" fillId="2" borderId="0" xfId="0" applyFont="1" applyFill="1" applyAlignment="1">
      <alignment vertical="center"/>
    </xf>
    <xf numFmtId="0" fontId="0" fillId="4" borderId="17" xfId="0" applyFill="1" applyBorder="1" applyAlignment="1">
      <alignment vertical="center"/>
    </xf>
    <xf numFmtId="0" fontId="33" fillId="0" borderId="17" xfId="0" applyFont="1" applyBorder="1" applyAlignment="1">
      <alignment vertical="center"/>
    </xf>
    <xf numFmtId="170" fontId="0" fillId="23" borderId="6" xfId="0" applyNumberFormat="1" applyFill="1" applyBorder="1" applyAlignment="1">
      <alignment vertical="center"/>
    </xf>
    <xf numFmtId="9" fontId="0" fillId="23" borderId="6" xfId="0" applyNumberFormat="1" applyFill="1" applyBorder="1" applyAlignment="1">
      <alignment vertical="center"/>
    </xf>
    <xf numFmtId="0" fontId="0" fillId="23" borderId="6" xfId="0" applyFill="1" applyBorder="1" applyAlignment="1">
      <alignment vertical="center"/>
    </xf>
    <xf numFmtId="170" fontId="0" fillId="23" borderId="4" xfId="0" applyNumberFormat="1" applyFill="1" applyBorder="1" applyAlignment="1">
      <alignment vertical="center"/>
    </xf>
    <xf numFmtId="181" fontId="0" fillId="0" borderId="0" xfId="0" applyNumberFormat="1" applyAlignment="1">
      <alignment vertical="center"/>
    </xf>
    <xf numFmtId="165" fontId="9" fillId="7" borderId="9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79" fontId="19" fillId="13" borderId="23" xfId="4" applyNumberFormat="1" applyFont="1" applyFill="1" applyBorder="1" applyAlignment="1">
      <alignment vertical="center"/>
    </xf>
    <xf numFmtId="0" fontId="0" fillId="4" borderId="30" xfId="0" applyFill="1" applyBorder="1" applyAlignment="1">
      <alignment vertical="center"/>
    </xf>
    <xf numFmtId="0" fontId="0" fillId="4" borderId="32" xfId="0" applyFill="1" applyBorder="1" applyAlignment="1">
      <alignment vertical="center"/>
    </xf>
    <xf numFmtId="0" fontId="0" fillId="4" borderId="31" xfId="0" applyFill="1" applyBorder="1" applyAlignment="1">
      <alignment vertical="center"/>
    </xf>
    <xf numFmtId="0" fontId="0" fillId="0" borderId="17" xfId="0" applyBorder="1" applyAlignment="1">
      <alignment vertical="center"/>
    </xf>
    <xf numFmtId="2" fontId="0" fillId="0" borderId="17" xfId="0" applyNumberFormat="1" applyBorder="1" applyAlignment="1">
      <alignment vertical="center"/>
    </xf>
    <xf numFmtId="2" fontId="28" fillId="4" borderId="0" xfId="0" applyNumberFormat="1" applyFont="1" applyFill="1" applyAlignment="1">
      <alignment vertical="center"/>
    </xf>
    <xf numFmtId="1" fontId="6" fillId="0" borderId="17" xfId="3" applyNumberFormat="1" applyFont="1" applyBorder="1"/>
    <xf numFmtId="165" fontId="6" fillId="0" borderId="17" xfId="3" applyNumberFormat="1" applyFont="1" applyBorder="1"/>
    <xf numFmtId="2" fontId="10" fillId="10" borderId="17" xfId="3" applyNumberFormat="1" applyFont="1" applyFill="1" applyBorder="1"/>
    <xf numFmtId="2" fontId="0" fillId="4" borderId="17" xfId="0" applyNumberFormat="1" applyFill="1" applyBorder="1" applyAlignment="1">
      <alignment vertical="center"/>
    </xf>
    <xf numFmtId="0" fontId="18" fillId="14" borderId="17" xfId="3" applyFont="1" applyFill="1" applyBorder="1" applyAlignment="1">
      <alignment horizontal="center" vertical="center"/>
    </xf>
    <xf numFmtId="0" fontId="18" fillId="14" borderId="20" xfId="3" applyFont="1" applyFill="1" applyBorder="1" applyAlignment="1">
      <alignment horizontal="center" vertical="center" wrapText="1"/>
    </xf>
    <xf numFmtId="0" fontId="18" fillId="14" borderId="21" xfId="3" applyFont="1" applyFill="1" applyBorder="1" applyAlignment="1">
      <alignment horizontal="center" vertical="center" wrapText="1"/>
    </xf>
    <xf numFmtId="0" fontId="18" fillId="24" borderId="17" xfId="3" applyFont="1" applyFill="1" applyBorder="1" applyAlignment="1">
      <alignment horizontal="center" vertical="center"/>
    </xf>
    <xf numFmtId="0" fontId="18" fillId="24" borderId="20" xfId="3" applyFont="1" applyFill="1" applyBorder="1" applyAlignment="1">
      <alignment horizontal="center" vertical="center" wrapText="1"/>
    </xf>
    <xf numFmtId="0" fontId="18" fillId="24" borderId="21" xfId="3" applyFont="1" applyFill="1" applyBorder="1" applyAlignment="1">
      <alignment horizontal="center" vertical="center" wrapText="1"/>
    </xf>
    <xf numFmtId="0" fontId="18" fillId="14" borderId="21" xfId="3" applyFont="1" applyFill="1" applyBorder="1" applyAlignment="1">
      <alignment horizontal="center" vertical="center"/>
    </xf>
    <xf numFmtId="0" fontId="18" fillId="24" borderId="21" xfId="3" applyFont="1" applyFill="1" applyBorder="1" applyAlignment="1">
      <alignment horizontal="center" vertical="center"/>
    </xf>
    <xf numFmtId="0" fontId="18" fillId="25" borderId="17" xfId="3" applyFont="1" applyFill="1" applyBorder="1" applyAlignment="1">
      <alignment horizontal="center" vertical="center"/>
    </xf>
    <xf numFmtId="0" fontId="18" fillId="25" borderId="20" xfId="3" applyFont="1" applyFill="1" applyBorder="1" applyAlignment="1">
      <alignment horizontal="center" vertical="center" wrapText="1"/>
    </xf>
    <xf numFmtId="0" fontId="18" fillId="25" borderId="21" xfId="3" applyFont="1" applyFill="1" applyBorder="1" applyAlignment="1">
      <alignment horizontal="center" vertical="center" wrapText="1"/>
    </xf>
    <xf numFmtId="0" fontId="18" fillId="25" borderId="21" xfId="3" applyFont="1" applyFill="1" applyBorder="1" applyAlignment="1">
      <alignment horizontal="center" vertical="center"/>
    </xf>
    <xf numFmtId="0" fontId="18" fillId="15" borderId="17" xfId="3" applyFont="1" applyFill="1" applyBorder="1" applyAlignment="1">
      <alignment horizontal="center" vertical="center"/>
    </xf>
    <xf numFmtId="0" fontId="18" fillId="15" borderId="20" xfId="3" applyFont="1" applyFill="1" applyBorder="1" applyAlignment="1">
      <alignment horizontal="center" vertical="center" wrapText="1"/>
    </xf>
    <xf numFmtId="0" fontId="18" fillId="15" borderId="21" xfId="3" applyFont="1" applyFill="1" applyBorder="1" applyAlignment="1">
      <alignment horizontal="center" vertical="center" wrapText="1"/>
    </xf>
    <xf numFmtId="0" fontId="18" fillId="15" borderId="21" xfId="3" applyFont="1" applyFill="1" applyBorder="1" applyAlignment="1">
      <alignment horizontal="center" vertical="center"/>
    </xf>
    <xf numFmtId="0" fontId="18" fillId="2" borderId="17" xfId="3" applyFont="1" applyFill="1" applyBorder="1" applyAlignment="1">
      <alignment horizontal="center" vertical="center"/>
    </xf>
    <xf numFmtId="0" fontId="18" fillId="2" borderId="20" xfId="3" applyFont="1" applyFill="1" applyBorder="1" applyAlignment="1">
      <alignment horizontal="center" vertical="center" wrapText="1"/>
    </xf>
    <xf numFmtId="0" fontId="18" fillId="2" borderId="21" xfId="3" applyFont="1" applyFill="1" applyBorder="1" applyAlignment="1">
      <alignment horizontal="center" vertical="center" wrapText="1"/>
    </xf>
    <xf numFmtId="0" fontId="18" fillId="2" borderId="21" xfId="3" applyFont="1" applyFill="1" applyBorder="1" applyAlignment="1">
      <alignment horizontal="center" vertical="center"/>
    </xf>
    <xf numFmtId="0" fontId="15" fillId="0" borderId="33" xfId="0" applyFont="1" applyBorder="1" applyAlignment="1">
      <alignment vertical="center"/>
    </xf>
    <xf numFmtId="0" fontId="0" fillId="0" borderId="33" xfId="0" applyBorder="1" applyAlignment="1">
      <alignment vertical="center"/>
    </xf>
    <xf numFmtId="1" fontId="0" fillId="2" borderId="33" xfId="0" applyNumberFormat="1" applyFill="1" applyBorder="1" applyAlignment="1">
      <alignment vertical="center"/>
    </xf>
    <xf numFmtId="0" fontId="0" fillId="4" borderId="33" xfId="0" applyFill="1" applyBorder="1" applyAlignment="1">
      <alignment vertical="center"/>
    </xf>
    <xf numFmtId="3" fontId="6" fillId="0" borderId="0" xfId="0" applyNumberFormat="1" applyFont="1" applyAlignment="1">
      <alignment vertical="center"/>
    </xf>
    <xf numFmtId="10" fontId="26" fillId="10" borderId="16" xfId="2" quotePrefix="1" applyNumberFormat="1" applyFont="1" applyFill="1" applyBorder="1" applyAlignment="1">
      <alignment horizontal="right" vertical="center"/>
    </xf>
    <xf numFmtId="167" fontId="0" fillId="0" borderId="30" xfId="0" applyNumberFormat="1" applyBorder="1" applyAlignment="1">
      <alignment horizontal="center" vertical="center"/>
    </xf>
    <xf numFmtId="0" fontId="35" fillId="26" borderId="36" xfId="0" applyFont="1" applyFill="1" applyBorder="1" applyAlignment="1">
      <alignment horizontal="center" vertical="center" wrapText="1"/>
    </xf>
    <xf numFmtId="0" fontId="37" fillId="27" borderId="17" xfId="5" applyFont="1" applyFill="1" applyBorder="1" applyAlignment="1">
      <alignment horizontal="center"/>
    </xf>
    <xf numFmtId="0" fontId="35" fillId="26" borderId="39" xfId="0" applyFont="1" applyFill="1" applyBorder="1" applyAlignment="1">
      <alignment horizontal="center" vertical="center" wrapText="1"/>
    </xf>
    <xf numFmtId="0" fontId="37" fillId="16" borderId="17" xfId="5" applyFont="1" applyFill="1" applyBorder="1" applyAlignment="1">
      <alignment horizontal="center"/>
    </xf>
    <xf numFmtId="49" fontId="38" fillId="28" borderId="17" xfId="5" applyNumberFormat="1" applyFont="1" applyFill="1" applyBorder="1" applyAlignment="1" applyProtection="1">
      <alignment horizontal="center"/>
      <protection locked="0"/>
    </xf>
    <xf numFmtId="0" fontId="38" fillId="28" borderId="17" xfId="5" applyFont="1" applyFill="1" applyBorder="1" applyAlignment="1" applyProtection="1">
      <alignment horizontal="center"/>
      <protection locked="0"/>
    </xf>
    <xf numFmtId="0" fontId="35" fillId="22" borderId="39" xfId="0" applyFont="1" applyFill="1" applyBorder="1" applyAlignment="1">
      <alignment horizontal="center" vertical="center" wrapText="1"/>
    </xf>
    <xf numFmtId="0" fontId="35" fillId="2" borderId="39" xfId="0" applyFont="1" applyFill="1" applyBorder="1" applyAlignment="1">
      <alignment horizontal="center" vertical="center" wrapText="1"/>
    </xf>
    <xf numFmtId="0" fontId="35" fillId="6" borderId="39" xfId="0" applyFont="1" applyFill="1" applyBorder="1" applyAlignment="1">
      <alignment horizontal="center" vertical="center" wrapText="1"/>
    </xf>
    <xf numFmtId="49" fontId="38" fillId="16" borderId="17" xfId="5" applyNumberFormat="1" applyFont="1" applyFill="1" applyBorder="1" applyAlignment="1" applyProtection="1">
      <alignment horizontal="center"/>
      <protection locked="0"/>
    </xf>
    <xf numFmtId="0" fontId="38" fillId="16" borderId="17" xfId="5" applyFont="1" applyFill="1" applyBorder="1" applyAlignment="1" applyProtection="1">
      <alignment horizontal="center"/>
      <protection locked="0"/>
    </xf>
    <xf numFmtId="0" fontId="7" fillId="26" borderId="0" xfId="0" applyFont="1" applyFill="1"/>
    <xf numFmtId="0" fontId="39" fillId="0" borderId="39" xfId="0" applyFont="1" applyBorder="1" applyAlignment="1">
      <alignment horizontal="center" vertical="center" wrapText="1"/>
    </xf>
    <xf numFmtId="43" fontId="40" fillId="29" borderId="17" xfId="6" applyFont="1" applyFill="1" applyBorder="1" applyAlignment="1">
      <alignment horizontal="center" vertical="center" wrapText="1"/>
    </xf>
    <xf numFmtId="43" fontId="40" fillId="0" borderId="17" xfId="6" applyFont="1" applyFill="1" applyBorder="1" applyAlignment="1">
      <alignment horizontal="center" vertical="center" wrapText="1"/>
    </xf>
    <xf numFmtId="2" fontId="41" fillId="0" borderId="0" xfId="0" applyNumberFormat="1" applyFont="1" applyAlignment="1">
      <alignment horizontal="center" vertical="center" wrapText="1"/>
    </xf>
    <xf numFmtId="2" fontId="41" fillId="0" borderId="41" xfId="0" applyNumberFormat="1" applyFont="1" applyBorder="1" applyAlignment="1">
      <alignment horizontal="center" vertical="center" wrapText="1"/>
    </xf>
    <xf numFmtId="43" fontId="42" fillId="29" borderId="17" xfId="6" applyFont="1" applyFill="1" applyBorder="1" applyAlignment="1">
      <alignment horizontal="right" vertical="center" wrapText="1"/>
    </xf>
    <xf numFmtId="2" fontId="41" fillId="0" borderId="0" xfId="0" applyNumberFormat="1" applyFont="1" applyAlignment="1">
      <alignment horizontal="right" vertical="center" wrapText="1"/>
    </xf>
    <xf numFmtId="2" fontId="41" fillId="0" borderId="42" xfId="0" applyNumberFormat="1" applyFont="1" applyBorder="1" applyAlignment="1">
      <alignment horizontal="center" vertical="center" wrapText="1"/>
    </xf>
    <xf numFmtId="0" fontId="35" fillId="0" borderId="17" xfId="0" applyFont="1" applyBorder="1" applyAlignment="1">
      <alignment horizontal="center" vertical="center"/>
    </xf>
    <xf numFmtId="43" fontId="31" fillId="29" borderId="17" xfId="6" applyFont="1" applyFill="1" applyBorder="1"/>
    <xf numFmtId="43" fontId="35" fillId="29" borderId="17" xfId="6" applyFont="1" applyFill="1" applyBorder="1" applyAlignment="1">
      <alignment horizontal="right" vertical="center"/>
    </xf>
    <xf numFmtId="0" fontId="39" fillId="4" borderId="39" xfId="0" applyFont="1" applyFill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26" borderId="39" xfId="0" applyFont="1" applyFill="1" applyBorder="1" applyAlignment="1">
      <alignment horizontal="center" vertical="center" wrapText="1"/>
    </xf>
    <xf numFmtId="0" fontId="41" fillId="26" borderId="42" xfId="0" applyFont="1" applyFill="1" applyBorder="1" applyAlignment="1">
      <alignment horizontal="center" vertical="center" wrapText="1"/>
    </xf>
    <xf numFmtId="0" fontId="41" fillId="22" borderId="42" xfId="0" applyFont="1" applyFill="1" applyBorder="1" applyAlignment="1">
      <alignment horizontal="center" vertical="center" wrapText="1"/>
    </xf>
    <xf numFmtId="0" fontId="41" fillId="2" borderId="42" xfId="0" applyFont="1" applyFill="1" applyBorder="1" applyAlignment="1">
      <alignment horizontal="center" vertical="center" wrapText="1"/>
    </xf>
    <xf numFmtId="0" fontId="41" fillId="6" borderId="42" xfId="0" applyFont="1" applyFill="1" applyBorder="1" applyAlignment="1">
      <alignment horizontal="center" vertical="center" wrapText="1"/>
    </xf>
    <xf numFmtId="0" fontId="40" fillId="0" borderId="43" xfId="0" applyFont="1" applyBorder="1" applyAlignment="1">
      <alignment horizontal="center" vertical="center" wrapText="1"/>
    </xf>
    <xf numFmtId="43" fontId="42" fillId="4" borderId="17" xfId="6" applyFont="1" applyFill="1" applyBorder="1" applyAlignment="1">
      <alignment horizontal="right" vertical="center" wrapText="1"/>
    </xf>
    <xf numFmtId="182" fontId="0" fillId="0" borderId="0" xfId="0" applyNumberFormat="1"/>
    <xf numFmtId="0" fontId="41" fillId="0" borderId="39" xfId="0" applyFont="1" applyBorder="1" applyAlignment="1">
      <alignment horizontal="center" vertical="center" wrapText="1"/>
    </xf>
    <xf numFmtId="43" fontId="40" fillId="4" borderId="17" xfId="6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3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168" fontId="0" fillId="0" borderId="23" xfId="0" applyNumberFormat="1" applyBorder="1" applyAlignment="1">
      <alignment vertical="center"/>
    </xf>
    <xf numFmtId="167" fontId="0" fillId="0" borderId="23" xfId="0" applyNumberFormat="1" applyBorder="1" applyAlignment="1">
      <alignment vertical="center"/>
    </xf>
    <xf numFmtId="43" fontId="0" fillId="0" borderId="23" xfId="0" applyNumberFormat="1" applyBorder="1" applyAlignment="1">
      <alignment vertical="center"/>
    </xf>
    <xf numFmtId="179" fontId="0" fillId="0" borderId="23" xfId="0" applyNumberFormat="1" applyBorder="1" applyAlignment="1">
      <alignment vertical="center"/>
    </xf>
    <xf numFmtId="9" fontId="21" fillId="13" borderId="23" xfId="0" applyNumberFormat="1" applyFont="1" applyFill="1" applyBorder="1" applyAlignment="1">
      <alignment vertical="center"/>
    </xf>
    <xf numFmtId="1" fontId="33" fillId="2" borderId="17" xfId="0" applyNumberFormat="1" applyFont="1" applyFill="1" applyBorder="1" applyAlignment="1">
      <alignment vertical="center"/>
    </xf>
    <xf numFmtId="43" fontId="0" fillId="0" borderId="0" xfId="6" applyFont="1" applyAlignment="1">
      <alignment vertical="center"/>
    </xf>
    <xf numFmtId="2" fontId="10" fillId="8" borderId="17" xfId="3" applyNumberFormat="1" applyFont="1" applyFill="1" applyBorder="1" applyAlignment="1">
      <alignment vertical="center"/>
    </xf>
    <xf numFmtId="9" fontId="6" fillId="0" borderId="0" xfId="0" applyNumberFormat="1" applyFont="1" applyAlignment="1">
      <alignment vertical="center"/>
    </xf>
    <xf numFmtId="1" fontId="32" fillId="9" borderId="1" xfId="4" applyNumberFormat="1" applyFont="1" applyFill="1" applyBorder="1" applyAlignment="1">
      <alignment horizontal="center" vertical="center"/>
    </xf>
    <xf numFmtId="43" fontId="40" fillId="28" borderId="17" xfId="6" applyFont="1" applyFill="1" applyBorder="1" applyAlignment="1">
      <alignment horizontal="center" vertical="center" wrapText="1"/>
    </xf>
    <xf numFmtId="0" fontId="45" fillId="15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46" fillId="0" borderId="0" xfId="0" applyFont="1" applyAlignment="1">
      <alignment horizontal="center" vertical="center"/>
    </xf>
    <xf numFmtId="0" fontId="47" fillId="0" borderId="0" xfId="0" applyFont="1" applyAlignment="1">
      <alignment vertical="center"/>
    </xf>
    <xf numFmtId="0" fontId="45" fillId="0" borderId="17" xfId="0" applyFont="1" applyBorder="1" applyAlignment="1">
      <alignment horizontal="center" vertical="center"/>
    </xf>
    <xf numFmtId="0" fontId="45" fillId="15" borderId="17" xfId="0" applyFont="1" applyFill="1" applyBorder="1" applyAlignment="1">
      <alignment horizontal="center" vertical="center" readingOrder="1"/>
    </xf>
    <xf numFmtId="0" fontId="4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40" fontId="35" fillId="0" borderId="17" xfId="0" applyNumberFormat="1" applyFont="1" applyBorder="1" applyAlignment="1">
      <alignment horizontal="center" vertical="center"/>
    </xf>
    <xf numFmtId="40" fontId="35" fillId="0" borderId="0" xfId="0" applyNumberFormat="1" applyFont="1" applyAlignment="1">
      <alignment vertical="center"/>
    </xf>
    <xf numFmtId="2" fontId="7" fillId="0" borderId="0" xfId="0" applyNumberFormat="1" applyFont="1"/>
    <xf numFmtId="40" fontId="35" fillId="0" borderId="0" xfId="0" applyNumberFormat="1" applyFont="1" applyAlignment="1">
      <alignment horizontal="left" vertical="center"/>
    </xf>
    <xf numFmtId="40" fontId="35" fillId="2" borderId="17" xfId="0" applyNumberFormat="1" applyFont="1" applyFill="1" applyBorder="1" applyAlignment="1">
      <alignment horizontal="center" vertical="center"/>
    </xf>
    <xf numFmtId="40" fontId="35" fillId="0" borderId="0" xfId="0" applyNumberFormat="1" applyFont="1" applyAlignment="1">
      <alignment horizontal="center" vertical="center"/>
    </xf>
    <xf numFmtId="168" fontId="6" fillId="0" borderId="26" xfId="3" applyNumberFormat="1" applyFont="1" applyBorder="1" applyAlignment="1">
      <alignment vertical="center"/>
    </xf>
    <xf numFmtId="166" fontId="9" fillId="0" borderId="26" xfId="3" applyNumberFormat="1" applyFont="1" applyBorder="1" applyAlignment="1">
      <alignment vertical="center"/>
    </xf>
    <xf numFmtId="166" fontId="10" fillId="2" borderId="0" xfId="0" applyNumberFormat="1" applyFont="1" applyFill="1" applyAlignment="1">
      <alignment vertical="center"/>
    </xf>
    <xf numFmtId="171" fontId="0" fillId="2" borderId="0" xfId="0" applyNumberFormat="1" applyFill="1" applyAlignment="1">
      <alignment vertical="center"/>
    </xf>
    <xf numFmtId="43" fontId="15" fillId="2" borderId="0" xfId="0" applyNumberFormat="1" applyFont="1" applyFill="1" applyAlignment="1">
      <alignment vertical="center"/>
    </xf>
    <xf numFmtId="166" fontId="30" fillId="0" borderId="26" xfId="3" applyNumberFormat="1" applyFont="1" applyBorder="1" applyAlignment="1">
      <alignment vertical="center"/>
    </xf>
    <xf numFmtId="0" fontId="41" fillId="0" borderId="42" xfId="0" applyFont="1" applyBorder="1" applyAlignment="1">
      <alignment horizontal="center" vertical="center" wrapText="1"/>
    </xf>
    <xf numFmtId="2" fontId="0" fillId="4" borderId="23" xfId="0" applyNumberFormat="1" applyFill="1" applyBorder="1" applyAlignment="1">
      <alignment vertical="center"/>
    </xf>
    <xf numFmtId="43" fontId="24" fillId="2" borderId="0" xfId="0" applyNumberFormat="1" applyFont="1" applyFill="1" applyAlignment="1">
      <alignment vertical="center"/>
    </xf>
    <xf numFmtId="171" fontId="24" fillId="2" borderId="0" xfId="0" applyNumberFormat="1" applyFont="1" applyFill="1" applyAlignment="1">
      <alignment vertical="center"/>
    </xf>
    <xf numFmtId="179" fontId="19" fillId="0" borderId="23" xfId="4" applyNumberFormat="1" applyFont="1" applyFill="1" applyBorder="1" applyAlignment="1">
      <alignment vertical="center"/>
    </xf>
    <xf numFmtId="9" fontId="21" fillId="0" borderId="23" xfId="0" applyNumberFormat="1" applyFont="1" applyBorder="1" applyAlignment="1">
      <alignment vertical="center"/>
    </xf>
    <xf numFmtId="167" fontId="48" fillId="16" borderId="0" xfId="4" applyFont="1" applyFill="1" applyBorder="1" applyAlignment="1">
      <alignment vertical="center"/>
    </xf>
    <xf numFmtId="167" fontId="18" fillId="16" borderId="34" xfId="4" applyFont="1" applyFill="1" applyBorder="1" applyAlignment="1">
      <alignment vertical="center"/>
    </xf>
    <xf numFmtId="4" fontId="14" fillId="16" borderId="35" xfId="0" applyNumberFormat="1" applyFont="1" applyFill="1" applyBorder="1" applyAlignment="1">
      <alignment vertical="center"/>
    </xf>
    <xf numFmtId="168" fontId="14" fillId="16" borderId="35" xfId="0" applyNumberFormat="1" applyFont="1" applyFill="1" applyBorder="1" applyAlignment="1">
      <alignment vertical="center"/>
    </xf>
    <xf numFmtId="4" fontId="2" fillId="2" borderId="36" xfId="0" applyNumberFormat="1" applyFont="1" applyFill="1" applyBorder="1" applyAlignment="1">
      <alignment vertical="center"/>
    </xf>
    <xf numFmtId="2" fontId="0" fillId="0" borderId="23" xfId="0" applyNumberFormat="1" applyBorder="1" applyAlignment="1">
      <alignment vertical="center"/>
    </xf>
    <xf numFmtId="0" fontId="0" fillId="0" borderId="0" xfId="0" quotePrefix="1"/>
    <xf numFmtId="9" fontId="0" fillId="0" borderId="0" xfId="0" quotePrefix="1" applyNumberFormat="1"/>
    <xf numFmtId="0" fontId="0" fillId="4" borderId="0" xfId="0" quotePrefix="1" applyFill="1" applyAlignment="1">
      <alignment vertical="center"/>
    </xf>
    <xf numFmtId="0" fontId="15" fillId="2" borderId="0" xfId="0" applyFont="1" applyFill="1"/>
    <xf numFmtId="0" fontId="0" fillId="4" borderId="44" xfId="0" applyFill="1" applyBorder="1" applyAlignment="1">
      <alignment vertical="center"/>
    </xf>
    <xf numFmtId="0" fontId="0" fillId="4" borderId="44" xfId="0" applyFill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2" fillId="4" borderId="44" xfId="0" applyFont="1" applyFill="1" applyBorder="1" applyAlignment="1">
      <alignment vertical="center"/>
    </xf>
    <xf numFmtId="0" fontId="0" fillId="0" borderId="44" xfId="0" applyBorder="1"/>
    <xf numFmtId="179" fontId="0" fillId="0" borderId="44" xfId="0" applyNumberFormat="1" applyBorder="1" applyAlignment="1">
      <alignment horizontal="center"/>
    </xf>
    <xf numFmtId="43" fontId="0" fillId="0" borderId="44" xfId="0" applyNumberFormat="1" applyBorder="1" applyAlignment="1">
      <alignment horizontal="center"/>
    </xf>
    <xf numFmtId="0" fontId="18" fillId="10" borderId="5" xfId="3" applyFont="1" applyFill="1" applyBorder="1" applyAlignment="1">
      <alignment horizontal="center" vertical="center" wrapText="1"/>
    </xf>
    <xf numFmtId="0" fontId="18" fillId="10" borderId="6" xfId="3" applyFont="1" applyFill="1" applyBorder="1" applyAlignment="1">
      <alignment horizontal="center" vertical="center" wrapText="1"/>
    </xf>
    <xf numFmtId="0" fontId="18" fillId="10" borderId="4" xfId="3" applyFont="1" applyFill="1" applyBorder="1" applyAlignment="1">
      <alignment horizontal="center" vertical="center" wrapText="1"/>
    </xf>
    <xf numFmtId="0" fontId="13" fillId="11" borderId="0" xfId="0" applyFont="1" applyFill="1" applyAlignment="1">
      <alignment horizontal="left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8" fillId="10" borderId="1" xfId="3" applyFont="1" applyFill="1" applyBorder="1" applyAlignment="1">
      <alignment horizontal="center" vertical="center" wrapText="1"/>
    </xf>
    <xf numFmtId="0" fontId="18" fillId="3" borderId="1" xfId="3" applyFont="1" applyFill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17" xfId="0" applyFont="1" applyBorder="1" applyAlignment="1">
      <alignment horizontal="center" vertical="center"/>
    </xf>
    <xf numFmtId="0" fontId="45" fillId="15" borderId="17" xfId="0" applyFont="1" applyFill="1" applyBorder="1" applyAlignment="1">
      <alignment horizontal="center" vertical="center"/>
    </xf>
    <xf numFmtId="0" fontId="41" fillId="0" borderId="37" xfId="0" applyFont="1" applyBorder="1" applyAlignment="1">
      <alignment horizontal="center" vertical="center" wrapText="1"/>
    </xf>
    <xf numFmtId="0" fontId="41" fillId="0" borderId="38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26" borderId="37" xfId="0" applyFont="1" applyFill="1" applyBorder="1" applyAlignment="1">
      <alignment horizontal="center" vertical="center" textRotation="90" wrapText="1"/>
    </xf>
    <xf numFmtId="0" fontId="41" fillId="26" borderId="38" xfId="0" applyFont="1" applyFill="1" applyBorder="1" applyAlignment="1">
      <alignment horizontal="center" vertical="center" textRotation="90" wrapText="1"/>
    </xf>
    <xf numFmtId="0" fontId="41" fillId="26" borderId="40" xfId="0" applyFont="1" applyFill="1" applyBorder="1" applyAlignment="1">
      <alignment horizontal="center" vertical="center" textRotation="90" wrapText="1"/>
    </xf>
    <xf numFmtId="0" fontId="34" fillId="26" borderId="34" xfId="0" applyFont="1" applyFill="1" applyBorder="1" applyAlignment="1">
      <alignment horizontal="center" vertical="center"/>
    </xf>
    <xf numFmtId="0" fontId="34" fillId="26" borderId="35" xfId="0" applyFont="1" applyFill="1" applyBorder="1" applyAlignment="1">
      <alignment horizontal="center" vertical="center"/>
    </xf>
    <xf numFmtId="0" fontId="34" fillId="26" borderId="36" xfId="0" applyFont="1" applyFill="1" applyBorder="1" applyAlignment="1">
      <alignment horizontal="center" vertical="center"/>
    </xf>
    <xf numFmtId="0" fontId="35" fillId="26" borderId="37" xfId="0" applyFont="1" applyFill="1" applyBorder="1" applyAlignment="1">
      <alignment horizontal="center" vertical="center" wrapText="1"/>
    </xf>
    <xf numFmtId="0" fontId="35" fillId="26" borderId="38" xfId="0" applyFont="1" applyFill="1" applyBorder="1" applyAlignment="1">
      <alignment horizontal="center" vertical="center" wrapText="1"/>
    </xf>
    <xf numFmtId="0" fontId="35" fillId="26" borderId="40" xfId="0" applyFont="1" applyFill="1" applyBorder="1" applyAlignment="1">
      <alignment horizontal="center" vertical="center" wrapText="1"/>
    </xf>
    <xf numFmtId="0" fontId="35" fillId="26" borderId="34" xfId="0" applyFont="1" applyFill="1" applyBorder="1" applyAlignment="1">
      <alignment horizontal="center" vertical="center" wrapText="1"/>
    </xf>
    <xf numFmtId="0" fontId="35" fillId="26" borderId="35" xfId="0" applyFont="1" applyFill="1" applyBorder="1" applyAlignment="1">
      <alignment horizontal="center" vertical="center" wrapText="1"/>
    </xf>
    <xf numFmtId="0" fontId="35" fillId="26" borderId="36" xfId="0" applyFont="1" applyFill="1" applyBorder="1" applyAlignment="1">
      <alignment horizontal="center" vertical="center" wrapText="1"/>
    </xf>
    <xf numFmtId="0" fontId="39" fillId="0" borderId="37" xfId="0" applyFont="1" applyBorder="1" applyAlignment="1">
      <alignment horizontal="center" vertical="center" wrapText="1"/>
    </xf>
    <xf numFmtId="0" fontId="39" fillId="0" borderId="40" xfId="0" applyFont="1" applyBorder="1" applyAlignment="1">
      <alignment horizontal="center" vertical="center" wrapText="1"/>
    </xf>
    <xf numFmtId="0" fontId="39" fillId="0" borderId="38" xfId="0" applyFont="1" applyBorder="1" applyAlignment="1">
      <alignment horizontal="center" vertical="center" wrapText="1"/>
    </xf>
    <xf numFmtId="0" fontId="39" fillId="4" borderId="37" xfId="0" applyFont="1" applyFill="1" applyBorder="1" applyAlignment="1">
      <alignment horizontal="center" vertical="center" wrapText="1"/>
    </xf>
    <xf numFmtId="0" fontId="39" fillId="4" borderId="38" xfId="0" applyFont="1" applyFill="1" applyBorder="1" applyAlignment="1">
      <alignment horizontal="center" vertical="center" wrapText="1"/>
    </xf>
    <xf numFmtId="0" fontId="39" fillId="4" borderId="40" xfId="0" applyFont="1" applyFill="1" applyBorder="1" applyAlignment="1">
      <alignment horizontal="center" vertical="center" wrapText="1"/>
    </xf>
    <xf numFmtId="0" fontId="41" fillId="26" borderId="37" xfId="0" applyFont="1" applyFill="1" applyBorder="1" applyAlignment="1">
      <alignment horizontal="center" vertical="center" wrapText="1"/>
    </xf>
    <xf numFmtId="0" fontId="41" fillId="26" borderId="38" xfId="0" applyFont="1" applyFill="1" applyBorder="1" applyAlignment="1">
      <alignment horizontal="center" vertical="center" wrapText="1"/>
    </xf>
    <xf numFmtId="0" fontId="41" fillId="26" borderId="40" xfId="0" applyFont="1" applyFill="1" applyBorder="1" applyAlignment="1">
      <alignment horizontal="center" vertical="center" wrapText="1"/>
    </xf>
    <xf numFmtId="0" fontId="43" fillId="26" borderId="34" xfId="0" applyFont="1" applyFill="1" applyBorder="1" applyAlignment="1">
      <alignment horizontal="center" vertical="center" wrapText="1"/>
    </xf>
    <xf numFmtId="0" fontId="43" fillId="26" borderId="35" xfId="0" applyFont="1" applyFill="1" applyBorder="1" applyAlignment="1">
      <alignment horizontal="center" vertical="center" wrapText="1"/>
    </xf>
    <xf numFmtId="0" fontId="43" fillId="26" borderId="36" xfId="0" applyFont="1" applyFill="1" applyBorder="1" applyAlignment="1">
      <alignment horizontal="center" vertical="center" wrapText="1"/>
    </xf>
    <xf numFmtId="0" fontId="41" fillId="26" borderId="34" xfId="0" applyFont="1" applyFill="1" applyBorder="1" applyAlignment="1">
      <alignment horizontal="center" vertical="center" wrapText="1"/>
    </xf>
    <xf numFmtId="0" fontId="41" fillId="26" borderId="36" xfId="0" applyFont="1" applyFill="1" applyBorder="1" applyAlignment="1">
      <alignment horizontal="center" vertical="center" wrapText="1"/>
    </xf>
    <xf numFmtId="0" fontId="41" fillId="26" borderId="35" xfId="0" applyFont="1" applyFill="1" applyBorder="1" applyAlignment="1">
      <alignment horizontal="center" vertical="center" wrapText="1"/>
    </xf>
    <xf numFmtId="0" fontId="2" fillId="30" borderId="7" xfId="0" applyFont="1" applyFill="1" applyBorder="1" applyAlignment="1">
      <alignment horizontal="center" vertical="center"/>
    </xf>
    <xf numFmtId="0" fontId="2" fillId="30" borderId="8" xfId="0" applyFont="1" applyFill="1" applyBorder="1" applyAlignment="1">
      <alignment horizontal="center" vertical="center"/>
    </xf>
    <xf numFmtId="0" fontId="2" fillId="30" borderId="9" xfId="0" applyFont="1" applyFill="1" applyBorder="1" applyAlignment="1">
      <alignment horizontal="center" vertical="center"/>
    </xf>
    <xf numFmtId="0" fontId="20" fillId="30" borderId="44" xfId="0" applyFont="1" applyFill="1" applyBorder="1" applyAlignment="1">
      <alignment horizontal="center" vertical="center"/>
    </xf>
    <xf numFmtId="4" fontId="0" fillId="0" borderId="44" xfId="0" applyNumberFormat="1" applyBorder="1" applyAlignment="1">
      <alignment horizontal="center"/>
    </xf>
    <xf numFmtId="0" fontId="0" fillId="0" borderId="44" xfId="0" applyBorder="1" applyAlignment="1">
      <alignment horizontal="center"/>
    </xf>
    <xf numFmtId="0" fontId="18" fillId="15" borderId="18" xfId="3" applyFont="1" applyFill="1" applyBorder="1" applyAlignment="1">
      <alignment horizontal="center" vertical="center" wrapText="1"/>
    </xf>
    <xf numFmtId="0" fontId="18" fillId="15" borderId="19" xfId="3" applyFont="1" applyFill="1" applyBorder="1" applyAlignment="1">
      <alignment horizontal="center" vertical="center" wrapText="1"/>
    </xf>
    <xf numFmtId="0" fontId="18" fillId="2" borderId="18" xfId="3" applyFont="1" applyFill="1" applyBorder="1" applyAlignment="1">
      <alignment horizontal="center" vertical="center" wrapText="1"/>
    </xf>
    <xf numFmtId="0" fontId="18" fillId="2" borderId="19" xfId="3" applyFont="1" applyFill="1" applyBorder="1" applyAlignment="1">
      <alignment horizontal="center" vertical="center" wrapText="1"/>
    </xf>
    <xf numFmtId="0" fontId="18" fillId="25" borderId="18" xfId="3" applyFont="1" applyFill="1" applyBorder="1" applyAlignment="1">
      <alignment horizontal="center" vertical="center" wrapText="1"/>
    </xf>
    <xf numFmtId="0" fontId="18" fillId="25" borderId="19" xfId="3" applyFont="1" applyFill="1" applyBorder="1" applyAlignment="1">
      <alignment horizontal="center" vertical="center" wrapText="1"/>
    </xf>
    <xf numFmtId="0" fontId="18" fillId="24" borderId="18" xfId="3" applyFont="1" applyFill="1" applyBorder="1" applyAlignment="1">
      <alignment horizontal="center" vertical="center" wrapText="1"/>
    </xf>
    <xf numFmtId="0" fontId="18" fillId="24" borderId="19" xfId="3" applyFont="1" applyFill="1" applyBorder="1" applyAlignment="1">
      <alignment horizontal="center" vertical="center" wrapText="1"/>
    </xf>
    <xf numFmtId="0" fontId="18" fillId="14" borderId="18" xfId="3" applyFont="1" applyFill="1" applyBorder="1" applyAlignment="1">
      <alignment horizontal="center" vertical="center" wrapText="1"/>
    </xf>
    <xf numFmtId="0" fontId="18" fillId="14" borderId="19" xfId="3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8" fillId="18" borderId="18" xfId="3" applyFont="1" applyFill="1" applyBorder="1" applyAlignment="1">
      <alignment horizontal="center" vertical="center" wrapText="1"/>
    </xf>
    <xf numFmtId="0" fontId="18" fillId="18" borderId="19" xfId="3" applyFont="1" applyFill="1" applyBorder="1" applyAlignment="1">
      <alignment horizontal="center" vertical="center" wrapText="1"/>
    </xf>
  </cellXfs>
  <cellStyles count="11">
    <cellStyle name="A3 297 x 420 mm" xfId="7" xr:uid="{E431A7E5-D0D2-4F6F-A6C7-A72A5A33D4A3}"/>
    <cellStyle name="Moeda 2" xfId="8" xr:uid="{B8AED649-7916-410E-A156-F57C47A0A6D3}"/>
    <cellStyle name="Normal" xfId="0" builtinId="0"/>
    <cellStyle name="Normal 2" xfId="3" xr:uid="{AFC2B2FA-40FC-4774-B1AE-8E0BE0B202DE}"/>
    <cellStyle name="Normal 3" xfId="5" xr:uid="{E4375617-35D5-424B-9487-5217C71DDA20}"/>
    <cellStyle name="Porcentagem" xfId="2" builtinId="5"/>
    <cellStyle name="Vírgula" xfId="1" builtinId="3"/>
    <cellStyle name="Vírgula 2" xfId="4" xr:uid="{62B60EDE-065B-46CB-A7F8-BBC2E15A5250}"/>
    <cellStyle name="Vírgula 2 2" xfId="9" xr:uid="{CC0F34BE-8244-4D31-BFB1-0DA813F55087}"/>
    <cellStyle name="Vírgula 3" xfId="6" xr:uid="{B60B268E-0D72-4D6A-B88E-375132FC4FCD}"/>
    <cellStyle name="Vírgula 3 2" xfId="10" xr:uid="{A3E44B20-C938-4D96-981B-8BB3A4A69485}"/>
  </cellStyles>
  <dxfs count="154"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2"/>
      </font>
      <fill>
        <patternFill>
          <bgColor rgb="FFD60093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9D1EB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2"/>
      </font>
      <fill>
        <patternFill>
          <bgColor rgb="FFD60093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9D1EB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2"/>
      </font>
      <fill>
        <patternFill>
          <bgColor rgb="FFD60093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9D1EB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2"/>
      </font>
      <fill>
        <patternFill>
          <bgColor rgb="FFD60093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9D1EB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2"/>
      </font>
      <fill>
        <patternFill>
          <bgColor rgb="FFD60093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9D1EB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2"/>
      </font>
      <fill>
        <patternFill>
          <bgColor rgb="FFD60093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9D1EB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2"/>
      </font>
      <fill>
        <patternFill>
          <bgColor rgb="FFD60093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9D1EB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2"/>
      </font>
      <fill>
        <patternFill>
          <bgColor rgb="FFD60093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9D1EB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2"/>
      </font>
      <fill>
        <patternFill>
          <bgColor rgb="FFD60093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9D1EB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2"/>
      </font>
      <fill>
        <patternFill>
          <bgColor rgb="FFD60093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9D1EB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2"/>
      </font>
      <fill>
        <patternFill>
          <bgColor rgb="FFD60093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9D1EB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539152</xdr:colOff>
      <xdr:row>21</xdr:row>
      <xdr:rowOff>86264</xdr:rowOff>
    </xdr:from>
    <xdr:to>
      <xdr:col>22</xdr:col>
      <xdr:colOff>349692</xdr:colOff>
      <xdr:row>23</xdr:row>
      <xdr:rowOff>99225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B38E67B-6DA8-5D53-0C64-9D48252BA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8642" y="4507302"/>
          <a:ext cx="5892164" cy="379583"/>
        </a:xfrm>
        <a:prstGeom prst="rect">
          <a:avLst/>
        </a:prstGeom>
      </xdr:spPr>
    </xdr:pic>
    <xdr:clientData/>
  </xdr:twoCellAnchor>
  <xdr:twoCellAnchor editAs="oneCell">
    <xdr:from>
      <xdr:col>15</xdr:col>
      <xdr:colOff>194095</xdr:colOff>
      <xdr:row>24</xdr:row>
      <xdr:rowOff>161746</xdr:rowOff>
    </xdr:from>
    <xdr:to>
      <xdr:col>32</xdr:col>
      <xdr:colOff>621843</xdr:colOff>
      <xdr:row>68</xdr:row>
      <xdr:rowOff>110425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73D7DC5-DF97-894B-4CD8-4D6A10AAE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33585" y="5132717"/>
          <a:ext cx="13561466" cy="80143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24</xdr:row>
      <xdr:rowOff>0</xdr:rowOff>
    </xdr:from>
    <xdr:to>
      <xdr:col>23</xdr:col>
      <xdr:colOff>302252</xdr:colOff>
      <xdr:row>27</xdr:row>
      <xdr:rowOff>148843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0E3F3B2-21A7-4073-2396-CF134DBB6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20614" y="4970971"/>
          <a:ext cx="5995686" cy="69877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32</xdr:row>
      <xdr:rowOff>0</xdr:rowOff>
    </xdr:from>
    <xdr:to>
      <xdr:col>29</xdr:col>
      <xdr:colOff>267986</xdr:colOff>
      <xdr:row>77</xdr:row>
      <xdr:rowOff>162207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3EBE762-0B50-07BC-0F4B-933A9D0EA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20614" y="6437463"/>
          <a:ext cx="10360891" cy="84112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26</xdr:row>
      <xdr:rowOff>0</xdr:rowOff>
    </xdr:from>
    <xdr:to>
      <xdr:col>29</xdr:col>
      <xdr:colOff>354254</xdr:colOff>
      <xdr:row>69</xdr:row>
      <xdr:rowOff>54349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B2A56D5-A9B9-2BE8-D67C-0E381849A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34349" y="5337594"/>
          <a:ext cx="10447160" cy="7936736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22</xdr:col>
      <xdr:colOff>52030</xdr:colOff>
      <xdr:row>24</xdr:row>
      <xdr:rowOff>56095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4BFA38A-721B-1C60-EEE5-756EB4882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34349" y="4604349"/>
          <a:ext cx="4969087" cy="4227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496019</xdr:colOff>
      <xdr:row>21</xdr:row>
      <xdr:rowOff>161745</xdr:rowOff>
    </xdr:from>
    <xdr:to>
      <xdr:col>22</xdr:col>
      <xdr:colOff>146969</xdr:colOff>
      <xdr:row>23</xdr:row>
      <xdr:rowOff>148825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EC77151-A900-596C-2B63-CE43BD1B8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63878" y="4582783"/>
          <a:ext cx="5840402" cy="353702"/>
        </a:xfrm>
        <a:prstGeom prst="rect">
          <a:avLst/>
        </a:prstGeom>
      </xdr:spPr>
    </xdr:pic>
    <xdr:clientData/>
  </xdr:twoCellAnchor>
  <xdr:twoCellAnchor editAs="oneCell">
    <xdr:from>
      <xdr:col>15</xdr:col>
      <xdr:colOff>528368</xdr:colOff>
      <xdr:row>25</xdr:row>
      <xdr:rowOff>21567</xdr:rowOff>
    </xdr:from>
    <xdr:to>
      <xdr:col>29</xdr:col>
      <xdr:colOff>265871</xdr:colOff>
      <xdr:row>68</xdr:row>
      <xdr:rowOff>127677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2DDF848-2C29-BD50-9D03-12C6F1CEC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96227" y="5175850"/>
          <a:ext cx="11102804" cy="798849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25</xdr:row>
      <xdr:rowOff>0</xdr:rowOff>
    </xdr:from>
    <xdr:to>
      <xdr:col>22</xdr:col>
      <xdr:colOff>77910</xdr:colOff>
      <xdr:row>27</xdr:row>
      <xdr:rowOff>116483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063CD17-2055-E387-2ECB-29BFC0ED3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63745" y="5154283"/>
          <a:ext cx="4994968" cy="483106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31</xdr:col>
      <xdr:colOff>397457</xdr:colOff>
      <xdr:row>71</xdr:row>
      <xdr:rowOff>181587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EE9285D-2822-D2B6-6C38-9B904CEEC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63745" y="5887529"/>
          <a:ext cx="11741193" cy="790222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851857</xdr:colOff>
      <xdr:row>28</xdr:row>
      <xdr:rowOff>10781</xdr:rowOff>
    </xdr:from>
    <xdr:to>
      <xdr:col>21</xdr:col>
      <xdr:colOff>476873</xdr:colOff>
      <xdr:row>32</xdr:row>
      <xdr:rowOff>174732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532B161-11F7-525B-3C10-274712784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14838" y="5704215"/>
          <a:ext cx="4865564" cy="897196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35</xdr:row>
      <xdr:rowOff>0</xdr:rowOff>
    </xdr:from>
    <xdr:to>
      <xdr:col>29</xdr:col>
      <xdr:colOff>78213</xdr:colOff>
      <xdr:row>78</xdr:row>
      <xdr:rowOff>41411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814E00DA-1A92-9445-7EF8-5B970BA68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7189" y="6976614"/>
          <a:ext cx="10516175" cy="794536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\\fscoc10\CGC\CGFA\Faturamento\Gest&#227;o%20Faturamento\15%20-%20Relat&#243;rio%20Gerencial%20-%20CGC\Arquivos%20PRT\Processos%20Tarifarios\2024_RTA_EDP%20ES\Planilhas%20Valida&#231;&#227;o\NF3e%20Grupo%20A\EDP_ES_RTA_2024_Modelo_Grupo%20A.xlsx" TargetMode="External"/><Relationship Id="rId2" Type="http://schemas.microsoft.com/office/2019/04/relationships/externalLinkLongPath" Target="https://edponcloud-my.sharepoint.com/CGFA/Faturamento/Gest&#227;o%20Faturamento/15%20-%20Relat&#243;rio%20Gerencial%20-%20CGC/Arquivos%20PRT/Processos%20Tarifarios/2024_RTA_EDP%20ES/Planilhas%20Valida&#231;&#227;o/NF3e%20Grupo%20A/EDP_ES_RTA_2024_Modelo_Grupo%20A.xlsx?EF1E29F3" TargetMode="External"/><Relationship Id="rId1" Type="http://schemas.openxmlformats.org/officeDocument/2006/relationships/externalLinkPath" Target="file:///\\EF1E29F3\EDP_ES_RTA_2024_Modelo_Grupo%20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15%20-%20Relat&#243;rio%20Gerencial%20-%20CGC\Arquivos%20PRT\Processos%20Tarifarios\2023_RTA_EDP%20ES\Planilhas%20Valida&#231;&#227;o\EDP_ES_RTA_2023_Modelo_Grupo%20B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scoc10\CGC\CGFA\Faturamento\Gest&#227;o%20Faturamento\15%20-%20Relat&#243;rio%20Gerencial%20-%20CGC\Arquivos%20PRT\Processos%20Tarifarios\2024_RTA_EDP%20ES\Planilhas%20Valida&#231;&#227;o\NF3e%20Grupo%20B\EDP%20ES_Modelo_NFe_Grupo%20B.xlsx" TargetMode="External"/><Relationship Id="rId1" Type="http://schemas.openxmlformats.org/officeDocument/2006/relationships/externalLinkPath" Target="https://edponcloud-my.sharepoint.com/personal/e711156_edp_com_br/Documents/Documentos/Ivan%20Cavalcante/Faturamento/Contas-Teste/Di&#225;rio/2025/07%20-%20Julho/Lote%2043/EDP%20ES_Modelo_NFe_Grupo%20B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dponcloud-my.sharepoint.com/personal/e711156_edp_com_br/Documents/Documentos/Ivan%20Cavalcante/Faturamento/Contas-Teste/Di&#225;rio/2024/11%20-%20Novembro/Lote%2032/EDP_ES_RTA_2024_Modelo_Grupo%20B_MMGD_GDI_L32%20-%20202411.xlsx" TargetMode="External"/><Relationship Id="rId1" Type="http://schemas.openxmlformats.org/officeDocument/2006/relationships/externalLinkPath" Target="file:///\\fscoc10\CGC\personal\e711156_edp_com_br\Documents\Documentos\Ivan%20Cavalcante\Faturamento\Contas-Teste\Di&#225;rio\2024\11%20-%20Novembro\Lote%2032\EDP_ES_RTA_2024_Modelo_Grupo%20B_MMGD_GDI_L32%20-%2020241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15%20-%20Relat&#243;rio%20Gerencial%20-%20CGC\Arquivos%20PRT\Processos%20Tarifarios\2023_RTA_EDP%20ES\Planilhas%20Valida&#231;&#227;o\EDP_ES_RTA_2023_Modelo_Grupo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BANDEIRA"/>
      <sheetName val="Grupo A_FIO B"/>
      <sheetName val="TABELA DE TARIFAS ANTIGAS"/>
      <sheetName val="TABELA DE TARIFAS NOVAS"/>
      <sheetName val="A2 Azul"/>
      <sheetName val="A2 Azul (LIVRE) OK"/>
      <sheetName val="A3 Azul"/>
      <sheetName val="A3 Azul (LIVRE)"/>
      <sheetName val="A3a Azul"/>
      <sheetName val="A3a Azul (LIVRE) OK"/>
      <sheetName val="A3a Azul (AES)"/>
      <sheetName val="A3a Verde"/>
      <sheetName val="A3a Verde (LIVRE) OK"/>
      <sheetName val="A3a Verde Prop (AES)"/>
      <sheetName val="A4 Azul"/>
      <sheetName val="A4 Azul (LIVRE)"/>
      <sheetName val="A4 Azul (AES)"/>
      <sheetName val="A4 Azul (Rural)"/>
      <sheetName val="A4 Verde"/>
      <sheetName val="A4 Verde (Lim TUSD)"/>
      <sheetName val="A4 Verde (LIVRE)"/>
      <sheetName val="A4 Verde (AES)"/>
      <sheetName val="A4 Verde (Rural)"/>
      <sheetName val="A4 Verde (Rural IRRIG)"/>
      <sheetName val="V4 MMGD"/>
      <sheetName val="A4 MMGD"/>
      <sheetName val="O2 (Rur)"/>
      <sheetName val="O2 (Irr)"/>
      <sheetName val="O3"/>
      <sheetName val="A2 APE RC"/>
      <sheetName val="A2 APE"/>
      <sheetName val="A3A APE"/>
      <sheetName val="A4 APE"/>
      <sheetName val="V4 APE"/>
    </sheetNames>
    <sheetDataSet>
      <sheetData sheetId="0">
        <row r="5">
          <cell r="D5">
            <v>1.8849999999999999E-2</v>
          </cell>
        </row>
        <row r="6">
          <cell r="D6">
            <v>4.4630000000000003E-2</v>
          </cell>
        </row>
        <row r="7">
          <cell r="D7">
            <v>7.8770000000000007E-2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O B"/>
      <sheetName val="TABELA DE TARIFAS ANTIGAS"/>
      <sheetName val="TABELA DE TARIFAS NOVAS"/>
      <sheetName val="Fatura B1 (Res)"/>
      <sheetName val="Fatura B2 (Rur)"/>
      <sheetName val="Fatura B2 (Irr)"/>
      <sheetName val="Fatura B3"/>
      <sheetName val="Fatura B3 Lim Tusd"/>
      <sheetName val="Fatura B3 (AES)"/>
      <sheetName val="Fatura B3 CP"/>
      <sheetName val="Fatura B4a"/>
      <sheetName val="Baixa Renda"/>
      <sheetName val="Baixa Renda (QUI)"/>
      <sheetName val="Baixa Renda (IND)"/>
    </sheetNames>
    <sheetDataSet>
      <sheetData sheetId="0">
        <row r="11">
          <cell r="H11">
            <v>192.05</v>
          </cell>
          <cell r="K11">
            <v>176.52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O B"/>
      <sheetName val="TABELA DE TARIFAS ANTIGAS"/>
      <sheetName val="TABELA DE TARIFAS NOVAS"/>
      <sheetName val="Fatura B1 (Res) OK"/>
      <sheetName val="Fatura B2 (Rur) OK"/>
      <sheetName val="Fatura B2 (Irr) OK"/>
      <sheetName val="Fatura B3 OK"/>
      <sheetName val="Fatura B3 (AES)"/>
      <sheetName val="Fatura B3 (CP)"/>
      <sheetName val="Fatura B4a"/>
      <sheetName val="Baixa Renda"/>
      <sheetName val="Baixa Renda 1 OK"/>
      <sheetName val="Baixa Renda (INDIG) 1"/>
      <sheetName val="Baixa Renda (IND)"/>
    </sheetNames>
    <sheetDataSet>
      <sheetData sheetId="0">
        <row r="12">
          <cell r="H12">
            <v>176.52</v>
          </cell>
        </row>
      </sheetData>
      <sheetData sheetId="1">
        <row r="71">
          <cell r="G71">
            <v>392.53</v>
          </cell>
        </row>
      </sheetData>
      <sheetData sheetId="2">
        <row r="74">
          <cell r="G74">
            <v>289.35000000000002</v>
          </cell>
        </row>
      </sheetData>
      <sheetData sheetId="3">
        <row r="4">
          <cell r="N4">
            <v>1.8849999999999999E-2</v>
          </cell>
        </row>
        <row r="5">
          <cell r="N5">
            <v>4.4630000000000003E-2</v>
          </cell>
        </row>
        <row r="6">
          <cell r="N6">
            <v>7.8770000000000007E-2</v>
          </cell>
        </row>
      </sheetData>
      <sheetData sheetId="4">
        <row r="6">
          <cell r="R6">
            <v>0.17652000000000001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tura B1 (GD I)"/>
      <sheetName val="Fatura B1 (GD)"/>
      <sheetName val="Fatura B3 (GD)"/>
      <sheetName val="Fatura B2 (GD) OK"/>
      <sheetName val="Fatura B2 IRRIG (GD) OK"/>
      <sheetName val="Fatura B1 BRe (GD) OK"/>
      <sheetName val="B1 Res (GD) Branca OK"/>
      <sheetName val="B2 GD Branca"/>
      <sheetName val="B3 GD Branca "/>
      <sheetName val="V4 MMGD GDII"/>
      <sheetName val="A4 MMGD GDII"/>
      <sheetName val="Fatura B1 (GD II) (Baixa Re (2)"/>
    </sheetNames>
    <sheetDataSet>
      <sheetData sheetId="0" refreshError="1"/>
      <sheetData sheetId="1">
        <row r="2">
          <cell r="F2">
            <v>45511</v>
          </cell>
        </row>
        <row r="4">
          <cell r="F4" t="str">
            <v>TARIFA NOVA - REH xxxx/2024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DEIRA"/>
      <sheetName val="Grupo A_FIO B"/>
      <sheetName val="TABELA DE TARIFAS ANTIGAS"/>
      <sheetName val="TABELA DE TARIFAS NOVAS"/>
      <sheetName val="A2 Azul"/>
      <sheetName val="A2 Azul (LIVRE)"/>
      <sheetName val="A3 Azul"/>
      <sheetName val="A3 Azul (LIVRE)"/>
      <sheetName val="A3a Azul"/>
      <sheetName val="A3a Azul (LIVRE)"/>
      <sheetName val="A3a Azul (AES)"/>
      <sheetName val="A3a Verde"/>
      <sheetName val="A3a Verde (LIVRE)"/>
      <sheetName val="A3a Verde Prop (AES)"/>
      <sheetName val="A4 Azul"/>
      <sheetName val="A4 Azul (LIVRE)"/>
      <sheetName val="A4 Azul (AES)"/>
      <sheetName val="A4 Azul (Rural)"/>
      <sheetName val="A4 Verde"/>
      <sheetName val="A4 Verde (Lim TUSD)"/>
      <sheetName val="A4 Verde (LIVRE)"/>
      <sheetName val="A4 Verde (AES)"/>
      <sheetName val="A4 Verde (Rural)"/>
      <sheetName val="A4 Verde (Rural IRRIG)"/>
      <sheetName val="V4 MMGD"/>
      <sheetName val="A4 MMGD"/>
      <sheetName val="O2 (Rur)"/>
      <sheetName val="O2 (Irr)"/>
      <sheetName val="O3"/>
      <sheetName val="A2 APE RC"/>
      <sheetName val="A2 APE"/>
      <sheetName val="A3A APE"/>
      <sheetName val="A4 APE"/>
      <sheetName val="V4 APE"/>
    </sheetNames>
    <sheetDataSet>
      <sheetData sheetId="0">
        <row r="4">
          <cell r="D4">
            <v>0</v>
          </cell>
        </row>
        <row r="5">
          <cell r="D5">
            <v>2.989E-2</v>
          </cell>
        </row>
        <row r="6">
          <cell r="D6">
            <v>6.5000000000000002E-2</v>
          </cell>
        </row>
        <row r="7">
          <cell r="D7">
            <v>9.7949999999999995E-2</v>
          </cell>
        </row>
        <row r="8">
          <cell r="D8">
            <v>0.14199999999999999</v>
          </cell>
        </row>
      </sheetData>
      <sheetData sheetId="1">
        <row r="49">
          <cell r="F49">
            <v>26.16</v>
          </cell>
          <cell r="I49">
            <v>24.04</v>
          </cell>
        </row>
        <row r="50">
          <cell r="G50">
            <v>935.88</v>
          </cell>
          <cell r="J50">
            <v>860.24</v>
          </cell>
        </row>
      </sheetData>
      <sheetData sheetId="2">
        <row r="52">
          <cell r="E52">
            <v>30.44</v>
          </cell>
        </row>
        <row r="53">
          <cell r="F53">
            <v>1240.02</v>
          </cell>
          <cell r="G53">
            <v>422.6</v>
          </cell>
        </row>
        <row r="54">
          <cell r="F54">
            <v>134.33000000000001</v>
          </cell>
          <cell r="G54">
            <v>263.8</v>
          </cell>
        </row>
        <row r="71">
          <cell r="G71">
            <v>396.81</v>
          </cell>
          <cell r="H71">
            <v>277.02999999999997</v>
          </cell>
        </row>
      </sheetData>
      <sheetData sheetId="3">
        <row r="52">
          <cell r="E52">
            <v>31.53</v>
          </cell>
        </row>
        <row r="53">
          <cell r="F53">
            <v>1267.83</v>
          </cell>
          <cell r="G53">
            <v>458.03</v>
          </cell>
        </row>
        <row r="54">
          <cell r="F54">
            <v>121.17</v>
          </cell>
          <cell r="G54">
            <v>290.41000000000003</v>
          </cell>
        </row>
        <row r="71">
          <cell r="G71">
            <v>392.53</v>
          </cell>
          <cell r="H71">
            <v>305.60000000000002</v>
          </cell>
        </row>
      </sheetData>
      <sheetData sheetId="4">
        <row r="2">
          <cell r="F2">
            <v>45145</v>
          </cell>
        </row>
        <row r="4">
          <cell r="C4" t="str">
            <v>TARIFA ANTIGA - REH 3091/2022</v>
          </cell>
          <cell r="D4"/>
          <cell r="E4"/>
          <cell r="F4" t="str">
            <v>TARIFA NOVA - REH 3241/2023</v>
          </cell>
          <cell r="G4"/>
          <cell r="H4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6">
          <cell r="C6">
            <v>45.59</v>
          </cell>
          <cell r="D6">
            <v>0.13433</v>
          </cell>
          <cell r="E6">
            <v>0.42260000000000003</v>
          </cell>
          <cell r="F6">
            <v>47.23</v>
          </cell>
          <cell r="G6">
            <v>0.12117</v>
          </cell>
          <cell r="H6">
            <v>0.45802999999999999</v>
          </cell>
        </row>
        <row r="7">
          <cell r="C7">
            <v>30.44</v>
          </cell>
          <cell r="D7">
            <v>0.13433</v>
          </cell>
          <cell r="E7">
            <v>0.26380000000000003</v>
          </cell>
          <cell r="F7">
            <v>31.53</v>
          </cell>
          <cell r="G7">
            <v>0.12117</v>
          </cell>
          <cell r="H7">
            <v>0.29041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C5196-DA1E-42B1-A381-B3A75BC247CA}">
  <dimension ref="B2:T45"/>
  <sheetViews>
    <sheetView workbookViewId="0">
      <selection activeCell="E3" sqref="E3:F3"/>
    </sheetView>
  </sheetViews>
  <sheetFormatPr defaultColWidth="9.125" defaultRowHeight="10.9" x14ac:dyDescent="0.2"/>
  <cols>
    <col min="1" max="1" width="9.125" style="415"/>
    <col min="2" max="2" width="11.125" style="414" bestFit="1" customWidth="1"/>
    <col min="3" max="3" width="13.75" style="414" bestFit="1" customWidth="1"/>
    <col min="4" max="4" width="16.75" style="414" bestFit="1" customWidth="1"/>
    <col min="5" max="5" width="31.75" style="414" bestFit="1" customWidth="1"/>
    <col min="6" max="6" width="7" style="414" bestFit="1" customWidth="1"/>
    <col min="7" max="10" width="9.125" style="414"/>
    <col min="11" max="11" width="13.125" style="414" customWidth="1"/>
    <col min="12" max="13" width="9.125" style="415"/>
    <col min="14" max="14" width="25.125" style="415" bestFit="1" customWidth="1"/>
    <col min="15" max="16" width="9.125" style="415"/>
    <col min="17" max="17" width="9.375" style="415" bestFit="1" customWidth="1"/>
    <col min="18" max="18" width="9.125" style="415"/>
    <col min="19" max="19" width="9.375" style="415" bestFit="1" customWidth="1"/>
    <col min="20" max="16384" width="9.125" style="415"/>
  </cols>
  <sheetData>
    <row r="2" spans="2:20" x14ac:dyDescent="0.2">
      <c r="B2" s="413" t="s">
        <v>30</v>
      </c>
    </row>
    <row r="3" spans="2:20" x14ac:dyDescent="0.2">
      <c r="K3" s="416"/>
      <c r="L3" s="417"/>
      <c r="M3" s="417"/>
      <c r="N3" s="417"/>
      <c r="O3" s="417"/>
      <c r="P3" s="417"/>
      <c r="Q3" s="417"/>
      <c r="R3" s="417"/>
      <c r="S3" s="417"/>
      <c r="T3" s="417"/>
    </row>
    <row r="4" spans="2:20" x14ac:dyDescent="0.2">
      <c r="B4" s="470" t="s">
        <v>283</v>
      </c>
      <c r="C4" s="470" t="s">
        <v>284</v>
      </c>
      <c r="D4" s="470" t="s">
        <v>374</v>
      </c>
      <c r="E4" s="470" t="s">
        <v>337</v>
      </c>
      <c r="F4" s="470" t="s">
        <v>286</v>
      </c>
      <c r="G4" s="470" t="s">
        <v>287</v>
      </c>
      <c r="H4" s="470"/>
      <c r="I4" s="470"/>
      <c r="J4" s="470"/>
      <c r="K4" s="470"/>
      <c r="L4" s="417"/>
      <c r="M4" s="417"/>
      <c r="N4" s="417"/>
      <c r="O4" s="417"/>
      <c r="P4" s="417"/>
      <c r="Q4" s="417"/>
      <c r="R4" s="417"/>
      <c r="S4" s="417"/>
      <c r="T4" s="417"/>
    </row>
    <row r="5" spans="2:20" x14ac:dyDescent="0.2">
      <c r="B5" s="470"/>
      <c r="C5" s="470"/>
      <c r="D5" s="470"/>
      <c r="E5" s="470"/>
      <c r="F5" s="470"/>
      <c r="G5" s="419" t="s">
        <v>388</v>
      </c>
      <c r="H5" s="419"/>
      <c r="I5" s="415"/>
      <c r="J5" s="471" t="s">
        <v>389</v>
      </c>
      <c r="K5" s="471"/>
      <c r="L5" s="417"/>
      <c r="M5" s="417"/>
      <c r="N5" s="417"/>
      <c r="O5" s="417"/>
      <c r="P5" s="417"/>
      <c r="Q5" s="468"/>
      <c r="R5" s="469"/>
      <c r="S5" s="417"/>
      <c r="T5" s="421"/>
    </row>
    <row r="6" spans="2:20" x14ac:dyDescent="0.2">
      <c r="B6" s="470"/>
      <c r="C6" s="470"/>
      <c r="D6" s="470"/>
      <c r="E6" s="470"/>
      <c r="F6" s="470"/>
      <c r="G6" s="418" t="s">
        <v>297</v>
      </c>
      <c r="H6" s="418" t="s">
        <v>298</v>
      </c>
      <c r="I6" s="415"/>
      <c r="J6" s="418" t="s">
        <v>297</v>
      </c>
      <c r="K6" s="418" t="s">
        <v>298</v>
      </c>
      <c r="L6" s="417"/>
      <c r="M6" s="417"/>
      <c r="N6" s="417"/>
      <c r="O6" s="417"/>
      <c r="P6" s="417"/>
      <c r="Q6" s="420"/>
      <c r="R6" s="420"/>
      <c r="S6" s="420"/>
      <c r="T6" s="420"/>
    </row>
    <row r="7" spans="2:20" x14ac:dyDescent="0.2">
      <c r="B7" s="384" t="s">
        <v>36</v>
      </c>
      <c r="C7" s="384" t="s">
        <v>339</v>
      </c>
      <c r="D7" s="384" t="s">
        <v>340</v>
      </c>
      <c r="E7" s="384" t="s">
        <v>340</v>
      </c>
      <c r="F7" s="384" t="s">
        <v>307</v>
      </c>
      <c r="G7" s="422">
        <v>0</v>
      </c>
      <c r="H7" s="422">
        <v>591.10909360219489</v>
      </c>
      <c r="I7" s="415"/>
      <c r="J7" s="422">
        <v>0</v>
      </c>
      <c r="K7" s="422">
        <v>606.53961736718702</v>
      </c>
      <c r="L7" s="423"/>
      <c r="M7" s="423"/>
      <c r="N7" s="423"/>
      <c r="O7" s="423"/>
      <c r="P7" s="423"/>
      <c r="Q7" s="424"/>
      <c r="S7" s="424"/>
    </row>
    <row r="8" spans="2:20" x14ac:dyDescent="0.2">
      <c r="B8" s="384" t="s">
        <v>36</v>
      </c>
      <c r="C8" s="384" t="s">
        <v>339</v>
      </c>
      <c r="D8" s="384" t="s">
        <v>340</v>
      </c>
      <c r="E8" s="384" t="s">
        <v>340</v>
      </c>
      <c r="F8" s="384" t="s">
        <v>341</v>
      </c>
      <c r="G8" s="422">
        <v>0</v>
      </c>
      <c r="H8" s="422">
        <v>354.66549637373629</v>
      </c>
      <c r="I8" s="415"/>
      <c r="J8" s="422">
        <v>0</v>
      </c>
      <c r="K8" s="422">
        <v>363.923811682451</v>
      </c>
      <c r="L8" s="423"/>
      <c r="M8" s="423"/>
      <c r="N8" s="423"/>
      <c r="O8" s="423"/>
      <c r="P8" s="423"/>
      <c r="Q8" s="424"/>
      <c r="S8" s="424"/>
    </row>
    <row r="9" spans="2:20" x14ac:dyDescent="0.2">
      <c r="B9" s="384" t="s">
        <v>36</v>
      </c>
      <c r="C9" s="384" t="s">
        <v>339</v>
      </c>
      <c r="D9" s="384" t="s">
        <v>340</v>
      </c>
      <c r="E9" s="384" t="s">
        <v>340</v>
      </c>
      <c r="F9" s="384" t="s">
        <v>309</v>
      </c>
      <c r="G9" s="422">
        <v>0</v>
      </c>
      <c r="H9" s="422">
        <v>118.2217986142293</v>
      </c>
      <c r="I9" s="415"/>
      <c r="J9" s="422">
        <v>0</v>
      </c>
      <c r="K9" s="422">
        <v>121.30790284236799</v>
      </c>
      <c r="L9" s="423"/>
      <c r="M9" s="423"/>
      <c r="N9" s="423"/>
      <c r="O9" s="423"/>
      <c r="P9" s="423"/>
      <c r="R9" s="424"/>
      <c r="T9" s="424"/>
    </row>
    <row r="10" spans="2:20" x14ac:dyDescent="0.2">
      <c r="B10" s="384" t="s">
        <v>36</v>
      </c>
      <c r="C10" s="384" t="s">
        <v>375</v>
      </c>
      <c r="D10" s="384" t="s">
        <v>340</v>
      </c>
      <c r="E10" s="384" t="s">
        <v>340</v>
      </c>
      <c r="F10" s="384" t="s">
        <v>306</v>
      </c>
      <c r="G10" s="422">
        <v>0</v>
      </c>
      <c r="H10" s="422">
        <v>203.83072193179135</v>
      </c>
      <c r="I10" s="415"/>
      <c r="J10" s="422">
        <v>0</v>
      </c>
      <c r="K10" s="422">
        <v>209.151592195582</v>
      </c>
      <c r="L10" s="423"/>
      <c r="M10" s="423"/>
      <c r="N10" s="423"/>
      <c r="O10" s="423"/>
      <c r="P10" s="423"/>
      <c r="R10" s="424"/>
      <c r="T10" s="424"/>
    </row>
    <row r="11" spans="2:20" x14ac:dyDescent="0.2">
      <c r="B11" s="384" t="s">
        <v>36</v>
      </c>
      <c r="C11" s="384" t="s">
        <v>332</v>
      </c>
      <c r="D11" s="384" t="s">
        <v>340</v>
      </c>
      <c r="E11" s="384" t="s">
        <v>340</v>
      </c>
      <c r="F11" s="384" t="s">
        <v>306</v>
      </c>
      <c r="G11" s="422">
        <v>0</v>
      </c>
      <c r="H11" s="422">
        <v>203.83072193179135</v>
      </c>
      <c r="I11" s="415"/>
      <c r="J11" s="422">
        <v>0</v>
      </c>
      <c r="K11" s="422">
        <v>209.151592195582</v>
      </c>
      <c r="L11" s="423"/>
      <c r="M11" s="423"/>
      <c r="N11" s="423"/>
      <c r="O11" s="423"/>
      <c r="P11" s="423"/>
      <c r="R11" s="424"/>
      <c r="T11" s="424"/>
    </row>
    <row r="12" spans="2:20" x14ac:dyDescent="0.2">
      <c r="B12" s="384" t="s">
        <v>36</v>
      </c>
      <c r="C12" s="384" t="s">
        <v>375</v>
      </c>
      <c r="D12" s="384" t="s">
        <v>340</v>
      </c>
      <c r="E12" s="384" t="s">
        <v>376</v>
      </c>
      <c r="F12" s="384" t="s">
        <v>306</v>
      </c>
      <c r="G12" s="422">
        <v>0</v>
      </c>
      <c r="H12" s="422">
        <v>203.83072193179135</v>
      </c>
      <c r="I12" s="415"/>
      <c r="J12" s="422">
        <v>0</v>
      </c>
      <c r="K12" s="422">
        <v>209.151592195582</v>
      </c>
      <c r="L12" s="423"/>
      <c r="M12" s="423"/>
      <c r="N12" s="425"/>
      <c r="O12" s="423"/>
      <c r="P12" s="423"/>
      <c r="R12" s="424"/>
      <c r="T12" s="424"/>
    </row>
    <row r="13" spans="2:20" x14ac:dyDescent="0.2">
      <c r="B13" s="384" t="s">
        <v>36</v>
      </c>
      <c r="C13" s="384" t="s">
        <v>332</v>
      </c>
      <c r="D13" s="384" t="s">
        <v>340</v>
      </c>
      <c r="E13" s="384" t="s">
        <v>376</v>
      </c>
      <c r="F13" s="384" t="s">
        <v>306</v>
      </c>
      <c r="G13" s="422">
        <v>0</v>
      </c>
      <c r="H13" s="422">
        <v>203.83072193179135</v>
      </c>
      <c r="I13" s="415"/>
      <c r="J13" s="422">
        <v>0</v>
      </c>
      <c r="K13" s="422">
        <v>209.151592195582</v>
      </c>
      <c r="L13" s="423"/>
      <c r="M13" s="423"/>
      <c r="N13" s="425"/>
      <c r="O13" s="423"/>
      <c r="P13" s="423"/>
      <c r="R13" s="424"/>
      <c r="T13" s="424"/>
    </row>
    <row r="14" spans="2:20" x14ac:dyDescent="0.2">
      <c r="B14" s="384" t="s">
        <v>36</v>
      </c>
      <c r="C14" s="384" t="s">
        <v>375</v>
      </c>
      <c r="D14" s="384" t="s">
        <v>340</v>
      </c>
      <c r="E14" s="384" t="s">
        <v>386</v>
      </c>
      <c r="F14" s="384" t="s">
        <v>306</v>
      </c>
      <c r="G14" s="422">
        <v>0</v>
      </c>
      <c r="H14" s="422">
        <v>203.83072193179135</v>
      </c>
      <c r="I14" s="415"/>
      <c r="J14" s="422">
        <v>0</v>
      </c>
      <c r="K14" s="422">
        <v>209.151592195582</v>
      </c>
      <c r="L14" s="423"/>
      <c r="M14" s="423"/>
      <c r="N14" s="425"/>
      <c r="O14" s="423"/>
      <c r="P14" s="423"/>
      <c r="R14" s="424"/>
      <c r="T14" s="424"/>
    </row>
    <row r="15" spans="2:20" x14ac:dyDescent="0.2">
      <c r="B15" s="384" t="s">
        <v>36</v>
      </c>
      <c r="C15" s="384" t="s">
        <v>332</v>
      </c>
      <c r="D15" s="384" t="s">
        <v>340</v>
      </c>
      <c r="E15" s="384" t="s">
        <v>386</v>
      </c>
      <c r="F15" s="384" t="s">
        <v>306</v>
      </c>
      <c r="G15" s="422">
        <v>0</v>
      </c>
      <c r="H15" s="422">
        <v>203.83072193179135</v>
      </c>
      <c r="I15" s="415"/>
      <c r="J15" s="422">
        <v>0</v>
      </c>
      <c r="K15" s="422">
        <v>209.151592195582</v>
      </c>
      <c r="L15" s="423"/>
      <c r="M15" s="423"/>
      <c r="N15" s="425"/>
      <c r="O15" s="423"/>
      <c r="P15" s="423"/>
      <c r="R15" s="424"/>
      <c r="T15" s="424"/>
    </row>
    <row r="16" spans="2:20" x14ac:dyDescent="0.2">
      <c r="B16" s="384" t="s">
        <v>67</v>
      </c>
      <c r="C16" s="384" t="s">
        <v>339</v>
      </c>
      <c r="D16" s="384" t="s">
        <v>343</v>
      </c>
      <c r="E16" s="384" t="s">
        <v>377</v>
      </c>
      <c r="F16" s="384" t="s">
        <v>307</v>
      </c>
      <c r="G16" s="422">
        <v>0</v>
      </c>
      <c r="H16" s="422">
        <v>693.02445456809062</v>
      </c>
      <c r="I16" s="415"/>
      <c r="J16" s="422">
        <v>0</v>
      </c>
      <c r="K16" s="422">
        <v>711.11541346497802</v>
      </c>
      <c r="L16" s="423"/>
      <c r="M16" s="423"/>
      <c r="N16" s="425"/>
      <c r="O16" s="423"/>
      <c r="P16" s="423"/>
      <c r="R16" s="424"/>
      <c r="T16" s="424"/>
    </row>
    <row r="17" spans="2:20" x14ac:dyDescent="0.2">
      <c r="B17" s="384" t="s">
        <v>67</v>
      </c>
      <c r="C17" s="384" t="s">
        <v>339</v>
      </c>
      <c r="D17" s="384" t="s">
        <v>343</v>
      </c>
      <c r="E17" s="384" t="s">
        <v>377</v>
      </c>
      <c r="F17" s="384" t="s">
        <v>341</v>
      </c>
      <c r="G17" s="422">
        <v>0</v>
      </c>
      <c r="H17" s="422">
        <v>415.81471295327373</v>
      </c>
      <c r="I17" s="415"/>
      <c r="J17" s="422">
        <v>0</v>
      </c>
      <c r="K17" s="422">
        <v>426.66928934112502</v>
      </c>
      <c r="L17" s="423"/>
      <c r="M17" s="423"/>
      <c r="N17" s="425"/>
      <c r="O17" s="423"/>
      <c r="P17" s="423"/>
      <c r="R17" s="424"/>
      <c r="T17" s="424"/>
    </row>
    <row r="18" spans="2:20" x14ac:dyDescent="0.2">
      <c r="B18" s="384" t="s">
        <v>67</v>
      </c>
      <c r="C18" s="384" t="s">
        <v>339</v>
      </c>
      <c r="D18" s="384" t="s">
        <v>343</v>
      </c>
      <c r="E18" s="384" t="s">
        <v>377</v>
      </c>
      <c r="F18" s="384" t="s">
        <v>309</v>
      </c>
      <c r="G18" s="422">
        <v>0</v>
      </c>
      <c r="H18" s="422">
        <v>138.60487080740845</v>
      </c>
      <c r="I18" s="415"/>
      <c r="J18" s="422">
        <v>0</v>
      </c>
      <c r="K18" s="422">
        <v>142.22306206192599</v>
      </c>
      <c r="L18" s="423"/>
      <c r="M18" s="423"/>
      <c r="N18" s="425"/>
      <c r="O18" s="423"/>
      <c r="P18" s="423"/>
      <c r="R18" s="424"/>
      <c r="T18" s="424"/>
    </row>
    <row r="19" spans="2:20" x14ac:dyDescent="0.2">
      <c r="B19" s="384" t="s">
        <v>67</v>
      </c>
      <c r="C19" s="384" t="s">
        <v>375</v>
      </c>
      <c r="D19" s="384" t="s">
        <v>343</v>
      </c>
      <c r="E19" s="384" t="s">
        <v>377</v>
      </c>
      <c r="F19" s="384" t="s">
        <v>306</v>
      </c>
      <c r="G19" s="422">
        <v>0</v>
      </c>
      <c r="H19" s="422">
        <v>203.83072193179135</v>
      </c>
      <c r="I19" s="415"/>
      <c r="J19" s="422">
        <v>0</v>
      </c>
      <c r="K19" s="422">
        <v>209.151592195582</v>
      </c>
      <c r="L19" s="423"/>
      <c r="M19" s="423"/>
      <c r="N19" s="425"/>
      <c r="O19" s="423"/>
      <c r="P19" s="423"/>
      <c r="R19" s="424"/>
      <c r="T19" s="424"/>
    </row>
    <row r="20" spans="2:20" x14ac:dyDescent="0.2">
      <c r="B20" s="384" t="s">
        <v>67</v>
      </c>
      <c r="C20" s="384" t="s">
        <v>332</v>
      </c>
      <c r="D20" s="384" t="s">
        <v>343</v>
      </c>
      <c r="E20" s="384" t="s">
        <v>377</v>
      </c>
      <c r="F20" s="384" t="s">
        <v>306</v>
      </c>
      <c r="G20" s="422">
        <v>0</v>
      </c>
      <c r="H20" s="422">
        <v>203.83072193179135</v>
      </c>
      <c r="I20" s="415"/>
      <c r="J20" s="422">
        <v>0</v>
      </c>
      <c r="K20" s="422">
        <v>209.151592195582</v>
      </c>
      <c r="L20" s="423"/>
      <c r="M20" s="423"/>
      <c r="N20" s="425"/>
      <c r="O20" s="423"/>
      <c r="P20" s="423"/>
      <c r="R20" s="424"/>
      <c r="T20" s="424"/>
    </row>
    <row r="21" spans="2:20" x14ac:dyDescent="0.2">
      <c r="B21" s="384" t="s">
        <v>67</v>
      </c>
      <c r="C21" s="384" t="s">
        <v>339</v>
      </c>
      <c r="D21" s="384" t="s">
        <v>343</v>
      </c>
      <c r="E21" s="384" t="s">
        <v>344</v>
      </c>
      <c r="F21" s="384" t="s">
        <v>307</v>
      </c>
      <c r="G21" s="422">
        <v>0</v>
      </c>
      <c r="H21" s="422">
        <v>693.02445456809062</v>
      </c>
      <c r="I21" s="415"/>
      <c r="J21" s="422">
        <v>0</v>
      </c>
      <c r="K21" s="422">
        <v>711.11541346497802</v>
      </c>
      <c r="L21" s="423"/>
      <c r="M21" s="423"/>
      <c r="N21" s="425"/>
      <c r="O21" s="423"/>
      <c r="P21" s="423"/>
      <c r="R21" s="424"/>
      <c r="T21" s="424"/>
    </row>
    <row r="22" spans="2:20" x14ac:dyDescent="0.2">
      <c r="B22" s="384" t="s">
        <v>67</v>
      </c>
      <c r="C22" s="384" t="s">
        <v>339</v>
      </c>
      <c r="D22" s="384" t="s">
        <v>343</v>
      </c>
      <c r="E22" s="384" t="s">
        <v>344</v>
      </c>
      <c r="F22" s="384" t="s">
        <v>341</v>
      </c>
      <c r="G22" s="422">
        <v>0</v>
      </c>
      <c r="H22" s="422">
        <v>415.81471295327373</v>
      </c>
      <c r="I22" s="415"/>
      <c r="J22" s="422">
        <v>0</v>
      </c>
      <c r="K22" s="422">
        <v>426.66928934112502</v>
      </c>
      <c r="L22" s="423"/>
      <c r="M22" s="423"/>
      <c r="N22" s="425"/>
      <c r="O22" s="423"/>
      <c r="P22" s="423"/>
      <c r="R22" s="424"/>
      <c r="T22" s="424"/>
    </row>
    <row r="23" spans="2:20" x14ac:dyDescent="0.2">
      <c r="B23" s="384" t="s">
        <v>67</v>
      </c>
      <c r="C23" s="384" t="s">
        <v>339</v>
      </c>
      <c r="D23" s="384" t="s">
        <v>343</v>
      </c>
      <c r="E23" s="384" t="s">
        <v>344</v>
      </c>
      <c r="F23" s="384" t="s">
        <v>309</v>
      </c>
      <c r="G23" s="422">
        <v>0</v>
      </c>
      <c r="H23" s="422">
        <v>138.60487080740845</v>
      </c>
      <c r="I23" s="415"/>
      <c r="J23" s="422">
        <v>0</v>
      </c>
      <c r="K23" s="422">
        <v>142.22306206192599</v>
      </c>
      <c r="L23" s="423"/>
      <c r="M23" s="423"/>
      <c r="N23" s="425"/>
      <c r="O23" s="423"/>
      <c r="P23" s="423"/>
      <c r="R23" s="424"/>
      <c r="T23" s="424"/>
    </row>
    <row r="24" spans="2:20" x14ac:dyDescent="0.2">
      <c r="B24" s="384" t="s">
        <v>67</v>
      </c>
      <c r="C24" s="384" t="s">
        <v>375</v>
      </c>
      <c r="D24" s="384" t="s">
        <v>343</v>
      </c>
      <c r="E24" s="384" t="s">
        <v>344</v>
      </c>
      <c r="F24" s="384" t="s">
        <v>306</v>
      </c>
      <c r="G24" s="422">
        <v>0</v>
      </c>
      <c r="H24" s="422">
        <v>203.83072193179135</v>
      </c>
      <c r="I24" s="415"/>
      <c r="J24" s="422">
        <v>0</v>
      </c>
      <c r="K24" s="422">
        <v>209.151592195582</v>
      </c>
      <c r="L24" s="423"/>
      <c r="M24" s="423"/>
      <c r="N24" s="423"/>
      <c r="O24" s="423"/>
      <c r="P24" s="423"/>
      <c r="R24" s="424"/>
      <c r="T24" s="424"/>
    </row>
    <row r="25" spans="2:20" x14ac:dyDescent="0.2">
      <c r="B25" s="384" t="s">
        <v>67</v>
      </c>
      <c r="C25" s="384" t="s">
        <v>332</v>
      </c>
      <c r="D25" s="384" t="s">
        <v>343</v>
      </c>
      <c r="E25" s="384" t="s">
        <v>344</v>
      </c>
      <c r="F25" s="384" t="s">
        <v>306</v>
      </c>
      <c r="G25" s="422">
        <v>0</v>
      </c>
      <c r="H25" s="422">
        <v>203.83072193179135</v>
      </c>
      <c r="I25" s="415"/>
      <c r="J25" s="422">
        <v>0</v>
      </c>
      <c r="K25" s="422">
        <v>209.151592195582</v>
      </c>
      <c r="L25" s="423"/>
      <c r="M25" s="423"/>
      <c r="N25" s="423"/>
      <c r="O25" s="423"/>
      <c r="P25" s="423"/>
      <c r="R25" s="424"/>
      <c r="T25" s="424"/>
    </row>
    <row r="26" spans="2:20" x14ac:dyDescent="0.2">
      <c r="B26" s="384" t="s">
        <v>67</v>
      </c>
      <c r="C26" s="384" t="s">
        <v>339</v>
      </c>
      <c r="D26" s="384" t="s">
        <v>343</v>
      </c>
      <c r="E26" s="384" t="s">
        <v>345</v>
      </c>
      <c r="F26" s="384" t="s">
        <v>307</v>
      </c>
      <c r="G26" s="422">
        <v>0</v>
      </c>
      <c r="H26" s="422">
        <v>693.02445456809062</v>
      </c>
      <c r="I26" s="415"/>
      <c r="J26" s="422">
        <v>0</v>
      </c>
      <c r="K26" s="422">
        <v>711.11541346497802</v>
      </c>
      <c r="L26" s="423"/>
      <c r="M26" s="423"/>
      <c r="N26" s="423"/>
      <c r="O26" s="423"/>
      <c r="P26" s="423"/>
      <c r="R26" s="424"/>
      <c r="T26" s="424"/>
    </row>
    <row r="27" spans="2:20" x14ac:dyDescent="0.2">
      <c r="B27" s="384" t="s">
        <v>67</v>
      </c>
      <c r="C27" s="384" t="s">
        <v>339</v>
      </c>
      <c r="D27" s="384" t="s">
        <v>343</v>
      </c>
      <c r="E27" s="384" t="s">
        <v>345</v>
      </c>
      <c r="F27" s="384" t="s">
        <v>341</v>
      </c>
      <c r="G27" s="422">
        <v>0</v>
      </c>
      <c r="H27" s="422">
        <v>415.81471295327373</v>
      </c>
      <c r="I27" s="415"/>
      <c r="J27" s="422">
        <v>0</v>
      </c>
      <c r="K27" s="422">
        <v>426.66928934112502</v>
      </c>
      <c r="L27" s="425"/>
      <c r="M27" s="423"/>
      <c r="N27" s="425"/>
      <c r="O27" s="423"/>
      <c r="P27" s="423"/>
      <c r="R27" s="424"/>
      <c r="T27" s="424"/>
    </row>
    <row r="28" spans="2:20" x14ac:dyDescent="0.2">
      <c r="B28" s="384" t="s">
        <v>67</v>
      </c>
      <c r="C28" s="384" t="s">
        <v>339</v>
      </c>
      <c r="D28" s="384" t="s">
        <v>343</v>
      </c>
      <c r="E28" s="384" t="s">
        <v>345</v>
      </c>
      <c r="F28" s="384" t="s">
        <v>309</v>
      </c>
      <c r="G28" s="422">
        <v>0</v>
      </c>
      <c r="H28" s="422">
        <v>138.60487080740845</v>
      </c>
      <c r="I28" s="415"/>
      <c r="J28" s="422">
        <v>0</v>
      </c>
      <c r="K28" s="422">
        <v>142.22306206192599</v>
      </c>
      <c r="L28" s="423"/>
      <c r="M28" s="423"/>
      <c r="N28" s="423"/>
      <c r="O28" s="423"/>
      <c r="P28" s="423"/>
      <c r="R28" s="424"/>
      <c r="T28" s="424"/>
    </row>
    <row r="29" spans="2:20" x14ac:dyDescent="0.2">
      <c r="B29" s="384" t="s">
        <v>67</v>
      </c>
      <c r="C29" s="384" t="s">
        <v>375</v>
      </c>
      <c r="D29" s="384" t="s">
        <v>343</v>
      </c>
      <c r="E29" s="384" t="s">
        <v>345</v>
      </c>
      <c r="F29" s="384" t="s">
        <v>306</v>
      </c>
      <c r="G29" s="422">
        <v>0</v>
      </c>
      <c r="H29" s="422">
        <v>203.83072193179135</v>
      </c>
      <c r="I29" s="415"/>
      <c r="J29" s="422">
        <v>0</v>
      </c>
      <c r="K29" s="422">
        <v>209.151592195582</v>
      </c>
      <c r="L29" s="423"/>
      <c r="M29" s="423"/>
      <c r="N29" s="423"/>
      <c r="O29" s="423"/>
      <c r="P29" s="423"/>
      <c r="R29" s="424"/>
      <c r="T29" s="424"/>
    </row>
    <row r="30" spans="2:20" x14ac:dyDescent="0.2">
      <c r="B30" s="384" t="s">
        <v>67</v>
      </c>
      <c r="C30" s="384" t="s">
        <v>332</v>
      </c>
      <c r="D30" s="384" t="s">
        <v>343</v>
      </c>
      <c r="E30" s="384" t="s">
        <v>345</v>
      </c>
      <c r="F30" s="384" t="s">
        <v>306</v>
      </c>
      <c r="G30" s="422">
        <v>0</v>
      </c>
      <c r="H30" s="422">
        <v>203.83072193179135</v>
      </c>
      <c r="I30" s="415"/>
      <c r="J30" s="422">
        <v>0</v>
      </c>
      <c r="K30" s="422">
        <v>209.151592195582</v>
      </c>
      <c r="L30" s="423"/>
      <c r="M30" s="423"/>
      <c r="N30" s="423"/>
      <c r="O30" s="423"/>
      <c r="P30" s="423"/>
      <c r="R30" s="424"/>
      <c r="T30" s="424"/>
    </row>
    <row r="31" spans="2:20" x14ac:dyDescent="0.2">
      <c r="B31" s="384" t="s">
        <v>66</v>
      </c>
      <c r="C31" s="384" t="s">
        <v>339</v>
      </c>
      <c r="D31" s="384" t="s">
        <v>306</v>
      </c>
      <c r="E31" s="384" t="s">
        <v>306</v>
      </c>
      <c r="F31" s="384" t="s">
        <v>307</v>
      </c>
      <c r="G31" s="422">
        <v>0</v>
      </c>
      <c r="H31" s="422">
        <v>693.02445456809062</v>
      </c>
      <c r="I31" s="415"/>
      <c r="J31" s="422">
        <v>0</v>
      </c>
      <c r="K31" s="422">
        <v>711.11541346497802</v>
      </c>
      <c r="L31" s="425"/>
      <c r="M31" s="423"/>
      <c r="N31" s="425"/>
      <c r="O31" s="423"/>
      <c r="P31" s="423"/>
      <c r="R31" s="424"/>
      <c r="T31" s="424"/>
    </row>
    <row r="32" spans="2:20" x14ac:dyDescent="0.2">
      <c r="B32" s="384" t="s">
        <v>66</v>
      </c>
      <c r="C32" s="384" t="s">
        <v>339</v>
      </c>
      <c r="D32" s="384" t="s">
        <v>306</v>
      </c>
      <c r="E32" s="384" t="s">
        <v>306</v>
      </c>
      <c r="F32" s="384" t="s">
        <v>341</v>
      </c>
      <c r="G32" s="422">
        <v>0</v>
      </c>
      <c r="H32" s="422">
        <v>415.81471295327373</v>
      </c>
      <c r="I32" s="415"/>
      <c r="J32" s="422">
        <v>0</v>
      </c>
      <c r="K32" s="422">
        <v>426.66928934112502</v>
      </c>
      <c r="L32" s="423"/>
      <c r="M32" s="423"/>
      <c r="N32" s="423"/>
      <c r="O32" s="423"/>
      <c r="P32" s="423"/>
      <c r="R32" s="424"/>
      <c r="T32" s="424"/>
    </row>
    <row r="33" spans="2:20" x14ac:dyDescent="0.2">
      <c r="B33" s="384" t="s">
        <v>66</v>
      </c>
      <c r="C33" s="384" t="s">
        <v>339</v>
      </c>
      <c r="D33" s="384" t="s">
        <v>306</v>
      </c>
      <c r="E33" s="384" t="s">
        <v>306</v>
      </c>
      <c r="F33" s="384" t="s">
        <v>309</v>
      </c>
      <c r="G33" s="422">
        <v>0</v>
      </c>
      <c r="H33" s="422">
        <v>138.60487080740845</v>
      </c>
      <c r="I33" s="415"/>
      <c r="J33" s="422">
        <v>0</v>
      </c>
      <c r="K33" s="422">
        <v>142.22306206192599</v>
      </c>
      <c r="L33" s="423"/>
      <c r="M33" s="423"/>
      <c r="N33" s="423"/>
      <c r="O33" s="423"/>
      <c r="P33" s="423"/>
      <c r="R33" s="424"/>
      <c r="T33" s="424"/>
    </row>
    <row r="34" spans="2:20" x14ac:dyDescent="0.2">
      <c r="B34" s="384" t="s">
        <v>66</v>
      </c>
      <c r="C34" s="384" t="s">
        <v>375</v>
      </c>
      <c r="D34" s="384" t="s">
        <v>306</v>
      </c>
      <c r="E34" s="384" t="s">
        <v>306</v>
      </c>
      <c r="F34" s="384" t="s">
        <v>306</v>
      </c>
      <c r="G34" s="422">
        <v>0</v>
      </c>
      <c r="H34" s="422">
        <v>203.83072193179135</v>
      </c>
      <c r="I34" s="415"/>
      <c r="J34" s="422">
        <v>0</v>
      </c>
      <c r="K34" s="422">
        <v>209.151592195582</v>
      </c>
      <c r="L34" s="423"/>
      <c r="M34" s="423"/>
      <c r="N34" s="423"/>
      <c r="O34" s="423"/>
      <c r="P34" s="423"/>
      <c r="R34" s="424"/>
      <c r="T34" s="424"/>
    </row>
    <row r="35" spans="2:20" x14ac:dyDescent="0.2">
      <c r="B35" s="384" t="s">
        <v>66</v>
      </c>
      <c r="C35" s="384" t="s">
        <v>332</v>
      </c>
      <c r="D35" s="384" t="s">
        <v>306</v>
      </c>
      <c r="E35" s="384" t="s">
        <v>306</v>
      </c>
      <c r="F35" s="384" t="s">
        <v>306</v>
      </c>
      <c r="G35" s="422">
        <v>0</v>
      </c>
      <c r="H35" s="422">
        <v>203.83072193179135</v>
      </c>
      <c r="I35" s="415"/>
      <c r="J35" s="422">
        <v>0</v>
      </c>
      <c r="K35" s="422">
        <v>209.151592195582</v>
      </c>
      <c r="L35" s="425"/>
      <c r="M35" s="423"/>
      <c r="N35" s="425"/>
      <c r="O35" s="423"/>
      <c r="P35" s="423"/>
      <c r="R35" s="424"/>
      <c r="T35" s="424"/>
    </row>
    <row r="36" spans="2:20" x14ac:dyDescent="0.2">
      <c r="B36" s="384" t="s">
        <v>346</v>
      </c>
      <c r="C36" s="384" t="s">
        <v>332</v>
      </c>
      <c r="D36" s="384" t="s">
        <v>347</v>
      </c>
      <c r="E36" s="384" t="s">
        <v>378</v>
      </c>
      <c r="F36" s="384" t="s">
        <v>306</v>
      </c>
      <c r="G36" s="422">
        <v>0</v>
      </c>
      <c r="H36" s="422">
        <v>112.10689706248526</v>
      </c>
      <c r="I36" s="415"/>
      <c r="J36" s="422">
        <v>0</v>
      </c>
      <c r="K36" s="422">
        <v>115.03337570757</v>
      </c>
      <c r="L36" s="425"/>
      <c r="M36" s="423"/>
      <c r="N36" s="425"/>
      <c r="O36" s="423"/>
      <c r="P36" s="423"/>
      <c r="R36" s="424"/>
      <c r="T36" s="424"/>
    </row>
    <row r="37" spans="2:20" x14ac:dyDescent="0.2">
      <c r="B37" s="384" t="s">
        <v>346</v>
      </c>
      <c r="C37" s="384" t="s">
        <v>332</v>
      </c>
      <c r="D37" s="384" t="s">
        <v>347</v>
      </c>
      <c r="E37" s="384" t="s">
        <v>379</v>
      </c>
      <c r="F37" s="384" t="s">
        <v>306</v>
      </c>
      <c r="G37" s="422">
        <v>0</v>
      </c>
      <c r="H37" s="422">
        <v>122.2984331590748</v>
      </c>
      <c r="I37" s="415"/>
      <c r="J37" s="422">
        <v>0</v>
      </c>
      <c r="K37" s="422">
        <v>125.49095531734901</v>
      </c>
      <c r="L37" s="425"/>
      <c r="M37" s="423"/>
      <c r="N37" s="425"/>
      <c r="O37" s="423"/>
      <c r="P37" s="423"/>
      <c r="R37" s="424"/>
      <c r="T37" s="424"/>
    </row>
    <row r="38" spans="2:20" x14ac:dyDescent="0.2">
      <c r="B38" s="384" t="s">
        <v>380</v>
      </c>
      <c r="C38" s="384" t="s">
        <v>314</v>
      </c>
      <c r="D38" s="384" t="s">
        <v>381</v>
      </c>
      <c r="E38" s="384" t="s">
        <v>306</v>
      </c>
      <c r="F38" s="384" t="s">
        <v>306</v>
      </c>
      <c r="G38" s="422">
        <v>0</v>
      </c>
      <c r="H38" s="426">
        <v>2.9313848411420298</v>
      </c>
      <c r="I38" s="415"/>
      <c r="J38" s="422">
        <v>0</v>
      </c>
      <c r="K38" s="426">
        <v>3.0079067622986302</v>
      </c>
      <c r="L38" s="425"/>
      <c r="M38" s="423"/>
      <c r="N38" s="425"/>
      <c r="O38" s="423"/>
      <c r="P38" s="423"/>
      <c r="R38" s="424"/>
      <c r="T38" s="424"/>
    </row>
    <row r="39" spans="2:20" x14ac:dyDescent="0.2">
      <c r="B39" s="384" t="s">
        <v>380</v>
      </c>
      <c r="C39" s="384" t="s">
        <v>314</v>
      </c>
      <c r="D39" s="384" t="s">
        <v>382</v>
      </c>
      <c r="E39" s="384" t="s">
        <v>306</v>
      </c>
      <c r="F39" s="384" t="s">
        <v>306</v>
      </c>
      <c r="G39" s="422">
        <v>0</v>
      </c>
      <c r="H39" s="426">
        <v>11.6909566839085</v>
      </c>
      <c r="I39" s="415"/>
      <c r="J39" s="422">
        <v>0</v>
      </c>
      <c r="K39" s="426">
        <v>11.996141609836799</v>
      </c>
      <c r="L39" s="423"/>
      <c r="M39" s="423"/>
      <c r="N39" s="423"/>
      <c r="O39" s="423"/>
      <c r="P39" s="423"/>
      <c r="R39" s="424"/>
      <c r="T39" s="424"/>
    </row>
    <row r="40" spans="2:20" x14ac:dyDescent="0.2">
      <c r="K40" s="427"/>
      <c r="L40" s="423"/>
      <c r="M40" s="423"/>
      <c r="N40" s="423"/>
      <c r="O40" s="423"/>
      <c r="P40" s="423"/>
      <c r="R40" s="424"/>
      <c r="T40" s="424"/>
    </row>
    <row r="41" spans="2:20" x14ac:dyDescent="0.2">
      <c r="K41" s="427"/>
      <c r="L41" s="423"/>
      <c r="M41" s="423"/>
      <c r="N41" s="423"/>
      <c r="O41" s="423"/>
      <c r="P41" s="423"/>
      <c r="R41" s="424"/>
      <c r="T41" s="424"/>
    </row>
    <row r="42" spans="2:20" x14ac:dyDescent="0.2">
      <c r="K42" s="427"/>
      <c r="L42" s="425"/>
      <c r="M42" s="425"/>
      <c r="N42" s="425"/>
      <c r="O42" s="423"/>
      <c r="P42" s="423"/>
      <c r="R42" s="424"/>
      <c r="T42" s="424"/>
    </row>
    <row r="43" spans="2:20" x14ac:dyDescent="0.2">
      <c r="K43" s="427"/>
      <c r="L43" s="425"/>
      <c r="M43" s="425"/>
      <c r="N43" s="425"/>
      <c r="O43" s="423"/>
      <c r="P43" s="423"/>
      <c r="R43" s="424"/>
      <c r="T43" s="424"/>
    </row>
    <row r="44" spans="2:20" x14ac:dyDescent="0.2">
      <c r="K44" s="427"/>
      <c r="L44" s="425"/>
      <c r="M44" s="423"/>
      <c r="N44" s="425"/>
      <c r="O44" s="423"/>
      <c r="P44" s="423"/>
      <c r="R44" s="424"/>
      <c r="T44" s="424"/>
    </row>
    <row r="45" spans="2:20" x14ac:dyDescent="0.2">
      <c r="K45" s="427"/>
      <c r="L45" s="425"/>
      <c r="M45" s="423"/>
      <c r="N45" s="423"/>
      <c r="O45" s="423"/>
      <c r="P45" s="423"/>
      <c r="R45" s="424"/>
      <c r="T45" s="424"/>
    </row>
  </sheetData>
  <mergeCells count="8">
    <mergeCell ref="Q5:R5"/>
    <mergeCell ref="B4:B6"/>
    <mergeCell ref="C4:C6"/>
    <mergeCell ref="D4:D6"/>
    <mergeCell ref="E4:E6"/>
    <mergeCell ref="F4:F6"/>
    <mergeCell ref="G4:K4"/>
    <mergeCell ref="J5:K5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1465C-E0EA-4AF2-B4C8-0FF6F8AD2A02}">
  <dimension ref="A1:Q91"/>
  <sheetViews>
    <sheetView topLeftCell="A66" workbookViewId="0">
      <selection activeCell="D73" sqref="D73"/>
    </sheetView>
  </sheetViews>
  <sheetFormatPr defaultColWidth="15" defaultRowHeight="14.3" x14ac:dyDescent="0.25"/>
  <cols>
    <col min="1" max="1" width="35.375" style="399" bestFit="1" customWidth="1"/>
    <col min="2" max="2" width="16" style="399" bestFit="1" customWidth="1"/>
    <col min="3" max="3" width="17.375" style="399" bestFit="1" customWidth="1"/>
    <col min="4" max="4" width="17.75" style="399" bestFit="1" customWidth="1"/>
    <col min="5" max="5" width="12.75" style="399" bestFit="1" customWidth="1"/>
    <col min="6" max="6" width="8.375" style="399" bestFit="1" customWidth="1"/>
    <col min="7" max="7" width="12" style="399" bestFit="1" customWidth="1"/>
    <col min="8" max="8" width="12.125" style="399" bestFit="1" customWidth="1"/>
    <col min="9" max="9" width="12.375" style="399" bestFit="1" customWidth="1"/>
    <col min="10" max="10" width="12.25" style="399" bestFit="1" customWidth="1"/>
    <col min="11" max="11" width="8.375" style="399" bestFit="1" customWidth="1"/>
    <col min="12" max="12" width="7.75" style="399" bestFit="1" customWidth="1"/>
    <col min="13" max="13" width="7.25" bestFit="1" customWidth="1"/>
    <col min="14" max="14" width="9" bestFit="1" customWidth="1"/>
    <col min="15" max="15" width="4" bestFit="1" customWidth="1"/>
    <col min="16" max="16" width="4.875" bestFit="1" customWidth="1"/>
    <col min="17" max="17" width="5.375" bestFit="1" customWidth="1"/>
  </cols>
  <sheetData>
    <row r="1" spans="1:17" ht="14.95" thickBot="1" x14ac:dyDescent="0.3">
      <c r="A1" s="478" t="s">
        <v>282</v>
      </c>
      <c r="B1" s="479"/>
      <c r="C1" s="479"/>
      <c r="D1" s="479"/>
      <c r="E1" s="479"/>
      <c r="F1" s="479"/>
      <c r="G1" s="479"/>
      <c r="H1" s="479"/>
      <c r="I1" s="479"/>
      <c r="J1" s="479"/>
      <c r="K1" s="479"/>
      <c r="L1" s="480"/>
    </row>
    <row r="2" spans="1:17" ht="15.8" customHeight="1" thickBot="1" x14ac:dyDescent="0.3">
      <c r="A2" s="481" t="s">
        <v>283</v>
      </c>
      <c r="B2" s="481" t="s">
        <v>284</v>
      </c>
      <c r="C2" s="481" t="s">
        <v>285</v>
      </c>
      <c r="D2" s="364" t="s">
        <v>286</v>
      </c>
      <c r="E2" s="484" t="s">
        <v>287</v>
      </c>
      <c r="F2" s="485"/>
      <c r="G2" s="485"/>
      <c r="H2" s="485"/>
      <c r="I2" s="486"/>
      <c r="J2" s="484" t="s">
        <v>288</v>
      </c>
      <c r="K2" s="485"/>
      <c r="L2" s="486"/>
      <c r="N2" s="365" t="s">
        <v>289</v>
      </c>
      <c r="O2" s="365" t="s">
        <v>290</v>
      </c>
      <c r="P2" s="365" t="s">
        <v>291</v>
      </c>
      <c r="Q2" s="365" t="s">
        <v>292</v>
      </c>
    </row>
    <row r="3" spans="1:17" ht="14.95" thickBot="1" x14ac:dyDescent="0.3">
      <c r="A3" s="482"/>
      <c r="B3" s="482"/>
      <c r="C3" s="482"/>
      <c r="D3" s="366"/>
      <c r="E3" s="484" t="s">
        <v>10</v>
      </c>
      <c r="F3" s="486"/>
      <c r="G3" s="484" t="s">
        <v>293</v>
      </c>
      <c r="H3" s="485"/>
      <c r="I3" s="486"/>
      <c r="J3" s="484" t="s">
        <v>10</v>
      </c>
      <c r="K3" s="486"/>
      <c r="L3" s="366" t="s">
        <v>9</v>
      </c>
      <c r="N3" s="367" t="s">
        <v>294</v>
      </c>
      <c r="O3" s="368" t="s">
        <v>295</v>
      </c>
      <c r="P3" s="368" t="s">
        <v>296</v>
      </c>
      <c r="Q3" s="369">
        <v>2025</v>
      </c>
    </row>
    <row r="4" spans="1:17" ht="14.95" thickBot="1" x14ac:dyDescent="0.3">
      <c r="A4" s="483"/>
      <c r="B4" s="483"/>
      <c r="C4" s="483"/>
      <c r="D4" s="366"/>
      <c r="E4" s="366" t="s">
        <v>297</v>
      </c>
      <c r="F4" s="366" t="s">
        <v>298</v>
      </c>
      <c r="G4" s="370" t="s">
        <v>299</v>
      </c>
      <c r="H4" s="371" t="s">
        <v>300</v>
      </c>
      <c r="I4" s="372" t="s">
        <v>301</v>
      </c>
      <c r="J4" s="366" t="s">
        <v>297</v>
      </c>
      <c r="K4" s="366" t="s">
        <v>298</v>
      </c>
      <c r="L4" s="366" t="s">
        <v>298</v>
      </c>
      <c r="N4" s="367" t="s">
        <v>302</v>
      </c>
      <c r="O4" s="373" t="s">
        <v>373</v>
      </c>
      <c r="P4" s="373" t="s">
        <v>296</v>
      </c>
      <c r="Q4" s="374">
        <v>2026</v>
      </c>
    </row>
    <row r="5" spans="1:17" ht="14.95" thickBot="1" x14ac:dyDescent="0.3">
      <c r="A5" s="375"/>
      <c r="B5" s="487" t="s">
        <v>305</v>
      </c>
      <c r="C5" s="487" t="s">
        <v>306</v>
      </c>
      <c r="D5" s="376" t="s">
        <v>307</v>
      </c>
      <c r="E5" s="412"/>
      <c r="F5" s="412"/>
      <c r="G5" s="412"/>
      <c r="H5" s="412"/>
      <c r="I5" s="412"/>
      <c r="J5" s="412"/>
      <c r="K5" s="412"/>
      <c r="L5" s="412"/>
      <c r="M5" s="379"/>
      <c r="N5" s="308"/>
      <c r="O5" s="308"/>
    </row>
    <row r="6" spans="1:17" ht="14.95" thickBot="1" x14ac:dyDescent="0.3">
      <c r="A6" s="375" t="s">
        <v>308</v>
      </c>
      <c r="B6" s="488"/>
      <c r="C6" s="488"/>
      <c r="D6" s="376" t="s">
        <v>309</v>
      </c>
      <c r="E6" s="412"/>
      <c r="F6" s="412"/>
      <c r="G6" s="412"/>
      <c r="H6" s="412"/>
      <c r="I6" s="412"/>
      <c r="J6" s="412"/>
      <c r="K6" s="412"/>
      <c r="L6" s="412"/>
      <c r="M6" s="379"/>
      <c r="N6" s="308"/>
      <c r="O6" s="308"/>
    </row>
    <row r="7" spans="1:17" ht="14.95" thickBot="1" x14ac:dyDescent="0.3">
      <c r="A7" s="375"/>
      <c r="B7" s="487" t="s">
        <v>310</v>
      </c>
      <c r="C7" s="487" t="s">
        <v>306</v>
      </c>
      <c r="D7" s="376" t="s">
        <v>307</v>
      </c>
      <c r="E7" s="412"/>
      <c r="F7" s="412"/>
      <c r="G7" s="412"/>
      <c r="H7" s="412"/>
      <c r="I7" s="412"/>
      <c r="J7" s="412"/>
      <c r="K7" s="412"/>
      <c r="L7" s="412"/>
      <c r="M7" s="380"/>
      <c r="N7" s="308"/>
      <c r="O7" s="308"/>
    </row>
    <row r="8" spans="1:17" ht="14.95" thickBot="1" x14ac:dyDescent="0.3">
      <c r="A8" s="375"/>
      <c r="B8" s="488"/>
      <c r="C8" s="488"/>
      <c r="D8" s="376" t="s">
        <v>309</v>
      </c>
      <c r="E8" s="412"/>
      <c r="F8" s="412"/>
      <c r="G8" s="412"/>
      <c r="H8" s="412"/>
      <c r="I8" s="412"/>
      <c r="J8" s="412"/>
      <c r="K8" s="412"/>
      <c r="L8" s="412"/>
      <c r="M8" s="308"/>
      <c r="N8" s="308"/>
      <c r="O8" s="308"/>
    </row>
    <row r="9" spans="1:17" ht="15.8" customHeight="1" thickBot="1" x14ac:dyDescent="0.3">
      <c r="A9" s="475" t="s">
        <v>311</v>
      </c>
      <c r="B9" s="487" t="s">
        <v>305</v>
      </c>
      <c r="C9" s="487" t="s">
        <v>306</v>
      </c>
      <c r="D9" s="376" t="s">
        <v>307</v>
      </c>
      <c r="E9" s="377"/>
      <c r="F9" s="377"/>
      <c r="G9" s="377"/>
      <c r="H9" s="378"/>
      <c r="I9" s="378"/>
      <c r="J9" s="377"/>
      <c r="K9" s="377"/>
      <c r="L9" s="377"/>
      <c r="M9" s="379"/>
      <c r="N9" s="308"/>
      <c r="O9" s="308"/>
    </row>
    <row r="10" spans="1:17" ht="14.95" thickBot="1" x14ac:dyDescent="0.3">
      <c r="A10" s="476"/>
      <c r="B10" s="488"/>
      <c r="C10" s="488"/>
      <c r="D10" s="376" t="s">
        <v>309</v>
      </c>
      <c r="E10" s="377"/>
      <c r="F10" s="377"/>
      <c r="G10" s="377"/>
      <c r="H10" s="378"/>
      <c r="I10" s="378"/>
      <c r="J10" s="377"/>
      <c r="K10" s="377"/>
      <c r="L10" s="377"/>
      <c r="M10" s="379"/>
      <c r="N10" s="382"/>
      <c r="O10" s="382"/>
    </row>
    <row r="11" spans="1:17" ht="14.95" thickBot="1" x14ac:dyDescent="0.3">
      <c r="A11" s="476"/>
      <c r="B11" s="487" t="s">
        <v>310</v>
      </c>
      <c r="C11" s="487" t="s">
        <v>306</v>
      </c>
      <c r="D11" s="376" t="s">
        <v>307</v>
      </c>
      <c r="E11" s="377"/>
      <c r="F11" s="377"/>
      <c r="G11" s="377"/>
      <c r="H11" s="378"/>
      <c r="I11" s="378"/>
      <c r="J11" s="377"/>
      <c r="K11" s="377"/>
      <c r="L11" s="377"/>
      <c r="M11" s="379"/>
      <c r="N11" s="308"/>
      <c r="O11" s="308"/>
    </row>
    <row r="12" spans="1:17" ht="14.95" thickBot="1" x14ac:dyDescent="0.3">
      <c r="A12" s="476"/>
      <c r="B12" s="488"/>
      <c r="C12" s="488"/>
      <c r="D12" s="376" t="s">
        <v>309</v>
      </c>
      <c r="E12" s="377"/>
      <c r="F12" s="377"/>
      <c r="G12" s="377"/>
      <c r="H12" s="378"/>
      <c r="I12" s="378"/>
      <c r="J12" s="377"/>
      <c r="K12" s="377"/>
      <c r="L12" s="377"/>
      <c r="M12" s="308"/>
    </row>
    <row r="13" spans="1:17" ht="14.95" thickBot="1" x14ac:dyDescent="0.3">
      <c r="A13" s="476"/>
      <c r="B13" s="487" t="s">
        <v>312</v>
      </c>
      <c r="C13" s="487" t="s">
        <v>313</v>
      </c>
      <c r="D13" s="376" t="s">
        <v>307</v>
      </c>
      <c r="E13" s="381"/>
      <c r="F13" s="381"/>
      <c r="G13" s="381"/>
      <c r="H13" s="378"/>
      <c r="I13" s="378"/>
      <c r="J13" s="381"/>
      <c r="K13" s="381"/>
      <c r="L13" s="381"/>
    </row>
    <row r="14" spans="1:17" ht="14.95" thickBot="1" x14ac:dyDescent="0.3">
      <c r="A14" s="476"/>
      <c r="B14" s="489"/>
      <c r="C14" s="489"/>
      <c r="D14" s="376" t="s">
        <v>309</v>
      </c>
      <c r="E14" s="381"/>
      <c r="F14" s="381"/>
      <c r="G14" s="381"/>
      <c r="H14" s="378"/>
      <c r="I14" s="378"/>
      <c r="J14" s="381"/>
      <c r="K14" s="381"/>
      <c r="L14" s="381"/>
    </row>
    <row r="15" spans="1:17" ht="14.95" thickBot="1" x14ac:dyDescent="0.3">
      <c r="A15" s="476"/>
      <c r="B15" s="488"/>
      <c r="C15" s="488"/>
      <c r="D15" s="376" t="s">
        <v>306</v>
      </c>
      <c r="E15" s="381"/>
      <c r="F15" s="381"/>
      <c r="G15" s="381"/>
      <c r="H15" s="378"/>
      <c r="I15" s="378"/>
      <c r="J15" s="381"/>
      <c r="K15" s="381"/>
      <c r="L15" s="381"/>
      <c r="M15" s="383"/>
    </row>
    <row r="16" spans="1:17" ht="14.95" thickBot="1" x14ac:dyDescent="0.3">
      <c r="A16" s="476"/>
      <c r="B16" s="487" t="s">
        <v>314</v>
      </c>
      <c r="C16" s="384" t="s">
        <v>315</v>
      </c>
      <c r="D16" s="376" t="s">
        <v>306</v>
      </c>
      <c r="E16" s="385"/>
      <c r="F16" s="377"/>
      <c r="G16" s="377"/>
      <c r="H16" s="378"/>
      <c r="I16" s="378"/>
      <c r="J16" s="385"/>
      <c r="K16" s="377"/>
      <c r="L16" s="386"/>
      <c r="M16" s="383"/>
      <c r="N16" s="308"/>
    </row>
    <row r="17" spans="1:15" ht="14.95" thickBot="1" x14ac:dyDescent="0.3">
      <c r="A17" s="476"/>
      <c r="B17" s="489"/>
      <c r="C17" s="384" t="s">
        <v>316</v>
      </c>
      <c r="D17" s="376" t="s">
        <v>306</v>
      </c>
      <c r="E17" s="385"/>
      <c r="F17" s="377"/>
      <c r="G17" s="377"/>
      <c r="H17" s="378"/>
      <c r="I17" s="378"/>
      <c r="J17" s="381"/>
      <c r="K17" s="377"/>
      <c r="L17" s="377"/>
      <c r="M17" s="308"/>
      <c r="N17" s="308"/>
      <c r="O17" s="308"/>
    </row>
    <row r="18" spans="1:15" ht="14.95" thickBot="1" x14ac:dyDescent="0.3">
      <c r="A18" s="476"/>
      <c r="B18" s="489"/>
      <c r="C18" s="384" t="s">
        <v>317</v>
      </c>
      <c r="D18" s="376" t="s">
        <v>306</v>
      </c>
      <c r="E18" s="385"/>
      <c r="F18" s="377"/>
      <c r="G18" s="377"/>
      <c r="H18" s="378"/>
      <c r="I18" s="378"/>
      <c r="J18" s="385"/>
      <c r="K18" s="377"/>
      <c r="L18" s="377"/>
      <c r="N18" s="308"/>
      <c r="O18" s="308"/>
    </row>
    <row r="19" spans="1:15" ht="14.95" thickBot="1" x14ac:dyDescent="0.3">
      <c r="A19" s="476"/>
      <c r="B19" s="489"/>
      <c r="C19" s="384" t="s">
        <v>318</v>
      </c>
      <c r="D19" s="376" t="s">
        <v>306</v>
      </c>
      <c r="E19" s="381"/>
      <c r="F19" s="377"/>
      <c r="G19" s="377"/>
      <c r="H19" s="378"/>
      <c r="I19" s="378"/>
      <c r="J19" s="385"/>
      <c r="K19" s="377"/>
      <c r="L19" s="377"/>
      <c r="N19" s="308"/>
      <c r="O19" s="308"/>
    </row>
    <row r="20" spans="1:15" ht="14.95" thickBot="1" x14ac:dyDescent="0.3">
      <c r="A20" s="476"/>
      <c r="B20" s="489"/>
      <c r="C20" s="384" t="s">
        <v>319</v>
      </c>
      <c r="D20" s="376" t="s">
        <v>306</v>
      </c>
      <c r="E20" s="381"/>
      <c r="F20" s="377"/>
      <c r="G20" s="377"/>
      <c r="H20" s="378"/>
      <c r="I20" s="378"/>
      <c r="J20" s="385"/>
      <c r="K20" s="377"/>
      <c r="L20" s="377"/>
      <c r="N20" s="308"/>
      <c r="O20" s="308"/>
    </row>
    <row r="21" spans="1:15" ht="14.95" thickBot="1" x14ac:dyDescent="0.3">
      <c r="A21" s="476"/>
      <c r="B21" s="489"/>
      <c r="C21" s="384" t="s">
        <v>320</v>
      </c>
      <c r="D21" s="376" t="s">
        <v>306</v>
      </c>
      <c r="E21" s="381"/>
      <c r="F21" s="377"/>
      <c r="G21" s="377"/>
      <c r="H21" s="378"/>
      <c r="I21" s="378"/>
      <c r="J21" s="385"/>
      <c r="K21" s="377"/>
      <c r="L21" s="377"/>
      <c r="N21" s="308"/>
      <c r="O21" s="308"/>
    </row>
    <row r="22" spans="1:15" ht="14.95" thickBot="1" x14ac:dyDescent="0.3">
      <c r="A22" s="476"/>
      <c r="B22" s="489"/>
      <c r="C22" s="384" t="s">
        <v>321</v>
      </c>
      <c r="D22" s="376" t="s">
        <v>306</v>
      </c>
      <c r="E22" s="381"/>
      <c r="F22" s="377"/>
      <c r="G22" s="377"/>
      <c r="H22" s="378"/>
      <c r="I22" s="378"/>
      <c r="J22" s="385"/>
      <c r="K22" s="377"/>
      <c r="L22" s="377"/>
      <c r="N22" s="308"/>
      <c r="O22" s="308"/>
    </row>
    <row r="23" spans="1:15" ht="14.95" thickBot="1" x14ac:dyDescent="0.3">
      <c r="A23" s="476"/>
      <c r="B23" s="489"/>
      <c r="C23" s="384" t="s">
        <v>322</v>
      </c>
      <c r="D23" s="376" t="s">
        <v>306</v>
      </c>
      <c r="E23" s="381"/>
      <c r="F23" s="377"/>
      <c r="G23" s="377"/>
      <c r="H23" s="378"/>
      <c r="I23" s="378"/>
      <c r="J23" s="385"/>
      <c r="K23" s="377"/>
      <c r="L23" s="377"/>
      <c r="N23" s="308"/>
      <c r="O23" s="308"/>
    </row>
    <row r="24" spans="1:15" ht="14.95" thickBot="1" x14ac:dyDescent="0.3">
      <c r="A24" s="476"/>
      <c r="B24" s="489"/>
      <c r="C24" s="384" t="s">
        <v>323</v>
      </c>
      <c r="D24" s="376" t="s">
        <v>306</v>
      </c>
      <c r="E24" s="385"/>
      <c r="F24" s="377"/>
      <c r="G24" s="377"/>
      <c r="H24" s="378"/>
      <c r="I24" s="378"/>
      <c r="J24" s="385"/>
      <c r="K24" s="377"/>
      <c r="L24" s="377"/>
      <c r="N24" s="308"/>
      <c r="O24" s="308"/>
    </row>
    <row r="25" spans="1:15" ht="14.95" thickBot="1" x14ac:dyDescent="0.3">
      <c r="A25" s="476"/>
      <c r="B25" s="489"/>
      <c r="C25" s="384" t="s">
        <v>324</v>
      </c>
      <c r="D25" s="376" t="s">
        <v>306</v>
      </c>
      <c r="E25" s="385"/>
      <c r="F25" s="377"/>
      <c r="G25" s="377"/>
      <c r="H25" s="378"/>
      <c r="I25" s="378"/>
      <c r="J25" s="385"/>
      <c r="K25" s="377"/>
      <c r="L25" s="377"/>
      <c r="N25" s="308"/>
      <c r="O25" s="308"/>
    </row>
    <row r="26" spans="1:15" ht="14.95" thickBot="1" x14ac:dyDescent="0.3">
      <c r="A26" s="476"/>
      <c r="B26" s="489"/>
      <c r="C26" s="384" t="s">
        <v>326</v>
      </c>
      <c r="D26" s="376" t="s">
        <v>306</v>
      </c>
      <c r="E26" s="381"/>
      <c r="F26" s="377"/>
      <c r="G26" s="377"/>
      <c r="H26" s="378"/>
      <c r="I26" s="378"/>
      <c r="J26" s="385"/>
      <c r="K26" s="377"/>
      <c r="L26" s="377"/>
      <c r="N26" s="308"/>
      <c r="O26" s="308"/>
    </row>
    <row r="27" spans="1:15" ht="14.95" thickBot="1" x14ac:dyDescent="0.3">
      <c r="A27" s="477"/>
      <c r="B27" s="488"/>
      <c r="C27" s="384" t="s">
        <v>328</v>
      </c>
      <c r="D27" s="376" t="s">
        <v>306</v>
      </c>
      <c r="E27" s="385"/>
      <c r="F27" s="377"/>
      <c r="G27" s="377"/>
      <c r="H27" s="378"/>
      <c r="I27" s="378"/>
      <c r="J27" s="385"/>
      <c r="K27" s="377"/>
      <c r="L27" s="377"/>
      <c r="N27" s="308"/>
      <c r="O27" s="308"/>
    </row>
    <row r="28" spans="1:15" ht="15.8" customHeight="1" thickBot="1" x14ac:dyDescent="0.3">
      <c r="A28" s="475" t="s">
        <v>329</v>
      </c>
      <c r="B28" s="487" t="s">
        <v>305</v>
      </c>
      <c r="C28" s="487" t="s">
        <v>306</v>
      </c>
      <c r="D28" s="376" t="s">
        <v>307</v>
      </c>
      <c r="E28" s="381"/>
      <c r="F28" s="381"/>
      <c r="G28" s="381"/>
      <c r="H28" s="378"/>
      <c r="I28" s="378"/>
      <c r="J28" s="381"/>
      <c r="K28" s="381"/>
      <c r="L28" s="381"/>
      <c r="N28" s="308"/>
      <c r="O28" s="308"/>
    </row>
    <row r="29" spans="1:15" ht="14.95" thickBot="1" x14ac:dyDescent="0.3">
      <c r="A29" s="476"/>
      <c r="B29" s="488"/>
      <c r="C29" s="488"/>
      <c r="D29" s="376" t="s">
        <v>309</v>
      </c>
      <c r="E29" s="381"/>
      <c r="F29" s="381"/>
      <c r="G29" s="381"/>
      <c r="H29" s="378"/>
      <c r="I29" s="378"/>
      <c r="J29" s="381"/>
      <c r="K29" s="381"/>
      <c r="L29" s="381"/>
      <c r="N29" s="308"/>
      <c r="O29" s="308"/>
    </row>
    <row r="30" spans="1:15" ht="14.95" thickBot="1" x14ac:dyDescent="0.3">
      <c r="A30" s="476"/>
      <c r="B30" s="487" t="s">
        <v>310</v>
      </c>
      <c r="C30" s="487" t="s">
        <v>306</v>
      </c>
      <c r="D30" s="376" t="s">
        <v>307</v>
      </c>
      <c r="E30" s="381"/>
      <c r="F30" s="381"/>
      <c r="G30" s="377"/>
      <c r="H30" s="378"/>
      <c r="I30" s="378"/>
      <c r="J30" s="381"/>
      <c r="K30" s="381"/>
      <c r="L30" s="377"/>
      <c r="N30" s="308"/>
      <c r="O30" s="308"/>
    </row>
    <row r="31" spans="1:15" ht="14.95" thickBot="1" x14ac:dyDescent="0.3">
      <c r="A31" s="476"/>
      <c r="B31" s="488"/>
      <c r="C31" s="488"/>
      <c r="D31" s="376" t="s">
        <v>309</v>
      </c>
      <c r="E31" s="381"/>
      <c r="F31" s="381"/>
      <c r="G31" s="377"/>
      <c r="H31" s="378"/>
      <c r="I31" s="378"/>
      <c r="J31" s="381"/>
      <c r="K31" s="381"/>
      <c r="L31" s="377"/>
      <c r="N31" s="308"/>
      <c r="O31" s="308"/>
    </row>
    <row r="32" spans="1:15" ht="14.95" thickBot="1" x14ac:dyDescent="0.3">
      <c r="A32" s="476"/>
      <c r="B32" s="487" t="s">
        <v>312</v>
      </c>
      <c r="C32" s="487"/>
      <c r="D32" s="376" t="s">
        <v>307</v>
      </c>
      <c r="E32" s="381"/>
      <c r="F32" s="381"/>
      <c r="G32" s="381"/>
      <c r="H32" s="378"/>
      <c r="I32" s="378"/>
      <c r="J32" s="381"/>
      <c r="K32" s="381"/>
      <c r="L32" s="381"/>
      <c r="N32" s="308"/>
      <c r="O32" s="308"/>
    </row>
    <row r="33" spans="1:15" ht="14.95" thickBot="1" x14ac:dyDescent="0.3">
      <c r="A33" s="476"/>
      <c r="B33" s="489"/>
      <c r="C33" s="489"/>
      <c r="D33" s="376" t="s">
        <v>309</v>
      </c>
      <c r="E33" s="381"/>
      <c r="F33" s="381"/>
      <c r="G33" s="381"/>
      <c r="H33" s="378"/>
      <c r="I33" s="378"/>
      <c r="J33" s="381"/>
      <c r="K33" s="381"/>
      <c r="L33" s="381"/>
      <c r="N33" s="308"/>
      <c r="O33" s="308"/>
    </row>
    <row r="34" spans="1:15" ht="14.95" thickBot="1" x14ac:dyDescent="0.3">
      <c r="A34" s="476"/>
      <c r="B34" s="488"/>
      <c r="C34" s="488"/>
      <c r="D34" s="376" t="s">
        <v>306</v>
      </c>
      <c r="E34" s="381"/>
      <c r="F34" s="381"/>
      <c r="G34" s="381"/>
      <c r="H34" s="378"/>
      <c r="I34" s="378"/>
      <c r="J34" s="381"/>
      <c r="K34" s="381"/>
      <c r="L34" s="381"/>
      <c r="N34" s="308"/>
      <c r="O34" s="308"/>
    </row>
    <row r="35" spans="1:15" ht="14.95" thickBot="1" x14ac:dyDescent="0.3">
      <c r="A35" s="477"/>
      <c r="B35" s="376" t="s">
        <v>314</v>
      </c>
      <c r="C35" s="376" t="s">
        <v>306</v>
      </c>
      <c r="D35" s="376" t="s">
        <v>306</v>
      </c>
      <c r="E35" s="381"/>
      <c r="F35" s="381"/>
      <c r="G35" s="381"/>
      <c r="H35" s="378"/>
      <c r="I35" s="378"/>
      <c r="J35" s="381"/>
      <c r="K35" s="381"/>
      <c r="L35" s="381"/>
      <c r="N35" s="308"/>
      <c r="O35" s="308"/>
    </row>
    <row r="36" spans="1:15" ht="15.8" customHeight="1" thickBot="1" x14ac:dyDescent="0.3">
      <c r="A36" s="475" t="s">
        <v>330</v>
      </c>
      <c r="B36" s="487" t="s">
        <v>305</v>
      </c>
      <c r="C36" s="487" t="s">
        <v>306</v>
      </c>
      <c r="D36" s="376" t="s">
        <v>307</v>
      </c>
      <c r="E36" s="381"/>
      <c r="F36" s="381"/>
      <c r="G36" s="381"/>
      <c r="H36" s="378"/>
      <c r="I36" s="378"/>
      <c r="J36" s="381"/>
      <c r="K36" s="381"/>
      <c r="L36" s="381"/>
      <c r="M36" s="379"/>
      <c r="N36" s="308"/>
      <c r="O36" s="308"/>
    </row>
    <row r="37" spans="1:15" ht="14.95" thickBot="1" x14ac:dyDescent="0.3">
      <c r="A37" s="476"/>
      <c r="B37" s="488"/>
      <c r="C37" s="488"/>
      <c r="D37" s="376" t="s">
        <v>309</v>
      </c>
      <c r="E37" s="381"/>
      <c r="F37" s="381"/>
      <c r="G37" s="381"/>
      <c r="H37" s="378"/>
      <c r="I37" s="378"/>
      <c r="J37" s="381"/>
      <c r="K37" s="381"/>
      <c r="L37" s="381"/>
      <c r="M37" s="379"/>
      <c r="N37" s="308"/>
      <c r="O37" s="308"/>
    </row>
    <row r="38" spans="1:15" ht="14.95" thickBot="1" x14ac:dyDescent="0.3">
      <c r="A38" s="476"/>
      <c r="B38" s="487" t="s">
        <v>310</v>
      </c>
      <c r="C38" s="487" t="s">
        <v>306</v>
      </c>
      <c r="D38" s="376" t="s">
        <v>307</v>
      </c>
      <c r="E38" s="381"/>
      <c r="F38" s="381"/>
      <c r="G38" s="381"/>
      <c r="H38" s="378"/>
      <c r="I38" s="378"/>
      <c r="J38" s="381"/>
      <c r="K38" s="381"/>
      <c r="L38" s="381"/>
      <c r="M38" s="380"/>
      <c r="N38" s="308"/>
      <c r="O38" s="308"/>
    </row>
    <row r="39" spans="1:15" ht="14.95" thickBot="1" x14ac:dyDescent="0.3">
      <c r="A39" s="476"/>
      <c r="B39" s="488"/>
      <c r="C39" s="488"/>
      <c r="D39" s="376" t="s">
        <v>309</v>
      </c>
      <c r="E39" s="381"/>
      <c r="F39" s="381"/>
      <c r="G39" s="381"/>
      <c r="H39" s="378"/>
      <c r="I39" s="378"/>
      <c r="J39" s="381"/>
      <c r="K39" s="381"/>
      <c r="L39" s="381"/>
      <c r="M39" s="308"/>
      <c r="N39" s="308"/>
      <c r="O39" s="308"/>
    </row>
    <row r="40" spans="1:15" ht="14.95" thickBot="1" x14ac:dyDescent="0.3">
      <c r="A40" s="476"/>
      <c r="B40" s="487" t="s">
        <v>13</v>
      </c>
      <c r="C40" s="487" t="s">
        <v>306</v>
      </c>
      <c r="D40" s="376" t="s">
        <v>306</v>
      </c>
      <c r="E40" s="381"/>
      <c r="F40" s="381"/>
      <c r="G40" s="381"/>
      <c r="H40" s="378"/>
      <c r="I40" s="378"/>
      <c r="J40" s="381"/>
      <c r="K40" s="381"/>
      <c r="L40" s="381"/>
      <c r="M40" s="379"/>
      <c r="N40" s="308"/>
      <c r="O40" s="308"/>
    </row>
    <row r="41" spans="1:15" ht="14.95" thickBot="1" x14ac:dyDescent="0.3">
      <c r="A41" s="476"/>
      <c r="B41" s="489"/>
      <c r="C41" s="489"/>
      <c r="D41" s="376" t="s">
        <v>307</v>
      </c>
      <c r="E41" s="381"/>
      <c r="F41" s="381"/>
      <c r="G41" s="381"/>
      <c r="H41" s="378"/>
      <c r="I41" s="378"/>
      <c r="J41" s="381"/>
      <c r="K41" s="381"/>
      <c r="L41" s="381"/>
      <c r="M41" s="379"/>
      <c r="N41" s="308"/>
      <c r="O41" s="308"/>
    </row>
    <row r="42" spans="1:15" ht="14.95" thickBot="1" x14ac:dyDescent="0.3">
      <c r="A42" s="476"/>
      <c r="B42" s="488"/>
      <c r="C42" s="488"/>
      <c r="D42" s="376" t="s">
        <v>309</v>
      </c>
      <c r="E42" s="381"/>
      <c r="F42" s="381"/>
      <c r="G42" s="381"/>
      <c r="H42" s="378"/>
      <c r="I42" s="378"/>
      <c r="J42" s="381"/>
      <c r="K42" s="381"/>
      <c r="L42" s="381"/>
      <c r="M42" s="379"/>
      <c r="N42" s="308"/>
      <c r="O42" s="308"/>
    </row>
    <row r="43" spans="1:15" ht="14.95" thickBot="1" x14ac:dyDescent="0.3">
      <c r="A43" s="476"/>
      <c r="B43" s="487" t="s">
        <v>331</v>
      </c>
      <c r="C43" s="487" t="s">
        <v>306</v>
      </c>
      <c r="D43" s="376" t="s">
        <v>306</v>
      </c>
      <c r="E43" s="381"/>
      <c r="F43" s="381"/>
      <c r="G43" s="381"/>
      <c r="H43" s="378"/>
      <c r="I43" s="378"/>
      <c r="J43" s="381"/>
      <c r="K43" s="381"/>
      <c r="L43" s="381"/>
      <c r="M43" s="308"/>
      <c r="N43" s="308"/>
      <c r="O43" s="308"/>
    </row>
    <row r="44" spans="1:15" ht="14.95" thickBot="1" x14ac:dyDescent="0.3">
      <c r="A44" s="476"/>
      <c r="B44" s="489"/>
      <c r="C44" s="489"/>
      <c r="D44" s="376" t="s">
        <v>307</v>
      </c>
      <c r="E44" s="381"/>
      <c r="F44" s="381"/>
      <c r="G44" s="381"/>
      <c r="H44" s="378"/>
      <c r="I44" s="378"/>
      <c r="J44" s="381"/>
      <c r="K44" s="381"/>
      <c r="L44" s="381"/>
      <c r="N44" s="308"/>
      <c r="O44" s="308"/>
    </row>
    <row r="45" spans="1:15" ht="14.95" thickBot="1" x14ac:dyDescent="0.3">
      <c r="A45" s="476"/>
      <c r="B45" s="488"/>
      <c r="C45" s="488"/>
      <c r="D45" s="376" t="s">
        <v>309</v>
      </c>
      <c r="E45" s="381"/>
      <c r="F45" s="381"/>
      <c r="G45" s="381"/>
      <c r="H45" s="378"/>
      <c r="I45" s="378"/>
      <c r="J45" s="381"/>
      <c r="K45" s="381"/>
      <c r="L45" s="381"/>
      <c r="N45" s="308"/>
      <c r="O45" s="308"/>
    </row>
    <row r="46" spans="1:15" ht="14.95" thickBot="1" x14ac:dyDescent="0.3">
      <c r="A46" s="476"/>
      <c r="B46" s="387" t="s">
        <v>332</v>
      </c>
      <c r="C46" s="387" t="s">
        <v>306</v>
      </c>
      <c r="D46" s="387" t="s">
        <v>306</v>
      </c>
      <c r="E46" s="381"/>
      <c r="F46" s="377"/>
      <c r="G46" s="377"/>
      <c r="H46" s="378"/>
      <c r="I46" s="378"/>
      <c r="J46" s="381"/>
      <c r="K46" s="381"/>
      <c r="L46" s="381"/>
      <c r="N46" s="308"/>
      <c r="O46" s="308"/>
    </row>
    <row r="47" spans="1:15" ht="14.95" thickBot="1" x14ac:dyDescent="0.3">
      <c r="A47" s="477"/>
      <c r="B47" s="376" t="s">
        <v>314</v>
      </c>
      <c r="C47" s="376" t="s">
        <v>306</v>
      </c>
      <c r="D47" s="376" t="s">
        <v>306</v>
      </c>
      <c r="E47" s="381"/>
      <c r="F47" s="381"/>
      <c r="G47" s="381"/>
      <c r="H47" s="378"/>
      <c r="I47" s="378"/>
      <c r="J47" s="381"/>
      <c r="K47" s="381"/>
      <c r="L47" s="381"/>
      <c r="N47" s="308"/>
      <c r="O47" s="308"/>
    </row>
    <row r="48" spans="1:15" ht="15.8" customHeight="1" thickBot="1" x14ac:dyDescent="0.3">
      <c r="A48" s="475" t="s">
        <v>333</v>
      </c>
      <c r="B48" s="487" t="s">
        <v>305</v>
      </c>
      <c r="C48" s="487" t="s">
        <v>306</v>
      </c>
      <c r="D48" s="376" t="s">
        <v>307</v>
      </c>
      <c r="E48" s="381"/>
      <c r="F48" s="381"/>
      <c r="G48" s="381"/>
      <c r="H48" s="378"/>
      <c r="I48" s="378"/>
      <c r="J48" s="381"/>
      <c r="K48" s="381"/>
      <c r="L48" s="381"/>
      <c r="N48" s="308"/>
      <c r="O48" s="308"/>
    </row>
    <row r="49" spans="1:15" ht="14.95" thickBot="1" x14ac:dyDescent="0.3">
      <c r="A49" s="476"/>
      <c r="B49" s="488"/>
      <c r="C49" s="488"/>
      <c r="D49" s="376" t="s">
        <v>309</v>
      </c>
      <c r="E49" s="381"/>
      <c r="F49" s="381"/>
      <c r="G49" s="381"/>
      <c r="H49" s="378"/>
      <c r="I49" s="378"/>
      <c r="J49" s="381"/>
      <c r="K49" s="381"/>
      <c r="L49" s="381"/>
      <c r="M49" s="379"/>
      <c r="N49" s="308"/>
      <c r="O49" s="308"/>
    </row>
    <row r="50" spans="1:15" ht="14.95" thickBot="1" x14ac:dyDescent="0.3">
      <c r="A50" s="476"/>
      <c r="B50" s="487" t="s">
        <v>310</v>
      </c>
      <c r="C50" s="487" t="s">
        <v>306</v>
      </c>
      <c r="D50" s="376" t="s">
        <v>307</v>
      </c>
      <c r="E50" s="381"/>
      <c r="F50" s="381"/>
      <c r="G50" s="381"/>
      <c r="H50" s="378"/>
      <c r="I50" s="378"/>
      <c r="J50" s="381"/>
      <c r="K50" s="381"/>
      <c r="L50" s="381"/>
      <c r="M50" s="379"/>
      <c r="N50" s="308"/>
      <c r="O50" s="308"/>
    </row>
    <row r="51" spans="1:15" ht="14.95" thickBot="1" x14ac:dyDescent="0.3">
      <c r="A51" s="476"/>
      <c r="B51" s="488"/>
      <c r="C51" s="488"/>
      <c r="D51" s="376" t="s">
        <v>309</v>
      </c>
      <c r="E51" s="381"/>
      <c r="F51" s="381"/>
      <c r="G51" s="381"/>
      <c r="H51" s="378"/>
      <c r="I51" s="378"/>
      <c r="J51" s="381"/>
      <c r="K51" s="381"/>
      <c r="L51" s="381"/>
      <c r="M51" s="380"/>
      <c r="N51" s="308"/>
      <c r="O51" s="308"/>
    </row>
    <row r="52" spans="1:15" ht="14.95" thickBot="1" x14ac:dyDescent="0.3">
      <c r="A52" s="476"/>
      <c r="B52" s="487" t="s">
        <v>13</v>
      </c>
      <c r="C52" s="487" t="s">
        <v>306</v>
      </c>
      <c r="D52" s="376" t="s">
        <v>306</v>
      </c>
      <c r="E52" s="381"/>
      <c r="F52" s="381"/>
      <c r="G52" s="381"/>
      <c r="H52" s="378"/>
      <c r="I52" s="378"/>
      <c r="J52" s="381"/>
      <c r="K52" s="381"/>
      <c r="L52" s="381"/>
      <c r="M52" s="308"/>
      <c r="N52" s="308"/>
      <c r="O52" s="308"/>
    </row>
    <row r="53" spans="1:15" ht="14.95" thickBot="1" x14ac:dyDescent="0.3">
      <c r="A53" s="476"/>
      <c r="B53" s="489"/>
      <c r="C53" s="489"/>
      <c r="D53" s="376" t="s">
        <v>307</v>
      </c>
      <c r="E53" s="381"/>
      <c r="F53" s="381"/>
      <c r="G53" s="381"/>
      <c r="H53" s="378"/>
      <c r="I53" s="378"/>
      <c r="J53" s="381"/>
      <c r="K53" s="381"/>
      <c r="L53" s="381"/>
      <c r="M53" s="379"/>
      <c r="N53" s="308"/>
      <c r="O53" s="308"/>
    </row>
    <row r="54" spans="1:15" ht="14.95" thickBot="1" x14ac:dyDescent="0.3">
      <c r="A54" s="476"/>
      <c r="B54" s="488"/>
      <c r="C54" s="488"/>
      <c r="D54" s="376" t="s">
        <v>309</v>
      </c>
      <c r="E54" s="381"/>
      <c r="F54" s="381"/>
      <c r="G54" s="381"/>
      <c r="H54" s="378"/>
      <c r="I54" s="378"/>
      <c r="J54" s="381"/>
      <c r="K54" s="381"/>
      <c r="L54" s="381"/>
      <c r="M54" s="379"/>
      <c r="N54" s="308"/>
      <c r="O54" s="308"/>
    </row>
    <row r="55" spans="1:15" ht="14.95" thickBot="1" x14ac:dyDescent="0.3">
      <c r="A55" s="476"/>
      <c r="B55" s="487" t="s">
        <v>331</v>
      </c>
      <c r="C55" s="487" t="s">
        <v>306</v>
      </c>
      <c r="D55" s="376" t="s">
        <v>306</v>
      </c>
      <c r="E55" s="381"/>
      <c r="F55" s="381"/>
      <c r="G55" s="381"/>
      <c r="H55" s="378"/>
      <c r="I55" s="378"/>
      <c r="J55" s="381"/>
      <c r="K55" s="381"/>
      <c r="L55" s="381"/>
      <c r="M55" s="379"/>
      <c r="N55" s="308"/>
      <c r="O55" s="308"/>
    </row>
    <row r="56" spans="1:15" ht="14.95" thickBot="1" x14ac:dyDescent="0.3">
      <c r="A56" s="476"/>
      <c r="B56" s="489"/>
      <c r="C56" s="489"/>
      <c r="D56" s="376" t="s">
        <v>307</v>
      </c>
      <c r="E56" s="381"/>
      <c r="F56" s="381"/>
      <c r="G56" s="381"/>
      <c r="H56" s="378"/>
      <c r="I56" s="378"/>
      <c r="J56" s="381"/>
      <c r="K56" s="381"/>
      <c r="L56" s="381"/>
      <c r="M56" s="308"/>
      <c r="N56" s="308"/>
      <c r="O56" s="308"/>
    </row>
    <row r="57" spans="1:15" ht="14.95" thickBot="1" x14ac:dyDescent="0.3">
      <c r="A57" s="476"/>
      <c r="B57" s="488"/>
      <c r="C57" s="488"/>
      <c r="D57" s="376" t="s">
        <v>309</v>
      </c>
      <c r="E57" s="381"/>
      <c r="F57" s="381"/>
      <c r="G57" s="381"/>
      <c r="H57" s="378"/>
      <c r="I57" s="378"/>
      <c r="J57" s="381"/>
      <c r="K57" s="381"/>
      <c r="L57" s="381"/>
      <c r="N57" s="308"/>
      <c r="O57" s="308"/>
    </row>
    <row r="58" spans="1:15" ht="14.95" thickBot="1" x14ac:dyDescent="0.3">
      <c r="A58" s="476"/>
      <c r="B58" s="376" t="s">
        <v>332</v>
      </c>
      <c r="C58" s="376" t="s">
        <v>306</v>
      </c>
      <c r="D58" s="376" t="s">
        <v>306</v>
      </c>
      <c r="E58" s="381"/>
      <c r="F58" s="381"/>
      <c r="G58" s="381"/>
      <c r="H58" s="378"/>
      <c r="I58" s="378"/>
      <c r="J58" s="381"/>
      <c r="K58" s="381"/>
      <c r="L58" s="381"/>
      <c r="N58" s="308"/>
      <c r="O58" s="308"/>
    </row>
    <row r="59" spans="1:15" ht="14.95" thickBot="1" x14ac:dyDescent="0.3">
      <c r="A59" s="476"/>
      <c r="B59" s="487" t="s">
        <v>312</v>
      </c>
      <c r="C59" s="490" t="s">
        <v>334</v>
      </c>
      <c r="D59" s="376" t="s">
        <v>307</v>
      </c>
      <c r="E59" s="381"/>
      <c r="F59" s="381"/>
      <c r="G59" s="381"/>
      <c r="H59" s="378"/>
      <c r="I59" s="378"/>
      <c r="J59" s="381"/>
      <c r="K59" s="381"/>
      <c r="L59" s="381"/>
      <c r="N59" s="308"/>
      <c r="O59" s="308"/>
    </row>
    <row r="60" spans="1:15" ht="14.95" thickBot="1" x14ac:dyDescent="0.3">
      <c r="A60" s="476"/>
      <c r="B60" s="489"/>
      <c r="C60" s="491"/>
      <c r="D60" s="376" t="s">
        <v>309</v>
      </c>
      <c r="E60" s="381"/>
      <c r="F60" s="381"/>
      <c r="G60" s="381"/>
      <c r="H60" s="378"/>
      <c r="I60" s="378"/>
      <c r="J60" s="381"/>
      <c r="K60" s="381"/>
      <c r="L60" s="381"/>
      <c r="N60" s="308"/>
      <c r="O60" s="308"/>
    </row>
    <row r="61" spans="1:15" ht="14.95" thickBot="1" x14ac:dyDescent="0.3">
      <c r="A61" s="476"/>
      <c r="B61" s="488"/>
      <c r="C61" s="492"/>
      <c r="D61" s="376" t="s">
        <v>306</v>
      </c>
      <c r="E61" s="381"/>
      <c r="F61" s="381"/>
      <c r="G61" s="381"/>
      <c r="H61" s="378"/>
      <c r="I61" s="378"/>
      <c r="J61" s="381"/>
      <c r="K61" s="381"/>
      <c r="L61" s="381"/>
      <c r="N61" s="308"/>
      <c r="O61" s="308"/>
    </row>
    <row r="62" spans="1:15" ht="14.95" thickBot="1" x14ac:dyDescent="0.3">
      <c r="A62" s="477"/>
      <c r="B62" s="376" t="s">
        <v>314</v>
      </c>
      <c r="C62" s="376" t="s">
        <v>306</v>
      </c>
      <c r="D62" s="376" t="s">
        <v>306</v>
      </c>
      <c r="E62" s="381"/>
      <c r="F62" s="381"/>
      <c r="G62" s="381"/>
      <c r="H62" s="378"/>
      <c r="I62" s="378"/>
      <c r="J62" s="381"/>
      <c r="K62" s="381"/>
      <c r="L62" s="381"/>
      <c r="N62" s="308"/>
      <c r="O62" s="308"/>
    </row>
    <row r="63" spans="1:15" ht="14.95" thickBot="1" x14ac:dyDescent="0.3">
      <c r="A63" s="388"/>
      <c r="B63" s="388"/>
      <c r="C63" s="388"/>
      <c r="D63" s="388"/>
      <c r="E63" s="388"/>
      <c r="F63" s="388"/>
      <c r="G63" s="388"/>
      <c r="H63" s="388"/>
      <c r="I63" s="388"/>
      <c r="J63" s="388"/>
      <c r="K63" s="388"/>
      <c r="L63" s="388"/>
    </row>
    <row r="64" spans="1:15" ht="14.95" thickBot="1" x14ac:dyDescent="0.3">
      <c r="A64" s="478" t="s">
        <v>335</v>
      </c>
      <c r="B64" s="479"/>
      <c r="C64" s="479"/>
      <c r="D64" s="479"/>
      <c r="E64" s="479"/>
      <c r="F64" s="479"/>
      <c r="G64" s="479"/>
      <c r="H64" s="479"/>
      <c r="I64" s="479"/>
      <c r="J64" s="479"/>
      <c r="K64" s="479"/>
      <c r="L64" s="479"/>
      <c r="M64" s="480"/>
    </row>
    <row r="65" spans="1:17" ht="15.8" customHeight="1" thickBot="1" x14ac:dyDescent="0.3">
      <c r="A65" s="493" t="s">
        <v>283</v>
      </c>
      <c r="B65" s="493" t="s">
        <v>284</v>
      </c>
      <c r="C65" s="493" t="s">
        <v>336</v>
      </c>
      <c r="D65" s="493" t="s">
        <v>337</v>
      </c>
      <c r="E65" s="493" t="s">
        <v>286</v>
      </c>
      <c r="F65" s="496" t="s">
        <v>287</v>
      </c>
      <c r="G65" s="497"/>
      <c r="H65" s="497"/>
      <c r="I65" s="497"/>
      <c r="J65" s="498"/>
      <c r="K65" s="496" t="s">
        <v>338</v>
      </c>
      <c r="L65" s="497"/>
      <c r="M65" s="498"/>
    </row>
    <row r="66" spans="1:17" ht="14.95" thickBot="1" x14ac:dyDescent="0.3">
      <c r="A66" s="494"/>
      <c r="B66" s="494"/>
      <c r="C66" s="494"/>
      <c r="D66" s="494"/>
      <c r="E66" s="494"/>
      <c r="F66" s="499" t="s">
        <v>10</v>
      </c>
      <c r="G66" s="500"/>
      <c r="H66" s="499" t="s">
        <v>9</v>
      </c>
      <c r="I66" s="501"/>
      <c r="J66" s="500"/>
      <c r="K66" s="499" t="s">
        <v>10</v>
      </c>
      <c r="L66" s="500"/>
      <c r="M66" s="389" t="s">
        <v>9</v>
      </c>
    </row>
    <row r="67" spans="1:17" ht="15.8" customHeight="1" thickBot="1" x14ac:dyDescent="0.3">
      <c r="A67" s="495"/>
      <c r="B67" s="495"/>
      <c r="C67" s="495"/>
      <c r="D67" s="495"/>
      <c r="E67" s="495"/>
      <c r="F67" s="390" t="s">
        <v>297</v>
      </c>
      <c r="G67" s="390" t="s">
        <v>298</v>
      </c>
      <c r="H67" s="391" t="s">
        <v>299</v>
      </c>
      <c r="I67" s="392" t="s">
        <v>300</v>
      </c>
      <c r="J67" s="393" t="s">
        <v>301</v>
      </c>
      <c r="K67" s="390" t="s">
        <v>297</v>
      </c>
      <c r="L67" s="390" t="s">
        <v>298</v>
      </c>
      <c r="M67" s="390" t="s">
        <v>298</v>
      </c>
      <c r="O67" s="379"/>
    </row>
    <row r="68" spans="1:17" ht="14.95" thickBot="1" x14ac:dyDescent="0.3">
      <c r="A68" s="475" t="s">
        <v>36</v>
      </c>
      <c r="B68" s="472" t="s">
        <v>339</v>
      </c>
      <c r="C68" s="472" t="s">
        <v>340</v>
      </c>
      <c r="D68" s="472" t="s">
        <v>340</v>
      </c>
      <c r="E68" s="394" t="s">
        <v>307</v>
      </c>
      <c r="F68" s="395">
        <v>0</v>
      </c>
      <c r="G68" s="381">
        <v>937.61</v>
      </c>
      <c r="H68" s="381">
        <v>484.48</v>
      </c>
      <c r="I68" s="378"/>
      <c r="J68" s="378"/>
      <c r="K68" s="381">
        <v>0</v>
      </c>
      <c r="L68" s="381">
        <v>918.51</v>
      </c>
      <c r="M68" s="381">
        <v>492.47</v>
      </c>
      <c r="O68" s="379"/>
      <c r="P68" s="308"/>
      <c r="Q68" s="396"/>
    </row>
    <row r="69" spans="1:17" ht="14.95" thickBot="1" x14ac:dyDescent="0.3">
      <c r="A69" s="476"/>
      <c r="B69" s="473"/>
      <c r="C69" s="473"/>
      <c r="D69" s="473"/>
      <c r="E69" s="394" t="s">
        <v>341</v>
      </c>
      <c r="F69" s="395">
        <v>0</v>
      </c>
      <c r="G69" s="381">
        <v>651.29</v>
      </c>
      <c r="H69" s="381">
        <v>305.79000000000002</v>
      </c>
      <c r="I69" s="378"/>
      <c r="J69" s="378"/>
      <c r="K69" s="381">
        <v>0</v>
      </c>
      <c r="L69" s="381">
        <v>634.94000000000005</v>
      </c>
      <c r="M69" s="381">
        <v>316.45999999999998</v>
      </c>
      <c r="O69" s="380"/>
      <c r="P69" s="308"/>
    </row>
    <row r="70" spans="1:17" ht="14.95" thickBot="1" x14ac:dyDescent="0.3">
      <c r="A70" s="476"/>
      <c r="B70" s="474"/>
      <c r="C70" s="474"/>
      <c r="D70" s="474"/>
      <c r="E70" s="394" t="s">
        <v>309</v>
      </c>
      <c r="F70" s="395">
        <v>0</v>
      </c>
      <c r="G70" s="381">
        <v>364.96</v>
      </c>
      <c r="H70" s="381">
        <v>305.79000000000002</v>
      </c>
      <c r="I70" s="378"/>
      <c r="J70" s="378"/>
      <c r="K70" s="381">
        <v>0</v>
      </c>
      <c r="L70" s="381">
        <v>351.38</v>
      </c>
      <c r="M70" s="381">
        <v>316.45999999999998</v>
      </c>
      <c r="O70" s="308"/>
      <c r="P70" s="308"/>
    </row>
    <row r="71" spans="1:17" ht="14.95" thickBot="1" x14ac:dyDescent="0.3">
      <c r="A71" s="476"/>
      <c r="B71" s="472" t="s">
        <v>332</v>
      </c>
      <c r="C71" s="472" t="s">
        <v>340</v>
      </c>
      <c r="D71" s="397" t="s">
        <v>340</v>
      </c>
      <c r="E71" s="394" t="s">
        <v>306</v>
      </c>
      <c r="F71" s="398">
        <v>0</v>
      </c>
      <c r="G71" s="381">
        <v>468.63</v>
      </c>
      <c r="H71" s="381">
        <v>320.68</v>
      </c>
      <c r="I71" s="378"/>
      <c r="J71" s="378"/>
      <c r="K71" s="377">
        <v>0</v>
      </c>
      <c r="L71" s="381">
        <v>454.05</v>
      </c>
      <c r="M71" s="381">
        <v>331.12</v>
      </c>
      <c r="O71" s="379"/>
      <c r="P71" s="308"/>
    </row>
    <row r="72" spans="1:17" ht="14.95" thickBot="1" x14ac:dyDescent="0.3">
      <c r="A72" s="476"/>
      <c r="B72" s="473"/>
      <c r="C72" s="473"/>
      <c r="D72" s="397" t="s">
        <v>342</v>
      </c>
      <c r="E72" s="394" t="s">
        <v>306</v>
      </c>
      <c r="F72" s="398">
        <v>0</v>
      </c>
      <c r="G72" s="381">
        <v>325.43</v>
      </c>
      <c r="H72" s="381">
        <v>282.45</v>
      </c>
      <c r="I72" s="378"/>
      <c r="J72" s="378"/>
      <c r="K72" s="377">
        <v>0</v>
      </c>
      <c r="L72" s="381"/>
      <c r="M72" s="381"/>
      <c r="O72" s="379"/>
      <c r="P72" s="308"/>
    </row>
    <row r="73" spans="1:17" ht="14.95" thickBot="1" x14ac:dyDescent="0.3">
      <c r="A73" s="477"/>
      <c r="B73" s="474"/>
      <c r="C73" s="474"/>
      <c r="D73" s="434" t="s">
        <v>387</v>
      </c>
      <c r="E73" s="394" t="s">
        <v>306</v>
      </c>
      <c r="F73" s="398"/>
      <c r="G73" s="381">
        <v>340.19</v>
      </c>
      <c r="H73" s="381">
        <v>296.66000000000003</v>
      </c>
      <c r="I73" s="378"/>
      <c r="J73" s="378"/>
      <c r="K73" s="377"/>
      <c r="L73" s="381"/>
      <c r="M73" s="381"/>
      <c r="O73" s="379"/>
      <c r="P73" s="308"/>
    </row>
    <row r="74" spans="1:17" ht="14.95" thickBot="1" x14ac:dyDescent="0.3">
      <c r="A74" s="475" t="s">
        <v>67</v>
      </c>
      <c r="B74" s="472" t="s">
        <v>339</v>
      </c>
      <c r="C74" s="472" t="s">
        <v>343</v>
      </c>
      <c r="D74" s="472" t="s">
        <v>306</v>
      </c>
      <c r="E74" s="394" t="s">
        <v>307</v>
      </c>
      <c r="F74" s="395">
        <v>0</v>
      </c>
      <c r="G74" s="381">
        <v>1061.03</v>
      </c>
      <c r="H74" s="381">
        <v>484.48</v>
      </c>
      <c r="I74" s="378"/>
      <c r="J74" s="378"/>
      <c r="K74" s="381">
        <v>0</v>
      </c>
      <c r="L74" s="381">
        <v>1040.73</v>
      </c>
      <c r="M74" s="381">
        <v>492.47</v>
      </c>
      <c r="O74" s="379"/>
      <c r="P74" s="308"/>
    </row>
    <row r="75" spans="1:17" ht="14.95" thickBot="1" x14ac:dyDescent="0.3">
      <c r="A75" s="476"/>
      <c r="B75" s="473"/>
      <c r="C75" s="473"/>
      <c r="D75" s="473"/>
      <c r="E75" s="394" t="s">
        <v>341</v>
      </c>
      <c r="F75" s="395">
        <v>0</v>
      </c>
      <c r="G75" s="381">
        <v>725.34</v>
      </c>
      <c r="H75" s="381">
        <v>305.79000000000002</v>
      </c>
      <c r="I75" s="378"/>
      <c r="J75" s="378"/>
      <c r="K75" s="381">
        <v>0</v>
      </c>
      <c r="L75" s="381">
        <v>708.28</v>
      </c>
      <c r="M75" s="381">
        <v>316.45999999999998</v>
      </c>
      <c r="O75" s="308"/>
      <c r="P75" s="308"/>
    </row>
    <row r="76" spans="1:17" ht="14.95" thickBot="1" x14ac:dyDescent="0.3">
      <c r="A76" s="476"/>
      <c r="B76" s="474"/>
      <c r="C76" s="474"/>
      <c r="D76" s="474"/>
      <c r="E76" s="394" t="s">
        <v>309</v>
      </c>
      <c r="F76" s="395">
        <v>0</v>
      </c>
      <c r="G76" s="381">
        <v>389.65</v>
      </c>
      <c r="H76" s="381">
        <v>305.79000000000002</v>
      </c>
      <c r="I76" s="378"/>
      <c r="J76" s="378"/>
      <c r="K76" s="381">
        <v>0</v>
      </c>
      <c r="L76" s="381">
        <v>375.82</v>
      </c>
      <c r="M76" s="381">
        <v>316.45999999999998</v>
      </c>
      <c r="O76" s="308"/>
      <c r="P76" s="308"/>
    </row>
    <row r="77" spans="1:17" ht="14.95" thickBot="1" x14ac:dyDescent="0.3">
      <c r="A77" s="476"/>
      <c r="B77" s="397" t="s">
        <v>332</v>
      </c>
      <c r="C77" s="397" t="s">
        <v>343</v>
      </c>
      <c r="D77" s="397" t="s">
        <v>306</v>
      </c>
      <c r="E77" s="394" t="s">
        <v>306</v>
      </c>
      <c r="F77" s="395">
        <v>0</v>
      </c>
      <c r="G77" s="381">
        <v>468.63</v>
      </c>
      <c r="H77" s="381">
        <v>320.68</v>
      </c>
      <c r="I77" s="378"/>
      <c r="J77" s="378"/>
      <c r="K77" s="381">
        <v>0</v>
      </c>
      <c r="L77" s="381">
        <v>454.05</v>
      </c>
      <c r="M77" s="381">
        <v>331.12</v>
      </c>
      <c r="O77" s="308"/>
      <c r="P77" s="308"/>
    </row>
    <row r="78" spans="1:17" ht="15.8" customHeight="1" thickBot="1" x14ac:dyDescent="0.3">
      <c r="A78" s="476"/>
      <c r="B78" s="472" t="s">
        <v>339</v>
      </c>
      <c r="C78" s="472" t="s">
        <v>343</v>
      </c>
      <c r="D78" s="472" t="s">
        <v>344</v>
      </c>
      <c r="E78" s="394" t="s">
        <v>307</v>
      </c>
      <c r="F78" s="395">
        <v>0</v>
      </c>
      <c r="G78" s="381">
        <v>1061.03</v>
      </c>
      <c r="H78" s="381">
        <v>484.48</v>
      </c>
      <c r="I78" s="378"/>
      <c r="J78" s="378"/>
      <c r="K78" s="381">
        <v>0</v>
      </c>
      <c r="L78" s="381">
        <v>1040.73</v>
      </c>
      <c r="M78" s="381">
        <v>492.47</v>
      </c>
      <c r="O78" s="308"/>
      <c r="P78" s="308"/>
    </row>
    <row r="79" spans="1:17" ht="14.95" thickBot="1" x14ac:dyDescent="0.3">
      <c r="A79" s="476"/>
      <c r="B79" s="473"/>
      <c r="C79" s="473"/>
      <c r="D79" s="473"/>
      <c r="E79" s="394" t="s">
        <v>341</v>
      </c>
      <c r="F79" s="395">
        <v>0</v>
      </c>
      <c r="G79" s="381">
        <v>725.34</v>
      </c>
      <c r="H79" s="381">
        <v>305.79000000000002</v>
      </c>
      <c r="I79" s="378"/>
      <c r="J79" s="378"/>
      <c r="K79" s="381">
        <v>0</v>
      </c>
      <c r="L79" s="381">
        <v>708.28</v>
      </c>
      <c r="M79" s="381">
        <v>316.45999999999998</v>
      </c>
      <c r="O79" s="308"/>
      <c r="P79" s="308"/>
    </row>
    <row r="80" spans="1:17" ht="14.95" thickBot="1" x14ac:dyDescent="0.3">
      <c r="A80" s="476"/>
      <c r="B80" s="474"/>
      <c r="C80" s="474"/>
      <c r="D80" s="474"/>
      <c r="E80" s="394" t="s">
        <v>309</v>
      </c>
      <c r="F80" s="395">
        <v>0</v>
      </c>
      <c r="G80" s="381">
        <v>389.65</v>
      </c>
      <c r="H80" s="381">
        <v>305.79000000000002</v>
      </c>
      <c r="I80" s="378"/>
      <c r="J80" s="378"/>
      <c r="K80" s="381">
        <v>0</v>
      </c>
      <c r="L80" s="381">
        <v>375.82</v>
      </c>
      <c r="M80" s="381">
        <v>316.45999999999998</v>
      </c>
      <c r="O80" s="308"/>
      <c r="P80" s="308"/>
    </row>
    <row r="81" spans="1:16" ht="33.299999999999997" thickBot="1" x14ac:dyDescent="0.3">
      <c r="A81" s="476"/>
      <c r="B81" s="397" t="s">
        <v>332</v>
      </c>
      <c r="C81" s="397" t="s">
        <v>343</v>
      </c>
      <c r="D81" s="397" t="s">
        <v>344</v>
      </c>
      <c r="E81" s="394" t="s">
        <v>306</v>
      </c>
      <c r="F81" s="395">
        <v>0</v>
      </c>
      <c r="G81" s="381">
        <v>468.63</v>
      </c>
      <c r="H81" s="381">
        <v>320.68</v>
      </c>
      <c r="I81" s="378"/>
      <c r="J81" s="378"/>
      <c r="K81" s="381">
        <v>0</v>
      </c>
      <c r="L81" s="381">
        <v>454.05</v>
      </c>
      <c r="M81" s="381">
        <v>331.12</v>
      </c>
      <c r="O81" s="379"/>
      <c r="P81" s="308"/>
    </row>
    <row r="82" spans="1:16" ht="15.8" customHeight="1" thickBot="1" x14ac:dyDescent="0.3">
      <c r="A82" s="476"/>
      <c r="B82" s="472" t="s">
        <v>339</v>
      </c>
      <c r="C82" s="472" t="s">
        <v>343</v>
      </c>
      <c r="D82" s="472" t="s">
        <v>345</v>
      </c>
      <c r="E82" s="394" t="s">
        <v>307</v>
      </c>
      <c r="F82" s="395">
        <v>0</v>
      </c>
      <c r="G82" s="381">
        <v>1061.03</v>
      </c>
      <c r="H82" s="381">
        <v>484.48</v>
      </c>
      <c r="I82" s="378"/>
      <c r="J82" s="378"/>
      <c r="K82" s="381">
        <v>0</v>
      </c>
      <c r="L82" s="381">
        <v>1040.73</v>
      </c>
      <c r="M82" s="381">
        <v>492.47</v>
      </c>
      <c r="O82" s="379"/>
      <c r="P82" s="308"/>
    </row>
    <row r="83" spans="1:16" ht="14.95" thickBot="1" x14ac:dyDescent="0.3">
      <c r="A83" s="476"/>
      <c r="B83" s="473"/>
      <c r="C83" s="473"/>
      <c r="D83" s="473"/>
      <c r="E83" s="394" t="s">
        <v>341</v>
      </c>
      <c r="F83" s="395">
        <v>0</v>
      </c>
      <c r="G83" s="381">
        <v>725.34</v>
      </c>
      <c r="H83" s="381">
        <v>305.79000000000002</v>
      </c>
      <c r="I83" s="378"/>
      <c r="J83" s="378"/>
      <c r="K83" s="381">
        <v>0</v>
      </c>
      <c r="L83" s="381">
        <v>708.28</v>
      </c>
      <c r="M83" s="381">
        <v>316.45999999999998</v>
      </c>
      <c r="O83" s="380"/>
      <c r="P83" s="308"/>
    </row>
    <row r="84" spans="1:16" ht="14.95" thickBot="1" x14ac:dyDescent="0.3">
      <c r="A84" s="476"/>
      <c r="B84" s="474"/>
      <c r="C84" s="474"/>
      <c r="D84" s="474"/>
      <c r="E84" s="394" t="s">
        <v>309</v>
      </c>
      <c r="F84" s="395">
        <v>0</v>
      </c>
      <c r="G84" s="381">
        <v>389.65</v>
      </c>
      <c r="H84" s="381">
        <v>305.79000000000002</v>
      </c>
      <c r="I84" s="378"/>
      <c r="J84" s="378"/>
      <c r="K84" s="381">
        <v>0</v>
      </c>
      <c r="L84" s="381">
        <v>375.82</v>
      </c>
      <c r="M84" s="381">
        <v>316.45999999999998</v>
      </c>
      <c r="O84" s="308"/>
      <c r="P84" s="308"/>
    </row>
    <row r="85" spans="1:16" ht="22.45" thickBot="1" x14ac:dyDescent="0.3">
      <c r="A85" s="477"/>
      <c r="B85" s="397" t="s">
        <v>332</v>
      </c>
      <c r="C85" s="397" t="s">
        <v>343</v>
      </c>
      <c r="D85" s="397" t="s">
        <v>345</v>
      </c>
      <c r="E85" s="394" t="s">
        <v>306</v>
      </c>
      <c r="F85" s="395">
        <v>0</v>
      </c>
      <c r="G85" s="381">
        <v>468.63</v>
      </c>
      <c r="H85" s="381">
        <v>320.68</v>
      </c>
      <c r="I85" s="378"/>
      <c r="J85" s="378"/>
      <c r="K85" s="381">
        <v>0</v>
      </c>
      <c r="L85" s="381">
        <v>454.05</v>
      </c>
      <c r="M85" s="381">
        <v>331.12</v>
      </c>
      <c r="O85" s="379"/>
      <c r="P85" s="308"/>
    </row>
    <row r="86" spans="1:16" ht="14.95" thickBot="1" x14ac:dyDescent="0.3">
      <c r="A86" s="475" t="s">
        <v>66</v>
      </c>
      <c r="B86" s="472" t="s">
        <v>339</v>
      </c>
      <c r="C86" s="472" t="s">
        <v>306</v>
      </c>
      <c r="D86" s="472" t="s">
        <v>306</v>
      </c>
      <c r="E86" s="394" t="s">
        <v>307</v>
      </c>
      <c r="F86" s="395">
        <v>0</v>
      </c>
      <c r="G86" s="381">
        <v>1061.03</v>
      </c>
      <c r="H86" s="381">
        <v>484.48</v>
      </c>
      <c r="I86" s="378"/>
      <c r="J86" s="378"/>
      <c r="K86" s="381">
        <v>0</v>
      </c>
      <c r="L86" s="381">
        <v>1040.73</v>
      </c>
      <c r="M86" s="381">
        <v>492.47</v>
      </c>
      <c r="O86" s="379"/>
      <c r="P86" s="308"/>
    </row>
    <row r="87" spans="1:16" ht="14.95" thickBot="1" x14ac:dyDescent="0.3">
      <c r="A87" s="476"/>
      <c r="B87" s="473"/>
      <c r="C87" s="473"/>
      <c r="D87" s="473"/>
      <c r="E87" s="394" t="s">
        <v>341</v>
      </c>
      <c r="F87" s="395">
        <v>0</v>
      </c>
      <c r="G87" s="381">
        <v>725.34</v>
      </c>
      <c r="H87" s="381">
        <v>305.79000000000002</v>
      </c>
      <c r="I87" s="378"/>
      <c r="J87" s="378"/>
      <c r="K87" s="381">
        <v>0</v>
      </c>
      <c r="L87" s="381">
        <v>708.28</v>
      </c>
      <c r="M87" s="381">
        <v>316.45999999999998</v>
      </c>
      <c r="O87" s="379"/>
      <c r="P87" s="308"/>
    </row>
    <row r="88" spans="1:16" ht="14.95" thickBot="1" x14ac:dyDescent="0.3">
      <c r="A88" s="476"/>
      <c r="B88" s="474"/>
      <c r="C88" s="474"/>
      <c r="D88" s="474"/>
      <c r="E88" s="394" t="s">
        <v>309</v>
      </c>
      <c r="F88" s="395">
        <v>0</v>
      </c>
      <c r="G88" s="381">
        <v>389.65</v>
      </c>
      <c r="H88" s="381">
        <v>305.79000000000002</v>
      </c>
      <c r="I88" s="378"/>
      <c r="J88" s="378"/>
      <c r="K88" s="381">
        <v>0</v>
      </c>
      <c r="L88" s="381">
        <v>375.82</v>
      </c>
      <c r="M88" s="381">
        <v>316.45999999999998</v>
      </c>
      <c r="O88" s="308"/>
      <c r="P88" s="308"/>
    </row>
    <row r="89" spans="1:16" ht="14.95" thickBot="1" x14ac:dyDescent="0.3">
      <c r="A89" s="477"/>
      <c r="B89" s="397" t="s">
        <v>332</v>
      </c>
      <c r="C89" s="397" t="s">
        <v>306</v>
      </c>
      <c r="D89" s="397" t="s">
        <v>306</v>
      </c>
      <c r="E89" s="394" t="s">
        <v>306</v>
      </c>
      <c r="F89" s="395">
        <v>0</v>
      </c>
      <c r="G89" s="381">
        <v>468.63</v>
      </c>
      <c r="H89" s="381">
        <v>320.68</v>
      </c>
      <c r="I89" s="378"/>
      <c r="J89" s="378"/>
      <c r="K89" s="381">
        <v>0</v>
      </c>
      <c r="L89" s="381">
        <v>454.05</v>
      </c>
      <c r="M89" s="381">
        <v>331.12</v>
      </c>
      <c r="O89" s="308"/>
      <c r="P89" s="308"/>
    </row>
    <row r="90" spans="1:16" ht="22.45" thickBot="1" x14ac:dyDescent="0.3">
      <c r="A90" s="475" t="s">
        <v>346</v>
      </c>
      <c r="B90" s="472" t="s">
        <v>332</v>
      </c>
      <c r="C90" s="472" t="s">
        <v>347</v>
      </c>
      <c r="D90" s="397" t="s">
        <v>348</v>
      </c>
      <c r="E90" s="394" t="s">
        <v>306</v>
      </c>
      <c r="F90" s="395">
        <v>0</v>
      </c>
      <c r="G90" s="381">
        <v>257.75</v>
      </c>
      <c r="H90" s="381">
        <v>176.38</v>
      </c>
      <c r="I90" s="378"/>
      <c r="J90" s="378"/>
      <c r="K90" s="381">
        <v>0</v>
      </c>
      <c r="L90" s="381">
        <v>249.73</v>
      </c>
      <c r="M90" s="381">
        <v>182.12</v>
      </c>
      <c r="O90" s="308"/>
      <c r="P90" s="308"/>
    </row>
    <row r="91" spans="1:16" ht="22.45" thickBot="1" x14ac:dyDescent="0.3">
      <c r="A91" s="477"/>
      <c r="B91" s="474"/>
      <c r="C91" s="474"/>
      <c r="D91" s="397" t="s">
        <v>349</v>
      </c>
      <c r="E91" s="394" t="s">
        <v>306</v>
      </c>
      <c r="F91" s="395">
        <v>0</v>
      </c>
      <c r="G91" s="381">
        <v>281.18</v>
      </c>
      <c r="H91" s="381">
        <v>192.41</v>
      </c>
      <c r="I91" s="378"/>
      <c r="J91" s="378"/>
      <c r="K91" s="381">
        <v>0</v>
      </c>
      <c r="L91" s="381">
        <v>272.43</v>
      </c>
      <c r="M91" s="381">
        <v>198.67</v>
      </c>
      <c r="O91" s="308"/>
      <c r="P91" s="308"/>
    </row>
  </sheetData>
  <mergeCells count="82">
    <mergeCell ref="A90:A91"/>
    <mergeCell ref="B90:B91"/>
    <mergeCell ref="C90:C91"/>
    <mergeCell ref="B68:B70"/>
    <mergeCell ref="C68:C70"/>
    <mergeCell ref="D68:D70"/>
    <mergeCell ref="A68:A73"/>
    <mergeCell ref="B71:B73"/>
    <mergeCell ref="C71:C73"/>
    <mergeCell ref="H66:J66"/>
    <mergeCell ref="A64:M64"/>
    <mergeCell ref="A65:A67"/>
    <mergeCell ref="B65:B67"/>
    <mergeCell ref="C65:C67"/>
    <mergeCell ref="D65:D67"/>
    <mergeCell ref="E65:E67"/>
    <mergeCell ref="F65:J65"/>
    <mergeCell ref="K65:M65"/>
    <mergeCell ref="F66:G66"/>
    <mergeCell ref="K66:L66"/>
    <mergeCell ref="A36:A47"/>
    <mergeCell ref="B36:B37"/>
    <mergeCell ref="C36:C37"/>
    <mergeCell ref="B38:B39"/>
    <mergeCell ref="C38:C39"/>
    <mergeCell ref="B40:B42"/>
    <mergeCell ref="C40:C42"/>
    <mergeCell ref="B43:B45"/>
    <mergeCell ref="C43:C45"/>
    <mergeCell ref="C59:C61"/>
    <mergeCell ref="A48:A62"/>
    <mergeCell ref="B48:B49"/>
    <mergeCell ref="C48:C49"/>
    <mergeCell ref="B50:B51"/>
    <mergeCell ref="C50:C51"/>
    <mergeCell ref="B52:B54"/>
    <mergeCell ref="C52:C54"/>
    <mergeCell ref="B55:B57"/>
    <mergeCell ref="C55:C57"/>
    <mergeCell ref="B59:B61"/>
    <mergeCell ref="A28:A35"/>
    <mergeCell ref="B28:B29"/>
    <mergeCell ref="C28:C29"/>
    <mergeCell ref="B30:B31"/>
    <mergeCell ref="C30:C31"/>
    <mergeCell ref="B32:B34"/>
    <mergeCell ref="C32:C34"/>
    <mergeCell ref="B5:B6"/>
    <mergeCell ref="C5:C6"/>
    <mergeCell ref="B7:B8"/>
    <mergeCell ref="C7:C8"/>
    <mergeCell ref="A9:A27"/>
    <mergeCell ref="B9:B10"/>
    <mergeCell ref="C9:C10"/>
    <mergeCell ref="B11:B12"/>
    <mergeCell ref="C11:C12"/>
    <mergeCell ref="B13:B15"/>
    <mergeCell ref="C13:C15"/>
    <mergeCell ref="B16:B27"/>
    <mergeCell ref="A1:L1"/>
    <mergeCell ref="A2:A4"/>
    <mergeCell ref="B2:B4"/>
    <mergeCell ref="C2:C4"/>
    <mergeCell ref="E2:I2"/>
    <mergeCell ref="J2:L2"/>
    <mergeCell ref="E3:F3"/>
    <mergeCell ref="G3:I3"/>
    <mergeCell ref="J3:K3"/>
    <mergeCell ref="D78:D80"/>
    <mergeCell ref="B82:B84"/>
    <mergeCell ref="C82:C84"/>
    <mergeCell ref="D82:D84"/>
    <mergeCell ref="A86:A89"/>
    <mergeCell ref="B86:B88"/>
    <mergeCell ref="C86:C88"/>
    <mergeCell ref="D86:D88"/>
    <mergeCell ref="A74:A85"/>
    <mergeCell ref="B74:B76"/>
    <mergeCell ref="C74:C76"/>
    <mergeCell ref="D74:D76"/>
    <mergeCell ref="B78:B80"/>
    <mergeCell ref="C78:C80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3B340-164A-4EAE-89E9-2E5537FD2BC7}">
  <dimension ref="A1:Q93"/>
  <sheetViews>
    <sheetView topLeftCell="A63" zoomScale="90" zoomScaleNormal="90" workbookViewId="0">
      <selection activeCell="B91" sqref="A91:XFD91"/>
    </sheetView>
  </sheetViews>
  <sheetFormatPr defaultColWidth="15" defaultRowHeight="14.3" x14ac:dyDescent="0.25"/>
  <cols>
    <col min="1" max="1" width="35.375" style="399" bestFit="1" customWidth="1"/>
    <col min="2" max="2" width="16" style="399" bestFit="1" customWidth="1"/>
    <col min="3" max="3" width="17.375" style="399" bestFit="1" customWidth="1"/>
    <col min="4" max="4" width="17.75" style="399" bestFit="1" customWidth="1"/>
    <col min="5" max="5" width="12.75" style="399" bestFit="1" customWidth="1"/>
    <col min="6" max="6" width="8.375" style="399" bestFit="1" customWidth="1"/>
    <col min="7" max="7" width="12" style="399" bestFit="1" customWidth="1"/>
    <col min="8" max="8" width="12.125" style="399" bestFit="1" customWidth="1"/>
    <col min="9" max="9" width="12.375" style="399" bestFit="1" customWidth="1"/>
    <col min="10" max="10" width="12.25" style="399" bestFit="1" customWidth="1"/>
    <col min="11" max="11" width="8.375" style="399" bestFit="1" customWidth="1"/>
    <col min="12" max="12" width="7.75" style="399" bestFit="1" customWidth="1"/>
    <col min="13" max="13" width="7.25" bestFit="1" customWidth="1"/>
    <col min="14" max="14" width="9" bestFit="1" customWidth="1"/>
    <col min="15" max="15" width="4" bestFit="1" customWidth="1"/>
    <col min="16" max="16" width="4.875" bestFit="1" customWidth="1"/>
    <col min="17" max="17" width="5.375" bestFit="1" customWidth="1"/>
  </cols>
  <sheetData>
    <row r="1" spans="1:17" ht="14.95" thickBot="1" x14ac:dyDescent="0.3">
      <c r="A1" s="478" t="s">
        <v>282</v>
      </c>
      <c r="B1" s="479"/>
      <c r="C1" s="479"/>
      <c r="D1" s="479"/>
      <c r="E1" s="479"/>
      <c r="F1" s="479"/>
      <c r="G1" s="479"/>
      <c r="H1" s="479"/>
      <c r="I1" s="479"/>
      <c r="J1" s="479"/>
      <c r="K1" s="479"/>
      <c r="L1" s="480"/>
    </row>
    <row r="2" spans="1:17" ht="15.8" customHeight="1" thickBot="1" x14ac:dyDescent="0.3">
      <c r="A2" s="481" t="s">
        <v>283</v>
      </c>
      <c r="B2" s="481" t="s">
        <v>284</v>
      </c>
      <c r="C2" s="481" t="s">
        <v>285</v>
      </c>
      <c r="D2" s="364" t="s">
        <v>286</v>
      </c>
      <c r="E2" s="484" t="s">
        <v>287</v>
      </c>
      <c r="F2" s="485"/>
      <c r="G2" s="485"/>
      <c r="H2" s="485"/>
      <c r="I2" s="486"/>
      <c r="J2" s="484" t="s">
        <v>288</v>
      </c>
      <c r="K2" s="485"/>
      <c r="L2" s="486"/>
      <c r="N2" s="365" t="s">
        <v>289</v>
      </c>
      <c r="O2" s="365" t="s">
        <v>290</v>
      </c>
      <c r="P2" s="365" t="s">
        <v>291</v>
      </c>
      <c r="Q2" s="365" t="s">
        <v>292</v>
      </c>
    </row>
    <row r="3" spans="1:17" ht="14.95" thickBot="1" x14ac:dyDescent="0.3">
      <c r="A3" s="482"/>
      <c r="B3" s="482"/>
      <c r="C3" s="482"/>
      <c r="D3" s="366"/>
      <c r="E3" s="484" t="s">
        <v>10</v>
      </c>
      <c r="F3" s="486"/>
      <c r="G3" s="484" t="s">
        <v>293</v>
      </c>
      <c r="H3" s="485"/>
      <c r="I3" s="486"/>
      <c r="J3" s="484" t="s">
        <v>10</v>
      </c>
      <c r="K3" s="486"/>
      <c r="L3" s="366" t="s">
        <v>9</v>
      </c>
      <c r="N3" s="367" t="s">
        <v>294</v>
      </c>
      <c r="O3" s="368" t="s">
        <v>295</v>
      </c>
      <c r="P3" s="368" t="s">
        <v>296</v>
      </c>
      <c r="Q3" s="369">
        <v>2026</v>
      </c>
    </row>
    <row r="4" spans="1:17" ht="14.95" thickBot="1" x14ac:dyDescent="0.3">
      <c r="A4" s="483"/>
      <c r="B4" s="483"/>
      <c r="C4" s="483"/>
      <c r="D4" s="366"/>
      <c r="E4" s="366" t="s">
        <v>297</v>
      </c>
      <c r="F4" s="366" t="s">
        <v>298</v>
      </c>
      <c r="G4" s="370" t="s">
        <v>299</v>
      </c>
      <c r="H4" s="371" t="s">
        <v>300</v>
      </c>
      <c r="I4" s="372" t="s">
        <v>301</v>
      </c>
      <c r="J4" s="366" t="s">
        <v>297</v>
      </c>
      <c r="K4" s="366" t="s">
        <v>298</v>
      </c>
      <c r="L4" s="366" t="s">
        <v>298</v>
      </c>
      <c r="N4" s="367" t="s">
        <v>302</v>
      </c>
      <c r="O4" s="373" t="s">
        <v>303</v>
      </c>
      <c r="P4" s="373" t="s">
        <v>304</v>
      </c>
      <c r="Q4" s="374">
        <v>9999</v>
      </c>
    </row>
    <row r="5" spans="1:17" ht="14.95" thickBot="1" x14ac:dyDescent="0.3">
      <c r="A5" s="375"/>
      <c r="B5" s="487" t="s">
        <v>305</v>
      </c>
      <c r="C5" s="487" t="s">
        <v>306</v>
      </c>
      <c r="D5" s="376" t="s">
        <v>307</v>
      </c>
      <c r="E5" s="412"/>
      <c r="F5" s="412"/>
      <c r="G5" s="412"/>
      <c r="H5" s="412"/>
      <c r="I5" s="412"/>
      <c r="J5" s="412"/>
      <c r="K5" s="412"/>
      <c r="L5" s="412"/>
      <c r="M5" s="379"/>
      <c r="N5" s="308"/>
      <c r="O5" s="308"/>
    </row>
    <row r="6" spans="1:17" ht="14.95" thickBot="1" x14ac:dyDescent="0.3">
      <c r="A6" s="375" t="s">
        <v>308</v>
      </c>
      <c r="B6" s="488"/>
      <c r="C6" s="488"/>
      <c r="D6" s="376" t="s">
        <v>309</v>
      </c>
      <c r="E6" s="412"/>
      <c r="F6" s="412"/>
      <c r="G6" s="412"/>
      <c r="H6" s="412"/>
      <c r="I6" s="412"/>
      <c r="J6" s="412"/>
      <c r="K6" s="412"/>
      <c r="L6" s="412"/>
      <c r="M6" s="379"/>
      <c r="N6" s="308"/>
      <c r="O6" s="308"/>
    </row>
    <row r="7" spans="1:17" ht="14.95" thickBot="1" x14ac:dyDescent="0.3">
      <c r="A7" s="375"/>
      <c r="B7" s="487" t="s">
        <v>310</v>
      </c>
      <c r="C7" s="487" t="s">
        <v>306</v>
      </c>
      <c r="D7" s="376" t="s">
        <v>307</v>
      </c>
      <c r="E7" s="412"/>
      <c r="F7" s="412"/>
      <c r="G7" s="412"/>
      <c r="H7" s="412"/>
      <c r="I7" s="412"/>
      <c r="J7" s="412"/>
      <c r="K7" s="412"/>
      <c r="L7" s="412"/>
      <c r="M7" s="380"/>
      <c r="N7" s="308"/>
      <c r="O7" s="308"/>
    </row>
    <row r="8" spans="1:17" ht="14.95" thickBot="1" x14ac:dyDescent="0.3">
      <c r="A8" s="375"/>
      <c r="B8" s="488"/>
      <c r="C8" s="488"/>
      <c r="D8" s="376" t="s">
        <v>309</v>
      </c>
      <c r="E8" s="412"/>
      <c r="F8" s="412"/>
      <c r="G8" s="412"/>
      <c r="H8" s="412"/>
      <c r="I8" s="412"/>
      <c r="J8" s="412"/>
      <c r="K8" s="412"/>
      <c r="L8" s="412"/>
      <c r="M8" s="308"/>
      <c r="N8" s="308"/>
      <c r="O8" s="308"/>
    </row>
    <row r="9" spans="1:17" ht="15.8" customHeight="1" thickBot="1" x14ac:dyDescent="0.3">
      <c r="A9" s="475" t="s">
        <v>311</v>
      </c>
      <c r="B9" s="487" t="s">
        <v>305</v>
      </c>
      <c r="C9" s="487" t="s">
        <v>306</v>
      </c>
      <c r="D9" s="376" t="s">
        <v>307</v>
      </c>
      <c r="E9" s="377"/>
      <c r="F9" s="377"/>
      <c r="G9" s="377"/>
      <c r="H9" s="378"/>
      <c r="I9" s="378"/>
      <c r="J9" s="377"/>
      <c r="K9" s="377"/>
      <c r="L9" s="377"/>
      <c r="M9" s="379"/>
      <c r="N9" s="308"/>
      <c r="O9" s="308"/>
    </row>
    <row r="10" spans="1:17" ht="14.95" thickBot="1" x14ac:dyDescent="0.3">
      <c r="A10" s="476"/>
      <c r="B10" s="488"/>
      <c r="C10" s="488"/>
      <c r="D10" s="376" t="s">
        <v>309</v>
      </c>
      <c r="E10" s="377"/>
      <c r="F10" s="377"/>
      <c r="G10" s="377"/>
      <c r="H10" s="378"/>
      <c r="I10" s="378"/>
      <c r="J10" s="377"/>
      <c r="K10" s="377"/>
      <c r="L10" s="377"/>
      <c r="M10" s="379"/>
      <c r="N10" s="382"/>
      <c r="O10" s="382"/>
    </row>
    <row r="11" spans="1:17" ht="14.95" thickBot="1" x14ac:dyDescent="0.3">
      <c r="A11" s="476"/>
      <c r="B11" s="487" t="s">
        <v>310</v>
      </c>
      <c r="C11" s="487" t="s">
        <v>306</v>
      </c>
      <c r="D11" s="376" t="s">
        <v>307</v>
      </c>
      <c r="E11" s="377"/>
      <c r="F11" s="377"/>
      <c r="G11" s="377"/>
      <c r="H11" s="378"/>
      <c r="I11" s="378"/>
      <c r="J11" s="377"/>
      <c r="K11" s="377"/>
      <c r="L11" s="377"/>
      <c r="M11" s="379"/>
      <c r="N11" s="308"/>
      <c r="O11" s="308"/>
    </row>
    <row r="12" spans="1:17" ht="14.95" thickBot="1" x14ac:dyDescent="0.3">
      <c r="A12" s="476"/>
      <c r="B12" s="488"/>
      <c r="C12" s="488"/>
      <c r="D12" s="376" t="s">
        <v>309</v>
      </c>
      <c r="E12" s="377"/>
      <c r="F12" s="377"/>
      <c r="G12" s="377"/>
      <c r="H12" s="378"/>
      <c r="I12" s="378"/>
      <c r="J12" s="377"/>
      <c r="K12" s="377"/>
      <c r="L12" s="377"/>
      <c r="M12" s="308"/>
    </row>
    <row r="13" spans="1:17" ht="14.95" thickBot="1" x14ac:dyDescent="0.3">
      <c r="A13" s="476"/>
      <c r="B13" s="487" t="s">
        <v>312</v>
      </c>
      <c r="C13" s="487" t="s">
        <v>313</v>
      </c>
      <c r="D13" s="376" t="s">
        <v>307</v>
      </c>
      <c r="E13" s="381"/>
      <c r="F13" s="381"/>
      <c r="G13" s="381"/>
      <c r="H13" s="378"/>
      <c r="I13" s="378"/>
      <c r="J13" s="381"/>
      <c r="K13" s="381"/>
      <c r="L13" s="381"/>
    </row>
    <row r="14" spans="1:17" ht="14.95" thickBot="1" x14ac:dyDescent="0.3">
      <c r="A14" s="476"/>
      <c r="B14" s="489"/>
      <c r="C14" s="489"/>
      <c r="D14" s="376" t="s">
        <v>309</v>
      </c>
      <c r="E14" s="381"/>
      <c r="F14" s="381"/>
      <c r="G14" s="381"/>
      <c r="H14" s="378"/>
      <c r="I14" s="378"/>
      <c r="J14" s="381"/>
      <c r="K14" s="381"/>
      <c r="L14" s="381"/>
    </row>
    <row r="15" spans="1:17" ht="14.95" thickBot="1" x14ac:dyDescent="0.3">
      <c r="A15" s="476"/>
      <c r="B15" s="488"/>
      <c r="C15" s="488"/>
      <c r="D15" s="376" t="s">
        <v>306</v>
      </c>
      <c r="E15" s="381"/>
      <c r="F15" s="381"/>
      <c r="G15" s="381"/>
      <c r="H15" s="378"/>
      <c r="I15" s="378"/>
      <c r="J15" s="381"/>
      <c r="K15" s="381"/>
      <c r="L15" s="381"/>
      <c r="M15" s="383"/>
    </row>
    <row r="16" spans="1:17" ht="14.95" thickBot="1" x14ac:dyDescent="0.3">
      <c r="A16" s="476"/>
      <c r="B16" s="487" t="s">
        <v>314</v>
      </c>
      <c r="C16" s="384" t="s">
        <v>315</v>
      </c>
      <c r="D16" s="376" t="s">
        <v>306</v>
      </c>
      <c r="E16" s="385"/>
      <c r="F16" s="377"/>
      <c r="G16" s="377"/>
      <c r="H16" s="378"/>
      <c r="I16" s="378"/>
      <c r="J16" s="385"/>
      <c r="K16" s="377"/>
      <c r="L16" s="386"/>
      <c r="M16" s="383"/>
      <c r="N16" s="308"/>
    </row>
    <row r="17" spans="1:15" ht="14.95" thickBot="1" x14ac:dyDescent="0.3">
      <c r="A17" s="476"/>
      <c r="B17" s="489"/>
      <c r="C17" s="384" t="s">
        <v>316</v>
      </c>
      <c r="D17" s="376" t="s">
        <v>306</v>
      </c>
      <c r="E17" s="385"/>
      <c r="F17" s="377"/>
      <c r="G17" s="377"/>
      <c r="H17" s="378"/>
      <c r="I17" s="378"/>
      <c r="J17" s="381"/>
      <c r="K17" s="377"/>
      <c r="L17" s="377"/>
      <c r="M17" s="308"/>
      <c r="N17" s="308"/>
      <c r="O17" s="308"/>
    </row>
    <row r="18" spans="1:15" ht="14.95" thickBot="1" x14ac:dyDescent="0.3">
      <c r="A18" s="476"/>
      <c r="B18" s="489"/>
      <c r="C18" s="384" t="s">
        <v>317</v>
      </c>
      <c r="D18" s="376" t="s">
        <v>306</v>
      </c>
      <c r="E18" s="385"/>
      <c r="F18" s="377"/>
      <c r="G18" s="377"/>
      <c r="H18" s="378"/>
      <c r="I18" s="378"/>
      <c r="J18" s="385"/>
      <c r="K18" s="377"/>
      <c r="L18" s="377"/>
      <c r="N18" s="308"/>
      <c r="O18" s="308"/>
    </row>
    <row r="19" spans="1:15" ht="14.95" thickBot="1" x14ac:dyDescent="0.3">
      <c r="A19" s="476"/>
      <c r="B19" s="489"/>
      <c r="C19" s="384" t="s">
        <v>318</v>
      </c>
      <c r="D19" s="376" t="s">
        <v>306</v>
      </c>
      <c r="E19" s="381"/>
      <c r="F19" s="377"/>
      <c r="G19" s="377"/>
      <c r="H19" s="378"/>
      <c r="I19" s="378"/>
      <c r="J19" s="385"/>
      <c r="K19" s="377"/>
      <c r="L19" s="377"/>
      <c r="N19" s="308"/>
      <c r="O19" s="308"/>
    </row>
    <row r="20" spans="1:15" ht="14.95" thickBot="1" x14ac:dyDescent="0.3">
      <c r="A20" s="476"/>
      <c r="B20" s="489"/>
      <c r="C20" s="384" t="s">
        <v>319</v>
      </c>
      <c r="D20" s="376" t="s">
        <v>306</v>
      </c>
      <c r="E20" s="381"/>
      <c r="F20" s="377"/>
      <c r="G20" s="377"/>
      <c r="H20" s="378"/>
      <c r="I20" s="378"/>
      <c r="J20" s="385"/>
      <c r="K20" s="377"/>
      <c r="L20" s="377"/>
      <c r="N20" s="308"/>
      <c r="O20" s="308"/>
    </row>
    <row r="21" spans="1:15" ht="14.95" thickBot="1" x14ac:dyDescent="0.3">
      <c r="A21" s="476"/>
      <c r="B21" s="489"/>
      <c r="C21" s="384" t="s">
        <v>320</v>
      </c>
      <c r="D21" s="376" t="s">
        <v>306</v>
      </c>
      <c r="E21" s="381"/>
      <c r="F21" s="377"/>
      <c r="G21" s="377"/>
      <c r="H21" s="378"/>
      <c r="I21" s="378"/>
      <c r="J21" s="385"/>
      <c r="K21" s="377"/>
      <c r="L21" s="377"/>
      <c r="N21" s="308"/>
      <c r="O21" s="308"/>
    </row>
    <row r="22" spans="1:15" ht="14.95" thickBot="1" x14ac:dyDescent="0.3">
      <c r="A22" s="476"/>
      <c r="B22" s="489"/>
      <c r="C22" s="384" t="s">
        <v>321</v>
      </c>
      <c r="D22" s="376" t="s">
        <v>306</v>
      </c>
      <c r="E22" s="381"/>
      <c r="F22" s="377"/>
      <c r="G22" s="377"/>
      <c r="H22" s="378"/>
      <c r="I22" s="378"/>
      <c r="J22" s="385"/>
      <c r="K22" s="377"/>
      <c r="L22" s="377"/>
      <c r="N22" s="308"/>
      <c r="O22" s="308"/>
    </row>
    <row r="23" spans="1:15" ht="14.95" thickBot="1" x14ac:dyDescent="0.3">
      <c r="A23" s="476"/>
      <c r="B23" s="489"/>
      <c r="C23" s="384" t="s">
        <v>322</v>
      </c>
      <c r="D23" s="376" t="s">
        <v>306</v>
      </c>
      <c r="E23" s="381"/>
      <c r="F23" s="377"/>
      <c r="G23" s="377"/>
      <c r="H23" s="378"/>
      <c r="I23" s="378"/>
      <c r="J23" s="385"/>
      <c r="K23" s="377"/>
      <c r="L23" s="377"/>
      <c r="N23" s="308"/>
      <c r="O23" s="308"/>
    </row>
    <row r="24" spans="1:15" ht="14.95" thickBot="1" x14ac:dyDescent="0.3">
      <c r="A24" s="476"/>
      <c r="B24" s="489"/>
      <c r="C24" s="384" t="s">
        <v>323</v>
      </c>
      <c r="D24" s="376" t="s">
        <v>306</v>
      </c>
      <c r="E24" s="385"/>
      <c r="F24" s="377"/>
      <c r="G24" s="377"/>
      <c r="H24" s="378"/>
      <c r="I24" s="378"/>
      <c r="J24" s="385"/>
      <c r="K24" s="377"/>
      <c r="L24" s="377"/>
      <c r="N24" s="308"/>
      <c r="O24" s="308"/>
    </row>
    <row r="25" spans="1:15" ht="14.95" thickBot="1" x14ac:dyDescent="0.3">
      <c r="A25" s="476"/>
      <c r="B25" s="489"/>
      <c r="C25" s="384" t="s">
        <v>324</v>
      </c>
      <c r="D25" s="376" t="s">
        <v>306</v>
      </c>
      <c r="E25" s="385"/>
      <c r="F25" s="377"/>
      <c r="G25" s="377"/>
      <c r="H25" s="378"/>
      <c r="I25" s="378"/>
      <c r="J25" s="385"/>
      <c r="K25" s="377"/>
      <c r="L25" s="377"/>
      <c r="N25" s="308"/>
      <c r="O25" s="308"/>
    </row>
    <row r="26" spans="1:15" ht="14.95" thickBot="1" x14ac:dyDescent="0.3">
      <c r="A26" s="476"/>
      <c r="B26" s="489"/>
      <c r="C26" s="384" t="s">
        <v>325</v>
      </c>
      <c r="D26" s="376" t="s">
        <v>306</v>
      </c>
      <c r="E26" s="381"/>
      <c r="F26" s="377"/>
      <c r="G26" s="377"/>
      <c r="H26" s="378"/>
      <c r="I26" s="378"/>
      <c r="J26" s="385"/>
      <c r="K26" s="377"/>
      <c r="L26" s="377"/>
      <c r="N26" s="308"/>
      <c r="O26" s="308"/>
    </row>
    <row r="27" spans="1:15" ht="14.95" thickBot="1" x14ac:dyDescent="0.3">
      <c r="A27" s="476"/>
      <c r="B27" s="489"/>
      <c r="C27" s="384" t="s">
        <v>326</v>
      </c>
      <c r="D27" s="376" t="s">
        <v>306</v>
      </c>
      <c r="E27" s="385"/>
      <c r="F27" s="377"/>
      <c r="G27" s="377"/>
      <c r="H27" s="378"/>
      <c r="I27" s="378"/>
      <c r="J27" s="385"/>
      <c r="K27" s="377"/>
      <c r="L27" s="377"/>
      <c r="N27" s="308"/>
      <c r="O27" s="308"/>
    </row>
    <row r="28" spans="1:15" ht="14.95" thickBot="1" x14ac:dyDescent="0.3">
      <c r="A28" s="476"/>
      <c r="B28" s="489"/>
      <c r="C28" s="384" t="s">
        <v>327</v>
      </c>
      <c r="D28" s="376" t="s">
        <v>306</v>
      </c>
      <c r="E28" s="385"/>
      <c r="F28" s="377"/>
      <c r="G28" s="377"/>
      <c r="H28" s="378"/>
      <c r="I28" s="378"/>
      <c r="J28" s="385"/>
      <c r="K28" s="377"/>
      <c r="L28" s="377"/>
      <c r="N28" s="308"/>
      <c r="O28" s="308"/>
    </row>
    <row r="29" spans="1:15" ht="14.95" thickBot="1" x14ac:dyDescent="0.3">
      <c r="A29" s="477"/>
      <c r="B29" s="488"/>
      <c r="C29" s="384" t="s">
        <v>328</v>
      </c>
      <c r="D29" s="376" t="s">
        <v>306</v>
      </c>
      <c r="E29" s="385"/>
      <c r="F29" s="377"/>
      <c r="G29" s="377"/>
      <c r="H29" s="378"/>
      <c r="I29" s="378"/>
      <c r="J29" s="385"/>
      <c r="K29" s="377"/>
      <c r="L29" s="377"/>
      <c r="N29" s="308"/>
      <c r="O29" s="308"/>
    </row>
    <row r="30" spans="1:15" ht="15.8" customHeight="1" thickBot="1" x14ac:dyDescent="0.3">
      <c r="A30" s="475" t="s">
        <v>329</v>
      </c>
      <c r="B30" s="487" t="s">
        <v>305</v>
      </c>
      <c r="C30" s="487" t="s">
        <v>306</v>
      </c>
      <c r="D30" s="376" t="s">
        <v>307</v>
      </c>
      <c r="E30" s="381"/>
      <c r="F30" s="381"/>
      <c r="G30" s="381"/>
      <c r="H30" s="378"/>
      <c r="I30" s="378"/>
      <c r="J30" s="381"/>
      <c r="K30" s="381"/>
      <c r="L30" s="381"/>
      <c r="N30" s="308"/>
      <c r="O30" s="308"/>
    </row>
    <row r="31" spans="1:15" ht="14.95" thickBot="1" x14ac:dyDescent="0.3">
      <c r="A31" s="476"/>
      <c r="B31" s="488"/>
      <c r="C31" s="488"/>
      <c r="D31" s="376" t="s">
        <v>309</v>
      </c>
      <c r="E31" s="381"/>
      <c r="F31" s="381"/>
      <c r="G31" s="381"/>
      <c r="H31" s="378"/>
      <c r="I31" s="378"/>
      <c r="J31" s="381"/>
      <c r="K31" s="381"/>
      <c r="L31" s="381"/>
      <c r="N31" s="308"/>
      <c r="O31" s="308"/>
    </row>
    <row r="32" spans="1:15" ht="14.95" thickBot="1" x14ac:dyDescent="0.3">
      <c r="A32" s="476"/>
      <c r="B32" s="487" t="s">
        <v>310</v>
      </c>
      <c r="C32" s="487" t="s">
        <v>306</v>
      </c>
      <c r="D32" s="376" t="s">
        <v>307</v>
      </c>
      <c r="E32" s="381"/>
      <c r="F32" s="381"/>
      <c r="G32" s="377"/>
      <c r="H32" s="378"/>
      <c r="I32" s="378"/>
      <c r="J32" s="381"/>
      <c r="K32" s="381"/>
      <c r="L32" s="377"/>
      <c r="N32" s="308"/>
      <c r="O32" s="308"/>
    </row>
    <row r="33" spans="1:15" ht="14.95" thickBot="1" x14ac:dyDescent="0.3">
      <c r="A33" s="476"/>
      <c r="B33" s="488"/>
      <c r="C33" s="488"/>
      <c r="D33" s="376" t="s">
        <v>309</v>
      </c>
      <c r="E33" s="381"/>
      <c r="F33" s="381"/>
      <c r="G33" s="377"/>
      <c r="H33" s="378"/>
      <c r="I33" s="378"/>
      <c r="J33" s="381"/>
      <c r="K33" s="381"/>
      <c r="L33" s="377"/>
      <c r="N33" s="308"/>
      <c r="O33" s="308"/>
    </row>
    <row r="34" spans="1:15" ht="14.95" thickBot="1" x14ac:dyDescent="0.3">
      <c r="A34" s="476"/>
      <c r="B34" s="487" t="s">
        <v>312</v>
      </c>
      <c r="C34" s="487"/>
      <c r="D34" s="376" t="s">
        <v>307</v>
      </c>
      <c r="E34" s="381"/>
      <c r="F34" s="381"/>
      <c r="G34" s="381"/>
      <c r="H34" s="378"/>
      <c r="I34" s="378"/>
      <c r="J34" s="381"/>
      <c r="K34" s="381"/>
      <c r="L34" s="381"/>
      <c r="N34" s="308"/>
      <c r="O34" s="308"/>
    </row>
    <row r="35" spans="1:15" ht="14.95" thickBot="1" x14ac:dyDescent="0.3">
      <c r="A35" s="476"/>
      <c r="B35" s="489"/>
      <c r="C35" s="489"/>
      <c r="D35" s="376" t="s">
        <v>309</v>
      </c>
      <c r="E35" s="381"/>
      <c r="F35" s="381"/>
      <c r="G35" s="381"/>
      <c r="H35" s="378"/>
      <c r="I35" s="378"/>
      <c r="J35" s="381"/>
      <c r="K35" s="381"/>
      <c r="L35" s="381"/>
      <c r="N35" s="308"/>
      <c r="O35" s="308"/>
    </row>
    <row r="36" spans="1:15" ht="14.95" thickBot="1" x14ac:dyDescent="0.3">
      <c r="A36" s="476"/>
      <c r="B36" s="488"/>
      <c r="C36" s="488"/>
      <c r="D36" s="376" t="s">
        <v>306</v>
      </c>
      <c r="E36" s="381"/>
      <c r="F36" s="381"/>
      <c r="G36" s="381"/>
      <c r="H36" s="378"/>
      <c r="I36" s="378"/>
      <c r="J36" s="381"/>
      <c r="K36" s="381"/>
      <c r="L36" s="381"/>
      <c r="N36" s="308"/>
      <c r="O36" s="308"/>
    </row>
    <row r="37" spans="1:15" ht="14.95" thickBot="1" x14ac:dyDescent="0.3">
      <c r="A37" s="477"/>
      <c r="B37" s="376" t="s">
        <v>314</v>
      </c>
      <c r="C37" s="376" t="s">
        <v>306</v>
      </c>
      <c r="D37" s="376" t="s">
        <v>306</v>
      </c>
      <c r="E37" s="381"/>
      <c r="F37" s="381"/>
      <c r="G37" s="381"/>
      <c r="H37" s="378"/>
      <c r="I37" s="378"/>
      <c r="J37" s="381"/>
      <c r="K37" s="381"/>
      <c r="L37" s="381"/>
      <c r="N37" s="308"/>
      <c r="O37" s="308"/>
    </row>
    <row r="38" spans="1:15" ht="15.8" customHeight="1" thickBot="1" x14ac:dyDescent="0.3">
      <c r="A38" s="475" t="s">
        <v>330</v>
      </c>
      <c r="B38" s="487" t="s">
        <v>305</v>
      </c>
      <c r="C38" s="487" t="s">
        <v>306</v>
      </c>
      <c r="D38" s="376" t="s">
        <v>307</v>
      </c>
      <c r="E38" s="381"/>
      <c r="F38" s="381"/>
      <c r="G38" s="381"/>
      <c r="H38" s="378"/>
      <c r="I38" s="378"/>
      <c r="J38" s="381"/>
      <c r="K38" s="381"/>
      <c r="L38" s="381"/>
      <c r="M38" s="379"/>
      <c r="N38" s="308"/>
      <c r="O38" s="308"/>
    </row>
    <row r="39" spans="1:15" ht="14.95" thickBot="1" x14ac:dyDescent="0.3">
      <c r="A39" s="476"/>
      <c r="B39" s="488"/>
      <c r="C39" s="488"/>
      <c r="D39" s="376" t="s">
        <v>309</v>
      </c>
      <c r="E39" s="381"/>
      <c r="F39" s="381"/>
      <c r="G39" s="381"/>
      <c r="H39" s="378"/>
      <c r="I39" s="378"/>
      <c r="J39" s="381"/>
      <c r="K39" s="381"/>
      <c r="L39" s="381"/>
      <c r="M39" s="379"/>
      <c r="N39" s="308"/>
      <c r="O39" s="308"/>
    </row>
    <row r="40" spans="1:15" ht="14.95" thickBot="1" x14ac:dyDescent="0.3">
      <c r="A40" s="476"/>
      <c r="B40" s="487" t="s">
        <v>310</v>
      </c>
      <c r="C40" s="487" t="s">
        <v>306</v>
      </c>
      <c r="D40" s="376" t="s">
        <v>307</v>
      </c>
      <c r="E40" s="381"/>
      <c r="F40" s="381"/>
      <c r="G40" s="381"/>
      <c r="H40" s="378"/>
      <c r="I40" s="378"/>
      <c r="J40" s="381"/>
      <c r="K40" s="381"/>
      <c r="L40" s="381"/>
      <c r="M40" s="380"/>
      <c r="N40" s="308"/>
      <c r="O40" s="308"/>
    </row>
    <row r="41" spans="1:15" ht="14.95" thickBot="1" x14ac:dyDescent="0.3">
      <c r="A41" s="476"/>
      <c r="B41" s="488"/>
      <c r="C41" s="488"/>
      <c r="D41" s="376" t="s">
        <v>309</v>
      </c>
      <c r="E41" s="381"/>
      <c r="F41" s="381"/>
      <c r="G41" s="381"/>
      <c r="H41" s="378"/>
      <c r="I41" s="378"/>
      <c r="J41" s="381"/>
      <c r="K41" s="381"/>
      <c r="L41" s="381"/>
      <c r="M41" s="308"/>
      <c r="N41" s="308"/>
      <c r="O41" s="308"/>
    </row>
    <row r="42" spans="1:15" ht="14.95" thickBot="1" x14ac:dyDescent="0.3">
      <c r="A42" s="476"/>
      <c r="B42" s="487" t="s">
        <v>13</v>
      </c>
      <c r="C42" s="487" t="s">
        <v>306</v>
      </c>
      <c r="D42" s="376" t="s">
        <v>306</v>
      </c>
      <c r="E42" s="381"/>
      <c r="F42" s="381"/>
      <c r="G42" s="381"/>
      <c r="H42" s="378"/>
      <c r="I42" s="378"/>
      <c r="J42" s="381"/>
      <c r="K42" s="381"/>
      <c r="L42" s="381"/>
      <c r="M42" s="379"/>
      <c r="N42" s="308"/>
      <c r="O42" s="308"/>
    </row>
    <row r="43" spans="1:15" ht="14.95" thickBot="1" x14ac:dyDescent="0.3">
      <c r="A43" s="476"/>
      <c r="B43" s="489"/>
      <c r="C43" s="489"/>
      <c r="D43" s="376" t="s">
        <v>307</v>
      </c>
      <c r="E43" s="381"/>
      <c r="F43" s="381"/>
      <c r="G43" s="381"/>
      <c r="H43" s="378"/>
      <c r="I43" s="378"/>
      <c r="J43" s="381"/>
      <c r="K43" s="381"/>
      <c r="L43" s="381"/>
      <c r="M43" s="379"/>
      <c r="N43" s="308"/>
      <c r="O43" s="308"/>
    </row>
    <row r="44" spans="1:15" ht="14.95" thickBot="1" x14ac:dyDescent="0.3">
      <c r="A44" s="476"/>
      <c r="B44" s="488"/>
      <c r="C44" s="488"/>
      <c r="D44" s="376" t="s">
        <v>309</v>
      </c>
      <c r="E44" s="381"/>
      <c r="F44" s="381"/>
      <c r="G44" s="381"/>
      <c r="H44" s="378"/>
      <c r="I44" s="378"/>
      <c r="J44" s="381"/>
      <c r="K44" s="381"/>
      <c r="L44" s="381"/>
      <c r="M44" s="379"/>
      <c r="N44" s="308"/>
      <c r="O44" s="308"/>
    </row>
    <row r="45" spans="1:15" ht="14.95" thickBot="1" x14ac:dyDescent="0.3">
      <c r="A45" s="476"/>
      <c r="B45" s="487" t="s">
        <v>331</v>
      </c>
      <c r="C45" s="487" t="s">
        <v>306</v>
      </c>
      <c r="D45" s="376" t="s">
        <v>306</v>
      </c>
      <c r="E45" s="381"/>
      <c r="F45" s="381"/>
      <c r="G45" s="381"/>
      <c r="H45" s="378"/>
      <c r="I45" s="378"/>
      <c r="J45" s="381"/>
      <c r="K45" s="381"/>
      <c r="L45" s="381"/>
      <c r="M45" s="308"/>
      <c r="N45" s="308"/>
      <c r="O45" s="308"/>
    </row>
    <row r="46" spans="1:15" ht="14.95" thickBot="1" x14ac:dyDescent="0.3">
      <c r="A46" s="476"/>
      <c r="B46" s="489"/>
      <c r="C46" s="489"/>
      <c r="D46" s="376" t="s">
        <v>307</v>
      </c>
      <c r="E46" s="381"/>
      <c r="F46" s="381"/>
      <c r="G46" s="381"/>
      <c r="H46" s="378"/>
      <c r="I46" s="378"/>
      <c r="J46" s="381"/>
      <c r="K46" s="381"/>
      <c r="L46" s="381"/>
      <c r="N46" s="308"/>
      <c r="O46" s="308"/>
    </row>
    <row r="47" spans="1:15" ht="14.95" thickBot="1" x14ac:dyDescent="0.3">
      <c r="A47" s="476"/>
      <c r="B47" s="488"/>
      <c r="C47" s="488"/>
      <c r="D47" s="376" t="s">
        <v>309</v>
      </c>
      <c r="E47" s="381"/>
      <c r="F47" s="381"/>
      <c r="G47" s="381"/>
      <c r="H47" s="378"/>
      <c r="I47" s="378"/>
      <c r="J47" s="381"/>
      <c r="K47" s="381"/>
      <c r="L47" s="381"/>
      <c r="N47" s="308"/>
      <c r="O47" s="308"/>
    </row>
    <row r="48" spans="1:15" ht="14.95" thickBot="1" x14ac:dyDescent="0.3">
      <c r="A48" s="476"/>
      <c r="B48" s="387" t="s">
        <v>332</v>
      </c>
      <c r="C48" s="387" t="s">
        <v>306</v>
      </c>
      <c r="D48" s="387" t="s">
        <v>306</v>
      </c>
      <c r="E48" s="381"/>
      <c r="F48" s="377"/>
      <c r="G48" s="377"/>
      <c r="H48" s="378"/>
      <c r="I48" s="378"/>
      <c r="J48" s="381"/>
      <c r="K48" s="381"/>
      <c r="L48" s="381"/>
      <c r="N48" s="308"/>
      <c r="O48" s="308"/>
    </row>
    <row r="49" spans="1:15" ht="14.95" thickBot="1" x14ac:dyDescent="0.3">
      <c r="A49" s="477"/>
      <c r="B49" s="376" t="s">
        <v>314</v>
      </c>
      <c r="C49" s="376" t="s">
        <v>306</v>
      </c>
      <c r="D49" s="376" t="s">
        <v>306</v>
      </c>
      <c r="E49" s="381"/>
      <c r="F49" s="381"/>
      <c r="G49" s="381"/>
      <c r="H49" s="378"/>
      <c r="I49" s="378"/>
      <c r="J49" s="381"/>
      <c r="K49" s="381"/>
      <c r="L49" s="381"/>
      <c r="N49" s="308"/>
      <c r="O49" s="308"/>
    </row>
    <row r="50" spans="1:15" ht="15.8" customHeight="1" thickBot="1" x14ac:dyDescent="0.3">
      <c r="A50" s="475" t="s">
        <v>333</v>
      </c>
      <c r="B50" s="487" t="s">
        <v>305</v>
      </c>
      <c r="C50" s="487" t="s">
        <v>306</v>
      </c>
      <c r="D50" s="376" t="s">
        <v>307</v>
      </c>
      <c r="E50" s="381"/>
      <c r="F50" s="381"/>
      <c r="G50" s="381"/>
      <c r="H50" s="378"/>
      <c r="I50" s="378"/>
      <c r="J50" s="381"/>
      <c r="K50" s="381"/>
      <c r="L50" s="381"/>
      <c r="N50" s="308"/>
      <c r="O50" s="308"/>
    </row>
    <row r="51" spans="1:15" ht="14.95" thickBot="1" x14ac:dyDescent="0.3">
      <c r="A51" s="476"/>
      <c r="B51" s="488"/>
      <c r="C51" s="488"/>
      <c r="D51" s="376" t="s">
        <v>309</v>
      </c>
      <c r="E51" s="381"/>
      <c r="F51" s="381"/>
      <c r="G51" s="381"/>
      <c r="H51" s="378"/>
      <c r="I51" s="378"/>
      <c r="J51" s="381"/>
      <c r="K51" s="381"/>
      <c r="L51" s="381"/>
      <c r="M51" s="379"/>
      <c r="N51" s="308"/>
      <c r="O51" s="308"/>
    </row>
    <row r="52" spans="1:15" ht="14.95" thickBot="1" x14ac:dyDescent="0.3">
      <c r="A52" s="476"/>
      <c r="B52" s="487" t="s">
        <v>310</v>
      </c>
      <c r="C52" s="487" t="s">
        <v>306</v>
      </c>
      <c r="D52" s="376" t="s">
        <v>307</v>
      </c>
      <c r="E52" s="381"/>
      <c r="F52" s="381"/>
      <c r="G52" s="381"/>
      <c r="H52" s="378"/>
      <c r="I52" s="378"/>
      <c r="J52" s="381"/>
      <c r="K52" s="381"/>
      <c r="L52" s="381"/>
      <c r="M52" s="379"/>
      <c r="N52" s="308"/>
      <c r="O52" s="308"/>
    </row>
    <row r="53" spans="1:15" ht="14.95" thickBot="1" x14ac:dyDescent="0.3">
      <c r="A53" s="476"/>
      <c r="B53" s="488"/>
      <c r="C53" s="488"/>
      <c r="D53" s="376" t="s">
        <v>309</v>
      </c>
      <c r="E53" s="381"/>
      <c r="F53" s="381"/>
      <c r="G53" s="381"/>
      <c r="H53" s="378"/>
      <c r="I53" s="378"/>
      <c r="J53" s="381"/>
      <c r="K53" s="381"/>
      <c r="L53" s="381"/>
      <c r="M53" s="380"/>
      <c r="N53" s="308"/>
      <c r="O53" s="308"/>
    </row>
    <row r="54" spans="1:15" ht="14.95" thickBot="1" x14ac:dyDescent="0.3">
      <c r="A54" s="476"/>
      <c r="B54" s="487" t="s">
        <v>13</v>
      </c>
      <c r="C54" s="487" t="s">
        <v>306</v>
      </c>
      <c r="D54" s="376" t="s">
        <v>306</v>
      </c>
      <c r="E54" s="381"/>
      <c r="F54" s="381"/>
      <c r="G54" s="381"/>
      <c r="H54" s="378"/>
      <c r="I54" s="378"/>
      <c r="J54" s="381"/>
      <c r="K54" s="381"/>
      <c r="L54" s="381"/>
      <c r="M54" s="308"/>
      <c r="N54" s="308"/>
      <c r="O54" s="308"/>
    </row>
    <row r="55" spans="1:15" ht="14.95" thickBot="1" x14ac:dyDescent="0.3">
      <c r="A55" s="476"/>
      <c r="B55" s="489"/>
      <c r="C55" s="489"/>
      <c r="D55" s="376" t="s">
        <v>307</v>
      </c>
      <c r="E55" s="381"/>
      <c r="F55" s="381"/>
      <c r="G55" s="381"/>
      <c r="H55" s="378"/>
      <c r="I55" s="378"/>
      <c r="J55" s="381"/>
      <c r="K55" s="381"/>
      <c r="L55" s="381"/>
      <c r="M55" s="379"/>
      <c r="N55" s="308"/>
      <c r="O55" s="308"/>
    </row>
    <row r="56" spans="1:15" ht="14.95" thickBot="1" x14ac:dyDescent="0.3">
      <c r="A56" s="476"/>
      <c r="B56" s="488"/>
      <c r="C56" s="488"/>
      <c r="D56" s="376" t="s">
        <v>309</v>
      </c>
      <c r="E56" s="381"/>
      <c r="F56" s="381"/>
      <c r="G56" s="381"/>
      <c r="H56" s="378"/>
      <c r="I56" s="378"/>
      <c r="J56" s="381"/>
      <c r="K56" s="381"/>
      <c r="L56" s="381"/>
      <c r="M56" s="379"/>
      <c r="N56" s="308"/>
      <c r="O56" s="308"/>
    </row>
    <row r="57" spans="1:15" ht="14.95" thickBot="1" x14ac:dyDescent="0.3">
      <c r="A57" s="476"/>
      <c r="B57" s="487" t="s">
        <v>331</v>
      </c>
      <c r="C57" s="487" t="s">
        <v>306</v>
      </c>
      <c r="D57" s="376" t="s">
        <v>306</v>
      </c>
      <c r="E57" s="381"/>
      <c r="F57" s="381"/>
      <c r="G57" s="381"/>
      <c r="H57" s="378"/>
      <c r="I57" s="378"/>
      <c r="J57" s="381"/>
      <c r="K57" s="381"/>
      <c r="L57" s="381"/>
      <c r="M57" s="379"/>
      <c r="N57" s="308"/>
      <c r="O57" s="308"/>
    </row>
    <row r="58" spans="1:15" ht="14.95" thickBot="1" x14ac:dyDescent="0.3">
      <c r="A58" s="476"/>
      <c r="B58" s="489"/>
      <c r="C58" s="489"/>
      <c r="D58" s="376" t="s">
        <v>307</v>
      </c>
      <c r="E58" s="381"/>
      <c r="F58" s="381"/>
      <c r="G58" s="381"/>
      <c r="H58" s="378"/>
      <c r="I58" s="378"/>
      <c r="J58" s="381"/>
      <c r="K58" s="381"/>
      <c r="L58" s="381"/>
      <c r="M58" s="308"/>
      <c r="N58" s="308"/>
      <c r="O58" s="308"/>
    </row>
    <row r="59" spans="1:15" ht="14.95" thickBot="1" x14ac:dyDescent="0.3">
      <c r="A59" s="476"/>
      <c r="B59" s="488"/>
      <c r="C59" s="488"/>
      <c r="D59" s="376" t="s">
        <v>309</v>
      </c>
      <c r="E59" s="381"/>
      <c r="F59" s="381"/>
      <c r="G59" s="381"/>
      <c r="H59" s="378"/>
      <c r="I59" s="378"/>
      <c r="J59" s="381"/>
      <c r="K59" s="381"/>
      <c r="L59" s="381"/>
      <c r="N59" s="308"/>
      <c r="O59" s="308"/>
    </row>
    <row r="60" spans="1:15" ht="14.95" thickBot="1" x14ac:dyDescent="0.3">
      <c r="A60" s="476"/>
      <c r="B60" s="376" t="s">
        <v>332</v>
      </c>
      <c r="C60" s="376" t="s">
        <v>306</v>
      </c>
      <c r="D60" s="376" t="s">
        <v>306</v>
      </c>
      <c r="E60" s="381"/>
      <c r="F60" s="381"/>
      <c r="G60" s="381"/>
      <c r="H60" s="378"/>
      <c r="I60" s="378"/>
      <c r="J60" s="381"/>
      <c r="K60" s="381"/>
      <c r="L60" s="381"/>
      <c r="N60" s="308"/>
      <c r="O60" s="308"/>
    </row>
    <row r="61" spans="1:15" ht="14.95" thickBot="1" x14ac:dyDescent="0.3">
      <c r="A61" s="476"/>
      <c r="B61" s="487" t="s">
        <v>312</v>
      </c>
      <c r="C61" s="490" t="s">
        <v>334</v>
      </c>
      <c r="D61" s="376" t="s">
        <v>307</v>
      </c>
      <c r="E61" s="381"/>
      <c r="F61" s="381"/>
      <c r="G61" s="381"/>
      <c r="H61" s="378"/>
      <c r="I61" s="378"/>
      <c r="J61" s="381"/>
      <c r="K61" s="381"/>
      <c r="L61" s="381"/>
      <c r="N61" s="308"/>
      <c r="O61" s="308"/>
    </row>
    <row r="62" spans="1:15" ht="14.95" thickBot="1" x14ac:dyDescent="0.3">
      <c r="A62" s="476"/>
      <c r="B62" s="489"/>
      <c r="C62" s="491"/>
      <c r="D62" s="376" t="s">
        <v>309</v>
      </c>
      <c r="E62" s="381"/>
      <c r="F62" s="381"/>
      <c r="G62" s="381"/>
      <c r="H62" s="378"/>
      <c r="I62" s="378"/>
      <c r="J62" s="381"/>
      <c r="K62" s="381"/>
      <c r="L62" s="381"/>
      <c r="N62" s="308"/>
      <c r="O62" s="308"/>
    </row>
    <row r="63" spans="1:15" ht="14.95" thickBot="1" x14ac:dyDescent="0.3">
      <c r="A63" s="476"/>
      <c r="B63" s="488"/>
      <c r="C63" s="492"/>
      <c r="D63" s="376" t="s">
        <v>306</v>
      </c>
      <c r="E63" s="381"/>
      <c r="F63" s="381"/>
      <c r="G63" s="381"/>
      <c r="H63" s="378"/>
      <c r="I63" s="378"/>
      <c r="J63" s="381"/>
      <c r="K63" s="381"/>
      <c r="L63" s="381"/>
      <c r="N63" s="308"/>
      <c r="O63" s="308"/>
    </row>
    <row r="64" spans="1:15" ht="14.95" thickBot="1" x14ac:dyDescent="0.3">
      <c r="A64" s="477"/>
      <c r="B64" s="376" t="s">
        <v>314</v>
      </c>
      <c r="C64" s="376" t="s">
        <v>306</v>
      </c>
      <c r="D64" s="376" t="s">
        <v>306</v>
      </c>
      <c r="E64" s="381"/>
      <c r="F64" s="381"/>
      <c r="G64" s="381"/>
      <c r="H64" s="378"/>
      <c r="I64" s="378"/>
      <c r="J64" s="381"/>
      <c r="K64" s="381"/>
      <c r="L64" s="381"/>
      <c r="N64" s="308"/>
      <c r="O64" s="308"/>
    </row>
    <row r="65" spans="1:17" ht="14.95" thickBot="1" x14ac:dyDescent="0.3">
      <c r="A65" s="388"/>
      <c r="B65" s="388"/>
      <c r="C65" s="388"/>
      <c r="D65" s="388"/>
      <c r="E65" s="388"/>
      <c r="F65" s="388"/>
      <c r="G65" s="388"/>
      <c r="H65" s="388"/>
      <c r="I65" s="388"/>
      <c r="J65" s="388"/>
      <c r="K65" s="388"/>
      <c r="L65" s="388"/>
    </row>
    <row r="66" spans="1:17" ht="14.95" thickBot="1" x14ac:dyDescent="0.3">
      <c r="A66" s="478" t="s">
        <v>335</v>
      </c>
      <c r="B66" s="479"/>
      <c r="C66" s="479"/>
      <c r="D66" s="479"/>
      <c r="E66" s="479"/>
      <c r="F66" s="479"/>
      <c r="G66" s="479"/>
      <c r="H66" s="479"/>
      <c r="I66" s="479"/>
      <c r="J66" s="479"/>
      <c r="K66" s="479"/>
      <c r="L66" s="479"/>
      <c r="M66" s="480"/>
    </row>
    <row r="67" spans="1:17" ht="15.8" customHeight="1" thickBot="1" x14ac:dyDescent="0.3">
      <c r="A67" s="493" t="s">
        <v>283</v>
      </c>
      <c r="B67" s="493" t="s">
        <v>284</v>
      </c>
      <c r="C67" s="493" t="s">
        <v>336</v>
      </c>
      <c r="D67" s="493" t="s">
        <v>337</v>
      </c>
      <c r="E67" s="493" t="s">
        <v>286</v>
      </c>
      <c r="F67" s="496" t="s">
        <v>287</v>
      </c>
      <c r="G67" s="497"/>
      <c r="H67" s="497"/>
      <c r="I67" s="497"/>
      <c r="J67" s="498"/>
      <c r="K67" s="496" t="s">
        <v>338</v>
      </c>
      <c r="L67" s="497"/>
      <c r="M67" s="498"/>
    </row>
    <row r="68" spans="1:17" ht="14.95" thickBot="1" x14ac:dyDescent="0.3">
      <c r="A68" s="494"/>
      <c r="B68" s="494"/>
      <c r="C68" s="494"/>
      <c r="D68" s="494"/>
      <c r="E68" s="494"/>
      <c r="F68" s="499" t="s">
        <v>10</v>
      </c>
      <c r="G68" s="500"/>
      <c r="H68" s="499" t="s">
        <v>9</v>
      </c>
      <c r="I68" s="501"/>
      <c r="J68" s="500"/>
      <c r="K68" s="499" t="s">
        <v>10</v>
      </c>
      <c r="L68" s="500"/>
      <c r="M68" s="389" t="s">
        <v>9</v>
      </c>
    </row>
    <row r="69" spans="1:17" ht="14.95" thickBot="1" x14ac:dyDescent="0.3">
      <c r="A69" s="495"/>
      <c r="B69" s="495"/>
      <c r="C69" s="495"/>
      <c r="D69" s="495"/>
      <c r="E69" s="495"/>
      <c r="F69" s="390" t="s">
        <v>297</v>
      </c>
      <c r="G69" s="390" t="s">
        <v>298</v>
      </c>
      <c r="H69" s="391" t="s">
        <v>299</v>
      </c>
      <c r="I69" s="392" t="s">
        <v>300</v>
      </c>
      <c r="J69" s="393" t="s">
        <v>301</v>
      </c>
      <c r="K69" s="390" t="s">
        <v>297</v>
      </c>
      <c r="L69" s="390" t="s">
        <v>298</v>
      </c>
      <c r="M69" s="390" t="s">
        <v>298</v>
      </c>
      <c r="O69" s="379"/>
    </row>
    <row r="70" spans="1:17" ht="14.95" thickBot="1" x14ac:dyDescent="0.3">
      <c r="A70" s="475" t="s">
        <v>36</v>
      </c>
      <c r="B70" s="472" t="s">
        <v>339</v>
      </c>
      <c r="C70" s="472" t="s">
        <v>340</v>
      </c>
      <c r="D70" s="472" t="s">
        <v>340</v>
      </c>
      <c r="E70" s="394" t="s">
        <v>307</v>
      </c>
      <c r="F70" s="395">
        <v>0</v>
      </c>
      <c r="G70" s="381">
        <v>999.02</v>
      </c>
      <c r="H70" s="381">
        <v>516.91</v>
      </c>
      <c r="I70" s="378"/>
      <c r="J70" s="378"/>
      <c r="K70" s="381">
        <v>0</v>
      </c>
      <c r="L70" s="381">
        <v>956.95</v>
      </c>
      <c r="M70" s="381">
        <v>478.38</v>
      </c>
      <c r="O70" s="379"/>
      <c r="P70" s="308"/>
      <c r="Q70" s="396"/>
    </row>
    <row r="71" spans="1:17" ht="14.95" thickBot="1" x14ac:dyDescent="0.3">
      <c r="A71" s="476"/>
      <c r="B71" s="473"/>
      <c r="C71" s="473"/>
      <c r="D71" s="473"/>
      <c r="E71" s="394" t="s">
        <v>341</v>
      </c>
      <c r="F71" s="395">
        <v>0</v>
      </c>
      <c r="G71" s="381">
        <v>698.21</v>
      </c>
      <c r="H71" s="381">
        <v>321.07</v>
      </c>
      <c r="I71" s="378"/>
      <c r="J71" s="378"/>
      <c r="K71" s="381">
        <v>0</v>
      </c>
      <c r="L71" s="381">
        <v>662.46</v>
      </c>
      <c r="M71" s="381">
        <v>299.92</v>
      </c>
      <c r="O71" s="380"/>
      <c r="P71" s="308"/>
    </row>
    <row r="72" spans="1:17" ht="14.95" thickBot="1" x14ac:dyDescent="0.3">
      <c r="A72" s="476"/>
      <c r="B72" s="474"/>
      <c r="C72" s="474"/>
      <c r="D72" s="474"/>
      <c r="E72" s="394" t="s">
        <v>309</v>
      </c>
      <c r="F72" s="395">
        <v>0</v>
      </c>
      <c r="G72" s="381">
        <v>397.41</v>
      </c>
      <c r="H72" s="381">
        <v>321.07</v>
      </c>
      <c r="I72" s="378"/>
      <c r="J72" s="378"/>
      <c r="K72" s="381">
        <v>0</v>
      </c>
      <c r="L72" s="381">
        <v>367.97</v>
      </c>
      <c r="M72" s="381">
        <v>299.92</v>
      </c>
      <c r="O72" s="308"/>
      <c r="P72" s="308"/>
    </row>
    <row r="73" spans="1:17" ht="14.95" thickBot="1" x14ac:dyDescent="0.3">
      <c r="A73" s="476"/>
      <c r="B73" s="472" t="s">
        <v>332</v>
      </c>
      <c r="C73" s="472" t="s">
        <v>340</v>
      </c>
      <c r="D73" s="397" t="s">
        <v>340</v>
      </c>
      <c r="E73" s="394" t="s">
        <v>306</v>
      </c>
      <c r="F73" s="398">
        <v>0</v>
      </c>
      <c r="G73" s="381">
        <v>506.32</v>
      </c>
      <c r="H73" s="381">
        <v>337.39</v>
      </c>
      <c r="I73" s="378"/>
      <c r="J73" s="378"/>
      <c r="K73" s="377">
        <v>0</v>
      </c>
      <c r="L73" s="381">
        <v>474.59</v>
      </c>
      <c r="M73" s="381">
        <v>314.79000000000002</v>
      </c>
      <c r="O73" s="379"/>
      <c r="P73" s="308"/>
    </row>
    <row r="74" spans="1:17" ht="14.95" thickBot="1" x14ac:dyDescent="0.3">
      <c r="A74" s="476"/>
      <c r="B74" s="473"/>
      <c r="C74" s="473"/>
      <c r="D74" s="397" t="s">
        <v>342</v>
      </c>
      <c r="E74" s="394" t="s">
        <v>306</v>
      </c>
      <c r="F74" s="398">
        <v>0</v>
      </c>
      <c r="G74" s="381">
        <v>348.95</v>
      </c>
      <c r="H74" s="381">
        <v>325.32</v>
      </c>
      <c r="I74" s="378"/>
      <c r="J74" s="378"/>
      <c r="K74" s="377">
        <v>0</v>
      </c>
      <c r="L74" s="381">
        <v>334.57</v>
      </c>
      <c r="M74" s="381">
        <v>303.57</v>
      </c>
      <c r="O74" s="379"/>
      <c r="P74" s="308"/>
    </row>
    <row r="75" spans="1:17" ht="14.95" thickBot="1" x14ac:dyDescent="0.3">
      <c r="A75" s="477"/>
      <c r="B75" s="474"/>
      <c r="C75" s="474"/>
      <c r="D75" s="434" t="s">
        <v>387</v>
      </c>
      <c r="E75" s="394" t="s">
        <v>306</v>
      </c>
      <c r="F75" s="398">
        <v>0</v>
      </c>
      <c r="G75" s="381">
        <v>356.42</v>
      </c>
      <c r="H75" s="381">
        <v>337.59</v>
      </c>
      <c r="I75" s="378"/>
      <c r="J75" s="378"/>
      <c r="K75" s="377"/>
      <c r="L75" s="381">
        <v>343.39</v>
      </c>
      <c r="M75" s="381">
        <v>314.79000000000002</v>
      </c>
      <c r="O75" s="379"/>
      <c r="P75" s="308"/>
    </row>
    <row r="76" spans="1:17" ht="14.95" thickBot="1" x14ac:dyDescent="0.3">
      <c r="A76" s="475" t="s">
        <v>67</v>
      </c>
      <c r="B76" s="472" t="s">
        <v>339</v>
      </c>
      <c r="C76" s="472" t="s">
        <v>343</v>
      </c>
      <c r="D76" s="472" t="s">
        <v>306</v>
      </c>
      <c r="E76" s="394" t="s">
        <v>307</v>
      </c>
      <c r="F76" s="395">
        <v>0</v>
      </c>
      <c r="G76" s="381">
        <v>1128.67</v>
      </c>
      <c r="H76" s="381">
        <v>516.91</v>
      </c>
      <c r="I76" s="378"/>
      <c r="J76" s="378"/>
      <c r="K76" s="381">
        <v>0</v>
      </c>
      <c r="L76" s="381">
        <v>1083.8800000000001</v>
      </c>
      <c r="M76" s="381">
        <v>478.38</v>
      </c>
      <c r="O76" s="379"/>
      <c r="P76" s="308"/>
    </row>
    <row r="77" spans="1:17" ht="14.95" thickBot="1" x14ac:dyDescent="0.3">
      <c r="A77" s="476"/>
      <c r="B77" s="473"/>
      <c r="C77" s="473"/>
      <c r="D77" s="473"/>
      <c r="E77" s="394" t="s">
        <v>341</v>
      </c>
      <c r="F77" s="395">
        <v>0</v>
      </c>
      <c r="G77" s="381">
        <v>776.01</v>
      </c>
      <c r="H77" s="381">
        <v>321.07</v>
      </c>
      <c r="I77" s="378"/>
      <c r="J77" s="378"/>
      <c r="K77" s="381">
        <v>0</v>
      </c>
      <c r="L77" s="381">
        <v>738.62</v>
      </c>
      <c r="M77" s="381">
        <v>299.92</v>
      </c>
      <c r="O77" s="308"/>
      <c r="P77" s="308"/>
    </row>
    <row r="78" spans="1:17" ht="14.95" thickBot="1" x14ac:dyDescent="0.3">
      <c r="A78" s="476"/>
      <c r="B78" s="474"/>
      <c r="C78" s="474"/>
      <c r="D78" s="474"/>
      <c r="E78" s="394" t="s">
        <v>309</v>
      </c>
      <c r="F78" s="395">
        <v>0</v>
      </c>
      <c r="G78" s="381">
        <v>423.34</v>
      </c>
      <c r="H78" s="381">
        <v>321.07</v>
      </c>
      <c r="I78" s="378"/>
      <c r="J78" s="378"/>
      <c r="K78" s="381">
        <v>0</v>
      </c>
      <c r="L78" s="381">
        <v>393.35</v>
      </c>
      <c r="M78" s="381">
        <v>299.92</v>
      </c>
      <c r="O78" s="308"/>
      <c r="P78" s="308"/>
    </row>
    <row r="79" spans="1:17" ht="15.8" customHeight="1" thickBot="1" x14ac:dyDescent="0.3">
      <c r="A79" s="476"/>
      <c r="B79" s="397" t="s">
        <v>332</v>
      </c>
      <c r="C79" s="397" t="s">
        <v>343</v>
      </c>
      <c r="D79" s="397" t="s">
        <v>306</v>
      </c>
      <c r="E79" s="394" t="s">
        <v>306</v>
      </c>
      <c r="F79" s="395">
        <v>0</v>
      </c>
      <c r="G79" s="381">
        <v>506.32</v>
      </c>
      <c r="H79" s="381">
        <v>337.39</v>
      </c>
      <c r="I79" s="378"/>
      <c r="J79" s="378"/>
      <c r="K79" s="381">
        <v>0</v>
      </c>
      <c r="L79" s="381">
        <v>474.59</v>
      </c>
      <c r="M79" s="381">
        <v>314.79000000000002</v>
      </c>
      <c r="O79" s="308"/>
      <c r="P79" s="308"/>
    </row>
    <row r="80" spans="1:17" ht="14.95" thickBot="1" x14ac:dyDescent="0.3">
      <c r="A80" s="476"/>
      <c r="B80" s="472" t="s">
        <v>339</v>
      </c>
      <c r="C80" s="472" t="s">
        <v>343</v>
      </c>
      <c r="D80" s="472" t="s">
        <v>344</v>
      </c>
      <c r="E80" s="394" t="s">
        <v>307</v>
      </c>
      <c r="F80" s="395">
        <v>0</v>
      </c>
      <c r="G80" s="381">
        <v>1128.67</v>
      </c>
      <c r="H80" s="381">
        <v>516.91</v>
      </c>
      <c r="I80" s="378"/>
      <c r="J80" s="378"/>
      <c r="K80" s="381">
        <v>0</v>
      </c>
      <c r="L80" s="381">
        <v>1083.8800000000001</v>
      </c>
      <c r="M80" s="381">
        <v>478.38</v>
      </c>
      <c r="O80" s="308"/>
      <c r="P80" s="308"/>
    </row>
    <row r="81" spans="1:16" ht="14.95" thickBot="1" x14ac:dyDescent="0.3">
      <c r="A81" s="476"/>
      <c r="B81" s="473"/>
      <c r="C81" s="473"/>
      <c r="D81" s="473"/>
      <c r="E81" s="394" t="s">
        <v>341</v>
      </c>
      <c r="F81" s="395">
        <v>0</v>
      </c>
      <c r="G81" s="381">
        <v>776.01</v>
      </c>
      <c r="H81" s="381">
        <v>321.07</v>
      </c>
      <c r="I81" s="378"/>
      <c r="J81" s="378"/>
      <c r="K81" s="381">
        <v>0</v>
      </c>
      <c r="L81" s="381">
        <v>738.62</v>
      </c>
      <c r="M81" s="381">
        <v>299.92</v>
      </c>
      <c r="O81" s="308"/>
      <c r="P81" s="308"/>
    </row>
    <row r="82" spans="1:16" ht="14.95" thickBot="1" x14ac:dyDescent="0.3">
      <c r="A82" s="476"/>
      <c r="B82" s="474"/>
      <c r="C82" s="474"/>
      <c r="D82" s="474"/>
      <c r="E82" s="394" t="s">
        <v>309</v>
      </c>
      <c r="F82" s="395">
        <v>0</v>
      </c>
      <c r="G82" s="381">
        <v>423.34</v>
      </c>
      <c r="H82" s="381">
        <v>321.07</v>
      </c>
      <c r="I82" s="378"/>
      <c r="J82" s="378"/>
      <c r="K82" s="381">
        <v>0</v>
      </c>
      <c r="L82" s="381">
        <v>393.35</v>
      </c>
      <c r="M82" s="381">
        <v>299.92</v>
      </c>
      <c r="O82" s="308"/>
      <c r="P82" s="308"/>
    </row>
    <row r="83" spans="1:16" ht="15.8" customHeight="1" thickBot="1" x14ac:dyDescent="0.3">
      <c r="A83" s="476"/>
      <c r="B83" s="397" t="s">
        <v>332</v>
      </c>
      <c r="C83" s="397" t="s">
        <v>343</v>
      </c>
      <c r="D83" s="397" t="s">
        <v>344</v>
      </c>
      <c r="E83" s="394" t="s">
        <v>306</v>
      </c>
      <c r="F83" s="395">
        <v>0</v>
      </c>
      <c r="G83" s="381">
        <v>506.32</v>
      </c>
      <c r="H83" s="381">
        <v>337.39</v>
      </c>
      <c r="I83" s="378"/>
      <c r="J83" s="378"/>
      <c r="K83" s="381">
        <v>0</v>
      </c>
      <c r="L83" s="381">
        <v>474.59</v>
      </c>
      <c r="M83" s="381">
        <v>314.79000000000002</v>
      </c>
      <c r="O83" s="379"/>
      <c r="P83" s="308"/>
    </row>
    <row r="84" spans="1:16" ht="14.95" thickBot="1" x14ac:dyDescent="0.3">
      <c r="A84" s="476"/>
      <c r="B84" s="472" t="s">
        <v>339</v>
      </c>
      <c r="C84" s="472" t="s">
        <v>343</v>
      </c>
      <c r="D84" s="472" t="s">
        <v>345</v>
      </c>
      <c r="E84" s="394" t="s">
        <v>307</v>
      </c>
      <c r="F84" s="395">
        <v>0</v>
      </c>
      <c r="G84" s="381">
        <v>1128.67</v>
      </c>
      <c r="H84" s="381">
        <v>516.91</v>
      </c>
      <c r="I84" s="378"/>
      <c r="J84" s="378"/>
      <c r="K84" s="381">
        <v>0</v>
      </c>
      <c r="L84" s="381">
        <v>1083.8800000000001</v>
      </c>
      <c r="M84" s="381">
        <v>478.38</v>
      </c>
      <c r="O84" s="379"/>
      <c r="P84" s="308"/>
    </row>
    <row r="85" spans="1:16" ht="14.95" thickBot="1" x14ac:dyDescent="0.3">
      <c r="A85" s="476"/>
      <c r="B85" s="473"/>
      <c r="C85" s="473"/>
      <c r="D85" s="473"/>
      <c r="E85" s="394" t="s">
        <v>341</v>
      </c>
      <c r="F85" s="395">
        <v>0</v>
      </c>
      <c r="G85" s="381">
        <v>776.01</v>
      </c>
      <c r="H85" s="381">
        <v>321.07</v>
      </c>
      <c r="I85" s="378"/>
      <c r="J85" s="378"/>
      <c r="K85" s="381">
        <v>0</v>
      </c>
      <c r="L85" s="381">
        <v>738.62</v>
      </c>
      <c r="M85" s="381">
        <v>299.92</v>
      </c>
      <c r="O85" s="380"/>
      <c r="P85" s="308"/>
    </row>
    <row r="86" spans="1:16" ht="14.95" thickBot="1" x14ac:dyDescent="0.3">
      <c r="A86" s="476"/>
      <c r="B86" s="474"/>
      <c r="C86" s="474"/>
      <c r="D86" s="474"/>
      <c r="E86" s="394" t="s">
        <v>309</v>
      </c>
      <c r="F86" s="395">
        <v>0</v>
      </c>
      <c r="G86" s="381">
        <v>423.34</v>
      </c>
      <c r="H86" s="381">
        <v>321.07</v>
      </c>
      <c r="I86" s="378"/>
      <c r="J86" s="378"/>
      <c r="K86" s="381">
        <v>0</v>
      </c>
      <c r="L86" s="381">
        <v>393.35</v>
      </c>
      <c r="M86" s="381">
        <v>299.92</v>
      </c>
      <c r="O86" s="308"/>
      <c r="P86" s="308"/>
    </row>
    <row r="87" spans="1:16" ht="22.45" thickBot="1" x14ac:dyDescent="0.3">
      <c r="A87" s="477"/>
      <c r="B87" s="397" t="s">
        <v>332</v>
      </c>
      <c r="C87" s="397" t="s">
        <v>343</v>
      </c>
      <c r="D87" s="397" t="s">
        <v>345</v>
      </c>
      <c r="E87" s="394" t="s">
        <v>306</v>
      </c>
      <c r="F87" s="395">
        <v>0</v>
      </c>
      <c r="G87" s="381">
        <v>506.32</v>
      </c>
      <c r="H87" s="381">
        <v>337.39</v>
      </c>
      <c r="I87" s="378"/>
      <c r="J87" s="378"/>
      <c r="K87" s="381">
        <v>0</v>
      </c>
      <c r="L87" s="381">
        <v>474.59</v>
      </c>
      <c r="M87" s="381">
        <v>314.79000000000002</v>
      </c>
      <c r="O87" s="379"/>
      <c r="P87" s="308"/>
    </row>
    <row r="88" spans="1:16" ht="14.95" thickBot="1" x14ac:dyDescent="0.3">
      <c r="A88" s="475" t="s">
        <v>66</v>
      </c>
      <c r="B88" s="472" t="s">
        <v>339</v>
      </c>
      <c r="C88" s="472" t="s">
        <v>306</v>
      </c>
      <c r="D88" s="472" t="s">
        <v>306</v>
      </c>
      <c r="E88" s="394" t="s">
        <v>307</v>
      </c>
      <c r="F88" s="395">
        <v>0</v>
      </c>
      <c r="G88" s="381">
        <v>1128.67</v>
      </c>
      <c r="H88" s="381">
        <v>516.91</v>
      </c>
      <c r="I88" s="378"/>
      <c r="J88" s="378"/>
      <c r="K88" s="381">
        <v>0</v>
      </c>
      <c r="L88" s="381">
        <v>1083.8800000000001</v>
      </c>
      <c r="M88" s="381">
        <v>478.38</v>
      </c>
      <c r="O88" s="379"/>
      <c r="P88" s="308"/>
    </row>
    <row r="89" spans="1:16" ht="14.95" thickBot="1" x14ac:dyDescent="0.3">
      <c r="A89" s="476"/>
      <c r="B89" s="473"/>
      <c r="C89" s="473"/>
      <c r="D89" s="473"/>
      <c r="E89" s="394" t="s">
        <v>341</v>
      </c>
      <c r="F89" s="395">
        <v>0</v>
      </c>
      <c r="G89" s="381">
        <v>776.01</v>
      </c>
      <c r="H89" s="381">
        <v>321.07</v>
      </c>
      <c r="I89" s="378"/>
      <c r="J89" s="378"/>
      <c r="K89" s="381">
        <v>0</v>
      </c>
      <c r="L89" s="381">
        <v>738.62</v>
      </c>
      <c r="M89" s="381">
        <v>299.92</v>
      </c>
      <c r="O89" s="379"/>
      <c r="P89" s="308"/>
    </row>
    <row r="90" spans="1:16" ht="14.95" thickBot="1" x14ac:dyDescent="0.3">
      <c r="A90" s="476"/>
      <c r="B90" s="474"/>
      <c r="C90" s="474"/>
      <c r="D90" s="474"/>
      <c r="E90" s="394" t="s">
        <v>309</v>
      </c>
      <c r="F90" s="395">
        <v>0</v>
      </c>
      <c r="G90" s="381">
        <v>423.34</v>
      </c>
      <c r="H90" s="381">
        <v>321.07</v>
      </c>
      <c r="I90" s="378"/>
      <c r="J90" s="378"/>
      <c r="K90" s="381">
        <v>0</v>
      </c>
      <c r="L90" s="381">
        <v>393.35</v>
      </c>
      <c r="M90" s="381">
        <v>299.92</v>
      </c>
      <c r="O90" s="308"/>
      <c r="P90" s="308"/>
    </row>
    <row r="91" spans="1:16" ht="14.95" thickBot="1" x14ac:dyDescent="0.3">
      <c r="A91" s="477"/>
      <c r="B91" s="397" t="s">
        <v>332</v>
      </c>
      <c r="C91" s="397" t="s">
        <v>306</v>
      </c>
      <c r="D91" s="397" t="s">
        <v>306</v>
      </c>
      <c r="E91" s="394" t="s">
        <v>306</v>
      </c>
      <c r="F91" s="395">
        <v>0</v>
      </c>
      <c r="G91" s="381">
        <v>506.32</v>
      </c>
      <c r="H91" s="381">
        <v>337.39</v>
      </c>
      <c r="I91" s="378"/>
      <c r="J91" s="378"/>
      <c r="K91" s="381">
        <v>0</v>
      </c>
      <c r="L91" s="381">
        <v>474.59</v>
      </c>
      <c r="M91" s="381">
        <v>314.79000000000002</v>
      </c>
      <c r="O91" s="308"/>
      <c r="P91" s="308"/>
    </row>
    <row r="92" spans="1:16" ht="22.45" thickBot="1" x14ac:dyDescent="0.3">
      <c r="A92" s="475" t="s">
        <v>346</v>
      </c>
      <c r="B92" s="472" t="s">
        <v>332</v>
      </c>
      <c r="C92" s="472" t="s">
        <v>347</v>
      </c>
      <c r="D92" s="397" t="s">
        <v>348</v>
      </c>
      <c r="E92" s="394" t="s">
        <v>306</v>
      </c>
      <c r="F92" s="395">
        <v>0</v>
      </c>
      <c r="G92" s="381">
        <v>278.48</v>
      </c>
      <c r="H92" s="381">
        <v>185.56</v>
      </c>
      <c r="I92" s="378"/>
      <c r="J92" s="378"/>
      <c r="K92" s="381">
        <v>0</v>
      </c>
      <c r="L92" s="381">
        <v>261.02999999999997</v>
      </c>
      <c r="M92" s="381">
        <v>173.13</v>
      </c>
      <c r="O92" s="308"/>
      <c r="P92" s="308"/>
    </row>
    <row r="93" spans="1:16" ht="22.45" thickBot="1" x14ac:dyDescent="0.3">
      <c r="A93" s="477"/>
      <c r="B93" s="474"/>
      <c r="C93" s="474"/>
      <c r="D93" s="397" t="s">
        <v>349</v>
      </c>
      <c r="E93" s="394" t="s">
        <v>306</v>
      </c>
      <c r="F93" s="395">
        <v>0</v>
      </c>
      <c r="G93" s="381">
        <v>303.79000000000002</v>
      </c>
      <c r="H93" s="381">
        <v>202.43</v>
      </c>
      <c r="I93" s="378"/>
      <c r="J93" s="378"/>
      <c r="K93" s="381">
        <v>0</v>
      </c>
      <c r="L93" s="381">
        <v>284.76</v>
      </c>
      <c r="M93" s="381">
        <v>188.87</v>
      </c>
      <c r="O93" s="308"/>
      <c r="P93" s="308"/>
    </row>
  </sheetData>
  <autoFilter ref="B1:B93" xr:uid="{00000000-0009-0000-0000-000002000000}"/>
  <mergeCells count="82">
    <mergeCell ref="A92:A93"/>
    <mergeCell ref="B92:B93"/>
    <mergeCell ref="C92:C93"/>
    <mergeCell ref="B70:B72"/>
    <mergeCell ref="C70:C72"/>
    <mergeCell ref="D70:D72"/>
    <mergeCell ref="A70:A75"/>
    <mergeCell ref="B73:B75"/>
    <mergeCell ref="C73:C75"/>
    <mergeCell ref="H68:J68"/>
    <mergeCell ref="A66:M66"/>
    <mergeCell ref="A67:A69"/>
    <mergeCell ref="B67:B69"/>
    <mergeCell ref="C67:C69"/>
    <mergeCell ref="D67:D69"/>
    <mergeCell ref="E67:E69"/>
    <mergeCell ref="F67:J67"/>
    <mergeCell ref="K67:M67"/>
    <mergeCell ref="F68:G68"/>
    <mergeCell ref="K68:L68"/>
    <mergeCell ref="A38:A49"/>
    <mergeCell ref="B38:B39"/>
    <mergeCell ref="C38:C39"/>
    <mergeCell ref="B40:B41"/>
    <mergeCell ref="C40:C41"/>
    <mergeCell ref="B42:B44"/>
    <mergeCell ref="C42:C44"/>
    <mergeCell ref="B45:B47"/>
    <mergeCell ref="C45:C47"/>
    <mergeCell ref="C61:C63"/>
    <mergeCell ref="A50:A64"/>
    <mergeCell ref="B50:B51"/>
    <mergeCell ref="C50:C51"/>
    <mergeCell ref="B52:B53"/>
    <mergeCell ref="C52:C53"/>
    <mergeCell ref="B54:B56"/>
    <mergeCell ref="C54:C56"/>
    <mergeCell ref="B57:B59"/>
    <mergeCell ref="C57:C59"/>
    <mergeCell ref="B61:B63"/>
    <mergeCell ref="A30:A37"/>
    <mergeCell ref="B30:B31"/>
    <mergeCell ref="C30:C31"/>
    <mergeCell ref="B32:B33"/>
    <mergeCell ref="C32:C33"/>
    <mergeCell ref="B34:B36"/>
    <mergeCell ref="C34:C36"/>
    <mergeCell ref="B5:B6"/>
    <mergeCell ref="C5:C6"/>
    <mergeCell ref="B7:B8"/>
    <mergeCell ref="C7:C8"/>
    <mergeCell ref="A9:A29"/>
    <mergeCell ref="B9:B10"/>
    <mergeCell ref="C9:C10"/>
    <mergeCell ref="B11:B12"/>
    <mergeCell ref="C11:C12"/>
    <mergeCell ref="B13:B15"/>
    <mergeCell ref="C13:C15"/>
    <mergeCell ref="B16:B29"/>
    <mergeCell ref="A1:L1"/>
    <mergeCell ref="A2:A4"/>
    <mergeCell ref="B2:B4"/>
    <mergeCell ref="C2:C4"/>
    <mergeCell ref="E2:I2"/>
    <mergeCell ref="J2:L2"/>
    <mergeCell ref="E3:F3"/>
    <mergeCell ref="G3:I3"/>
    <mergeCell ref="J3:K3"/>
    <mergeCell ref="D80:D82"/>
    <mergeCell ref="B84:B86"/>
    <mergeCell ref="C84:C86"/>
    <mergeCell ref="D84:D86"/>
    <mergeCell ref="A88:A91"/>
    <mergeCell ref="B88:B90"/>
    <mergeCell ref="C88:C90"/>
    <mergeCell ref="D88:D90"/>
    <mergeCell ref="A76:A87"/>
    <mergeCell ref="B76:B78"/>
    <mergeCell ref="C76:C78"/>
    <mergeCell ref="D76:D78"/>
    <mergeCell ref="B80:B82"/>
    <mergeCell ref="C80:C8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679CB-811F-47A2-AACE-228C48A2F2B1}">
  <sheetPr>
    <tabColor rgb="FF00B050"/>
  </sheetPr>
  <dimension ref="A1:Z78"/>
  <sheetViews>
    <sheetView showGridLines="0" tabSelected="1" topLeftCell="A12" zoomScale="80" zoomScaleNormal="80" workbookViewId="0">
      <selection activeCell="P27" sqref="P27"/>
    </sheetView>
  </sheetViews>
  <sheetFormatPr defaultColWidth="9.125" defaultRowHeight="14.3" x14ac:dyDescent="0.25"/>
  <cols>
    <col min="1" max="1" width="5.375" style="19" customWidth="1"/>
    <col min="2" max="2" width="21" style="19" customWidth="1"/>
    <col min="3" max="3" width="13.875" style="19" customWidth="1"/>
    <col min="4" max="4" width="12.75" style="19" customWidth="1"/>
    <col min="5" max="5" width="14.375" style="19" customWidth="1"/>
    <col min="6" max="6" width="14.75" style="19" customWidth="1"/>
    <col min="7" max="10" width="12.75" style="19" customWidth="1"/>
    <col min="11" max="12" width="13.875" style="19" customWidth="1"/>
    <col min="13" max="13" width="15.25" style="19" customWidth="1"/>
    <col min="14" max="14" width="12.75" style="19" customWidth="1"/>
    <col min="15" max="15" width="14.25" style="19" customWidth="1"/>
    <col min="16" max="16" width="16.875" style="19" customWidth="1"/>
    <col min="17" max="17" width="9.375" style="19" bestFit="1" customWidth="1"/>
    <col min="18" max="18" width="12.125" style="19" bestFit="1" customWidth="1"/>
    <col min="19" max="19" width="13.125" style="19" bestFit="1" customWidth="1"/>
    <col min="20" max="20" width="11.25" style="19" bestFit="1" customWidth="1"/>
    <col min="21" max="21" width="12.125" style="19" bestFit="1" customWidth="1"/>
    <col min="22" max="22" width="13.125" style="19" bestFit="1" customWidth="1"/>
    <col min="23" max="23" width="11.25" style="19" bestFit="1" customWidth="1"/>
    <col min="24" max="24" width="12.125" style="19" bestFit="1" customWidth="1"/>
    <col min="25" max="25" width="13.125" style="19" bestFit="1" customWidth="1"/>
    <col min="26" max="26" width="11.25" style="19" bestFit="1" customWidth="1"/>
    <col min="27" max="16384" width="9.125" style="19"/>
  </cols>
  <sheetData>
    <row r="1" spans="1:26" x14ac:dyDescent="0.25">
      <c r="A1" s="19" t="s">
        <v>8</v>
      </c>
      <c r="B1" s="19" t="s">
        <v>8</v>
      </c>
      <c r="F1" s="24"/>
      <c r="G1" s="1"/>
      <c r="H1" s="1" t="s">
        <v>8</v>
      </c>
      <c r="I1" s="1"/>
      <c r="J1" s="1"/>
      <c r="K1" s="1"/>
      <c r="L1" s="19" t="s">
        <v>8</v>
      </c>
    </row>
    <row r="2" spans="1:26" ht="19.05" x14ac:dyDescent="0.25">
      <c r="A2" s="19" t="s">
        <v>8</v>
      </c>
      <c r="B2" s="25" t="s">
        <v>27</v>
      </c>
      <c r="E2" s="20" t="s">
        <v>28</v>
      </c>
      <c r="F2" s="21">
        <v>46241</v>
      </c>
      <c r="G2" s="1" t="s">
        <v>8</v>
      </c>
      <c r="I2"/>
      <c r="J2" s="1"/>
      <c r="K2" s="1"/>
      <c r="M2" s="6" t="s">
        <v>12</v>
      </c>
      <c r="N2" s="6" t="s">
        <v>6</v>
      </c>
      <c r="O2" s="19" t="s">
        <v>29</v>
      </c>
      <c r="Q2" s="26" t="s">
        <v>30</v>
      </c>
      <c r="R2" s="27"/>
    </row>
    <row r="3" spans="1:26" x14ac:dyDescent="0.25">
      <c r="M3" s="7" t="s">
        <v>13</v>
      </c>
      <c r="N3" s="8">
        <v>0</v>
      </c>
    </row>
    <row r="4" spans="1:26" ht="14.95" customHeight="1" x14ac:dyDescent="0.25">
      <c r="B4" s="464" t="s">
        <v>31</v>
      </c>
      <c r="C4" s="457" t="s">
        <v>391</v>
      </c>
      <c r="D4" s="458"/>
      <c r="E4" s="459"/>
      <c r="F4" s="466" t="s">
        <v>390</v>
      </c>
      <c r="G4" s="466"/>
      <c r="H4" s="466"/>
      <c r="I4" s="467" t="s">
        <v>32</v>
      </c>
      <c r="J4" s="467"/>
      <c r="K4" s="467"/>
      <c r="M4" s="9" t="s">
        <v>14</v>
      </c>
      <c r="N4" s="10">
        <f>[1]BANDEIRA!$D$5</f>
        <v>1.8849999999999999E-2</v>
      </c>
      <c r="Q4" s="464" t="s">
        <v>31</v>
      </c>
      <c r="R4" s="457" t="str">
        <f>C4</f>
        <v>TARIFA ANTIGA - REH 3508/2025</v>
      </c>
      <c r="S4" s="458"/>
      <c r="T4" s="459"/>
      <c r="U4" s="457" t="str">
        <f>F4</f>
        <v>TARIFA NOVA - REH xxxx/2026</v>
      </c>
      <c r="V4" s="458"/>
      <c r="W4" s="459"/>
      <c r="X4" s="457" t="s">
        <v>32</v>
      </c>
      <c r="Y4" s="458"/>
      <c r="Z4" s="459"/>
    </row>
    <row r="5" spans="1:26" x14ac:dyDescent="0.25">
      <c r="B5" s="465"/>
      <c r="C5" s="28" t="s">
        <v>33</v>
      </c>
      <c r="D5" s="28" t="s">
        <v>9</v>
      </c>
      <c r="E5" s="28" t="s">
        <v>34</v>
      </c>
      <c r="F5" s="28" t="s">
        <v>33</v>
      </c>
      <c r="G5" s="28" t="s">
        <v>9</v>
      </c>
      <c r="H5" s="28" t="s">
        <v>34</v>
      </c>
      <c r="I5" s="29" t="s">
        <v>33</v>
      </c>
      <c r="J5" s="29" t="s">
        <v>9</v>
      </c>
      <c r="K5" s="29" t="s">
        <v>34</v>
      </c>
      <c r="M5" s="11" t="s">
        <v>15</v>
      </c>
      <c r="N5" s="12">
        <f>[1]BANDEIRA!$D$6</f>
        <v>4.4630000000000003E-2</v>
      </c>
      <c r="Q5" s="465"/>
      <c r="R5" s="28" t="s">
        <v>35</v>
      </c>
      <c r="S5"/>
      <c r="T5"/>
      <c r="U5" s="28" t="s">
        <v>35</v>
      </c>
      <c r="V5"/>
      <c r="W5"/>
      <c r="X5" s="28" t="s">
        <v>35</v>
      </c>
      <c r="Y5"/>
      <c r="Z5"/>
    </row>
    <row r="6" spans="1:26" x14ac:dyDescent="0.25">
      <c r="B6" s="30" t="s">
        <v>36</v>
      </c>
      <c r="C6" s="31">
        <f>'TABELA DE TARIFAS ANTIGAS'!G71/1000</f>
        <v>0.46862999999999999</v>
      </c>
      <c r="D6" s="31">
        <f>'TABELA DE TARIFAS ANTIGAS'!H71/1000</f>
        <v>0.32068000000000002</v>
      </c>
      <c r="E6" s="31">
        <f t="shared" ref="E6" si="0">C6+D6</f>
        <v>0.78930999999999996</v>
      </c>
      <c r="F6" s="31">
        <f>'TABELA DE TARIFAS NOVAS'!G73/1000</f>
        <v>0.50631999999999999</v>
      </c>
      <c r="G6" s="31">
        <f>'TABELA DE TARIFAS NOVAS'!H73/1000</f>
        <v>0.33738999999999997</v>
      </c>
      <c r="H6" s="31">
        <f t="shared" ref="H6" si="1">F6+G6</f>
        <v>0.84370999999999996</v>
      </c>
      <c r="I6" s="31">
        <f>((C6*$C$14)+(F6*$D$14))/($D$14+$C$14)</f>
        <v>0.49100843750000001</v>
      </c>
      <c r="J6" s="31">
        <f>((D6*$C$14)+(G6*$D$14))/($D$14+$C$14)</f>
        <v>0.3306015625</v>
      </c>
      <c r="K6" s="32">
        <f t="shared" ref="K6" si="2">I6+J6</f>
        <v>0.82160999999999995</v>
      </c>
      <c r="M6" s="13" t="s">
        <v>16</v>
      </c>
      <c r="N6" s="14">
        <f>[1]BANDEIRA!$D$7</f>
        <v>7.8770000000000007E-2</v>
      </c>
      <c r="P6" s="33"/>
      <c r="Q6" s="30" t="str">
        <f>B6</f>
        <v>B1</v>
      </c>
      <c r="R6" s="31">
        <f>'FIO B'!H11/1000</f>
        <v>0.20383072193179136</v>
      </c>
      <c r="S6"/>
      <c r="T6"/>
      <c r="U6" s="31">
        <f>'FIO B'!K11/1000</f>
        <v>0.20915159219558199</v>
      </c>
      <c r="V6"/>
      <c r="W6"/>
      <c r="X6" s="31">
        <f>((R6*$C$14)+(U6*$D$14))/($D$14+$C$14)</f>
        <v>0.20698998865091706</v>
      </c>
      <c r="Y6"/>
      <c r="Z6"/>
    </row>
    <row r="7" spans="1:26" x14ac:dyDescent="0.25">
      <c r="B7" s="242" t="s">
        <v>200</v>
      </c>
      <c r="C7" s="257">
        <v>1.8774721494831901E-4</v>
      </c>
      <c r="D7" s="256">
        <v>-4.4031307414479802E-3</v>
      </c>
      <c r="E7" s="32">
        <v>3.6054083865702689E-3</v>
      </c>
      <c r="F7" s="32">
        <f>T11</f>
        <v>1.84189231569235E-4</v>
      </c>
      <c r="G7" s="32">
        <f>U11</f>
        <v>-5.3182974871251499E-4</v>
      </c>
      <c r="H7" s="32">
        <f>F7+G7</f>
        <v>-3.4764051714327999E-4</v>
      </c>
      <c r="I7" s="31">
        <f>((C7*$C$14)+(F7*$D$14))/($D$14+$C$14)</f>
        <v>1.8563466231698788E-4</v>
      </c>
      <c r="J7" s="31">
        <f>((D7*$C$14)+(G7*$D$14))/($D$14+$C$14)</f>
        <v>-2.1045457770112975E-3</v>
      </c>
      <c r="K7" s="32">
        <f t="shared" ref="K7" si="3">I7+J7</f>
        <v>-1.9189111146943097E-3</v>
      </c>
      <c r="M7" s="7" t="s">
        <v>17</v>
      </c>
      <c r="N7" s="323">
        <v>0.14199999999999999</v>
      </c>
      <c r="P7" s="33"/>
      <c r="Q7" s="82"/>
      <c r="R7" s="83"/>
      <c r="S7"/>
      <c r="T7"/>
      <c r="U7" s="83"/>
      <c r="V7"/>
      <c r="W7"/>
      <c r="X7" s="83"/>
      <c r="Y7"/>
      <c r="Z7"/>
    </row>
    <row r="8" spans="1:26" x14ac:dyDescent="0.25">
      <c r="B8" s="94" t="s">
        <v>57</v>
      </c>
      <c r="C8" s="83"/>
      <c r="D8" s="83"/>
      <c r="E8" s="83"/>
      <c r="F8" s="83"/>
      <c r="G8" s="81">
        <f>G6*15%</f>
        <v>5.0608499999999994E-2</v>
      </c>
      <c r="H8" s="83"/>
      <c r="I8" s="83"/>
      <c r="J8" s="31">
        <f>((D8*$C$14)+(G8*$D$14))/($D$14+$C$14)</f>
        <v>3.0048796874999995E-2</v>
      </c>
      <c r="K8" s="84"/>
      <c r="M8" s="324"/>
      <c r="N8" s="325"/>
      <c r="P8" s="227" t="s">
        <v>194</v>
      </c>
      <c r="Q8" s="228"/>
      <c r="R8" s="229" t="s">
        <v>195</v>
      </c>
      <c r="S8" s="229" t="s">
        <v>196</v>
      </c>
      <c r="T8" s="229" t="s">
        <v>35</v>
      </c>
      <c r="U8" s="229" t="s">
        <v>100</v>
      </c>
      <c r="V8"/>
      <c r="W8"/>
      <c r="X8" s="83"/>
      <c r="Y8"/>
      <c r="Z8"/>
    </row>
    <row r="9" spans="1:26" x14ac:dyDescent="0.25">
      <c r="A9" s="19" t="s">
        <v>8</v>
      </c>
      <c r="G9" s="1"/>
      <c r="H9" s="1"/>
      <c r="I9" s="1"/>
      <c r="J9" s="1"/>
      <c r="K9" s="1"/>
      <c r="O9" s="20"/>
      <c r="P9" s="230" t="s">
        <v>197</v>
      </c>
      <c r="Q9" s="231"/>
      <c r="R9" s="232"/>
      <c r="S9" s="232"/>
      <c r="T9" s="233"/>
      <c r="U9" s="233"/>
      <c r="V9"/>
      <c r="W9"/>
      <c r="X9"/>
      <c r="Y9"/>
      <c r="Z9"/>
    </row>
    <row r="10" spans="1:26" x14ac:dyDescent="0.25">
      <c r="B10" s="34"/>
      <c r="C10" s="35"/>
      <c r="D10" s="36"/>
      <c r="E10" s="35"/>
      <c r="F10" s="35"/>
      <c r="G10" s="35"/>
      <c r="H10" s="37" t="s">
        <v>37</v>
      </c>
      <c r="I10" s="1"/>
      <c r="L10" s="20" t="s">
        <v>25</v>
      </c>
      <c r="M10" s="21">
        <f>EOMONTH(B14,0)+1</f>
        <v>46235</v>
      </c>
      <c r="P10" s="234" t="s">
        <v>198</v>
      </c>
      <c r="Q10" s="235"/>
      <c r="R10" s="236"/>
      <c r="S10" s="236"/>
      <c r="T10" s="237"/>
      <c r="U10" s="256">
        <v>0</v>
      </c>
      <c r="V10"/>
      <c r="W10"/>
      <c r="X10"/>
      <c r="Y10"/>
      <c r="Z10"/>
    </row>
    <row r="11" spans="1:26" x14ac:dyDescent="0.25">
      <c r="B11" s="38" t="s">
        <v>38</v>
      </c>
      <c r="C11" s="411">
        <v>73278</v>
      </c>
      <c r="E11" s="1"/>
      <c r="F11" s="1"/>
      <c r="G11" s="1"/>
      <c r="H11" s="40">
        <f>E14</f>
        <v>46259</v>
      </c>
      <c r="K11" s="460" t="s">
        <v>26</v>
      </c>
      <c r="L11" s="460"/>
      <c r="P11" s="238" t="s">
        <v>199</v>
      </c>
      <c r="Q11" s="239"/>
      <c r="R11" s="240"/>
      <c r="S11" s="240"/>
      <c r="T11" s="257">
        <f>0.184189231569235/1000</f>
        <v>1.84189231569235E-4</v>
      </c>
      <c r="U11" s="256">
        <f>-0.531829748712515/1000</f>
        <v>-5.3182974871251499E-4</v>
      </c>
      <c r="V11"/>
      <c r="W11"/>
      <c r="X11"/>
      <c r="Y11"/>
      <c r="Z11"/>
    </row>
    <row r="12" spans="1:26" x14ac:dyDescent="0.25">
      <c r="A12" s="19" t="s">
        <v>8</v>
      </c>
      <c r="B12" s="41"/>
      <c r="H12" s="42"/>
      <c r="K12" s="7" t="s">
        <v>14</v>
      </c>
      <c r="L12" s="7" t="s">
        <v>14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.2" x14ac:dyDescent="0.25">
      <c r="B13" s="16" t="s">
        <v>21</v>
      </c>
      <c r="C13" s="16" t="s">
        <v>22</v>
      </c>
      <c r="D13" s="16" t="s">
        <v>23</v>
      </c>
      <c r="E13" s="16" t="s">
        <v>24</v>
      </c>
      <c r="F13" s="1"/>
      <c r="G13" s="1"/>
      <c r="H13" s="43"/>
      <c r="J13" s="16" t="s">
        <v>21</v>
      </c>
      <c r="K13" s="16" t="s">
        <v>22</v>
      </c>
      <c r="L13" s="16" t="s">
        <v>23</v>
      </c>
      <c r="M13" s="16" t="s">
        <v>24</v>
      </c>
    </row>
    <row r="14" spans="1:26" x14ac:dyDescent="0.25">
      <c r="B14" s="17">
        <v>46227</v>
      </c>
      <c r="C14" s="18">
        <f>IF((F2-B14-1)&lt;0,0,(F2-B14-1))</f>
        <v>13</v>
      </c>
      <c r="D14" s="18">
        <f>E14-F2+1</f>
        <v>19</v>
      </c>
      <c r="E14" s="17">
        <v>46259</v>
      </c>
      <c r="F14" s="44"/>
      <c r="G14" s="44"/>
      <c r="H14" s="45"/>
      <c r="J14" s="22">
        <f>B14</f>
        <v>46227</v>
      </c>
      <c r="K14" s="23">
        <f>IF((M10-J14-1)&lt;0,0,(M10-J14-1))</f>
        <v>7</v>
      </c>
      <c r="L14" s="23">
        <f>M14-M10+1</f>
        <v>25</v>
      </c>
      <c r="M14" s="22">
        <f>E14</f>
        <v>46259</v>
      </c>
    </row>
    <row r="16" spans="1:26" x14ac:dyDescent="0.25">
      <c r="B16" s="1"/>
      <c r="F16" s="253"/>
      <c r="G16"/>
      <c r="H16" s="3"/>
    </row>
    <row r="17" spans="2:20" x14ac:dyDescent="0.25">
      <c r="B17" s="5" t="s">
        <v>55</v>
      </c>
      <c r="E17" s="26" t="s">
        <v>10</v>
      </c>
      <c r="F17" s="85">
        <v>1</v>
      </c>
      <c r="G17" s="86" t="s">
        <v>9</v>
      </c>
      <c r="H17" s="85">
        <v>1</v>
      </c>
      <c r="M17" s="357" t="s">
        <v>280</v>
      </c>
      <c r="N17" s="360"/>
      <c r="O17" s="359">
        <v>1025311173</v>
      </c>
    </row>
    <row r="18" spans="2:20" s="1" customFormat="1" x14ac:dyDescent="0.25">
      <c r="B18" s="5"/>
      <c r="E18" s="118"/>
      <c r="F18" s="258"/>
      <c r="G18" s="259"/>
      <c r="H18" s="258"/>
    </row>
    <row r="19" spans="2:20" ht="41.95" customHeight="1" x14ac:dyDescent="0.25">
      <c r="B19" s="260" t="s">
        <v>207</v>
      </c>
      <c r="C19" s="260" t="s">
        <v>208</v>
      </c>
      <c r="D19" s="260" t="s">
        <v>209</v>
      </c>
      <c r="E19" s="261" t="s">
        <v>210</v>
      </c>
      <c r="F19" s="261" t="s">
        <v>211</v>
      </c>
      <c r="G19" s="261" t="s">
        <v>212</v>
      </c>
      <c r="H19" s="261" t="s">
        <v>213</v>
      </c>
      <c r="I19" s="261" t="s">
        <v>214</v>
      </c>
      <c r="J19" s="261" t="s">
        <v>215</v>
      </c>
      <c r="K19" s="262" t="s">
        <v>216</v>
      </c>
      <c r="L19" s="260" t="s">
        <v>217</v>
      </c>
      <c r="M19" s="261" t="s">
        <v>218</v>
      </c>
      <c r="N19" s="261" t="s">
        <v>219</v>
      </c>
      <c r="O19" s="261" t="s">
        <v>220</v>
      </c>
    </row>
    <row r="20" spans="2:20" x14ac:dyDescent="0.25">
      <c r="B20" s="263"/>
      <c r="C20" s="263"/>
      <c r="D20" s="263"/>
      <c r="E20" s="263"/>
      <c r="F20" s="263"/>
      <c r="G20" s="263"/>
      <c r="H20" s="263"/>
      <c r="I20" s="263"/>
      <c r="J20" s="263"/>
      <c r="K20" s="263"/>
      <c r="L20" s="264"/>
      <c r="M20" s="265"/>
      <c r="N20" s="265"/>
      <c r="O20" s="265"/>
      <c r="R20" s="26" t="s">
        <v>105</v>
      </c>
      <c r="S20" s="26" t="s">
        <v>106</v>
      </c>
    </row>
    <row r="21" spans="2:20" x14ac:dyDescent="0.25">
      <c r="B21" s="265" t="s">
        <v>221</v>
      </c>
      <c r="C21" s="266" t="s">
        <v>2</v>
      </c>
      <c r="D21" s="267">
        <v>324</v>
      </c>
      <c r="E21" s="268">
        <f>(ROUND(D21*K21,2)+ROUND(G21,2)+ROUND(J21,2))/ROUND(D21,4)</f>
        <v>0.63049382716049385</v>
      </c>
      <c r="F21" s="269">
        <f>ROUND(D21*E21,2)</f>
        <v>204.28</v>
      </c>
      <c r="G21" s="269">
        <f>((D21*K21)/(1-$N$21-$N$23))*($N$21+$N$23)</f>
        <v>10.461101430645849</v>
      </c>
      <c r="H21" s="270">
        <f>((D21*K21)/(1-$N$21-$N$23)/(1-$I$21))</f>
        <v>204.2745002176456</v>
      </c>
      <c r="I21" s="271">
        <v>0.17</v>
      </c>
      <c r="J21" s="270">
        <f>(H21*$I$21)</f>
        <v>34.726665036999755</v>
      </c>
      <c r="K21" s="268">
        <f>IF(AND($B$14&lt;$F$2,$E$14&lt;$F$2),C6,IF($B$14&lt;$F$2,I6,F6))</f>
        <v>0.49100843750000001</v>
      </c>
      <c r="L21" s="47" t="s">
        <v>92</v>
      </c>
      <c r="M21" s="269">
        <f>D71</f>
        <v>290.21634871576254</v>
      </c>
      <c r="N21" s="272">
        <v>1.0999999999999999E-2</v>
      </c>
      <c r="O21" s="273">
        <f>ROUND(M21*N21,2)</f>
        <v>3.19</v>
      </c>
      <c r="R21" s="254">
        <f>IF(AND($B$14&lt;$F$2,$E$14&lt;$F$2),R6,IF($B$14&lt;$F$2,X6,U6))</f>
        <v>0.20698998865091706</v>
      </c>
      <c r="S21" s="137">
        <f>D21*R21</f>
        <v>67.064756322897125</v>
      </c>
      <c r="T21" s="315" t="s">
        <v>392</v>
      </c>
    </row>
    <row r="22" spans="2:20" x14ac:dyDescent="0.25">
      <c r="B22" s="265" t="s">
        <v>222</v>
      </c>
      <c r="C22" s="266" t="s">
        <v>2</v>
      </c>
      <c r="D22" s="274">
        <f>D21</f>
        <v>324</v>
      </c>
      <c r="E22" s="268">
        <f>(ROUND(D22*K22,2)+ROUND(G22,2)+ROUND(J22,2))/ROUND(D22,4)</f>
        <v>0.4244753086419753</v>
      </c>
      <c r="F22" s="269">
        <f>ROUND(D22*E22,2)</f>
        <v>137.53</v>
      </c>
      <c r="G22" s="269">
        <f>((D22*K22)/(1-$N$21-$N$23))*($N$21+$N$23)</f>
        <v>7.0435785096717476</v>
      </c>
      <c r="H22" s="270">
        <f>ROUND((D22*K22)/(1-$N$21-$N$23)/(1-$I$21),8)</f>
        <v>137.54034308000001</v>
      </c>
      <c r="I22" s="265"/>
      <c r="J22" s="270">
        <f>ROUND(H22*$I$21,2)</f>
        <v>23.38</v>
      </c>
      <c r="K22" s="268">
        <f>IF(AND($B$14&lt;$F$2,$E$14&lt;$F$2),D6,IF($B$14&lt;$F$2,J6,G6))</f>
        <v>0.3306015625</v>
      </c>
      <c r="L22" s="47" t="s">
        <v>230</v>
      </c>
      <c r="M22" s="269">
        <f>D72</f>
        <v>-245.4225727379303</v>
      </c>
      <c r="N22" s="272">
        <f>N21</f>
        <v>1.0999999999999999E-2</v>
      </c>
      <c r="O22" s="273">
        <f>ROUND(M22*N22,2)</f>
        <v>-2.7</v>
      </c>
    </row>
    <row r="23" spans="2:20" x14ac:dyDescent="0.25">
      <c r="B23" s="265" t="s">
        <v>43</v>
      </c>
      <c r="C23" s="266" t="s">
        <v>2</v>
      </c>
      <c r="D23" s="274">
        <f>IF($K$12=M4,($D$21*($K$14)/($L$14+$K$14)),0)+IF($L$12=M4,($D$21*($L$14)/($L$14+$K$14)),0)</f>
        <v>324</v>
      </c>
      <c r="E23" s="268">
        <f>IFERROR((ROUND(D23*K23,2)+ROUND(G23,2)+ROUND(J23,2))/ROUND(D23,4), 0)</f>
        <v>2.4197530864197535E-2</v>
      </c>
      <c r="F23" s="269">
        <f>ROUND(D23*E23,2)</f>
        <v>7.84</v>
      </c>
      <c r="G23" s="269">
        <f>((D23*K23)/(1-$N$21-$N$23))*($N$21+$N$23)</f>
        <v>0.40160564851326869</v>
      </c>
      <c r="H23" s="270">
        <f>ROUND((D23*K23)/(1-$N$21-$N$23)/(1-$I$21),8)</f>
        <v>7.8421754799999999</v>
      </c>
      <c r="I23" s="265"/>
      <c r="J23" s="270">
        <f>ROUND(H23*$I$21,2)</f>
        <v>1.33</v>
      </c>
      <c r="K23" s="268">
        <f>N4</f>
        <v>1.8849999999999999E-2</v>
      </c>
      <c r="L23" s="47" t="s">
        <v>51</v>
      </c>
      <c r="M23" s="269">
        <f>M21</f>
        <v>290.21634871576254</v>
      </c>
      <c r="N23" s="272">
        <v>5.0700000000000002E-2</v>
      </c>
      <c r="O23" s="273">
        <f>ROUND(M23*N23,2)</f>
        <v>14.71</v>
      </c>
      <c r="R23" s="276"/>
    </row>
    <row r="24" spans="2:20" x14ac:dyDescent="0.25">
      <c r="B24" s="265" t="s">
        <v>245</v>
      </c>
      <c r="C24" s="266" t="s">
        <v>2</v>
      </c>
      <c r="D24" s="274">
        <f t="shared" ref="D24:D26" si="4">IF($K$12=M5,($D$21*($K$14)/($L$14+$K$14)),0)+IF($L$12=M5,($D$21*($L$14)/($L$14+$K$14)),0)</f>
        <v>0</v>
      </c>
      <c r="E24" s="268">
        <f t="shared" ref="E24:E25" si="5">IFERROR((ROUND(D24*K24,2)+ROUND(G24,2)+ROUND(J24,2))/ROUND(D24,4), 0)</f>
        <v>0</v>
      </c>
      <c r="F24" s="269">
        <f t="shared" ref="F24:F25" si="6">ROUND(D24*E24,2)</f>
        <v>0</v>
      </c>
      <c r="G24" s="269">
        <f t="shared" ref="G24:G25" si="7">((D24*K24)/(1-$N$21-$N$23))*($N$21+$N$23)</f>
        <v>0</v>
      </c>
      <c r="H24" s="270">
        <f t="shared" ref="H24:H25" si="8">ROUND((D24*K24)/(1-$N$21-$N$23)/(1-$I$21),8)</f>
        <v>0</v>
      </c>
      <c r="I24" s="265"/>
      <c r="J24" s="270">
        <f t="shared" ref="J24:J25" si="9">ROUND(H24*$I$21,2)</f>
        <v>0</v>
      </c>
      <c r="K24" s="268">
        <f t="shared" ref="K24:K25" si="10">N5</f>
        <v>4.4630000000000003E-2</v>
      </c>
      <c r="L24" s="47" t="s">
        <v>231</v>
      </c>
      <c r="M24" s="269">
        <f>M22</f>
        <v>-245.4225727379303</v>
      </c>
      <c r="N24" s="272">
        <f>N23</f>
        <v>5.0700000000000002E-2</v>
      </c>
      <c r="O24" s="273">
        <f>ROUND(M24*N24,2)</f>
        <v>-12.44</v>
      </c>
    </row>
    <row r="25" spans="2:20" x14ac:dyDescent="0.25">
      <c r="B25" s="265" t="s">
        <v>246</v>
      </c>
      <c r="C25" s="266" t="s">
        <v>2</v>
      </c>
      <c r="D25" s="274">
        <f t="shared" si="4"/>
        <v>0</v>
      </c>
      <c r="E25" s="268">
        <f t="shared" si="5"/>
        <v>0</v>
      </c>
      <c r="F25" s="269">
        <f t="shared" si="6"/>
        <v>0</v>
      </c>
      <c r="G25" s="269">
        <f t="shared" si="7"/>
        <v>0</v>
      </c>
      <c r="H25" s="270">
        <f t="shared" si="8"/>
        <v>0</v>
      </c>
      <c r="I25" s="265"/>
      <c r="J25" s="270">
        <f t="shared" si="9"/>
        <v>0</v>
      </c>
      <c r="K25" s="268">
        <f t="shared" si="10"/>
        <v>7.8770000000000007E-2</v>
      </c>
      <c r="L25" s="47"/>
      <c r="M25" s="269"/>
      <c r="N25" s="269"/>
      <c r="O25" s="269"/>
    </row>
    <row r="26" spans="2:20" x14ac:dyDescent="0.25">
      <c r="B26" s="265" t="s">
        <v>251</v>
      </c>
      <c r="C26" s="266" t="s">
        <v>2</v>
      </c>
      <c r="D26" s="274">
        <f t="shared" si="4"/>
        <v>0</v>
      </c>
      <c r="E26" s="268">
        <f t="shared" ref="E26" si="11">IFERROR((ROUND(D26*K26,2)+ROUND(G26,2)+ROUND(J26,2))/ROUND(D26,4), 0)</f>
        <v>0</v>
      </c>
      <c r="F26" s="269">
        <f t="shared" ref="F26" si="12">ROUND(D26*E26,2)</f>
        <v>0</v>
      </c>
      <c r="G26" s="269">
        <f t="shared" ref="G26" si="13">((D26*K26)/(1-$N$21-$N$23))*($N$21+$N$23)</f>
        <v>0</v>
      </c>
      <c r="H26" s="270">
        <f t="shared" ref="H26" si="14">ROUND((D26*K26)/(1-$N$21-$N$23)/(1-$I$21),8)</f>
        <v>0</v>
      </c>
      <c r="I26" s="265"/>
      <c r="J26" s="270">
        <f t="shared" ref="J26" si="15">ROUND(H26*$I$21,2)</f>
        <v>0</v>
      </c>
      <c r="K26" s="268">
        <f t="shared" ref="K26" si="16">N7</f>
        <v>0.14199999999999999</v>
      </c>
      <c r="L26" s="47"/>
      <c r="M26" s="269"/>
      <c r="N26" s="269"/>
      <c r="O26" s="269"/>
    </row>
    <row r="27" spans="2:20" x14ac:dyDescent="0.25">
      <c r="B27" s="265"/>
      <c r="C27" s="266"/>
      <c r="D27" s="274"/>
      <c r="E27" s="268"/>
      <c r="F27" s="269"/>
      <c r="G27" s="269"/>
      <c r="H27" s="270"/>
      <c r="I27" s="265"/>
      <c r="J27" s="270"/>
      <c r="K27" s="268"/>
      <c r="L27" s="47"/>
      <c r="M27" s="269"/>
      <c r="N27" s="269"/>
      <c r="O27" s="269"/>
    </row>
    <row r="28" spans="2:20" x14ac:dyDescent="0.25">
      <c r="B28" s="265" t="s">
        <v>227</v>
      </c>
      <c r="C28" s="266" t="s">
        <v>2</v>
      </c>
      <c r="D28" s="267">
        <v>-274</v>
      </c>
      <c r="E28" s="268">
        <f t="shared" ref="E28:E29" si="17">IFERROR((ROUND(D28*K28,2)+ROUND(G28,2)+ROUND(J28,2))/ROUND(D28,4),0)</f>
        <v>0.52332116788321159</v>
      </c>
      <c r="F28" s="269">
        <f>ROUND(D28*E28,2)</f>
        <v>-143.38999999999999</v>
      </c>
      <c r="G28" s="269">
        <f>((D28*K28)/(1-$N$22-$N$24))*($N$22+$N$24)</f>
        <v>-8.8467339259165509</v>
      </c>
      <c r="H28" s="270">
        <v>0</v>
      </c>
      <c r="I28" s="271">
        <v>0</v>
      </c>
      <c r="J28" s="265">
        <f>H28*$I$21</f>
        <v>0</v>
      </c>
      <c r="K28" s="268">
        <f>K21</f>
        <v>0.49100843750000001</v>
      </c>
      <c r="L28" s="47"/>
      <c r="M28" s="269"/>
      <c r="N28" s="269"/>
      <c r="O28" s="269"/>
    </row>
    <row r="29" spans="2:20" x14ac:dyDescent="0.25">
      <c r="B29" s="265" t="s">
        <v>228</v>
      </c>
      <c r="C29" s="266" t="s">
        <v>2</v>
      </c>
      <c r="D29" s="274">
        <f>D28</f>
        <v>-274</v>
      </c>
      <c r="E29" s="268">
        <f t="shared" si="17"/>
        <v>0.42448905109489049</v>
      </c>
      <c r="F29" s="269">
        <f>ROUND(D29*E29,2)</f>
        <v>-116.31</v>
      </c>
      <c r="G29" s="269">
        <f>((D29*K29)/(1-$N$22-$N$24))*($N$22+$N$24)</f>
        <v>-5.9566065174384528</v>
      </c>
      <c r="H29" s="270">
        <f>ROUND((D29*K29)/(1-$N$22-$N$24)/(1-$I$21),8)</f>
        <v>-116.3149815</v>
      </c>
      <c r="I29" s="271">
        <f>I21</f>
        <v>0.17</v>
      </c>
      <c r="J29" s="270">
        <f>H29*$I$21</f>
        <v>-19.773546855000003</v>
      </c>
      <c r="K29" s="268">
        <f>K22</f>
        <v>0.3306015625</v>
      </c>
      <c r="L29" s="47"/>
      <c r="M29" s="269"/>
      <c r="N29" s="269"/>
      <c r="O29" s="269"/>
    </row>
    <row r="30" spans="2:20" x14ac:dyDescent="0.25">
      <c r="B30" s="265" t="s">
        <v>229</v>
      </c>
      <c r="C30" s="266" t="s">
        <v>2</v>
      </c>
      <c r="D30" s="274">
        <f>IF($K$12=M4,($D$28*($K$14)/($K$14+$L$14)),0)+IF($L$12=M4,($D$28*($L$14)/($K$14+$L$14)),0)</f>
        <v>-274</v>
      </c>
      <c r="E30" s="268">
        <f>IFERROR((ROUND(D30*K30,2)+ROUND(G30,2)+ROUND(J30,2))/ROUND(D30,4),0)</f>
        <v>2.4197080291970801E-2</v>
      </c>
      <c r="F30" s="269">
        <f t="shared" ref="F30" si="18">ROUND(D30*E30,2)</f>
        <v>-6.63</v>
      </c>
      <c r="G30" s="269">
        <f>((D30*K30)/(1-$N$22-$N$24))*($N$22+$N$24)</f>
        <v>-0.33962946818714695</v>
      </c>
      <c r="H30" s="270">
        <f>(D30*K30)/(1-$N$22-$N$24)/(1-$I$21)</f>
        <v>-6.6319632146833092</v>
      </c>
      <c r="I30" s="265"/>
      <c r="J30" s="270">
        <f>H30*$I$21</f>
        <v>-1.1274337464961626</v>
      </c>
      <c r="K30" s="268">
        <f>N4</f>
        <v>1.8849999999999999E-2</v>
      </c>
      <c r="L30" s="255"/>
      <c r="M30" s="275"/>
      <c r="N30" s="275"/>
      <c r="O30" s="275"/>
      <c r="R30" s="276"/>
    </row>
    <row r="31" spans="2:20" x14ac:dyDescent="0.25">
      <c r="B31" s="265" t="s">
        <v>248</v>
      </c>
      <c r="C31" s="266" t="s">
        <v>2</v>
      </c>
      <c r="D31" s="274">
        <f t="shared" ref="D31:D33" si="19">IF($K$12=M5,($D$28*($K$14)/($K$14+$L$14)),0)+IF($L$12=M5,($D$28*($L$14)/($K$14+$L$14)),0)</f>
        <v>0</v>
      </c>
      <c r="E31" s="268">
        <f t="shared" ref="E31:E33" si="20">IFERROR((ROUND(D31*K31,2)+ROUND(G31,2)+ROUND(J31,2))/ROUND(D31,4),0)</f>
        <v>0</v>
      </c>
      <c r="F31" s="269">
        <f t="shared" ref="F31:F33" si="21">ROUND(D31*E31,2)</f>
        <v>0</v>
      </c>
      <c r="G31" s="269">
        <f t="shared" ref="G31:G33" si="22">((D31*K31)/(1-$N$22-$N$24))*($N$22+$N$24)</f>
        <v>0</v>
      </c>
      <c r="H31" s="270">
        <f t="shared" ref="H31:H33" si="23">(D31*K31)/(1-$N$22-$N$24)/(1-$I$21)</f>
        <v>0</v>
      </c>
      <c r="I31" s="265"/>
      <c r="J31" s="270">
        <f t="shared" ref="J31:J33" si="24">H31*$I$21</f>
        <v>0</v>
      </c>
      <c r="K31" s="268">
        <f t="shared" ref="K31:K33" si="25">N5</f>
        <v>4.4630000000000003E-2</v>
      </c>
      <c r="O31" s="264"/>
      <c r="Q31" s="56"/>
      <c r="R31" s="165"/>
      <c r="S31" s="277"/>
      <c r="T31" s="56"/>
    </row>
    <row r="32" spans="2:20" x14ac:dyDescent="0.25">
      <c r="B32" s="265" t="s">
        <v>249</v>
      </c>
      <c r="C32" s="266" t="s">
        <v>2</v>
      </c>
      <c r="D32" s="274">
        <f t="shared" si="19"/>
        <v>0</v>
      </c>
      <c r="E32" s="268">
        <f t="shared" si="20"/>
        <v>0</v>
      </c>
      <c r="F32" s="269">
        <f t="shared" si="21"/>
        <v>0</v>
      </c>
      <c r="G32" s="269">
        <f t="shared" si="22"/>
        <v>0</v>
      </c>
      <c r="H32" s="270">
        <f t="shared" si="23"/>
        <v>0</v>
      </c>
      <c r="I32" s="265"/>
      <c r="J32" s="270">
        <f t="shared" si="24"/>
        <v>0</v>
      </c>
      <c r="K32" s="268">
        <f t="shared" si="25"/>
        <v>7.8770000000000007E-2</v>
      </c>
      <c r="O32" s="264"/>
      <c r="S32" s="277"/>
    </row>
    <row r="33" spans="1:22" x14ac:dyDescent="0.25">
      <c r="B33" s="265" t="s">
        <v>250</v>
      </c>
      <c r="C33" s="266" t="s">
        <v>2</v>
      </c>
      <c r="D33" s="274">
        <f t="shared" si="19"/>
        <v>0</v>
      </c>
      <c r="E33" s="268">
        <f t="shared" si="20"/>
        <v>0</v>
      </c>
      <c r="F33" s="269">
        <f t="shared" si="21"/>
        <v>0</v>
      </c>
      <c r="G33" s="269">
        <f t="shared" si="22"/>
        <v>0</v>
      </c>
      <c r="H33" s="270">
        <f t="shared" si="23"/>
        <v>0</v>
      </c>
      <c r="I33" s="265"/>
      <c r="J33" s="270">
        <f t="shared" si="24"/>
        <v>0</v>
      </c>
      <c r="K33" s="268">
        <f t="shared" si="25"/>
        <v>0.14199999999999999</v>
      </c>
      <c r="O33" s="264"/>
      <c r="S33" s="277"/>
    </row>
    <row r="34" spans="1:22" x14ac:dyDescent="0.25">
      <c r="B34" s="265"/>
      <c r="C34" s="266"/>
      <c r="D34" s="274"/>
      <c r="E34" s="268"/>
      <c r="F34" s="269"/>
      <c r="G34" s="269"/>
      <c r="H34" s="270"/>
      <c r="I34" s="265"/>
      <c r="J34" s="270"/>
      <c r="K34" s="268"/>
      <c r="O34" s="264"/>
      <c r="S34" s="277"/>
    </row>
    <row r="35" spans="1:22" x14ac:dyDescent="0.25">
      <c r="B35" s="265" t="s">
        <v>224</v>
      </c>
      <c r="C35" s="265"/>
      <c r="D35" s="274"/>
      <c r="E35" s="265"/>
      <c r="F35" s="278"/>
      <c r="G35" s="265"/>
      <c r="H35" s="265"/>
      <c r="I35" s="265"/>
      <c r="J35" s="265"/>
      <c r="K35" s="265"/>
      <c r="O35" s="264"/>
      <c r="S35" s="277"/>
    </row>
    <row r="36" spans="1:22" x14ac:dyDescent="0.25">
      <c r="B36" s="265" t="s">
        <v>223</v>
      </c>
      <c r="C36" s="265"/>
      <c r="D36" s="274"/>
      <c r="E36" s="265"/>
      <c r="F36" s="278"/>
      <c r="G36" s="265"/>
      <c r="H36" s="265"/>
      <c r="I36" s="265"/>
      <c r="J36" s="265"/>
      <c r="K36" s="265"/>
      <c r="O36" s="264"/>
      <c r="S36" s="277"/>
    </row>
    <row r="37" spans="1:22" x14ac:dyDescent="0.25">
      <c r="B37" s="265" t="s">
        <v>350</v>
      </c>
      <c r="C37" s="265"/>
      <c r="D37" s="274"/>
      <c r="E37" s="265"/>
      <c r="F37" s="278"/>
      <c r="G37" s="265"/>
      <c r="H37" s="265"/>
      <c r="I37" s="265"/>
      <c r="J37" s="265"/>
      <c r="K37" s="265"/>
      <c r="O37" s="264"/>
      <c r="S37" s="277"/>
    </row>
    <row r="38" spans="1:22" x14ac:dyDescent="0.25">
      <c r="B38" s="265" t="s">
        <v>247</v>
      </c>
      <c r="C38" s="265"/>
      <c r="D38" s="274"/>
      <c r="E38" s="265"/>
      <c r="F38" s="278">
        <v>-8.2899999999999991</v>
      </c>
      <c r="G38" s="265"/>
      <c r="H38" s="265"/>
      <c r="I38" s="265"/>
      <c r="J38" s="265"/>
      <c r="K38" s="265"/>
      <c r="O38" s="264"/>
      <c r="S38" s="277"/>
    </row>
    <row r="39" spans="1:22" x14ac:dyDescent="0.25">
      <c r="B39" s="265" t="s">
        <v>225</v>
      </c>
      <c r="C39" s="265"/>
      <c r="D39" s="274"/>
      <c r="E39" s="265"/>
      <c r="F39" s="278">
        <v>46.36</v>
      </c>
      <c r="G39" s="265"/>
      <c r="H39" s="265"/>
      <c r="I39" s="265"/>
      <c r="J39" s="265"/>
      <c r="K39" s="265"/>
      <c r="O39" s="264"/>
    </row>
    <row r="40" spans="1:22" x14ac:dyDescent="0.25">
      <c r="B40" s="265"/>
      <c r="C40" s="265"/>
      <c r="D40" s="274"/>
      <c r="E40" s="265"/>
      <c r="F40" s="265"/>
      <c r="G40" s="265"/>
      <c r="H40" s="265"/>
      <c r="I40" s="265"/>
      <c r="J40" s="265"/>
      <c r="K40" s="265"/>
      <c r="O40" s="264"/>
    </row>
    <row r="41" spans="1:22" x14ac:dyDescent="0.25">
      <c r="B41" s="265"/>
      <c r="C41" s="265"/>
      <c r="D41" s="274"/>
      <c r="E41" s="265"/>
      <c r="F41" s="265"/>
      <c r="G41" s="265"/>
      <c r="H41" s="265"/>
      <c r="I41" s="265"/>
      <c r="J41" s="265"/>
      <c r="K41" s="265"/>
      <c r="O41" s="264"/>
    </row>
    <row r="42" spans="1:22" x14ac:dyDescent="0.25">
      <c r="B42" s="279" t="s">
        <v>162</v>
      </c>
      <c r="C42" s="275"/>
      <c r="D42" s="280"/>
      <c r="E42" s="275"/>
      <c r="F42" s="281">
        <f>SUM(F21:F41)</f>
        <v>121.39</v>
      </c>
      <c r="G42" s="282">
        <f>SUM(G21:G41)</f>
        <v>2.7633156772887149</v>
      </c>
      <c r="H42" s="283">
        <f>SUM(H21:H41)</f>
        <v>226.71007406296229</v>
      </c>
      <c r="I42" s="275"/>
      <c r="J42" s="283">
        <f>SUM(J21:J41)</f>
        <v>38.535684435503583</v>
      </c>
      <c r="K42" s="275"/>
      <c r="L42" s="75"/>
      <c r="M42" s="75"/>
      <c r="N42" s="75"/>
      <c r="O42" s="255"/>
    </row>
    <row r="44" spans="1:22" x14ac:dyDescent="0.25">
      <c r="B44" s="284" t="s">
        <v>226</v>
      </c>
      <c r="C44" s="285">
        <f>(D21+D28)</f>
        <v>50</v>
      </c>
      <c r="D44" s="286">
        <f>IF(AND($B$14&lt;$F$2,$E$14&lt;$F$2),C7,IF($B$14&lt;$F$2,I7,F7))</f>
        <v>1.8563466231698788E-4</v>
      </c>
      <c r="E44" s="286">
        <f>IF(AND($B$14&lt;$F$2,$E$14&lt;$F$2),D7,IF($B$14&lt;$F$2,J7,G7))</f>
        <v>-2.1045457770112975E-3</v>
      </c>
      <c r="F44" s="284">
        <f>C44*(D44+E44)</f>
        <v>-9.5945555734715485E-2</v>
      </c>
    </row>
    <row r="45" spans="1:22" x14ac:dyDescent="0.25">
      <c r="I45"/>
      <c r="J45"/>
      <c r="K45"/>
      <c r="L45"/>
      <c r="M45"/>
      <c r="N45"/>
      <c r="O45"/>
      <c r="P45"/>
      <c r="Q45"/>
      <c r="R45"/>
      <c r="S45"/>
      <c r="T45"/>
      <c r="U45"/>
      <c r="V45"/>
    </row>
    <row r="46" spans="1:22" x14ac:dyDescent="0.25">
      <c r="B46" s="461" t="s">
        <v>39</v>
      </c>
      <c r="C46" s="462"/>
      <c r="D46" s="462"/>
      <c r="E46" s="462"/>
      <c r="F46" s="462"/>
      <c r="G46" s="462"/>
      <c r="H46" s="463"/>
      <c r="I46"/>
      <c r="J46"/>
      <c r="K46"/>
      <c r="L46"/>
      <c r="M46"/>
      <c r="N46"/>
      <c r="O46"/>
      <c r="P46"/>
      <c r="Q46"/>
      <c r="R46"/>
      <c r="S46"/>
      <c r="T46"/>
      <c r="U46"/>
      <c r="V46"/>
    </row>
    <row r="47" spans="1:22" x14ac:dyDescent="0.25">
      <c r="B47" s="41"/>
      <c r="D47" s="46" t="s">
        <v>40</v>
      </c>
      <c r="E47" s="46" t="s">
        <v>10</v>
      </c>
      <c r="F47" s="46" t="s">
        <v>9</v>
      </c>
      <c r="G47" s="46" t="s">
        <v>34</v>
      </c>
      <c r="H47" s="47" t="s">
        <v>7</v>
      </c>
      <c r="I47"/>
      <c r="J47" s="46" t="s">
        <v>8</v>
      </c>
      <c r="K47"/>
      <c r="L47"/>
      <c r="M47"/>
      <c r="N47"/>
      <c r="O47"/>
      <c r="P47"/>
      <c r="Q47"/>
      <c r="R47"/>
      <c r="S47"/>
      <c r="T47"/>
      <c r="U47"/>
      <c r="V47"/>
    </row>
    <row r="48" spans="1:22" x14ac:dyDescent="0.25">
      <c r="A48" s="19" t="s">
        <v>8</v>
      </c>
      <c r="B48" s="48" t="s">
        <v>41</v>
      </c>
      <c r="C48" s="49"/>
      <c r="D48" s="50"/>
      <c r="E48" s="50"/>
      <c r="F48" s="50"/>
      <c r="G48" s="50"/>
      <c r="H48" s="51">
        <f>SUM(H50:H66)+SUM(H71:H76)</f>
        <v>83.335767735227392</v>
      </c>
      <c r="I48"/>
      <c r="J48"/>
      <c r="K48"/>
      <c r="L48"/>
      <c r="M48"/>
      <c r="N48"/>
      <c r="O48"/>
      <c r="P48"/>
      <c r="Q48"/>
      <c r="R48"/>
      <c r="S48"/>
      <c r="T48"/>
      <c r="U48"/>
      <c r="V48"/>
    </row>
    <row r="49" spans="1:22" x14ac:dyDescent="0.25">
      <c r="A49" s="19" t="s">
        <v>8</v>
      </c>
      <c r="B49" s="41"/>
      <c r="D49" s="46"/>
      <c r="E49" s="46"/>
      <c r="F49" s="46"/>
      <c r="G49" s="46"/>
      <c r="H49" s="52"/>
      <c r="I49"/>
      <c r="J49"/>
      <c r="K49"/>
      <c r="L49"/>
      <c r="M49"/>
      <c r="N49"/>
      <c r="O49"/>
      <c r="P49"/>
      <c r="Q49"/>
      <c r="R49"/>
      <c r="S49"/>
      <c r="T49"/>
      <c r="U49"/>
      <c r="V49"/>
    </row>
    <row r="50" spans="1:22" x14ac:dyDescent="0.25">
      <c r="A50" s="19" t="s">
        <v>8</v>
      </c>
      <c r="B50" s="41" t="s">
        <v>42</v>
      </c>
      <c r="D50" s="89">
        <f>D21</f>
        <v>324</v>
      </c>
      <c r="E50" s="53">
        <f>IF(AND($B$14&lt;$F$2,$E$14&lt;$F$2),C6,IF($B$14&lt;$F$2,I6,F6))</f>
        <v>0.49100843750000001</v>
      </c>
      <c r="F50" s="53">
        <f>IF(AND($B$14&lt;$F$2,$E$14&lt;$F$2),D6,IF($B$14&lt;$F$2,J6,G6))</f>
        <v>0.3306015625</v>
      </c>
      <c r="G50" s="53">
        <f>E50+F50</f>
        <v>0.82160999999999995</v>
      </c>
      <c r="H50" s="54">
        <f>ROUND((D50*E50),2)+ROUND((D50*F50),2)</f>
        <v>266.2</v>
      </c>
      <c r="I50"/>
      <c r="J50"/>
      <c r="K50"/>
      <c r="L50"/>
      <c r="M50" s="90"/>
      <c r="N50"/>
      <c r="O50"/>
      <c r="P50"/>
      <c r="Q50"/>
      <c r="R50"/>
      <c r="S50"/>
      <c r="T50"/>
      <c r="U50"/>
      <c r="V50"/>
    </row>
    <row r="51" spans="1:22" x14ac:dyDescent="0.25">
      <c r="B51" s="41"/>
      <c r="D51" s="55"/>
      <c r="E51" s="56"/>
      <c r="F51" s="57"/>
      <c r="G51" s="57"/>
      <c r="H51" s="54"/>
      <c r="I51"/>
      <c r="J51"/>
      <c r="K51"/>
      <c r="L51"/>
      <c r="M51"/>
      <c r="N51"/>
      <c r="O51"/>
      <c r="P51"/>
      <c r="Q51"/>
      <c r="R51"/>
      <c r="S51"/>
      <c r="T51"/>
      <c r="U51"/>
      <c r="V51"/>
    </row>
    <row r="52" spans="1:22" x14ac:dyDescent="0.25">
      <c r="B52" s="41" t="s">
        <v>43</v>
      </c>
      <c r="D52" s="58">
        <f>IF($K$12=M4,(D50*(K14)/(K14+L14)),0)+IF($L$12=M4,(D50*(L14)/(K14+L14)),0)</f>
        <v>324</v>
      </c>
      <c r="F52" s="59">
        <f>N4</f>
        <v>1.8849999999999999E-2</v>
      </c>
      <c r="G52" s="59"/>
      <c r="H52" s="54">
        <f>ROUND(D52*(E52+F52),2)</f>
        <v>6.11</v>
      </c>
      <c r="I52"/>
      <c r="J52"/>
      <c r="K52"/>
      <c r="L52"/>
      <c r="M52"/>
      <c r="N52"/>
      <c r="O52"/>
      <c r="P52"/>
      <c r="Q52"/>
      <c r="R52"/>
      <c r="S52"/>
      <c r="T52"/>
      <c r="U52"/>
      <c r="V52"/>
    </row>
    <row r="53" spans="1:22" x14ac:dyDescent="0.25">
      <c r="B53" s="41" t="s">
        <v>44</v>
      </c>
      <c r="D53" s="58">
        <f>IF($K$12=M5,(D50*(K14)/(K14+L14)),0)+IF($L$12=M5,(D50*(L14)/(K14+L14)),0)</f>
        <v>0</v>
      </c>
      <c r="F53" s="59">
        <f>N5</f>
        <v>4.4630000000000003E-2</v>
      </c>
      <c r="G53" s="59"/>
      <c r="H53" s="54">
        <f>ROUND(D53*(E53+F53),2)</f>
        <v>0</v>
      </c>
      <c r="I53"/>
      <c r="J53"/>
      <c r="K53"/>
      <c r="L53" s="98"/>
      <c r="M53"/>
      <c r="N53"/>
      <c r="O53"/>
      <c r="P53"/>
      <c r="Q53"/>
      <c r="R53"/>
      <c r="S53"/>
      <c r="T53"/>
      <c r="U53"/>
      <c r="V53"/>
    </row>
    <row r="54" spans="1:22" x14ac:dyDescent="0.25">
      <c r="B54" s="41" t="s">
        <v>45</v>
      </c>
      <c r="D54" s="58">
        <f>IF($K$12=M6,(D50*(K14)/(K14+L14)),0)+IF($L$12=M6,(D50*(L14)/(K14+L14)),0)</f>
        <v>0</v>
      </c>
      <c r="F54" s="59">
        <f>N6</f>
        <v>7.8770000000000007E-2</v>
      </c>
      <c r="G54" s="59"/>
      <c r="H54" s="54">
        <f>ROUND(D54*(E54+F54),2)</f>
        <v>0</v>
      </c>
      <c r="I54"/>
      <c r="J54"/>
      <c r="K54"/>
      <c r="L54"/>
      <c r="M54"/>
      <c r="N54"/>
      <c r="O54"/>
      <c r="P54"/>
      <c r="Q54"/>
      <c r="R54"/>
      <c r="S54"/>
      <c r="T54"/>
      <c r="U54"/>
      <c r="V54"/>
    </row>
    <row r="55" spans="1:22" x14ac:dyDescent="0.25">
      <c r="B55" s="41" t="s">
        <v>46</v>
      </c>
      <c r="D55" s="58">
        <f>IF($K$12=M8,(D50*(K14)/(K14+L14)),0)+IF($L$12=M8,(D50*(L14)/(K14+L14)),0)</f>
        <v>0</v>
      </c>
      <c r="F55" s="59">
        <f>N8</f>
        <v>0</v>
      </c>
      <c r="G55" s="59"/>
      <c r="H55" s="54">
        <f>ROUND(D55*(E55+F55),2)</f>
        <v>0</v>
      </c>
      <c r="I55"/>
      <c r="J55"/>
      <c r="K55"/>
      <c r="L55"/>
      <c r="M55"/>
      <c r="N55"/>
      <c r="O55"/>
      <c r="P55"/>
      <c r="Q55"/>
      <c r="R55"/>
      <c r="S55"/>
      <c r="T55"/>
      <c r="U55"/>
      <c r="V55"/>
    </row>
    <row r="56" spans="1:22" x14ac:dyDescent="0.25">
      <c r="B56" s="41"/>
      <c r="D56" s="60"/>
      <c r="H56" s="54"/>
      <c r="I56" s="1"/>
      <c r="J56" s="1"/>
      <c r="K56" s="90"/>
      <c r="L56" s="1"/>
      <c r="M56" s="1"/>
      <c r="N56" s="1"/>
      <c r="O56" s="1"/>
      <c r="P56" s="1"/>
    </row>
    <row r="57" spans="1:22" x14ac:dyDescent="0.25">
      <c r="B57" s="41" t="s">
        <v>47</v>
      </c>
      <c r="D57" s="222">
        <f>D28</f>
        <v>-274</v>
      </c>
      <c r="E57" s="53">
        <f>E50*F17</f>
        <v>0.49100843750000001</v>
      </c>
      <c r="F57" s="53">
        <f>F50</f>
        <v>0.3306015625</v>
      </c>
      <c r="G57" s="53">
        <f>E57+F57</f>
        <v>0.82160999999999995</v>
      </c>
      <c r="H57" s="54">
        <f>ROUND((D57*E57),2)+ROUND((D57*F57),2)</f>
        <v>-225.12</v>
      </c>
      <c r="I57" s="1"/>
      <c r="J57" s="1"/>
      <c r="K57" s="90"/>
      <c r="L57" s="1"/>
      <c r="M57" s="90"/>
      <c r="N57" s="1"/>
      <c r="O57" s="1"/>
      <c r="P57" s="1"/>
    </row>
    <row r="58" spans="1:22" x14ac:dyDescent="0.25">
      <c r="B58" s="41"/>
      <c r="D58" s="55"/>
      <c r="E58" s="56"/>
      <c r="F58" s="57"/>
      <c r="G58" s="57"/>
      <c r="H58" s="54"/>
      <c r="I58" s="1"/>
      <c r="J58" s="1"/>
      <c r="K58" s="90"/>
      <c r="L58" s="1"/>
      <c r="M58" s="1"/>
      <c r="N58" s="1"/>
      <c r="O58" s="1"/>
      <c r="P58" s="1"/>
    </row>
    <row r="59" spans="1:22" x14ac:dyDescent="0.25">
      <c r="B59" s="41" t="s">
        <v>43</v>
      </c>
      <c r="D59" s="58">
        <f>IF($K$12=M4,(D57*(K14)/(K14+L14)),0)+IF($L$12=M4,(D57*(L14)/(K14+L14)),0)</f>
        <v>-274</v>
      </c>
      <c r="F59" s="59">
        <f>F52</f>
        <v>1.8849999999999999E-2</v>
      </c>
      <c r="G59" s="59"/>
      <c r="H59" s="54">
        <f>ROUND(D59*(E59+F59),2)</f>
        <v>-5.16</v>
      </c>
      <c r="I59" s="1"/>
      <c r="J59" s="1"/>
      <c r="K59" s="1"/>
      <c r="L59" s="1"/>
      <c r="M59" s="1"/>
      <c r="N59" s="1"/>
      <c r="O59" s="1"/>
      <c r="P59" s="1"/>
    </row>
    <row r="60" spans="1:22" x14ac:dyDescent="0.25">
      <c r="B60" s="41" t="s">
        <v>44</v>
      </c>
      <c r="D60" s="58">
        <f>IF($K$12=M5,(D57*(K14)/(K14+L14)),0)+IF($L$12=M5,(D57*(L14)/(K14+L14)),0)</f>
        <v>0</v>
      </c>
      <c r="F60" s="59">
        <f t="shared" ref="F60:F62" si="26">F53</f>
        <v>4.4630000000000003E-2</v>
      </c>
      <c r="G60" s="59"/>
      <c r="H60" s="54">
        <f>ROUND(D60*(E60+F60),2)</f>
        <v>0</v>
      </c>
      <c r="I60" s="1"/>
      <c r="J60" s="1"/>
      <c r="K60" s="1"/>
      <c r="L60" s="1"/>
      <c r="M60" s="1"/>
      <c r="N60" s="1"/>
      <c r="O60" s="1"/>
      <c r="P60" s="1"/>
    </row>
    <row r="61" spans="1:22" x14ac:dyDescent="0.25">
      <c r="B61" s="41" t="s">
        <v>45</v>
      </c>
      <c r="D61" s="58">
        <f>IF($K$12=M6,(D57*(K14)/(K14+L14)),0)+IF($L$12=M6,(D57*(L14)/(K14+L14)),0)</f>
        <v>0</v>
      </c>
      <c r="F61" s="59">
        <f t="shared" si="26"/>
        <v>7.8770000000000007E-2</v>
      </c>
      <c r="G61" s="59"/>
      <c r="H61" s="54">
        <f>ROUND(D61*(E61+F61),2)</f>
        <v>0</v>
      </c>
      <c r="I61" s="1"/>
      <c r="J61" s="1"/>
      <c r="K61" s="1"/>
      <c r="L61" s="1"/>
      <c r="M61" s="1"/>
      <c r="N61" s="1"/>
      <c r="O61" s="1"/>
      <c r="P61" s="1"/>
    </row>
    <row r="62" spans="1:22" x14ac:dyDescent="0.25">
      <c r="B62" s="41" t="s">
        <v>46</v>
      </c>
      <c r="D62" s="58">
        <f>IF($K$12=M8,(D57*(K14)/(K14+L14)),0)+IF($L$12=M8,(D57*(L14)/(K14+L14)),0)</f>
        <v>0</v>
      </c>
      <c r="F62" s="59">
        <f t="shared" si="26"/>
        <v>0</v>
      </c>
      <c r="G62" s="59"/>
      <c r="H62" s="54">
        <f>ROUND(D62*(E62+F62),2)</f>
        <v>0</v>
      </c>
      <c r="J62" s="1"/>
      <c r="K62" s="1"/>
      <c r="L62" s="1"/>
      <c r="M62" s="1"/>
      <c r="N62" s="1"/>
      <c r="O62" s="1"/>
      <c r="P62" s="1"/>
    </row>
    <row r="63" spans="1:22" x14ac:dyDescent="0.25">
      <c r="B63" s="41"/>
      <c r="D63" s="58"/>
      <c r="F63" s="59"/>
      <c r="G63" s="59"/>
      <c r="H63" s="54"/>
      <c r="J63" s="1"/>
      <c r="K63" s="1"/>
      <c r="L63" s="1"/>
      <c r="M63" s="1"/>
      <c r="N63" s="1"/>
      <c r="O63" s="1"/>
      <c r="P63" s="1"/>
    </row>
    <row r="64" spans="1:22" x14ac:dyDescent="0.25">
      <c r="B64" s="119"/>
      <c r="C64" s="120"/>
      <c r="D64" s="121"/>
      <c r="E64" s="122"/>
      <c r="F64" s="123"/>
      <c r="G64" s="122"/>
      <c r="H64" s="124"/>
      <c r="I64" s="116"/>
      <c r="J64" s="1"/>
      <c r="K64" s="1"/>
      <c r="L64" s="1"/>
      <c r="M64" s="1"/>
      <c r="N64" s="1"/>
      <c r="O64" s="1"/>
      <c r="P64" s="1"/>
    </row>
    <row r="65" spans="2:16" x14ac:dyDescent="0.25">
      <c r="B65" s="119"/>
      <c r="C65" s="120"/>
      <c r="D65" s="125"/>
      <c r="E65" s="120"/>
      <c r="F65" s="126"/>
      <c r="G65" s="126"/>
      <c r="H65" s="124"/>
      <c r="I65" s="1"/>
      <c r="J65" s="1"/>
      <c r="K65" s="1"/>
      <c r="L65" s="1"/>
      <c r="M65" s="1"/>
      <c r="N65" s="1"/>
      <c r="O65" s="1"/>
      <c r="P65" s="1"/>
    </row>
    <row r="66" spans="2:16" x14ac:dyDescent="0.25">
      <c r="B66" s="119"/>
      <c r="C66" s="120"/>
      <c r="D66" s="121"/>
      <c r="E66" s="122"/>
      <c r="F66" s="123"/>
      <c r="G66" s="122"/>
      <c r="H66" s="124"/>
      <c r="I66" s="97"/>
      <c r="K66" s="1"/>
      <c r="L66" s="1"/>
      <c r="M66" s="1"/>
      <c r="N66" s="1"/>
      <c r="O66" s="1"/>
      <c r="P66" s="1"/>
    </row>
    <row r="67" spans="2:16" x14ac:dyDescent="0.25">
      <c r="B67" s="61"/>
      <c r="C67" s="24"/>
      <c r="D67" s="24"/>
      <c r="E67" s="24"/>
      <c r="F67" s="24"/>
      <c r="G67" s="24"/>
      <c r="H67" s="62"/>
      <c r="I67"/>
      <c r="J67" s="1"/>
      <c r="K67" s="1"/>
      <c r="L67" s="1"/>
      <c r="M67" s="1"/>
      <c r="N67" s="1"/>
      <c r="O67" s="1"/>
      <c r="P67" s="1"/>
    </row>
    <row r="68" spans="2:16" x14ac:dyDescent="0.25">
      <c r="B68" s="34"/>
      <c r="C68" s="35"/>
      <c r="D68" s="35"/>
      <c r="E68" s="35"/>
      <c r="F68" s="35"/>
      <c r="G68" s="35"/>
      <c r="H68" s="96">
        <f>SUM(H50:H67)</f>
        <v>42.03</v>
      </c>
      <c r="I68" s="1"/>
      <c r="L68" s="1"/>
      <c r="M68" s="1"/>
      <c r="N68" s="1"/>
      <c r="O68" s="1"/>
      <c r="P68" s="1"/>
    </row>
    <row r="69" spans="2:16" x14ac:dyDescent="0.25">
      <c r="B69" s="95"/>
      <c r="C69" s="1"/>
      <c r="D69" s="1"/>
      <c r="E69" s="1"/>
      <c r="F69" s="1"/>
      <c r="G69" s="1"/>
      <c r="H69" s="43"/>
      <c r="I69" s="1"/>
      <c r="L69" s="1"/>
      <c r="M69" s="1"/>
      <c r="N69" s="1"/>
      <c r="O69" s="1"/>
      <c r="P69" s="1"/>
    </row>
    <row r="70" spans="2:16" x14ac:dyDescent="0.25">
      <c r="B70" s="41"/>
      <c r="D70" s="63" t="s">
        <v>48</v>
      </c>
      <c r="E70" s="64"/>
      <c r="F70" s="64"/>
      <c r="G70" s="64"/>
      <c r="H70" s="65"/>
      <c r="I70" s="66"/>
      <c r="K70" s="67"/>
      <c r="L70" s="1"/>
      <c r="M70" s="1"/>
      <c r="N70" s="1"/>
      <c r="O70" s="1"/>
      <c r="P70" s="1"/>
    </row>
    <row r="71" spans="2:16" x14ac:dyDescent="0.25">
      <c r="B71" s="41" t="s">
        <v>49</v>
      </c>
      <c r="D71" s="68">
        <f>(H50+H52+H53+H54+H55)/(1-E71-E73)</f>
        <v>290.21634871576254</v>
      </c>
      <c r="E71" s="69">
        <f>N21</f>
        <v>1.0999999999999999E-2</v>
      </c>
      <c r="H71" s="70">
        <f>D71*E71</f>
        <v>3.1923798358733877</v>
      </c>
      <c r="I71" s="67"/>
      <c r="L71" s="1"/>
      <c r="M71" s="1"/>
      <c r="N71" s="1"/>
      <c r="O71" s="1"/>
      <c r="P71" s="1"/>
    </row>
    <row r="72" spans="2:16" x14ac:dyDescent="0.25">
      <c r="B72" s="41" t="s">
        <v>50</v>
      </c>
      <c r="D72" s="68">
        <f>(H57+H59+H60+H61+H62+H64+H66)/(1-E71-E73)</f>
        <v>-245.4225727379303</v>
      </c>
      <c r="E72" s="71">
        <f>E71</f>
        <v>1.0999999999999999E-2</v>
      </c>
      <c r="H72" s="70">
        <f t="shared" ref="H72:H74" si="27">D72*E72</f>
        <v>-2.6996483001172331</v>
      </c>
      <c r="I72" s="67"/>
      <c r="L72" s="1"/>
      <c r="M72" s="1"/>
      <c r="N72" s="1"/>
      <c r="O72" s="1"/>
      <c r="P72" s="1"/>
    </row>
    <row r="73" spans="2:16" x14ac:dyDescent="0.25">
      <c r="B73" s="41" t="s">
        <v>51</v>
      </c>
      <c r="D73" s="68">
        <f>D71</f>
        <v>290.21634871576254</v>
      </c>
      <c r="E73" s="69">
        <f>N23</f>
        <v>5.0700000000000002E-2</v>
      </c>
      <c r="H73" s="70">
        <f t="shared" si="27"/>
        <v>14.713968879889162</v>
      </c>
      <c r="I73" s="67"/>
      <c r="L73" s="1"/>
      <c r="M73" s="1"/>
      <c r="N73" s="1"/>
      <c r="O73" s="1"/>
      <c r="P73" s="1"/>
    </row>
    <row r="74" spans="2:16" x14ac:dyDescent="0.25">
      <c r="B74" s="41" t="s">
        <v>52</v>
      </c>
      <c r="D74" s="68">
        <f>D72</f>
        <v>-245.4225727379303</v>
      </c>
      <c r="E74" s="71">
        <f>E73</f>
        <v>5.0700000000000002E-2</v>
      </c>
      <c r="H74" s="70">
        <f t="shared" si="27"/>
        <v>-12.442924437813067</v>
      </c>
      <c r="I74" s="67"/>
      <c r="L74" s="1"/>
      <c r="M74" s="1"/>
      <c r="N74" s="1"/>
      <c r="O74" s="1"/>
      <c r="P74" s="1"/>
    </row>
    <row r="75" spans="2:16" x14ac:dyDescent="0.25">
      <c r="B75" s="41" t="s">
        <v>11</v>
      </c>
      <c r="D75" s="72">
        <f>D71/(1-E75)</f>
        <v>349.65825146477414</v>
      </c>
      <c r="E75" s="73">
        <v>0.17</v>
      </c>
      <c r="H75" s="70">
        <f>D75*E75</f>
        <v>59.441902749011611</v>
      </c>
      <c r="I75" s="67"/>
      <c r="L75" s="1"/>
      <c r="M75" s="1"/>
      <c r="N75" s="1"/>
      <c r="O75" s="1"/>
      <c r="P75" s="1"/>
    </row>
    <row r="76" spans="2:16" x14ac:dyDescent="0.25">
      <c r="B76" s="74" t="s">
        <v>53</v>
      </c>
      <c r="C76" s="75"/>
      <c r="D76" s="76">
        <f>((D57*F57)+(H59+H60+H61+H62)+(D64*F64)+(D66*F66))/(1-E72-E74)/(1-E76)</f>
        <v>-122.9406528918616</v>
      </c>
      <c r="E76" s="77">
        <f>E75</f>
        <v>0.17</v>
      </c>
      <c r="F76" s="75"/>
      <c r="G76" s="75"/>
      <c r="H76" s="78">
        <f>D76*E76</f>
        <v>-20.899910991616473</v>
      </c>
      <c r="L76" s="1"/>
      <c r="M76" s="1"/>
      <c r="N76" s="1"/>
      <c r="O76" s="1"/>
      <c r="P76" s="1"/>
    </row>
    <row r="77" spans="2:16" x14ac:dyDescent="0.25">
      <c r="L77" s="1"/>
      <c r="M77" s="1"/>
      <c r="N77" s="1"/>
      <c r="O77" s="1"/>
      <c r="P77" s="1"/>
    </row>
    <row r="78" spans="2:16" x14ac:dyDescent="0.25">
      <c r="B78" s="223" t="s">
        <v>193</v>
      </c>
      <c r="C78" s="133"/>
      <c r="D78" s="224">
        <f>D50+D57</f>
        <v>50</v>
      </c>
      <c r="E78" s="225">
        <f>IF(AND($B$14&lt;$F$2,$E$14&lt;$F$2),C7,IF($B$14&lt;$F$2,I7,F7))</f>
        <v>1.8563466231698788E-4</v>
      </c>
      <c r="F78" s="225">
        <f>IF(AND($B$14&lt;$F$2,$E$14&lt;$F$2),D7,IF($B$14&lt;$F$2,J7,G7))</f>
        <v>-2.1045457770112975E-3</v>
      </c>
      <c r="G78" s="133"/>
      <c r="H78" s="223">
        <f>D78*(E78+F78)</f>
        <v>-9.5945555734715485E-2</v>
      </c>
      <c r="L78" s="1"/>
      <c r="M78" s="1"/>
      <c r="N78" s="1"/>
      <c r="O78" s="1"/>
      <c r="P78" s="1"/>
    </row>
  </sheetData>
  <mergeCells count="10">
    <mergeCell ref="U4:W4"/>
    <mergeCell ref="X4:Z4"/>
    <mergeCell ref="K11:L11"/>
    <mergeCell ref="B46:H46"/>
    <mergeCell ref="B4:B5"/>
    <mergeCell ref="C4:E4"/>
    <mergeCell ref="F4:H4"/>
    <mergeCell ref="I4:K4"/>
    <mergeCell ref="Q4:Q5"/>
    <mergeCell ref="R4:T4"/>
  </mergeCells>
  <conditionalFormatting sqref="K12:L12">
    <cfRule type="cellIs" dxfId="153" priority="1" operator="equal">
      <formula>"Escassez Hídrica"</formula>
    </cfRule>
    <cfRule type="cellIs" dxfId="152" priority="2" operator="equal">
      <formula>"VERDE"</formula>
    </cfRule>
    <cfRule type="cellIs" dxfId="151" priority="3" operator="equal">
      <formula>"BVM2"</formula>
    </cfRule>
    <cfRule type="cellIs" dxfId="150" priority="4" operator="equal">
      <formula>"BVM1"</formula>
    </cfRule>
    <cfRule type="cellIs" dxfId="149" priority="5" operator="equal">
      <formula>"BAM"</formula>
    </cfRule>
  </conditionalFormatting>
  <conditionalFormatting sqref="M3">
    <cfRule type="cellIs" dxfId="148" priority="16" operator="equal">
      <formula>"VERDE"</formula>
    </cfRule>
    <cfRule type="cellIs" dxfId="147" priority="17" operator="equal">
      <formula>"BVM2"</formula>
    </cfRule>
    <cfRule type="cellIs" dxfId="146" priority="18" operator="equal">
      <formula>"BVM1"</formula>
    </cfRule>
    <cfRule type="cellIs" dxfId="145" priority="19" operator="equal">
      <formula>"BAM"</formula>
    </cfRule>
  </conditionalFormatting>
  <conditionalFormatting sqref="M7:M8">
    <cfRule type="containsText" dxfId="144" priority="7" operator="containsText" text="Escassez Hídrica">
      <formula>NOT(ISERROR(SEARCH("Escassez Hídrica",M7)))</formula>
    </cfRule>
    <cfRule type="cellIs" dxfId="143" priority="8" operator="equal">
      <formula>"VERDE"</formula>
    </cfRule>
    <cfRule type="cellIs" dxfId="142" priority="9" operator="equal">
      <formula>"BVM2"</formula>
    </cfRule>
    <cfRule type="cellIs" dxfId="141" priority="10" operator="equal">
      <formula>"BVM1"</formula>
    </cfRule>
    <cfRule type="cellIs" dxfId="140" priority="11" operator="equal">
      <formula>"BAM"</formula>
    </cfRule>
  </conditionalFormatting>
  <dataValidations count="1">
    <dataValidation type="list" allowBlank="1" showInputMessage="1" showErrorMessage="1" sqref="K12:L12" xr:uid="{6DCF64B9-1698-4A1B-A6FD-7B7EE3DE4532}">
      <formula1>$M$3:$M$8</formula1>
    </dataValidation>
  </dataValidations>
  <pageMargins left="0.511811024" right="0.511811024" top="0.78740157499999996" bottom="0.78740157499999996" header="0.31496062000000002" footer="0.31496062000000002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729E0-DCB5-4BFF-AEA0-4CC692F46AF0}">
  <dimension ref="A1:Z51"/>
  <sheetViews>
    <sheetView showGridLines="0" zoomScale="80" zoomScaleNormal="80" workbookViewId="0">
      <selection activeCell="A51" sqref="A51"/>
    </sheetView>
  </sheetViews>
  <sheetFormatPr defaultColWidth="9.125" defaultRowHeight="14.3" x14ac:dyDescent="0.25"/>
  <cols>
    <col min="1" max="1" width="5.375" style="19" customWidth="1"/>
    <col min="2" max="2" width="12.75" style="19" customWidth="1"/>
    <col min="3" max="3" width="13.875" style="19" customWidth="1"/>
    <col min="4" max="10" width="12.75" style="19" customWidth="1"/>
    <col min="11" max="12" width="13.875" style="19" customWidth="1"/>
    <col min="13" max="16" width="12.75" style="19" customWidth="1"/>
    <col min="17" max="17" width="9.375" style="19" bestFit="1" customWidth="1"/>
    <col min="18" max="18" width="12.125" style="19" bestFit="1" customWidth="1"/>
    <col min="19" max="19" width="13.125" style="19" bestFit="1" customWidth="1"/>
    <col min="20" max="20" width="11.25" style="19" bestFit="1" customWidth="1"/>
    <col min="21" max="21" width="12.125" style="19" bestFit="1" customWidth="1"/>
    <col min="22" max="22" width="13.125" style="19" bestFit="1" customWidth="1"/>
    <col min="23" max="23" width="11.25" style="19" bestFit="1" customWidth="1"/>
    <col min="24" max="24" width="12.125" style="19" bestFit="1" customWidth="1"/>
    <col min="25" max="25" width="13.125" style="19" bestFit="1" customWidth="1"/>
    <col min="26" max="26" width="11.25" style="19" bestFit="1" customWidth="1"/>
    <col min="27" max="16384" width="9.125" style="19"/>
  </cols>
  <sheetData>
    <row r="1" spans="1:26" x14ac:dyDescent="0.25">
      <c r="A1" s="19" t="s">
        <v>8</v>
      </c>
      <c r="B1" s="19" t="s">
        <v>8</v>
      </c>
      <c r="F1" s="24"/>
      <c r="G1" s="1"/>
      <c r="H1" s="1" t="s">
        <v>8</v>
      </c>
      <c r="I1" s="1"/>
      <c r="J1" s="1"/>
      <c r="K1" s="1"/>
      <c r="L1" s="19" t="s">
        <v>8</v>
      </c>
    </row>
    <row r="2" spans="1:26" ht="19.05" x14ac:dyDescent="0.25">
      <c r="A2" s="19" t="s">
        <v>8</v>
      </c>
      <c r="B2" s="25" t="s">
        <v>27</v>
      </c>
      <c r="E2" s="20" t="s">
        <v>28</v>
      </c>
      <c r="F2" s="21">
        <v>45145</v>
      </c>
      <c r="G2" s="1" t="s">
        <v>8</v>
      </c>
      <c r="I2" s="101" t="s">
        <v>64</v>
      </c>
      <c r="J2" s="1"/>
      <c r="K2" s="1"/>
      <c r="M2" s="6" t="s">
        <v>12</v>
      </c>
      <c r="N2" s="6" t="s">
        <v>6</v>
      </c>
      <c r="O2" s="19" t="s">
        <v>29</v>
      </c>
      <c r="Q2" s="26" t="s">
        <v>30</v>
      </c>
      <c r="R2" s="27"/>
    </row>
    <row r="3" spans="1:26" x14ac:dyDescent="0.25">
      <c r="M3" s="7" t="s">
        <v>13</v>
      </c>
      <c r="N3" s="8">
        <v>0</v>
      </c>
    </row>
    <row r="4" spans="1:26" ht="14.95" customHeight="1" x14ac:dyDescent="0.25">
      <c r="B4" s="464" t="s">
        <v>31</v>
      </c>
      <c r="C4" s="466" t="s">
        <v>58</v>
      </c>
      <c r="D4" s="466"/>
      <c r="E4" s="466"/>
      <c r="F4" s="466" t="s">
        <v>59</v>
      </c>
      <c r="G4" s="466"/>
      <c r="H4" s="466"/>
      <c r="I4" s="467" t="s">
        <v>32</v>
      </c>
      <c r="J4" s="467"/>
      <c r="K4" s="467"/>
      <c r="M4" s="9" t="s">
        <v>14</v>
      </c>
      <c r="N4" s="10">
        <v>2.989E-2</v>
      </c>
      <c r="Q4" s="464" t="s">
        <v>31</v>
      </c>
      <c r="R4" s="457" t="str">
        <f>C4</f>
        <v>TARIFA ANTIGA - REH 3091/2022</v>
      </c>
      <c r="S4" s="458"/>
      <c r="T4" s="459"/>
      <c r="U4" s="457" t="str">
        <f>F4</f>
        <v>TARIFA NOVA - REH XXXX/2023</v>
      </c>
      <c r="V4" s="458"/>
      <c r="W4" s="459"/>
      <c r="X4" s="457" t="s">
        <v>32</v>
      </c>
      <c r="Y4" s="458"/>
      <c r="Z4" s="459"/>
    </row>
    <row r="5" spans="1:26" x14ac:dyDescent="0.25">
      <c r="B5" s="465"/>
      <c r="C5" s="28" t="s">
        <v>33</v>
      </c>
      <c r="D5" s="28" t="s">
        <v>9</v>
      </c>
      <c r="E5" s="28" t="s">
        <v>34</v>
      </c>
      <c r="F5" s="28" t="s">
        <v>33</v>
      </c>
      <c r="G5" s="28" t="s">
        <v>9</v>
      </c>
      <c r="H5" s="28" t="s">
        <v>34</v>
      </c>
      <c r="I5" s="29" t="s">
        <v>33</v>
      </c>
      <c r="J5" s="29" t="s">
        <v>9</v>
      </c>
      <c r="K5" s="29" t="s">
        <v>34</v>
      </c>
      <c r="M5" s="11" t="s">
        <v>15</v>
      </c>
      <c r="N5" s="12">
        <v>6.5000000000000002E-2</v>
      </c>
      <c r="Q5" s="465"/>
      <c r="R5" s="28" t="s">
        <v>35</v>
      </c>
      <c r="S5"/>
      <c r="T5"/>
      <c r="U5" s="28" t="s">
        <v>35</v>
      </c>
      <c r="V5"/>
      <c r="W5"/>
      <c r="X5" s="28" t="s">
        <v>35</v>
      </c>
      <c r="Y5"/>
      <c r="Z5"/>
    </row>
    <row r="6" spans="1:26" x14ac:dyDescent="0.25">
      <c r="B6" s="30" t="s">
        <v>36</v>
      </c>
      <c r="C6" s="31">
        <v>0.39681</v>
      </c>
      <c r="D6" s="31">
        <v>0.27703</v>
      </c>
      <c r="E6" s="31">
        <f t="shared" ref="E6" si="0">C6+D6</f>
        <v>0.67383999999999999</v>
      </c>
      <c r="F6" s="31">
        <v>0.39681</v>
      </c>
      <c r="G6" s="31">
        <v>0.27703</v>
      </c>
      <c r="H6" s="31">
        <f t="shared" ref="H6:H7" si="1">F6+G6</f>
        <v>0.67383999999999999</v>
      </c>
      <c r="I6" s="31">
        <f>((C6*$C$14)+(F6*$D$14))/($D$14+$C$14)</f>
        <v>0.39681000000000005</v>
      </c>
      <c r="J6" s="31">
        <f>((D6*$C$14)+(G6*$D$14))/($D$14+$C$14)</f>
        <v>0.27703</v>
      </c>
      <c r="K6" s="32">
        <f t="shared" ref="K6:K7" si="2">I6+J6</f>
        <v>0.67383999999999999</v>
      </c>
      <c r="M6" s="13" t="s">
        <v>16</v>
      </c>
      <c r="N6" s="14">
        <v>9.7949999999999995E-2</v>
      </c>
      <c r="P6" s="33"/>
      <c r="Q6" s="30" t="str">
        <f>B6</f>
        <v>B1</v>
      </c>
      <c r="R6" s="31">
        <f>'[2]FIO B'!H11/1000</f>
        <v>0.19205</v>
      </c>
      <c r="S6"/>
      <c r="T6"/>
      <c r="U6" s="31">
        <f>'[2]FIO B'!K11/1000</f>
        <v>0.17652000000000001</v>
      </c>
      <c r="V6"/>
      <c r="W6"/>
      <c r="X6" s="31">
        <f>((R6*$C$14)+(U6*$D$14))/($D$14+$C$14)</f>
        <v>0.18503645161290322</v>
      </c>
      <c r="Y6"/>
      <c r="Z6"/>
    </row>
    <row r="7" spans="1:26" x14ac:dyDescent="0.25">
      <c r="B7" s="242" t="s">
        <v>200</v>
      </c>
      <c r="C7" s="32"/>
      <c r="D7" s="32"/>
      <c r="E7" s="32"/>
      <c r="F7" s="32">
        <f>T11</f>
        <v>2.0011000000000001E-4</v>
      </c>
      <c r="G7" s="32">
        <f>U11</f>
        <v>4.0268099999999996E-3</v>
      </c>
      <c r="H7" s="32">
        <f t="shared" si="1"/>
        <v>4.2269199999999995E-3</v>
      </c>
      <c r="I7" s="31">
        <f>((C7*$C$14)+(F7*$D$14))/($D$14+$C$14)</f>
        <v>9.0372258064516122E-5</v>
      </c>
      <c r="J7" s="31">
        <f>((D7*$C$14)+(G7*$D$14))/($D$14+$C$14)</f>
        <v>1.8185593548387096E-3</v>
      </c>
      <c r="K7" s="32">
        <f t="shared" si="2"/>
        <v>1.9089316129032258E-3</v>
      </c>
      <c r="M7" s="226"/>
      <c r="N7" s="14"/>
      <c r="P7" s="33"/>
      <c r="Q7" s="82"/>
      <c r="R7" s="83"/>
      <c r="S7"/>
      <c r="T7"/>
      <c r="U7" s="83"/>
      <c r="V7"/>
      <c r="W7"/>
      <c r="X7" s="83"/>
      <c r="Y7"/>
      <c r="Z7"/>
    </row>
    <row r="8" spans="1:26" x14ac:dyDescent="0.25">
      <c r="B8" s="94" t="s">
        <v>57</v>
      </c>
      <c r="C8" s="83"/>
      <c r="D8" s="83"/>
      <c r="E8" s="83"/>
      <c r="F8" s="83"/>
      <c r="G8" s="81">
        <f>G6*15%</f>
        <v>4.1554500000000001E-2</v>
      </c>
      <c r="H8" s="83"/>
      <c r="I8" s="83"/>
      <c r="J8" s="31">
        <f>((D8*$C$14)+(G8*$D$14))/($D$14+$C$14)</f>
        <v>1.8766548387096776E-2</v>
      </c>
      <c r="K8" s="84"/>
      <c r="M8" s="7" t="s">
        <v>17</v>
      </c>
      <c r="N8" s="15">
        <v>0.14199999999999999</v>
      </c>
      <c r="P8" s="227" t="s">
        <v>194</v>
      </c>
      <c r="Q8" s="228"/>
      <c r="R8"/>
      <c r="S8"/>
      <c r="T8" s="229" t="s">
        <v>35</v>
      </c>
      <c r="U8" s="229" t="s">
        <v>100</v>
      </c>
      <c r="V8"/>
      <c r="W8"/>
      <c r="X8" s="83"/>
      <c r="Y8"/>
      <c r="Z8"/>
    </row>
    <row r="9" spans="1:26" x14ac:dyDescent="0.25">
      <c r="A9" s="19" t="s">
        <v>8</v>
      </c>
      <c r="G9" s="1"/>
      <c r="H9" s="1"/>
      <c r="I9" s="1"/>
      <c r="J9" s="1"/>
      <c r="K9" s="1"/>
      <c r="O9" s="20"/>
      <c r="P9" s="230" t="s">
        <v>197</v>
      </c>
      <c r="Q9" s="231"/>
      <c r="R9"/>
      <c r="S9"/>
      <c r="T9"/>
      <c r="U9"/>
      <c r="V9"/>
      <c r="W9"/>
      <c r="X9"/>
      <c r="Y9"/>
      <c r="Z9"/>
    </row>
    <row r="10" spans="1:26" x14ac:dyDescent="0.25">
      <c r="B10" s="34"/>
      <c r="C10" s="35"/>
      <c r="D10" s="36"/>
      <c r="E10" s="35"/>
      <c r="F10" s="35"/>
      <c r="G10" s="35"/>
      <c r="H10" s="37" t="s">
        <v>37</v>
      </c>
      <c r="I10" s="1"/>
      <c r="L10" s="20" t="s">
        <v>25</v>
      </c>
      <c r="M10" s="21">
        <f>EOMONTH(B14,0)+1</f>
        <v>45139</v>
      </c>
      <c r="P10" s="234" t="s">
        <v>198</v>
      </c>
      <c r="Q10" s="235"/>
      <c r="R10"/>
      <c r="S10"/>
      <c r="T10"/>
      <c r="U10"/>
      <c r="V10"/>
      <c r="W10"/>
      <c r="X10"/>
      <c r="Y10"/>
      <c r="Z10"/>
    </row>
    <row r="11" spans="1:26" x14ac:dyDescent="0.25">
      <c r="B11" s="38" t="s">
        <v>38</v>
      </c>
      <c r="C11" s="39">
        <v>1182321</v>
      </c>
      <c r="E11" s="1"/>
      <c r="F11" s="1"/>
      <c r="G11" s="1"/>
      <c r="H11" s="40">
        <f>E14</f>
        <v>45158</v>
      </c>
      <c r="K11" s="460" t="s">
        <v>26</v>
      </c>
      <c r="L11" s="460"/>
      <c r="P11" s="238" t="s">
        <v>199</v>
      </c>
      <c r="Q11" s="239"/>
      <c r="R11"/>
      <c r="S11"/>
      <c r="T11" s="241">
        <v>2.0011000000000001E-4</v>
      </c>
      <c r="U11" s="241">
        <v>4.0268099999999996E-3</v>
      </c>
      <c r="V11"/>
      <c r="W11"/>
      <c r="X11"/>
      <c r="Y11"/>
      <c r="Z11"/>
    </row>
    <row r="12" spans="1:26" x14ac:dyDescent="0.25">
      <c r="A12" s="19" t="s">
        <v>8</v>
      </c>
      <c r="B12" s="41"/>
      <c r="H12" s="42"/>
      <c r="K12" s="7" t="s">
        <v>14</v>
      </c>
      <c r="L12" s="7" t="s">
        <v>16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.2" x14ac:dyDescent="0.25">
      <c r="B13" s="16" t="s">
        <v>21</v>
      </c>
      <c r="C13" s="16" t="s">
        <v>22</v>
      </c>
      <c r="D13" s="16" t="s">
        <v>23</v>
      </c>
      <c r="E13" s="16" t="s">
        <v>24</v>
      </c>
      <c r="F13" s="1"/>
      <c r="G13" s="1"/>
      <c r="H13" s="43"/>
      <c r="J13" s="16" t="s">
        <v>21</v>
      </c>
      <c r="K13" s="16" t="s">
        <v>22</v>
      </c>
      <c r="L13" s="16" t="s">
        <v>23</v>
      </c>
      <c r="M13" s="16" t="s">
        <v>24</v>
      </c>
    </row>
    <row r="14" spans="1:26" x14ac:dyDescent="0.25">
      <c r="B14" s="17">
        <v>45127</v>
      </c>
      <c r="C14" s="18">
        <f>IF((F2-B14-1)&lt;0,0,(F2-B14-1))</f>
        <v>17</v>
      </c>
      <c r="D14" s="18">
        <f>E14-F2+1</f>
        <v>14</v>
      </c>
      <c r="E14" s="17">
        <v>45158</v>
      </c>
      <c r="F14" s="44"/>
      <c r="G14" s="44"/>
      <c r="H14" s="45"/>
      <c r="J14" s="22">
        <f>B14</f>
        <v>45127</v>
      </c>
      <c r="K14" s="23">
        <f>IF((M10-J14-1)&lt;0,0,(M10-J14-1))</f>
        <v>11</v>
      </c>
      <c r="L14" s="23">
        <f>M14-M10+1</f>
        <v>20</v>
      </c>
      <c r="M14" s="22">
        <f>E14</f>
        <v>45158</v>
      </c>
    </row>
    <row r="16" spans="1:26" x14ac:dyDescent="0.25">
      <c r="B16" s="1"/>
      <c r="G16"/>
      <c r="H16" s="3"/>
    </row>
    <row r="17" spans="1:22" x14ac:dyDescent="0.25">
      <c r="B17" s="5" t="s">
        <v>55</v>
      </c>
      <c r="E17" s="26" t="s">
        <v>10</v>
      </c>
      <c r="F17" s="85">
        <v>1</v>
      </c>
      <c r="G17" s="86" t="s">
        <v>9</v>
      </c>
      <c r="H17" s="85">
        <v>1</v>
      </c>
    </row>
    <row r="18" spans="1:22" x14ac:dyDescent="0.25">
      <c r="I18"/>
      <c r="J18"/>
      <c r="K18"/>
      <c r="L18"/>
      <c r="M18"/>
      <c r="N18"/>
      <c r="O18"/>
      <c r="P18"/>
      <c r="Q18"/>
      <c r="R18"/>
      <c r="S18"/>
      <c r="T18"/>
      <c r="U18"/>
      <c r="V18"/>
    </row>
    <row r="19" spans="1:22" x14ac:dyDescent="0.25">
      <c r="B19" s="461" t="s">
        <v>39</v>
      </c>
      <c r="C19" s="462"/>
      <c r="D19" s="462"/>
      <c r="E19" s="462"/>
      <c r="F19" s="462"/>
      <c r="G19" s="462"/>
      <c r="H19" s="463"/>
      <c r="I19"/>
      <c r="J19"/>
      <c r="K19"/>
      <c r="L19"/>
      <c r="M19"/>
      <c r="N19"/>
      <c r="O19"/>
      <c r="P19"/>
      <c r="Q19"/>
      <c r="R19"/>
      <c r="S19"/>
      <c r="T19"/>
      <c r="U19"/>
      <c r="V19"/>
    </row>
    <row r="20" spans="1:22" x14ac:dyDescent="0.25">
      <c r="B20" s="41"/>
      <c r="D20" s="46" t="s">
        <v>40</v>
      </c>
      <c r="E20" s="46" t="s">
        <v>10</v>
      </c>
      <c r="F20" s="46" t="s">
        <v>9</v>
      </c>
      <c r="G20" s="46" t="s">
        <v>34</v>
      </c>
      <c r="H20" s="47" t="s">
        <v>7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</row>
    <row r="21" spans="1:22" x14ac:dyDescent="0.25">
      <c r="A21" s="19" t="s">
        <v>8</v>
      </c>
      <c r="B21" s="48" t="s">
        <v>41</v>
      </c>
      <c r="C21" s="49"/>
      <c r="D21" s="50"/>
      <c r="E21" s="50"/>
      <c r="F21" s="50"/>
      <c r="G21" s="50"/>
      <c r="H21" s="51">
        <f>SUM(H23:H39)+SUM(H44:H49)</f>
        <v>254.92055096857669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</row>
    <row r="22" spans="1:22" x14ac:dyDescent="0.25">
      <c r="A22" s="19" t="s">
        <v>8</v>
      </c>
      <c r="B22" s="41"/>
      <c r="D22" s="46"/>
      <c r="E22" s="46"/>
      <c r="F22" s="46"/>
      <c r="G22" s="46"/>
      <c r="H22" s="52"/>
      <c r="I22"/>
      <c r="J22"/>
      <c r="K22"/>
      <c r="L22"/>
      <c r="M22"/>
      <c r="N22"/>
      <c r="O22"/>
      <c r="P22"/>
      <c r="Q22"/>
      <c r="R22"/>
      <c r="S22"/>
      <c r="T22"/>
      <c r="U22"/>
      <c r="V22"/>
    </row>
    <row r="23" spans="1:22" x14ac:dyDescent="0.25">
      <c r="A23" s="19" t="s">
        <v>8</v>
      </c>
      <c r="B23" s="41" t="s">
        <v>42</v>
      </c>
      <c r="D23" s="89">
        <v>2000</v>
      </c>
      <c r="E23" s="53">
        <f>IF(AND($B$14&lt;$F$2,$E$14&lt;$F$2),C6,IF($B$14&lt;$F$2,I6,F6))</f>
        <v>0.39681000000000005</v>
      </c>
      <c r="F23" s="53">
        <f>IF(AND($B$14&lt;$F$2,$E$14&lt;$F$2),D6,IF($B$14&lt;$F$2,J6,G6))</f>
        <v>0.27703</v>
      </c>
      <c r="G23" s="53">
        <f>E23+F23</f>
        <v>0.67383999999999999</v>
      </c>
      <c r="H23" s="54">
        <f>ROUND((D23*E23),2)+ROUND((D23*F23),2)</f>
        <v>1347.6799999999998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</row>
    <row r="24" spans="1:22" x14ac:dyDescent="0.25">
      <c r="B24" s="41"/>
      <c r="D24" s="55"/>
      <c r="E24" s="56"/>
      <c r="F24" s="57"/>
      <c r="G24" s="57"/>
      <c r="H24" s="54"/>
      <c r="I24"/>
      <c r="J24"/>
      <c r="K24"/>
      <c r="L24"/>
      <c r="M24"/>
      <c r="N24"/>
      <c r="O24"/>
      <c r="P24"/>
      <c r="Q24"/>
      <c r="R24"/>
      <c r="S24"/>
      <c r="T24"/>
      <c r="U24"/>
      <c r="V24"/>
    </row>
    <row r="25" spans="1:22" x14ac:dyDescent="0.25">
      <c r="B25" s="41" t="s">
        <v>43</v>
      </c>
      <c r="D25" s="58">
        <f>IF($K$12=M4,(D23*(K14)/(K14+L14)),0)+IF($L$12=M4,(D23*(L14)/(K14+L14)),0)</f>
        <v>709.67741935483866</v>
      </c>
      <c r="F25" s="59">
        <f>N4</f>
        <v>2.989E-2</v>
      </c>
      <c r="G25" s="59"/>
      <c r="H25" s="54">
        <f>ROUND(D25*(E25+F25),2)</f>
        <v>21.21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</row>
    <row r="26" spans="1:22" x14ac:dyDescent="0.25">
      <c r="B26" s="41" t="s">
        <v>44</v>
      </c>
      <c r="D26" s="58">
        <f>IF($K$12=M5,(D23*(K14)/(K14+L14)),0)+IF($L$12=M5,(D23*(L14)/(K14+L14)),0)</f>
        <v>0</v>
      </c>
      <c r="F26" s="59">
        <f>N5</f>
        <v>6.5000000000000002E-2</v>
      </c>
      <c r="G26" s="59"/>
      <c r="H26" s="54">
        <f>ROUND(D26*(E26+F26),2)</f>
        <v>0</v>
      </c>
      <c r="I26"/>
      <c r="J26"/>
      <c r="K26"/>
      <c r="L26"/>
      <c r="M26"/>
      <c r="N26"/>
      <c r="O26"/>
      <c r="P26"/>
      <c r="Q26"/>
      <c r="R26"/>
      <c r="S26"/>
      <c r="T26"/>
      <c r="U26"/>
      <c r="V26"/>
    </row>
    <row r="27" spans="1:22" x14ac:dyDescent="0.25">
      <c r="B27" s="41" t="s">
        <v>45</v>
      </c>
      <c r="D27" s="58">
        <f>IF($K$12=M6,(D23*(K14)/(K14+L14)),0)+IF($L$12=M6,(D23*(L14)/(K14+L14)),0)</f>
        <v>1290.3225806451612</v>
      </c>
      <c r="F27" s="59">
        <f>N6</f>
        <v>9.7949999999999995E-2</v>
      </c>
      <c r="G27" s="59"/>
      <c r="H27" s="54">
        <f>ROUND(D27*(E27+F27),2)</f>
        <v>126.39</v>
      </c>
      <c r="I27"/>
      <c r="J27"/>
      <c r="K27"/>
      <c r="L27"/>
      <c r="M27"/>
      <c r="N27"/>
      <c r="O27"/>
      <c r="P27"/>
      <c r="Q27"/>
      <c r="R27"/>
      <c r="S27"/>
      <c r="T27"/>
      <c r="U27"/>
      <c r="V27"/>
    </row>
    <row r="28" spans="1:22" x14ac:dyDescent="0.25">
      <c r="B28" s="41" t="s">
        <v>46</v>
      </c>
      <c r="D28" s="58">
        <f>IF($K$12=M8,(D23*(K14)/(K14+L14)),0)+IF($L$12=M8,(D23*(L14)/(K14+L14)),0)</f>
        <v>0</v>
      </c>
      <c r="F28" s="59">
        <f>N8</f>
        <v>0.14199999999999999</v>
      </c>
      <c r="G28" s="59"/>
      <c r="H28" s="54">
        <f>ROUND(D28*(E28+F28),2)</f>
        <v>0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</row>
    <row r="29" spans="1:22" x14ac:dyDescent="0.25">
      <c r="B29" s="41"/>
      <c r="D29" s="60"/>
      <c r="H29" s="54"/>
      <c r="I29" s="1"/>
      <c r="J29" s="1"/>
      <c r="K29" s="1"/>
      <c r="L29" s="1"/>
      <c r="M29" s="1"/>
      <c r="N29" s="1"/>
      <c r="O29" s="1"/>
      <c r="P29" s="1"/>
    </row>
    <row r="30" spans="1:22" x14ac:dyDescent="0.25">
      <c r="B30" s="41" t="s">
        <v>47</v>
      </c>
      <c r="D30" s="222">
        <v>-1900.0008629307806</v>
      </c>
      <c r="E30" s="53">
        <f>E23*F17</f>
        <v>0.39681000000000005</v>
      </c>
      <c r="F30" s="53">
        <f>F23</f>
        <v>0.27703</v>
      </c>
      <c r="G30" s="53">
        <f>E30+F30</f>
        <v>0.67383999999999999</v>
      </c>
      <c r="H30" s="54">
        <f>ROUND((D30*E30),2)+ROUND((D30*F30),2)</f>
        <v>-1280.3000000000002</v>
      </c>
      <c r="I30" s="1"/>
      <c r="J30" s="1"/>
      <c r="K30" s="1"/>
      <c r="L30" s="1"/>
      <c r="M30" s="1"/>
      <c r="N30" s="1"/>
      <c r="O30" s="1"/>
      <c r="P30" s="1"/>
    </row>
    <row r="31" spans="1:22" x14ac:dyDescent="0.25">
      <c r="B31" s="41"/>
      <c r="D31" s="55"/>
      <c r="E31" s="56"/>
      <c r="F31" s="57"/>
      <c r="G31" s="57"/>
      <c r="H31" s="54"/>
      <c r="I31" s="1"/>
      <c r="J31" s="1"/>
      <c r="K31" s="1"/>
      <c r="L31" s="1"/>
      <c r="M31" s="1"/>
      <c r="N31" s="1"/>
      <c r="O31" s="1"/>
      <c r="P31" s="1"/>
    </row>
    <row r="32" spans="1:22" x14ac:dyDescent="0.25">
      <c r="B32" s="41" t="s">
        <v>43</v>
      </c>
      <c r="D32" s="58">
        <f>IF($K$12=M4,(D30*(K14)/(K14+L14)),0)+IF($L$12=M4,(D30*(L14)/(K14+L14)),0)</f>
        <v>-674.19385458834154</v>
      </c>
      <c r="F32" s="59">
        <f>F25</f>
        <v>2.989E-2</v>
      </c>
      <c r="G32" s="59"/>
      <c r="H32" s="54">
        <f>ROUND(D32*(E32+F32),2)</f>
        <v>-20.149999999999999</v>
      </c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9" t="s">
        <v>8</v>
      </c>
      <c r="B33" s="41" t="s">
        <v>44</v>
      </c>
      <c r="D33" s="58">
        <f>IF($K$12=M5,(D30*(K14)/(K14+L14)),0)+IF($L$12=M5,(D30*(L14)/(K14+L14)),0)</f>
        <v>0</v>
      </c>
      <c r="F33" s="59">
        <f t="shared" ref="F33:F35" si="3">F26</f>
        <v>6.5000000000000002E-2</v>
      </c>
      <c r="G33" s="59"/>
      <c r="H33" s="54">
        <f>ROUND(D33*(E33+F33),2)</f>
        <v>0</v>
      </c>
      <c r="I33" s="1"/>
      <c r="J33" s="1"/>
      <c r="K33" s="1"/>
      <c r="L33" s="1"/>
      <c r="M33" s="1"/>
      <c r="N33" s="1"/>
      <c r="O33" s="1"/>
      <c r="P33" s="1"/>
    </row>
    <row r="34" spans="1:16" x14ac:dyDescent="0.25">
      <c r="B34" s="41" t="s">
        <v>45</v>
      </c>
      <c r="D34" s="58">
        <f>IF($K$12=M6,(D30*(K14)/(K14+L14)),0)+IF($L$12=M6,(D30*(L14)/(K14+L14)),0)</f>
        <v>-1225.8070083424391</v>
      </c>
      <c r="F34" s="59">
        <f t="shared" si="3"/>
        <v>9.7949999999999995E-2</v>
      </c>
      <c r="G34" s="59"/>
      <c r="H34" s="54">
        <f>ROUND(D34*(E34+F34),2)</f>
        <v>-120.07</v>
      </c>
      <c r="I34" s="1"/>
      <c r="J34" s="1"/>
      <c r="K34" s="1"/>
      <c r="L34" s="1"/>
      <c r="M34" s="1"/>
      <c r="N34" s="1"/>
      <c r="O34" s="1"/>
      <c r="P34" s="1"/>
    </row>
    <row r="35" spans="1:16" x14ac:dyDescent="0.25">
      <c r="B35" s="41" t="s">
        <v>46</v>
      </c>
      <c r="D35" s="58">
        <f>IF($K$12=M8,(D30*(K14)/(K14+L14)),0)+IF($L$12=M8,(D30*(L14)/(K14+L14)),0)</f>
        <v>0</v>
      </c>
      <c r="F35" s="59">
        <f t="shared" si="3"/>
        <v>0.14199999999999999</v>
      </c>
      <c r="G35" s="59"/>
      <c r="H35" s="54">
        <f>ROUND(D35*(E35+F35),2)</f>
        <v>0</v>
      </c>
      <c r="J35" s="1"/>
      <c r="K35" s="1"/>
      <c r="L35" s="1"/>
      <c r="M35" s="1"/>
      <c r="N35" s="1"/>
      <c r="O35" s="1"/>
      <c r="P35" s="1"/>
    </row>
    <row r="36" spans="1:16" x14ac:dyDescent="0.25">
      <c r="B36" s="41"/>
      <c r="D36" s="58"/>
      <c r="F36" s="59"/>
      <c r="G36" s="59"/>
      <c r="H36" s="54"/>
      <c r="J36" s="1"/>
      <c r="K36" s="1"/>
      <c r="L36" s="1"/>
      <c r="M36" s="1"/>
      <c r="N36" s="1"/>
      <c r="O36" s="1"/>
      <c r="P36" s="1"/>
    </row>
    <row r="37" spans="1:16" x14ac:dyDescent="0.25">
      <c r="B37" s="119"/>
      <c r="C37" s="120"/>
      <c r="D37" s="121"/>
      <c r="E37" s="122"/>
      <c r="F37" s="123"/>
      <c r="G37" s="122"/>
      <c r="H37" s="124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B38" s="119"/>
      <c r="C38" s="120"/>
      <c r="D38" s="125"/>
      <c r="E38" s="120"/>
      <c r="F38" s="126"/>
      <c r="G38" s="126"/>
      <c r="H38" s="124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B39" s="119"/>
      <c r="C39" s="120"/>
      <c r="D39" s="121"/>
      <c r="E39" s="122"/>
      <c r="F39" s="123"/>
      <c r="G39" s="122"/>
      <c r="H39" s="124"/>
      <c r="I39" s="97"/>
      <c r="J39" s="1"/>
      <c r="K39" s="1"/>
      <c r="L39" s="1"/>
      <c r="M39" s="1"/>
      <c r="N39" s="1"/>
      <c r="O39" s="1"/>
      <c r="P39" s="1"/>
    </row>
    <row r="40" spans="1:16" x14ac:dyDescent="0.25">
      <c r="B40" s="61"/>
      <c r="C40" s="24"/>
      <c r="D40" s="24"/>
      <c r="E40" s="24"/>
      <c r="F40" s="24"/>
      <c r="G40" s="24"/>
      <c r="H40" s="62"/>
      <c r="I40"/>
      <c r="J40" s="1"/>
      <c r="K40" s="1"/>
      <c r="L40" s="1"/>
      <c r="M40" s="1"/>
      <c r="N40" s="1"/>
      <c r="O40" s="1"/>
      <c r="P40" s="1"/>
    </row>
    <row r="41" spans="1:16" x14ac:dyDescent="0.25">
      <c r="B41" s="34"/>
      <c r="C41" s="35"/>
      <c r="D41" s="35"/>
      <c r="E41" s="35"/>
      <c r="F41" s="35"/>
      <c r="G41" s="35"/>
      <c r="H41" s="96">
        <f>SUM(H23:H40)</f>
        <v>74.759999999999792</v>
      </c>
      <c r="I41" s="1"/>
      <c r="L41" s="1"/>
      <c r="M41" s="1"/>
      <c r="N41" s="1"/>
      <c r="O41" s="1"/>
      <c r="P41" s="1"/>
    </row>
    <row r="42" spans="1:16" x14ac:dyDescent="0.25">
      <c r="B42" s="95"/>
      <c r="C42" s="1"/>
      <c r="D42" s="1"/>
      <c r="E42" s="1"/>
      <c r="F42" s="1"/>
      <c r="G42" s="1"/>
      <c r="H42" s="43"/>
      <c r="I42" s="1"/>
      <c r="L42" s="1"/>
      <c r="M42" s="1"/>
      <c r="N42" s="1"/>
      <c r="O42" s="1"/>
      <c r="P42" s="1"/>
    </row>
    <row r="43" spans="1:16" x14ac:dyDescent="0.25">
      <c r="B43" s="41"/>
      <c r="D43" s="63" t="s">
        <v>48</v>
      </c>
      <c r="E43" s="64"/>
      <c r="F43" s="64"/>
      <c r="G43" s="64"/>
      <c r="H43" s="65"/>
      <c r="I43" s="66"/>
      <c r="K43" s="67"/>
      <c r="L43" s="1"/>
      <c r="M43" s="1"/>
      <c r="N43" s="1"/>
      <c r="O43" s="1"/>
      <c r="P43" s="1"/>
    </row>
    <row r="44" spans="1:16" x14ac:dyDescent="0.25">
      <c r="B44" s="41" t="s">
        <v>49</v>
      </c>
      <c r="D44" s="68">
        <f>(H23+H25+H26+H27+H28)/(1-E44-E46)</f>
        <v>1559.0449379626732</v>
      </c>
      <c r="E44" s="69">
        <v>7.3000000000000001E-3</v>
      </c>
      <c r="H44" s="70">
        <f>D44*E44</f>
        <v>11.381028047127515</v>
      </c>
      <c r="I44" s="67"/>
      <c r="L44" s="1"/>
      <c r="M44" s="1"/>
      <c r="N44" s="1"/>
      <c r="O44" s="1"/>
      <c r="P44" s="1"/>
    </row>
    <row r="45" spans="1:16" x14ac:dyDescent="0.25">
      <c r="B45" s="41" t="s">
        <v>50</v>
      </c>
      <c r="D45" s="68">
        <f>(H30+H32+H33+H34+H35+H37+H39)/(1-E44-E46)</f>
        <v>-1481.0968616411219</v>
      </c>
      <c r="E45" s="71">
        <f>E44</f>
        <v>7.3000000000000001E-3</v>
      </c>
      <c r="H45" s="70">
        <f t="shared" ref="H45:H47" si="4">D45*E45</f>
        <v>-10.81200708998019</v>
      </c>
      <c r="I45" s="67"/>
      <c r="L45" s="1"/>
      <c r="M45" s="1"/>
      <c r="N45" s="1"/>
      <c r="O45" s="1"/>
      <c r="P45" s="1"/>
    </row>
    <row r="46" spans="1:16" x14ac:dyDescent="0.25">
      <c r="B46" s="41" t="s">
        <v>51</v>
      </c>
      <c r="D46" s="68">
        <f>D44</f>
        <v>1559.0449379626732</v>
      </c>
      <c r="E46" s="69">
        <v>3.3599999999999998E-2</v>
      </c>
      <c r="H46" s="70">
        <f t="shared" si="4"/>
        <v>52.383909915545814</v>
      </c>
      <c r="I46" s="67"/>
      <c r="L46" s="1"/>
      <c r="M46" s="1"/>
      <c r="N46" s="1"/>
      <c r="O46" s="1"/>
      <c r="P46" s="1"/>
    </row>
    <row r="47" spans="1:16" x14ac:dyDescent="0.25">
      <c r="B47" s="41" t="s">
        <v>52</v>
      </c>
      <c r="D47" s="68">
        <f>D45</f>
        <v>-1481.0968616411219</v>
      </c>
      <c r="E47" s="71">
        <f>E46</f>
        <v>3.3599999999999998E-2</v>
      </c>
      <c r="H47" s="70">
        <f t="shared" si="4"/>
        <v>-49.764854551141696</v>
      </c>
      <c r="I47" s="67"/>
      <c r="L47" s="1"/>
      <c r="M47" s="1"/>
      <c r="N47" s="1"/>
      <c r="O47" s="1"/>
      <c r="P47" s="1"/>
    </row>
    <row r="48" spans="1:16" x14ac:dyDescent="0.25">
      <c r="B48" s="41" t="s">
        <v>11</v>
      </c>
      <c r="D48" s="72">
        <f>D44/(1-E48)</f>
        <v>1878.3673951357509</v>
      </c>
      <c r="E48" s="73">
        <v>0.17</v>
      </c>
      <c r="H48" s="70">
        <f>D48*E48</f>
        <v>319.32245717307768</v>
      </c>
      <c r="I48" s="67"/>
      <c r="L48" s="1"/>
      <c r="M48" s="1"/>
      <c r="N48" s="1"/>
      <c r="O48" s="1"/>
      <c r="P48" s="1"/>
    </row>
    <row r="49" spans="2:16" x14ac:dyDescent="0.25">
      <c r="B49" s="74" t="s">
        <v>53</v>
      </c>
      <c r="C49" s="75"/>
      <c r="D49" s="76">
        <f>((D30*F30)+(H32+H33+H34+H35)+(D37*F37)+(D39*F39))/(1-E45-E47)/(1-E49)</f>
        <v>-837.3528383885423</v>
      </c>
      <c r="E49" s="77">
        <f>E48</f>
        <v>0.17</v>
      </c>
      <c r="F49" s="75"/>
      <c r="G49" s="75"/>
      <c r="H49" s="78">
        <f>D49*E49</f>
        <v>-142.3499825260522</v>
      </c>
      <c r="L49" s="1"/>
      <c r="M49" s="1"/>
      <c r="N49" s="1"/>
      <c r="O49" s="1"/>
      <c r="P49" s="1"/>
    </row>
    <row r="50" spans="2:16" x14ac:dyDescent="0.25">
      <c r="L50" s="1"/>
      <c r="M50" s="1"/>
      <c r="N50" s="1"/>
      <c r="O50" s="1"/>
      <c r="P50" s="1"/>
    </row>
    <row r="51" spans="2:16" x14ac:dyDescent="0.25">
      <c r="B51" s="223" t="s">
        <v>193</v>
      </c>
      <c r="C51" s="133"/>
      <c r="D51" s="224">
        <f>D23+D30</f>
        <v>99.999137069219387</v>
      </c>
      <c r="E51" s="225">
        <f>IF(AND($B$13&lt;$F$2,$E$13&lt;$F$2),C7,IF($B$13&lt;$F$2,I7,F7))</f>
        <v>2.0011000000000001E-4</v>
      </c>
      <c r="F51" s="225">
        <f>IF(AND($B$13&lt;$F$2,$E$13&lt;$F$2),D7,IF($B$13&lt;$F$2,J7,G7))</f>
        <v>4.0268099999999996E-3</v>
      </c>
      <c r="G51" s="133"/>
      <c r="H51" s="223">
        <f>D51*(E51+F51)</f>
        <v>0.42268835246062475</v>
      </c>
      <c r="L51" s="1"/>
      <c r="M51" s="1"/>
      <c r="N51" s="1"/>
      <c r="O51" s="1"/>
      <c r="P51" s="1"/>
    </row>
  </sheetData>
  <mergeCells count="10">
    <mergeCell ref="U4:W4"/>
    <mergeCell ref="X4:Z4"/>
    <mergeCell ref="K11:L11"/>
    <mergeCell ref="B19:H19"/>
    <mergeCell ref="B4:B5"/>
    <mergeCell ref="C4:E4"/>
    <mergeCell ref="F4:H4"/>
    <mergeCell ref="I4:K4"/>
    <mergeCell ref="Q4:Q5"/>
    <mergeCell ref="R4:T4"/>
  </mergeCells>
  <conditionalFormatting sqref="K12:L12">
    <cfRule type="cellIs" dxfId="139" priority="1" operator="equal">
      <formula>"Escassez Hídrica"</formula>
    </cfRule>
    <cfRule type="cellIs" dxfId="138" priority="2" operator="equal">
      <formula>"VERDE"</formula>
    </cfRule>
    <cfRule type="cellIs" dxfId="137" priority="3" operator="equal">
      <formula>"BVM2"</formula>
    </cfRule>
    <cfRule type="cellIs" dxfId="136" priority="4" operator="equal">
      <formula>"BVM1"</formula>
    </cfRule>
    <cfRule type="cellIs" dxfId="135" priority="5" operator="equal">
      <formula>"BAM"</formula>
    </cfRule>
  </conditionalFormatting>
  <conditionalFormatting sqref="M3">
    <cfRule type="cellIs" dxfId="134" priority="16" operator="equal">
      <formula>"VERDE"</formula>
    </cfRule>
    <cfRule type="cellIs" dxfId="133" priority="17" operator="equal">
      <formula>"BVM2"</formula>
    </cfRule>
    <cfRule type="cellIs" dxfId="132" priority="18" operator="equal">
      <formula>"BVM1"</formula>
    </cfRule>
    <cfRule type="cellIs" dxfId="131" priority="19" operator="equal">
      <formula>"BAM"</formula>
    </cfRule>
  </conditionalFormatting>
  <conditionalFormatting sqref="M8">
    <cfRule type="containsText" dxfId="130" priority="7" operator="containsText" text="Escassez Hídrica">
      <formula>NOT(ISERROR(SEARCH("Escassez Hídrica",M8)))</formula>
    </cfRule>
    <cfRule type="cellIs" dxfId="129" priority="8" operator="equal">
      <formula>"VERDE"</formula>
    </cfRule>
    <cfRule type="cellIs" dxfId="128" priority="9" operator="equal">
      <formula>"BVM2"</formula>
    </cfRule>
    <cfRule type="cellIs" dxfId="127" priority="10" operator="equal">
      <formula>"BVM1"</formula>
    </cfRule>
    <cfRule type="cellIs" dxfId="126" priority="11" operator="equal">
      <formula>"BAM"</formula>
    </cfRule>
  </conditionalFormatting>
  <dataValidations count="1">
    <dataValidation type="list" allowBlank="1" showInputMessage="1" showErrorMessage="1" sqref="K12:L12" xr:uid="{C841358C-79B9-4B8A-AAF8-F2386ED20957}">
      <formula1>$M$3:$M$8</formula1>
    </dataValidation>
  </dataValidations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547DE-43E8-472E-867F-2DA72B613EE1}">
  <sheetPr>
    <tabColor rgb="FF00B050"/>
  </sheetPr>
  <dimension ref="A1:Z93"/>
  <sheetViews>
    <sheetView showGridLines="0" topLeftCell="E7" zoomScale="80" zoomScaleNormal="80" workbookViewId="0">
      <selection activeCell="Q33" sqref="Q32:Q33"/>
    </sheetView>
  </sheetViews>
  <sheetFormatPr defaultColWidth="9.125" defaultRowHeight="14.3" x14ac:dyDescent="0.25"/>
  <cols>
    <col min="1" max="1" width="5.375" style="19" customWidth="1"/>
    <col min="2" max="2" width="34.25" style="19" customWidth="1"/>
    <col min="3" max="3" width="13.875" style="19" customWidth="1"/>
    <col min="4" max="4" width="12.75" style="19" customWidth="1"/>
    <col min="5" max="5" width="14.375" style="19" customWidth="1"/>
    <col min="6" max="6" width="14.75" style="19" customWidth="1"/>
    <col min="7" max="10" width="12.75" style="19" customWidth="1"/>
    <col min="11" max="12" width="13.875" style="19" customWidth="1"/>
    <col min="13" max="13" width="15.25" style="19" customWidth="1"/>
    <col min="14" max="14" width="12.75" style="19" customWidth="1"/>
    <col min="15" max="15" width="14.25" style="19" customWidth="1"/>
    <col min="16" max="16" width="16.875" style="19" customWidth="1"/>
    <col min="17" max="17" width="9.375" style="19" bestFit="1" customWidth="1"/>
    <col min="18" max="18" width="12.125" style="19" bestFit="1" customWidth="1"/>
    <col min="19" max="19" width="13.125" style="19" bestFit="1" customWidth="1"/>
    <col min="20" max="20" width="11.25" style="19" bestFit="1" customWidth="1"/>
    <col min="21" max="21" width="12.125" style="19" bestFit="1" customWidth="1"/>
    <col min="22" max="22" width="13.125" style="19" bestFit="1" customWidth="1"/>
    <col min="23" max="23" width="11.25" style="19" bestFit="1" customWidth="1"/>
    <col min="24" max="24" width="12.125" style="19" bestFit="1" customWidth="1"/>
    <col min="25" max="25" width="13.125" style="19" bestFit="1" customWidth="1"/>
    <col min="26" max="26" width="11.25" style="19" bestFit="1" customWidth="1"/>
    <col min="27" max="16384" width="9.125" style="19"/>
  </cols>
  <sheetData>
    <row r="1" spans="1:26" x14ac:dyDescent="0.25">
      <c r="A1" s="19" t="s">
        <v>8</v>
      </c>
      <c r="B1" s="19" t="s">
        <v>8</v>
      </c>
      <c r="F1" s="24"/>
      <c r="G1" s="1"/>
      <c r="H1" s="1" t="s">
        <v>8</v>
      </c>
      <c r="I1" s="1"/>
      <c r="J1" s="1"/>
      <c r="K1" s="1"/>
      <c r="L1" s="19" t="s">
        <v>8</v>
      </c>
    </row>
    <row r="2" spans="1:26" ht="19.05" x14ac:dyDescent="0.25">
      <c r="A2" s="19" t="s">
        <v>8</v>
      </c>
      <c r="B2" s="25" t="s">
        <v>27</v>
      </c>
      <c r="E2" s="20" t="s">
        <v>28</v>
      </c>
      <c r="F2" s="21">
        <f>'Fatura B1 (GD) OK'!F2</f>
        <v>46241</v>
      </c>
      <c r="G2" s="1" t="s">
        <v>8</v>
      </c>
      <c r="I2"/>
      <c r="J2" s="1"/>
      <c r="K2" s="1"/>
      <c r="M2" s="6" t="s">
        <v>12</v>
      </c>
      <c r="N2" s="6" t="s">
        <v>6</v>
      </c>
      <c r="O2" s="19" t="s">
        <v>29</v>
      </c>
      <c r="Q2" s="26" t="s">
        <v>30</v>
      </c>
      <c r="R2" s="27"/>
    </row>
    <row r="3" spans="1:26" x14ac:dyDescent="0.25">
      <c r="M3" s="7" t="s">
        <v>13</v>
      </c>
      <c r="N3" s="8">
        <v>0</v>
      </c>
    </row>
    <row r="4" spans="1:26" ht="14.95" customHeight="1" x14ac:dyDescent="0.25">
      <c r="B4" s="464" t="s">
        <v>31</v>
      </c>
      <c r="C4" s="457" t="s">
        <v>391</v>
      </c>
      <c r="D4" s="458"/>
      <c r="E4" s="459"/>
      <c r="F4" s="466" t="s">
        <v>390</v>
      </c>
      <c r="G4" s="466"/>
      <c r="H4" s="466"/>
      <c r="I4" s="467" t="s">
        <v>32</v>
      </c>
      <c r="J4" s="467"/>
      <c r="K4" s="467"/>
      <c r="M4" s="9" t="s">
        <v>14</v>
      </c>
      <c r="N4" s="10">
        <f>[1]BANDEIRA!$D$5</f>
        <v>1.8849999999999999E-2</v>
      </c>
      <c r="Q4" s="464" t="s">
        <v>31</v>
      </c>
      <c r="R4" s="457" t="str">
        <f>C4</f>
        <v>TARIFA ANTIGA - REH 3508/2025</v>
      </c>
      <c r="S4" s="458"/>
      <c r="T4" s="459"/>
      <c r="U4" s="457" t="str">
        <f>F4</f>
        <v>TARIFA NOVA - REH xxxx/2026</v>
      </c>
      <c r="V4" s="458"/>
      <c r="W4" s="459"/>
      <c r="X4" s="457" t="s">
        <v>32</v>
      </c>
      <c r="Y4" s="458"/>
      <c r="Z4" s="459"/>
    </row>
    <row r="5" spans="1:26" x14ac:dyDescent="0.25">
      <c r="B5" s="465"/>
      <c r="C5" s="28" t="s">
        <v>33</v>
      </c>
      <c r="D5" s="28" t="s">
        <v>9</v>
      </c>
      <c r="E5" s="28" t="s">
        <v>34</v>
      </c>
      <c r="F5" s="28" t="s">
        <v>33</v>
      </c>
      <c r="G5" s="28" t="s">
        <v>9</v>
      </c>
      <c r="H5" s="28" t="s">
        <v>34</v>
      </c>
      <c r="I5" s="29" t="s">
        <v>33</v>
      </c>
      <c r="J5" s="29" t="s">
        <v>9</v>
      </c>
      <c r="K5" s="29" t="s">
        <v>34</v>
      </c>
      <c r="M5" s="11" t="s">
        <v>15</v>
      </c>
      <c r="N5" s="12">
        <f>[1]BANDEIRA!$D$6</f>
        <v>4.4630000000000003E-2</v>
      </c>
      <c r="Q5" s="465"/>
      <c r="R5" s="28" t="s">
        <v>35</v>
      </c>
      <c r="S5"/>
      <c r="T5"/>
      <c r="U5" s="28" t="s">
        <v>35</v>
      </c>
      <c r="V5"/>
      <c r="W5"/>
      <c r="X5" s="28" t="s">
        <v>35</v>
      </c>
      <c r="Y5"/>
      <c r="Z5"/>
    </row>
    <row r="6" spans="1:26" x14ac:dyDescent="0.25">
      <c r="B6" s="30" t="s">
        <v>36</v>
      </c>
      <c r="C6" s="31">
        <f>'TABELA DE TARIFAS ANTIGAS'!G71/1000</f>
        <v>0.46862999999999999</v>
      </c>
      <c r="D6" s="31">
        <f>'TABELA DE TARIFAS ANTIGAS'!H71/1000</f>
        <v>0.32068000000000002</v>
      </c>
      <c r="E6" s="31">
        <f t="shared" ref="E6:E7" si="0">C6+D6</f>
        <v>0.78930999999999996</v>
      </c>
      <c r="F6" s="31">
        <f>'TABELA DE TARIFAS NOVAS'!G73/1000</f>
        <v>0.50631999999999999</v>
      </c>
      <c r="G6" s="31">
        <f>'TABELA DE TARIFAS NOVAS'!H73/1000</f>
        <v>0.33738999999999997</v>
      </c>
      <c r="H6" s="31">
        <f t="shared" ref="H6:H7" si="1">F6+G6</f>
        <v>0.84370999999999996</v>
      </c>
      <c r="I6" s="31">
        <f>((C6*$C$16)+(F6*$D$16))/($D$16+$C$16)</f>
        <v>0.48621866666666663</v>
      </c>
      <c r="J6" s="31">
        <f>((D6*$C$16)+(G6*$D$16))/($D$16+$C$16)</f>
        <v>0.32847799999999999</v>
      </c>
      <c r="K6" s="32">
        <f t="shared" ref="K6:K9" si="2">I6+J6</f>
        <v>0.81469666666666662</v>
      </c>
      <c r="M6" s="13" t="s">
        <v>16</v>
      </c>
      <c r="N6" s="14">
        <f>[1]BANDEIRA!$D$7</f>
        <v>7.8770000000000007E-2</v>
      </c>
      <c r="P6" s="33"/>
      <c r="Q6" s="30" t="str">
        <f>B6</f>
        <v>B1</v>
      </c>
      <c r="R6" s="31">
        <f>'FIO B'!H11/1000</f>
        <v>0.20383072193179136</v>
      </c>
      <c r="S6"/>
      <c r="T6"/>
      <c r="U6" s="31">
        <f>'FIO B'!K11/1000</f>
        <v>0.20915159219558199</v>
      </c>
      <c r="V6"/>
      <c r="W6"/>
      <c r="X6" s="31">
        <f>((R6*$C$16)+(U6*$D$16))/($D$16+$C$16)</f>
        <v>0.20631379472156031</v>
      </c>
      <c r="Y6"/>
      <c r="Z6"/>
    </row>
    <row r="7" spans="1:26" x14ac:dyDescent="0.25">
      <c r="B7" s="30" t="s">
        <v>395</v>
      </c>
      <c r="C7" s="31">
        <f>'TABELA DE TARIFAS ANTIGAS'!G73/1000</f>
        <v>0.34018999999999999</v>
      </c>
      <c r="D7" s="31">
        <f>'TABELA DE TARIFAS ANTIGAS'!H73/1000</f>
        <v>0.29666000000000003</v>
      </c>
      <c r="E7" s="31">
        <f t="shared" si="0"/>
        <v>0.63685000000000003</v>
      </c>
      <c r="F7" s="31">
        <f>'TABELA DE TARIFAS NOVAS'!G75/1000</f>
        <v>0.35642000000000001</v>
      </c>
      <c r="G7" s="31">
        <f>'TABELA DE TARIFAS NOVAS'!H75/1000</f>
        <v>0.33759</v>
      </c>
      <c r="H7" s="31">
        <f t="shared" si="1"/>
        <v>0.69401000000000002</v>
      </c>
      <c r="I7" s="31">
        <f t="shared" ref="I7:J7" si="3">((C7*$C$16)+(F7*$D$16))/($D$16+$C$16)</f>
        <v>0.34776399999999996</v>
      </c>
      <c r="J7" s="31">
        <f t="shared" si="3"/>
        <v>0.31576066666666669</v>
      </c>
      <c r="K7" s="32">
        <f t="shared" si="2"/>
        <v>0.66352466666666665</v>
      </c>
      <c r="M7" s="7" t="s">
        <v>17</v>
      </c>
      <c r="N7" s="323">
        <v>0.14199999999999999</v>
      </c>
      <c r="P7" s="33"/>
      <c r="Q7" s="82"/>
      <c r="R7" s="83"/>
      <c r="S7"/>
      <c r="T7"/>
      <c r="U7" s="83"/>
      <c r="V7"/>
      <c r="W7"/>
      <c r="X7" s="83"/>
      <c r="Y7"/>
      <c r="Z7"/>
    </row>
    <row r="8" spans="1:26" x14ac:dyDescent="0.25">
      <c r="B8" s="242" t="s">
        <v>396</v>
      </c>
      <c r="C8" s="257">
        <v>0</v>
      </c>
      <c r="D8" s="256">
        <v>-4.4000000000000003E-3</v>
      </c>
      <c r="E8" s="32">
        <f>C8+D8</f>
        <v>-4.4000000000000003E-3</v>
      </c>
      <c r="F8" s="32">
        <f>T12</f>
        <v>0</v>
      </c>
      <c r="G8" s="32">
        <f>U12</f>
        <v>-5.3182974871251499E-4</v>
      </c>
      <c r="H8" s="32">
        <f t="shared" ref="H8:H9" si="4">F8+G8</f>
        <v>-5.3182974871251499E-4</v>
      </c>
      <c r="I8" s="31">
        <f>((C8*$C$16)+(F8*$D$16))/($D$16+$C$16)</f>
        <v>0</v>
      </c>
      <c r="J8" s="31">
        <f>((D8*$C$16)+(G8*$D$16))/($D$16+$C$16)</f>
        <v>-2.5948538827325071E-3</v>
      </c>
      <c r="K8" s="32">
        <f t="shared" si="2"/>
        <v>-2.5948538827325071E-3</v>
      </c>
      <c r="P8" s="33"/>
      <c r="Q8" s="82"/>
      <c r="R8" s="83"/>
      <c r="S8"/>
      <c r="T8"/>
      <c r="U8" s="83"/>
      <c r="V8"/>
      <c r="W8"/>
      <c r="X8" s="83"/>
      <c r="Y8"/>
      <c r="Z8"/>
    </row>
    <row r="9" spans="1:26" x14ac:dyDescent="0.25">
      <c r="B9" s="242" t="s">
        <v>397</v>
      </c>
      <c r="C9" s="257">
        <v>1.8774721494831901E-4</v>
      </c>
      <c r="D9" s="256">
        <v>-4.4031307414479802E-3</v>
      </c>
      <c r="E9" s="32">
        <f>C9+D9</f>
        <v>-4.2153835264996612E-3</v>
      </c>
      <c r="F9" s="32">
        <f>T13</f>
        <v>1.84189231569235E-4</v>
      </c>
      <c r="G9" s="32">
        <f>U13</f>
        <v>-5.3182974871251499E-4</v>
      </c>
      <c r="H9" s="32">
        <f t="shared" si="4"/>
        <v>-3.4764051714327999E-4</v>
      </c>
      <c r="I9" s="31">
        <f>((C9*$C$16)+(F9*$D$16))/($D$16+$C$16)</f>
        <v>1.8608682270474647E-4</v>
      </c>
      <c r="J9" s="31">
        <f>((D9*$C$16)+(G9*$D$16))/($D$16+$C$16)</f>
        <v>-2.5965236115047629E-3</v>
      </c>
      <c r="K9" s="32">
        <f t="shared" si="2"/>
        <v>-2.4104367888000164E-3</v>
      </c>
      <c r="P9" s="33"/>
      <c r="Q9" s="82"/>
      <c r="R9" s="83"/>
      <c r="S9"/>
      <c r="T9"/>
      <c r="U9" s="83"/>
      <c r="V9"/>
      <c r="W9"/>
      <c r="X9" s="83"/>
      <c r="Y9"/>
      <c r="Z9"/>
    </row>
    <row r="10" spans="1:26" x14ac:dyDescent="0.25">
      <c r="B10" s="94" t="s">
        <v>57</v>
      </c>
      <c r="C10" s="83"/>
      <c r="D10" s="83"/>
      <c r="E10" s="83"/>
      <c r="F10" s="83"/>
      <c r="G10" s="81">
        <f>G6*15%</f>
        <v>5.0608499999999994E-2</v>
      </c>
      <c r="H10" s="83"/>
      <c r="I10" s="83"/>
      <c r="J10" s="31">
        <f>((D10*$C$16)+(G10*$D$16))/($D$16+$C$16)</f>
        <v>2.3617299999999997E-2</v>
      </c>
      <c r="K10" s="84"/>
      <c r="M10" s="324"/>
      <c r="N10" s="325"/>
      <c r="P10" s="227" t="s">
        <v>194</v>
      </c>
      <c r="Q10" s="228"/>
      <c r="R10" s="229" t="s">
        <v>195</v>
      </c>
      <c r="S10" s="229" t="s">
        <v>196</v>
      </c>
      <c r="T10" s="229" t="s">
        <v>35</v>
      </c>
      <c r="U10" s="229" t="s">
        <v>100</v>
      </c>
      <c r="V10"/>
      <c r="W10"/>
      <c r="X10" s="83"/>
      <c r="Y10"/>
      <c r="Z10"/>
    </row>
    <row r="11" spans="1:26" x14ac:dyDescent="0.25">
      <c r="A11" s="19" t="s">
        <v>8</v>
      </c>
      <c r="G11" s="1"/>
      <c r="H11" s="1"/>
      <c r="I11" s="1"/>
      <c r="J11" s="1"/>
      <c r="K11" s="1"/>
      <c r="O11" s="20"/>
      <c r="P11" s="230" t="s">
        <v>197</v>
      </c>
      <c r="Q11" s="231"/>
      <c r="R11" s="232"/>
      <c r="S11" s="232"/>
      <c r="T11" s="233"/>
      <c r="U11" s="233"/>
      <c r="V11"/>
      <c r="W11"/>
      <c r="X11"/>
      <c r="Y11"/>
      <c r="Z11"/>
    </row>
    <row r="12" spans="1:26" x14ac:dyDescent="0.25">
      <c r="B12" s="34"/>
      <c r="C12" s="35"/>
      <c r="D12" s="36"/>
      <c r="E12" s="35"/>
      <c r="F12" s="35"/>
      <c r="G12" s="35"/>
      <c r="H12" s="37" t="s">
        <v>37</v>
      </c>
      <c r="I12" s="1"/>
      <c r="L12" s="20" t="s">
        <v>25</v>
      </c>
      <c r="M12" s="21">
        <f>EOMONTH(B16,0)+1</f>
        <v>46235</v>
      </c>
      <c r="P12" s="238" t="s">
        <v>199</v>
      </c>
      <c r="Q12" s="235"/>
      <c r="R12" s="236"/>
      <c r="S12" s="236"/>
      <c r="T12" s="257">
        <v>0</v>
      </c>
      <c r="U12" s="256">
        <f>-0.531829748712515/1000</f>
        <v>-5.3182974871251499E-4</v>
      </c>
      <c r="V12"/>
      <c r="W12"/>
      <c r="X12"/>
      <c r="Y12"/>
      <c r="Z12"/>
    </row>
    <row r="13" spans="1:26" x14ac:dyDescent="0.25">
      <c r="B13" s="38" t="s">
        <v>38</v>
      </c>
      <c r="C13" s="411">
        <v>9858</v>
      </c>
      <c r="E13" s="1"/>
      <c r="F13" s="1"/>
      <c r="G13" s="1"/>
      <c r="H13" s="40">
        <f>E16</f>
        <v>46254</v>
      </c>
      <c r="K13" s="460" t="s">
        <v>26</v>
      </c>
      <c r="L13" s="460"/>
      <c r="P13" s="238" t="s">
        <v>199</v>
      </c>
      <c r="Q13" s="239"/>
      <c r="R13" s="240"/>
      <c r="S13" s="240"/>
      <c r="T13" s="257">
        <f>'Fatura B1 (GD) OK'!T11</f>
        <v>1.84189231569235E-4</v>
      </c>
      <c r="U13" s="256">
        <f>'Fatura B1 (GD) OK'!U11</f>
        <v>-5.3182974871251499E-4</v>
      </c>
      <c r="V13"/>
      <c r="W13"/>
      <c r="X13"/>
      <c r="Y13"/>
      <c r="Z13"/>
    </row>
    <row r="14" spans="1:26" x14ac:dyDescent="0.25">
      <c r="A14" s="19" t="s">
        <v>8</v>
      </c>
      <c r="B14" s="41"/>
      <c r="H14" s="42"/>
      <c r="K14" s="7" t="s">
        <v>14</v>
      </c>
      <c r="L14" s="7" t="s">
        <v>14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.2" x14ac:dyDescent="0.25">
      <c r="B15" s="16" t="s">
        <v>21</v>
      </c>
      <c r="C15" s="16" t="s">
        <v>22</v>
      </c>
      <c r="D15" s="16" t="s">
        <v>23</v>
      </c>
      <c r="E15" s="16" t="s">
        <v>24</v>
      </c>
      <c r="F15" s="1"/>
      <c r="G15" s="1"/>
      <c r="H15" s="43"/>
      <c r="J15" s="16" t="s">
        <v>21</v>
      </c>
      <c r="K15" s="16" t="s">
        <v>22</v>
      </c>
      <c r="L15" s="16" t="s">
        <v>23</v>
      </c>
      <c r="M15" s="16" t="s">
        <v>24</v>
      </c>
    </row>
    <row r="16" spans="1:26" x14ac:dyDescent="0.25">
      <c r="B16" s="17">
        <v>46224</v>
      </c>
      <c r="C16" s="18">
        <f>IF((F2-B16-1)&lt;0,0,(F2-B16-1))</f>
        <v>16</v>
      </c>
      <c r="D16" s="18">
        <f>E16-F2+1</f>
        <v>14</v>
      </c>
      <c r="E16" s="17">
        <v>46254</v>
      </c>
      <c r="F16" s="44"/>
      <c r="G16" s="44"/>
      <c r="H16" s="45"/>
      <c r="J16" s="22">
        <f>B16</f>
        <v>46224</v>
      </c>
      <c r="K16" s="23">
        <f>IF((M12-J16-1)&lt;0,0,(M12-J16-1))</f>
        <v>10</v>
      </c>
      <c r="L16" s="23">
        <f>M16-M12+1</f>
        <v>20</v>
      </c>
      <c r="M16" s="22">
        <f>E16</f>
        <v>46254</v>
      </c>
    </row>
    <row r="18" spans="2:20" x14ac:dyDescent="0.25">
      <c r="B18" s="1"/>
      <c r="F18" s="253"/>
      <c r="G18"/>
      <c r="H18" s="3"/>
    </row>
    <row r="19" spans="2:20" x14ac:dyDescent="0.25">
      <c r="B19" s="5" t="s">
        <v>55</v>
      </c>
      <c r="E19" s="26" t="s">
        <v>10</v>
      </c>
      <c r="F19" s="85">
        <v>1</v>
      </c>
      <c r="G19" s="86" t="s">
        <v>9</v>
      </c>
      <c r="H19" s="85">
        <v>1</v>
      </c>
      <c r="M19" s="357" t="s">
        <v>280</v>
      </c>
      <c r="N19" s="360"/>
      <c r="O19" s="359">
        <v>1025311174</v>
      </c>
    </row>
    <row r="20" spans="2:20" s="1" customFormat="1" x14ac:dyDescent="0.25">
      <c r="B20" s="5"/>
      <c r="E20" s="118"/>
      <c r="F20" s="258"/>
      <c r="G20" s="259"/>
      <c r="H20" s="258"/>
    </row>
    <row r="21" spans="2:20" ht="41.95" customHeight="1" x14ac:dyDescent="0.25">
      <c r="B21" s="260" t="s">
        <v>207</v>
      </c>
      <c r="C21" s="260" t="s">
        <v>208</v>
      </c>
      <c r="D21" s="260" t="s">
        <v>209</v>
      </c>
      <c r="E21" s="261" t="s">
        <v>210</v>
      </c>
      <c r="F21" s="261" t="s">
        <v>211</v>
      </c>
      <c r="G21" s="261" t="s">
        <v>212</v>
      </c>
      <c r="H21" s="261" t="s">
        <v>213</v>
      </c>
      <c r="I21" s="261" t="s">
        <v>214</v>
      </c>
      <c r="J21" s="261" t="s">
        <v>215</v>
      </c>
      <c r="K21" s="262" t="s">
        <v>216</v>
      </c>
      <c r="L21" s="260" t="s">
        <v>217</v>
      </c>
      <c r="M21" s="261" t="s">
        <v>218</v>
      </c>
      <c r="N21" s="261" t="s">
        <v>219</v>
      </c>
      <c r="O21" s="261" t="s">
        <v>220</v>
      </c>
    </row>
    <row r="22" spans="2:20" x14ac:dyDescent="0.25">
      <c r="B22" s="263"/>
      <c r="C22" s="263"/>
      <c r="D22" s="263"/>
      <c r="E22" s="263"/>
      <c r="F22" s="263"/>
      <c r="G22" s="263"/>
      <c r="H22" s="263"/>
      <c r="I22" s="263"/>
      <c r="J22" s="263"/>
      <c r="K22" s="263"/>
      <c r="L22" s="264"/>
      <c r="M22" s="265"/>
      <c r="N22" s="265"/>
      <c r="O22" s="265"/>
      <c r="R22" s="26" t="s">
        <v>105</v>
      </c>
      <c r="S22" s="26" t="s">
        <v>106</v>
      </c>
    </row>
    <row r="23" spans="2:20" x14ac:dyDescent="0.25">
      <c r="B23" s="265" t="s">
        <v>398</v>
      </c>
      <c r="C23" s="266" t="s">
        <v>2</v>
      </c>
      <c r="D23" s="267">
        <v>120</v>
      </c>
      <c r="E23" s="268">
        <f>(ROUND(D23*K23,2)+ROUND(G23,2)+ROUND(J23,2))/ROUND(D23,4)</f>
        <v>0.44650000000000001</v>
      </c>
      <c r="F23" s="269">
        <f>ROUND(D23*E23,2)</f>
        <v>53.58</v>
      </c>
      <c r="G23" s="269">
        <f>((D23*K23)/(1-$N$23-$N$25))*($N$23+$N$25)</f>
        <v>2.7441592838111477</v>
      </c>
      <c r="H23" s="270">
        <f>((D23*K23)/(1-$N$23-$N$25)/(1-$I$23))</f>
        <v>53.585348534712217</v>
      </c>
      <c r="I23" s="271">
        <v>0.17</v>
      </c>
      <c r="J23" s="270">
        <f>(H23*$I$23)</f>
        <v>9.1095092509010769</v>
      </c>
      <c r="K23" s="268">
        <f>IF(AND($B$16&lt;$F$2,$E$16&lt;$F$2),C7,IF($B$16&lt;$F$2,I7,F7))</f>
        <v>0.34776399999999996</v>
      </c>
      <c r="L23" s="47" t="s">
        <v>92</v>
      </c>
      <c r="M23" s="269">
        <f>D81</f>
        <v>106.60769476713206</v>
      </c>
      <c r="N23" s="272">
        <v>1.0999999999999999E-2</v>
      </c>
      <c r="O23" s="273">
        <f>ROUND(M23*N23,2)</f>
        <v>1.17</v>
      </c>
      <c r="R23" s="254">
        <f>IF(AND($B$16&lt;$F$2,$E$16&lt;$F$2),R6,IF($B$16&lt;$F$2,X6,U6))</f>
        <v>0.20631379472156031</v>
      </c>
      <c r="S23" s="137">
        <f>(D23+D24)*R23</f>
        <v>149.37118737840967</v>
      </c>
      <c r="T23" s="315" t="s">
        <v>392</v>
      </c>
    </row>
    <row r="24" spans="2:20" x14ac:dyDescent="0.25">
      <c r="B24" s="265" t="s">
        <v>399</v>
      </c>
      <c r="C24" s="266" t="s">
        <v>2</v>
      </c>
      <c r="D24" s="267">
        <v>604</v>
      </c>
      <c r="E24" s="268">
        <f>(ROUND(D24*K24,2)+ROUND(G24,2)+ROUND(J24,2))/ROUND(D24,4)</f>
        <v>0.62433774834437095</v>
      </c>
      <c r="F24" s="269">
        <f>ROUND(D24*E24,2)</f>
        <v>377.1</v>
      </c>
      <c r="G24" s="269">
        <f>((D24*K24)/(1-$N$23-$N$25))*($N$23+$N$25)</f>
        <v>19.311322398948452</v>
      </c>
      <c r="H24" s="270">
        <f>ROUND((D24*K24)/(1-$N$23-$N$25)/(1-$I$23),8)</f>
        <v>377.09324948</v>
      </c>
      <c r="I24" s="265"/>
      <c r="J24" s="270">
        <f>ROUND(H24*$I$23,2)</f>
        <v>64.11</v>
      </c>
      <c r="K24" s="268">
        <f>IF(AND($B$16&lt;$F$2,$E$16&lt;$F$2),C6,IF($B$16&lt;$F$2,I6,F6))</f>
        <v>0.48621866666666663</v>
      </c>
      <c r="L24" s="47" t="s">
        <v>230</v>
      </c>
      <c r="M24" s="269">
        <f>D8280</f>
        <v>0</v>
      </c>
      <c r="N24" s="272">
        <f>N23</f>
        <v>1.0999999999999999E-2</v>
      </c>
      <c r="O24" s="273">
        <f>ROUND(M24*N24,2)</f>
        <v>0</v>
      </c>
    </row>
    <row r="25" spans="2:20" x14ac:dyDescent="0.25">
      <c r="B25" s="265" t="s">
        <v>400</v>
      </c>
      <c r="C25" s="266" t="s">
        <v>2</v>
      </c>
      <c r="D25" s="267">
        <v>-20</v>
      </c>
      <c r="E25" s="268">
        <f>(ROUND(D25*K25,2)+ROUND(G25,2)+ROUND(J25,2))/ROUND(D25,4)</f>
        <v>0.371</v>
      </c>
      <c r="F25" s="269">
        <f>ROUND(D25*E25,2)</f>
        <v>-7.42</v>
      </c>
      <c r="G25" s="269">
        <f>((D25*K25)/(1-$N$24-$N$26))*($N$24+$N$26)</f>
        <v>-0.45735988063519128</v>
      </c>
      <c r="H25" s="270">
        <f>((D25*K25)/(1-$N$23-$N$25)/(1-$I$23))*0</f>
        <v>0</v>
      </c>
      <c r="I25" s="439"/>
      <c r="J25" s="270">
        <f>(H25*$I$23)</f>
        <v>0</v>
      </c>
      <c r="K25" s="268">
        <f>K23</f>
        <v>0.34776399999999996</v>
      </c>
      <c r="L25" s="47" t="s">
        <v>51</v>
      </c>
      <c r="M25" s="269">
        <f>M23</f>
        <v>106.60769476713206</v>
      </c>
      <c r="N25" s="272">
        <v>5.0700000000000002E-2</v>
      </c>
      <c r="O25" s="273">
        <f>ROUND(M25*N25,2)</f>
        <v>5.41</v>
      </c>
      <c r="R25" s="276"/>
    </row>
    <row r="26" spans="2:20" x14ac:dyDescent="0.25">
      <c r="B26" s="265" t="s">
        <v>401</v>
      </c>
      <c r="C26" s="266" t="s">
        <v>2</v>
      </c>
      <c r="D26" s="267">
        <v>-604</v>
      </c>
      <c r="E26" s="268">
        <f>(ROUND(D26*K26,2)+ROUND(G26,2)+ROUND(J26,2))/ROUND(D26,4)</f>
        <v>0.51819536423841062</v>
      </c>
      <c r="F26" s="269">
        <f>ROUND(D26*E26,2)</f>
        <v>-312.99</v>
      </c>
      <c r="G26" s="269">
        <f>((D26*K26)/(1-$N$24-$N$26))*($N$24+$N$26)</f>
        <v>-19.311322398948452</v>
      </c>
      <c r="H26" s="270">
        <f>ROUND((D26*K26)/(1-$N$23-$N$25)/(1-$I$23),8)*0</f>
        <v>0</v>
      </c>
      <c r="I26" s="265"/>
      <c r="J26" s="270">
        <f>ROUND(H26*$I$23,2)</f>
        <v>0</v>
      </c>
      <c r="K26" s="268">
        <f>K24</f>
        <v>0.48621866666666663</v>
      </c>
      <c r="L26" s="47" t="s">
        <v>231</v>
      </c>
      <c r="M26" s="269">
        <f>M24</f>
        <v>0</v>
      </c>
      <c r="N26" s="272">
        <f>N25</f>
        <v>5.0700000000000002E-2</v>
      </c>
      <c r="O26" s="273">
        <f>ROUND(M26*N26,2)</f>
        <v>0</v>
      </c>
    </row>
    <row r="27" spans="2:20" x14ac:dyDescent="0.25">
      <c r="B27" s="265" t="s">
        <v>43</v>
      </c>
      <c r="C27" s="266" t="s">
        <v>2</v>
      </c>
      <c r="D27" s="274">
        <f>IF($K$14=M4,(($D$23+$D$24)*($K$16)/($L$16+$K$16)),0)+IF($L$14=M4,(($D$23+$D$24)*($L$16)/($L$16+$K$16)),0)</f>
        <v>724</v>
      </c>
      <c r="E27" s="268">
        <f>IFERROR((ROUND(D27*K27,2)+ROUND(G27,2)+ROUND(J27,2))/ROUND(D27,4), 0)</f>
        <v>2.4212707182320443E-2</v>
      </c>
      <c r="F27" s="269">
        <f>ROUND(D27*E27,2)</f>
        <v>17.53</v>
      </c>
      <c r="G27" s="269">
        <f>((D27*K27)/(1-$N$23-$N$25))*($N$23+$N$25)</f>
        <v>0.89741509112224238</v>
      </c>
      <c r="H27" s="270">
        <f>ROUND((D27*K27)/(1-$N$23-$N$25)/(1-$I$23),8)</f>
        <v>17.523873600000002</v>
      </c>
      <c r="I27" s="265"/>
      <c r="J27" s="270">
        <f>ROUND(H27*$I$23,2)</f>
        <v>2.98</v>
      </c>
      <c r="K27" s="268">
        <f>N4</f>
        <v>1.8849999999999999E-2</v>
      </c>
      <c r="L27" s="47"/>
      <c r="M27" s="269"/>
      <c r="N27" s="269"/>
      <c r="O27" s="269"/>
    </row>
    <row r="28" spans="2:20" x14ac:dyDescent="0.25">
      <c r="B28" s="265" t="s">
        <v>245</v>
      </c>
      <c r="C28" s="266" t="s">
        <v>2</v>
      </c>
      <c r="D28" s="274">
        <f>IF($K$14=M5,(($D$23+$D$24)*($K$16)/($L$16+$K$16)),0)+IF($L$14=M5,(($D$23+$D$24)*($L$16)/($L$16+$K$16)),0)</f>
        <v>0</v>
      </c>
      <c r="E28" s="268">
        <f t="shared" ref="E28:E30" si="5">IFERROR((ROUND(D28*K28,2)+ROUND(G28,2)+ROUND(J28,2))/ROUND(D28,4), 0)</f>
        <v>0</v>
      </c>
      <c r="F28" s="269">
        <f t="shared" ref="F28:F30" si="6">ROUND(D28*E28,2)</f>
        <v>0</v>
      </c>
      <c r="G28" s="269">
        <f t="shared" ref="G28:G30" si="7">((D28*K28)/(1-$N$23-$N$25))*($N$23+$N$25)</f>
        <v>0</v>
      </c>
      <c r="H28" s="270">
        <f t="shared" ref="H28:H30" si="8">ROUND((D28*K28)/(1-$N$23-$N$25)/(1-$I$23),8)</f>
        <v>0</v>
      </c>
      <c r="I28" s="265"/>
      <c r="J28" s="270">
        <f t="shared" ref="J28:J30" si="9">ROUND(H28*$I$23,2)</f>
        <v>0</v>
      </c>
      <c r="K28" s="268">
        <f>N5</f>
        <v>4.4630000000000003E-2</v>
      </c>
      <c r="L28" s="47"/>
      <c r="M28" s="269"/>
      <c r="N28" s="269"/>
      <c r="O28" s="269"/>
    </row>
    <row r="29" spans="2:20" x14ac:dyDescent="0.25">
      <c r="B29" s="265" t="s">
        <v>246</v>
      </c>
      <c r="C29" s="266" t="s">
        <v>2</v>
      </c>
      <c r="D29" s="274">
        <f>IF($K$14=M6,(($D$23+$D$24)*($K$16)/($L$16+$K$16)),0)+IF($L$14=M6,(($D$23+$D$24)*($L$16)/($L$16+$K$16)),0)</f>
        <v>0</v>
      </c>
      <c r="E29" s="268">
        <f t="shared" si="5"/>
        <v>0</v>
      </c>
      <c r="F29" s="269">
        <f t="shared" si="6"/>
        <v>0</v>
      </c>
      <c r="G29" s="269">
        <f t="shared" si="7"/>
        <v>0</v>
      </c>
      <c r="H29" s="270">
        <f t="shared" si="8"/>
        <v>0</v>
      </c>
      <c r="I29" s="265"/>
      <c r="J29" s="270">
        <f t="shared" si="9"/>
        <v>0</v>
      </c>
      <c r="K29" s="268">
        <f>N6</f>
        <v>7.8770000000000007E-2</v>
      </c>
      <c r="L29" s="47"/>
      <c r="M29" s="269"/>
      <c r="N29" s="269"/>
      <c r="O29" s="269"/>
      <c r="Q29" s="448"/>
    </row>
    <row r="30" spans="2:20" x14ac:dyDescent="0.25">
      <c r="B30" s="265" t="s">
        <v>251</v>
      </c>
      <c r="C30" s="266" t="s">
        <v>2</v>
      </c>
      <c r="D30" s="274">
        <f>IF($K$14=M7,(($D$23+$D$24)*($K$16)/($L$16+$K$16)),0)+IF($L$14=M7,(($D$23+$D$24)*($L$16)/($L$16+$K$16)),0)</f>
        <v>0</v>
      </c>
      <c r="E30" s="268">
        <f t="shared" si="5"/>
        <v>0</v>
      </c>
      <c r="F30" s="269">
        <f t="shared" si="6"/>
        <v>0</v>
      </c>
      <c r="G30" s="269">
        <f t="shared" si="7"/>
        <v>0</v>
      </c>
      <c r="H30" s="270">
        <f t="shared" si="8"/>
        <v>0</v>
      </c>
      <c r="I30" s="265"/>
      <c r="J30" s="270">
        <f t="shared" si="9"/>
        <v>0</v>
      </c>
      <c r="K30" s="268">
        <f>N7</f>
        <v>0.14199999999999999</v>
      </c>
      <c r="L30" s="47"/>
      <c r="M30" s="269"/>
      <c r="N30" s="269"/>
      <c r="O30" s="269"/>
      <c r="Q30" s="448"/>
    </row>
    <row r="31" spans="2:20" x14ac:dyDescent="0.25">
      <c r="B31" s="265"/>
      <c r="C31" s="266"/>
      <c r="D31" s="274"/>
      <c r="E31" s="268"/>
      <c r="F31" s="269"/>
      <c r="G31" s="269"/>
      <c r="H31" s="270"/>
      <c r="I31" s="265"/>
      <c r="J31" s="270"/>
      <c r="K31" s="268"/>
      <c r="L31" s="47"/>
      <c r="M31" s="269"/>
      <c r="N31" s="269"/>
      <c r="O31" s="269"/>
    </row>
    <row r="32" spans="2:20" x14ac:dyDescent="0.25">
      <c r="B32" s="265" t="s">
        <v>402</v>
      </c>
      <c r="C32" s="266" t="s">
        <v>2</v>
      </c>
      <c r="D32" s="438">
        <f>D23</f>
        <v>120</v>
      </c>
      <c r="E32" s="268">
        <f t="shared" ref="E32:E33" si="10">IFERROR((ROUND(D32*K32,2)+ROUND(G32,2)+ROUND(J32,2))/ROUND(D32,4),0)</f>
        <v>0.4054166666666667</v>
      </c>
      <c r="F32" s="269">
        <f>ROUND(D32*E32,2)</f>
        <v>48.65</v>
      </c>
      <c r="G32" s="269">
        <f>((D32*K32)/(1-$N$23-$N$25))*($N$23+$N$25)</f>
        <v>2.4916252541830977</v>
      </c>
      <c r="H32" s="270">
        <f>((D32*K32)/(1-$N$23-$N$25)/(1-$I$23))</f>
        <v>48.654102715883255</v>
      </c>
      <c r="I32" s="439"/>
      <c r="J32" s="270">
        <f>H32*$I$23</f>
        <v>8.2711974617001545</v>
      </c>
      <c r="K32" s="268">
        <f>IF(AND($B$16&lt;$F$2,$E$16&lt;$F$2),D7,IF($B$16&lt;$F$2,J7,G7))</f>
        <v>0.31576066666666669</v>
      </c>
      <c r="L32" s="255"/>
      <c r="M32" s="275"/>
      <c r="N32" s="275"/>
      <c r="O32" s="275"/>
      <c r="R32" s="276"/>
    </row>
    <row r="33" spans="2:20" x14ac:dyDescent="0.25">
      <c r="B33" s="265" t="s">
        <v>403</v>
      </c>
      <c r="C33" s="266" t="s">
        <v>2</v>
      </c>
      <c r="D33" s="274">
        <f>D24</f>
        <v>604</v>
      </c>
      <c r="E33" s="268">
        <f t="shared" si="10"/>
        <v>0.4217880794701987</v>
      </c>
      <c r="F33" s="269">
        <f>ROUND(D33*E33,2)</f>
        <v>254.76</v>
      </c>
      <c r="G33" s="269">
        <f>((D33*K33)/(1-$N$23-$N$25))*($N$23+$N$25)</f>
        <v>13.046279367366514</v>
      </c>
      <c r="H33" s="270">
        <f>ROUND((D33*K33)/(1-$N$24-$N$26)/(1-$I$23),8)</f>
        <v>254.75541129000001</v>
      </c>
      <c r="I33" s="439"/>
      <c r="J33" s="270">
        <f>H33*$I$23</f>
        <v>43.308419919300007</v>
      </c>
      <c r="K33" s="268">
        <f>IF(AND($B$16&lt;$F$2,$E$16&lt;$F$2),D6,IF($B$16&lt;$F$2,J6,G6))</f>
        <v>0.32847799999999999</v>
      </c>
      <c r="O33" s="264"/>
      <c r="Q33" s="56"/>
      <c r="R33" s="165"/>
      <c r="S33" s="277"/>
      <c r="T33" s="56"/>
    </row>
    <row r="34" spans="2:20" x14ac:dyDescent="0.25">
      <c r="B34" s="265" t="s">
        <v>404</v>
      </c>
      <c r="C34" s="266" t="s">
        <v>2</v>
      </c>
      <c r="D34" s="274">
        <f>D25</f>
        <v>-20</v>
      </c>
      <c r="E34" s="268">
        <f t="shared" ref="E34:E35" si="11">IFERROR((ROUND(D34*K34,2)+ROUND(G34,2)+ROUND(J34,2))/ROUND(D34,4),0)</f>
        <v>0.40600000000000003</v>
      </c>
      <c r="F34" s="269">
        <f>ROUND(D34*E34,2)</f>
        <v>-8.1199999999999992</v>
      </c>
      <c r="G34" s="269">
        <f>((D34*K34)/(1-$N$24-$N$26))*($N$24+$N$26)</f>
        <v>-0.41527087569718291</v>
      </c>
      <c r="H34" s="270">
        <f>((D34*K34)/(1-$N$23-$N$26)/(1-$I$23))</f>
        <v>-8.1090171193138758</v>
      </c>
      <c r="I34" s="439"/>
      <c r="J34" s="270">
        <f>H34*$I$23</f>
        <v>-1.378532910283359</v>
      </c>
      <c r="K34" s="268">
        <f>K32</f>
        <v>0.31576066666666669</v>
      </c>
      <c r="O34" s="264"/>
      <c r="Q34" s="56"/>
      <c r="R34" s="165"/>
      <c r="S34" s="277"/>
      <c r="T34" s="56"/>
    </row>
    <row r="35" spans="2:20" x14ac:dyDescent="0.25">
      <c r="B35" s="265" t="s">
        <v>405</v>
      </c>
      <c r="C35" s="266" t="s">
        <v>2</v>
      </c>
      <c r="D35" s="274">
        <f>D26</f>
        <v>-604</v>
      </c>
      <c r="E35" s="268">
        <f t="shared" si="11"/>
        <v>0.4217880794701987</v>
      </c>
      <c r="F35" s="269">
        <f>ROUND(D35*E35,2)</f>
        <v>-254.76</v>
      </c>
      <c r="G35" s="269">
        <f>((D35*K35)/(1-$N$24-$N$26))*($N$24+$N$26)</f>
        <v>-13.046279367366514</v>
      </c>
      <c r="H35" s="270">
        <f>ROUND((D35*K35)/(1-$N$24-$N$26)/(1-$I$23),8)</f>
        <v>-254.75541129000001</v>
      </c>
      <c r="I35" s="439"/>
      <c r="J35" s="270">
        <f>H35*$I$23</f>
        <v>-43.308419919300007</v>
      </c>
      <c r="K35" s="268">
        <f>K33</f>
        <v>0.32847799999999999</v>
      </c>
      <c r="O35" s="264"/>
      <c r="Q35" s="56"/>
      <c r="R35" s="165"/>
      <c r="S35" s="277"/>
      <c r="T35" s="56"/>
    </row>
    <row r="36" spans="2:20" x14ac:dyDescent="0.25">
      <c r="B36" s="265" t="s">
        <v>229</v>
      </c>
      <c r="C36" s="266" t="s">
        <v>2</v>
      </c>
      <c r="D36" s="274">
        <f>IF($K$14=M4,(($D$25+$D$26)*($K$16)/($K$16+$L$16)),0)+IF($L$14=M4,(($D$25+$D$26)*($L$16)/($K$16+$L$16)),0)</f>
        <v>-624</v>
      </c>
      <c r="E36" s="268">
        <f>IFERROR((ROUND(D36*K36,2)+ROUND(G36,2)+ROUND(J36,2))/ROUND(D36,4),0)</f>
        <v>2.4198717948717949E-2</v>
      </c>
      <c r="F36" s="269">
        <f t="shared" ref="F36:F39" si="12">ROUND(D36*E36,2)</f>
        <v>-15.1</v>
      </c>
      <c r="G36" s="269">
        <f>((D36*K36)/(1-$N$24-$N$26))*($N$24+$N$26)</f>
        <v>-0.77346273046999903</v>
      </c>
      <c r="H36" s="270">
        <f>(D36*K36)/(1-$N$24-$N$26)/(1-$I$23)</f>
        <v>-15.103449072855421</v>
      </c>
      <c r="I36" s="265"/>
      <c r="J36" s="270">
        <f>H36*$I$23</f>
        <v>-2.5675863423854217</v>
      </c>
      <c r="K36" s="268">
        <f>N4</f>
        <v>1.8849999999999999E-2</v>
      </c>
      <c r="O36" s="264"/>
      <c r="S36" s="277"/>
    </row>
    <row r="37" spans="2:20" x14ac:dyDescent="0.25">
      <c r="B37" s="265" t="s">
        <v>248</v>
      </c>
      <c r="C37" s="266" t="s">
        <v>2</v>
      </c>
      <c r="D37" s="274">
        <f>IF($K$14=M5,(($D$25+$D$26)*($K$16)/($K$16+$L$16)),0)+IF($L$14=M5,(($D$25+$D$26)*($L$16)/($K$16+$L$16)),0)</f>
        <v>0</v>
      </c>
      <c r="E37" s="268">
        <f t="shared" ref="E37:E39" si="13">IFERROR((ROUND(D37*K37,2)+ROUND(G37,2)+ROUND(J37,2))/ROUND(D37,4),0)</f>
        <v>0</v>
      </c>
      <c r="F37" s="269">
        <f t="shared" si="12"/>
        <v>0</v>
      </c>
      <c r="G37" s="269">
        <f t="shared" ref="G37:G39" si="14">((D37*K37)/(1-$N$24-$N$26))*($N$24+$N$26)</f>
        <v>0</v>
      </c>
      <c r="H37" s="270">
        <f t="shared" ref="H37:H39" si="15">(D37*K37)/(1-$N$24-$N$26)/(1-$I$23)</f>
        <v>0</v>
      </c>
      <c r="I37" s="265"/>
      <c r="J37" s="270">
        <f t="shared" ref="J37:J39" si="16">H37*$I$23</f>
        <v>0</v>
      </c>
      <c r="K37" s="268">
        <f>N5</f>
        <v>4.4630000000000003E-2</v>
      </c>
      <c r="O37" s="264"/>
      <c r="S37" s="277"/>
    </row>
    <row r="38" spans="2:20" x14ac:dyDescent="0.25">
      <c r="B38" s="265" t="s">
        <v>249</v>
      </c>
      <c r="C38" s="266" t="s">
        <v>2</v>
      </c>
      <c r="D38" s="274">
        <f>IF($K$14=M6,(($D$25+$D$26)*($K$16)/($K$16+$L$16)),0)+IF($L$14=M6,(($D$25+$D$26)*($L$16)/($K$16+$L$16)),0)</f>
        <v>0</v>
      </c>
      <c r="E38" s="268">
        <f t="shared" si="13"/>
        <v>0</v>
      </c>
      <c r="F38" s="269">
        <f t="shared" si="12"/>
        <v>0</v>
      </c>
      <c r="G38" s="269">
        <f t="shared" si="14"/>
        <v>0</v>
      </c>
      <c r="H38" s="270">
        <f t="shared" si="15"/>
        <v>0</v>
      </c>
      <c r="I38" s="265"/>
      <c r="J38" s="270">
        <f t="shared" si="16"/>
        <v>0</v>
      </c>
      <c r="K38" s="268">
        <f>N6</f>
        <v>7.8770000000000007E-2</v>
      </c>
      <c r="O38" s="264"/>
      <c r="S38" s="277"/>
    </row>
    <row r="39" spans="2:20" x14ac:dyDescent="0.25">
      <c r="B39" s="265" t="s">
        <v>250</v>
      </c>
      <c r="C39" s="266" t="s">
        <v>2</v>
      </c>
      <c r="D39" s="274">
        <f>IF($K$14=M7,(($D$25+$D$26)*($K$16)/($K$16+$L$16)),0)+IF($L$14=M7,(($D$25+$D$26)*($L$16)/($K$16+$L$16)),0)</f>
        <v>0</v>
      </c>
      <c r="E39" s="268">
        <f t="shared" si="13"/>
        <v>0</v>
      </c>
      <c r="F39" s="269">
        <f t="shared" si="12"/>
        <v>0</v>
      </c>
      <c r="G39" s="269">
        <f t="shared" si="14"/>
        <v>0</v>
      </c>
      <c r="H39" s="270">
        <f t="shared" si="15"/>
        <v>0</v>
      </c>
      <c r="I39" s="265"/>
      <c r="J39" s="270">
        <f t="shared" si="16"/>
        <v>0</v>
      </c>
      <c r="K39" s="268">
        <f>N7</f>
        <v>0.14199999999999999</v>
      </c>
      <c r="O39" s="264"/>
      <c r="S39" s="277"/>
    </row>
    <row r="40" spans="2:20" x14ac:dyDescent="0.25">
      <c r="B40" s="265"/>
      <c r="C40" s="266"/>
      <c r="D40" s="274"/>
      <c r="E40" s="268"/>
      <c r="F40" s="269"/>
      <c r="G40" s="269"/>
      <c r="H40" s="270"/>
      <c r="I40" s="265"/>
      <c r="J40" s="270"/>
      <c r="K40" s="268"/>
      <c r="O40" s="264"/>
      <c r="S40" s="277"/>
    </row>
    <row r="41" spans="2:20" x14ac:dyDescent="0.25">
      <c r="B41" s="265" t="s">
        <v>224</v>
      </c>
      <c r="C41" s="265"/>
      <c r="D41" s="274"/>
      <c r="E41" s="265"/>
      <c r="F41" s="278">
        <v>0</v>
      </c>
      <c r="G41" s="265"/>
      <c r="H41" s="265"/>
      <c r="I41" s="265"/>
      <c r="J41" s="265"/>
      <c r="K41" s="265"/>
      <c r="O41" s="264"/>
      <c r="S41" s="277"/>
    </row>
    <row r="42" spans="2:20" x14ac:dyDescent="0.25">
      <c r="B42" s="265" t="s">
        <v>223</v>
      </c>
      <c r="C42" s="265"/>
      <c r="D42" s="274"/>
      <c r="E42" s="265"/>
      <c r="F42" s="278">
        <v>0</v>
      </c>
      <c r="G42" s="265"/>
      <c r="H42" s="265"/>
      <c r="I42" s="265"/>
      <c r="J42" s="265"/>
      <c r="K42" s="265"/>
      <c r="O42" s="264"/>
      <c r="S42" s="277"/>
    </row>
    <row r="43" spans="2:20" x14ac:dyDescent="0.25">
      <c r="B43" s="265" t="s">
        <v>350</v>
      </c>
      <c r="C43" s="265"/>
      <c r="D43" s="274"/>
      <c r="E43" s="265"/>
      <c r="F43" s="278">
        <v>-8.9700000000000006</v>
      </c>
      <c r="G43" s="265"/>
      <c r="H43" s="265"/>
      <c r="I43" s="265"/>
      <c r="J43" s="265"/>
      <c r="K43" s="265"/>
      <c r="O43" s="264"/>
    </row>
    <row r="44" spans="2:20" x14ac:dyDescent="0.25">
      <c r="B44" s="265" t="s">
        <v>247</v>
      </c>
      <c r="C44" s="265"/>
      <c r="D44" s="274"/>
      <c r="E44" s="265"/>
      <c r="F44" s="278">
        <v>0</v>
      </c>
      <c r="G44" s="265"/>
      <c r="H44" s="265"/>
      <c r="I44" s="265"/>
      <c r="J44" s="265"/>
      <c r="K44" s="265"/>
      <c r="O44" s="264"/>
    </row>
    <row r="45" spans="2:20" x14ac:dyDescent="0.25">
      <c r="B45" s="265" t="s">
        <v>225</v>
      </c>
      <c r="C45" s="265"/>
      <c r="D45" s="274"/>
      <c r="E45" s="265"/>
      <c r="F45" s="278">
        <v>0</v>
      </c>
      <c r="G45" s="265"/>
      <c r="H45" s="265"/>
      <c r="I45" s="265"/>
      <c r="J45" s="265"/>
      <c r="K45" s="265"/>
      <c r="O45" s="264"/>
    </row>
    <row r="46" spans="2:20" x14ac:dyDescent="0.25">
      <c r="B46" s="265"/>
      <c r="C46" s="265"/>
      <c r="D46" s="274"/>
      <c r="E46" s="265"/>
      <c r="F46" s="265"/>
      <c r="G46" s="265"/>
      <c r="H46" s="265"/>
      <c r="I46" s="265"/>
      <c r="J46" s="265"/>
      <c r="K46" s="265"/>
      <c r="O46" s="264"/>
    </row>
    <row r="47" spans="2:20" x14ac:dyDescent="0.25">
      <c r="B47" s="265"/>
      <c r="C47" s="265"/>
      <c r="D47" s="274"/>
      <c r="E47" s="265"/>
      <c r="F47" s="265"/>
      <c r="G47" s="265"/>
      <c r="H47" s="265"/>
      <c r="I47" s="265"/>
      <c r="J47" s="265"/>
      <c r="K47" s="265"/>
      <c r="O47" s="264"/>
    </row>
    <row r="48" spans="2:20" x14ac:dyDescent="0.25">
      <c r="B48" s="279" t="s">
        <v>162</v>
      </c>
      <c r="C48" s="275"/>
      <c r="D48" s="280"/>
      <c r="E48" s="275"/>
      <c r="F48" s="281">
        <f>SUM(F23:F47)</f>
        <v>144.26</v>
      </c>
      <c r="G48" s="282">
        <f>SUM(G23:G47)</f>
        <v>4.487106142314115</v>
      </c>
      <c r="H48" s="283">
        <f>SUM(H23:H47)</f>
        <v>473.64410813842625</v>
      </c>
      <c r="I48" s="275"/>
      <c r="J48" s="283">
        <f>SUM(J23:J47)</f>
        <v>80.524587459932448</v>
      </c>
      <c r="K48" s="275"/>
      <c r="L48" s="75"/>
      <c r="M48" s="75"/>
      <c r="N48" s="75"/>
      <c r="O48" s="255"/>
    </row>
    <row r="49" spans="1:22" x14ac:dyDescent="0.25">
      <c r="P49"/>
      <c r="Q49"/>
      <c r="R49"/>
      <c r="S49"/>
      <c r="T49"/>
      <c r="U49"/>
      <c r="V49"/>
    </row>
    <row r="50" spans="1:22" x14ac:dyDescent="0.25">
      <c r="B50" s="284" t="s">
        <v>226</v>
      </c>
      <c r="C50" s="285">
        <f>(D23)</f>
        <v>120</v>
      </c>
      <c r="D50" s="286">
        <f>IF(AND($B$16&lt;$F$2,$E$16&lt;$F$2),C8,IF($B$16&lt;$F$2,I8,F8))</f>
        <v>0</v>
      </c>
      <c r="E50" s="286">
        <f>IF(AND($B$16&lt;$F$2,$E$16&lt;$F$2),D8,IF($B$16&lt;$F$2,J8,G8))</f>
        <v>-2.5948538827325071E-3</v>
      </c>
      <c r="F50" s="284">
        <f>C50*(D50+E50)</f>
        <v>-0.31138246592790086</v>
      </c>
      <c r="G50" s="315" t="s">
        <v>406</v>
      </c>
      <c r="P50"/>
      <c r="Q50"/>
      <c r="R50"/>
      <c r="S50"/>
      <c r="T50"/>
      <c r="U50"/>
      <c r="V50"/>
    </row>
    <row r="51" spans="1:22" x14ac:dyDescent="0.25">
      <c r="B51" s="284"/>
      <c r="C51" s="285">
        <f>(D24)</f>
        <v>604</v>
      </c>
      <c r="D51" s="286">
        <f>IF(AND($B$16&lt;$F$2,$E$16&lt;$F$2),C9,IF($B$16&lt;$F$2,I9,F9))</f>
        <v>1.8608682270474647E-4</v>
      </c>
      <c r="E51" s="286">
        <f>IF(AND($B$16&lt;$F$2,$E$16&lt;$F$2),D9,IF($B$16&lt;$F$2,J9,G9))</f>
        <v>-2.5965236115047629E-3</v>
      </c>
      <c r="F51" s="284">
        <f>C51*(D51+E51)</f>
        <v>-1.4559038204352099</v>
      </c>
      <c r="P51"/>
      <c r="Q51"/>
      <c r="R51"/>
      <c r="S51"/>
      <c r="T51"/>
      <c r="U51"/>
      <c r="V51"/>
    </row>
    <row r="52" spans="1:22" x14ac:dyDescent="0.25">
      <c r="B52" s="284"/>
      <c r="C52" s="285">
        <f>D25</f>
        <v>-20</v>
      </c>
      <c r="D52" s="286">
        <f>D50</f>
        <v>0</v>
      </c>
      <c r="E52" s="286">
        <f>E50</f>
        <v>-2.5948538827325071E-3</v>
      </c>
      <c r="F52" s="284">
        <f t="shared" ref="F52:F53" si="17">C52*(D52+E52)</f>
        <v>5.1897077654650139E-2</v>
      </c>
      <c r="P52"/>
      <c r="Q52"/>
      <c r="R52"/>
      <c r="S52"/>
      <c r="T52"/>
      <c r="U52"/>
      <c r="V52"/>
    </row>
    <row r="53" spans="1:22" x14ac:dyDescent="0.25">
      <c r="B53" s="284"/>
      <c r="C53" s="285">
        <f>D26</f>
        <v>-604</v>
      </c>
      <c r="D53" s="286">
        <f>D51</f>
        <v>1.8608682270474647E-4</v>
      </c>
      <c r="E53" s="286">
        <f>E51</f>
        <v>-2.5965236115047629E-3</v>
      </c>
      <c r="F53" s="284">
        <f t="shared" si="17"/>
        <v>1.4559038204352099</v>
      </c>
      <c r="P53"/>
      <c r="Q53"/>
      <c r="R53"/>
      <c r="S53"/>
      <c r="T53"/>
      <c r="U53"/>
      <c r="V53"/>
    </row>
    <row r="54" spans="1:22" x14ac:dyDescent="0.25">
      <c r="F54" s="440">
        <f>SUM(F50:F53)</f>
        <v>-0.25948538827325085</v>
      </c>
      <c r="I54"/>
      <c r="J54"/>
      <c r="K54"/>
      <c r="L54"/>
      <c r="M54"/>
      <c r="N54"/>
      <c r="O54"/>
      <c r="P54"/>
      <c r="Q54"/>
      <c r="R54"/>
      <c r="S54"/>
      <c r="T54"/>
      <c r="U54"/>
      <c r="V54"/>
    </row>
    <row r="55" spans="1:22" x14ac:dyDescent="0.25">
      <c r="I55"/>
      <c r="J55" s="449" t="s">
        <v>410</v>
      </c>
      <c r="K55" s="449"/>
      <c r="L55"/>
      <c r="M55"/>
      <c r="N55"/>
      <c r="O55"/>
      <c r="P55"/>
      <c r="Q55"/>
      <c r="R55"/>
      <c r="S55"/>
      <c r="T55"/>
      <c r="U55"/>
      <c r="V55"/>
    </row>
    <row r="56" spans="1:22" x14ac:dyDescent="0.25">
      <c r="A56" s="19" t="s">
        <v>8</v>
      </c>
      <c r="B56" s="461" t="s">
        <v>39</v>
      </c>
      <c r="C56" s="462"/>
      <c r="D56" s="462"/>
      <c r="E56" s="462"/>
      <c r="F56" s="462"/>
      <c r="G56" s="462"/>
      <c r="H56" s="463"/>
      <c r="I56"/>
      <c r="J56"/>
      <c r="K56"/>
      <c r="L56"/>
      <c r="M56"/>
      <c r="N56"/>
      <c r="O56"/>
      <c r="P56"/>
      <c r="Q56"/>
      <c r="R56"/>
      <c r="S56"/>
      <c r="T56"/>
      <c r="U56"/>
      <c r="V56"/>
    </row>
    <row r="57" spans="1:22" x14ac:dyDescent="0.25">
      <c r="A57" s="19" t="s">
        <v>8</v>
      </c>
      <c r="B57" s="41"/>
      <c r="D57" s="46" t="s">
        <v>40</v>
      </c>
      <c r="E57" s="46" t="s">
        <v>10</v>
      </c>
      <c r="F57" s="46" t="s">
        <v>9</v>
      </c>
      <c r="G57" s="46" t="s">
        <v>34</v>
      </c>
      <c r="H57" s="47" t="s">
        <v>7</v>
      </c>
      <c r="I57"/>
      <c r="J57" s="46" t="s">
        <v>8</v>
      </c>
      <c r="K57"/>
      <c r="L57"/>
      <c r="M57"/>
      <c r="N57"/>
      <c r="O57"/>
      <c r="P57"/>
      <c r="Q57"/>
      <c r="R57"/>
      <c r="S57"/>
      <c r="T57"/>
      <c r="U57"/>
      <c r="V57"/>
    </row>
    <row r="58" spans="1:22" x14ac:dyDescent="0.25">
      <c r="A58" s="19" t="s">
        <v>8</v>
      </c>
      <c r="B58" s="48" t="s">
        <v>41</v>
      </c>
      <c r="C58" s="49"/>
      <c r="D58" s="50"/>
      <c r="E58" s="50"/>
      <c r="F58" s="50"/>
      <c r="G58" s="50"/>
      <c r="H58" s="51">
        <f>SUM(H60:H76)+SUM(H81:H86)</f>
        <v>244.14835237785846</v>
      </c>
      <c r="I58"/>
      <c r="J58"/>
      <c r="K58"/>
      <c r="L58"/>
      <c r="M58"/>
      <c r="N58"/>
      <c r="O58"/>
      <c r="P58"/>
      <c r="Q58"/>
      <c r="R58"/>
      <c r="S58"/>
      <c r="T58"/>
      <c r="U58"/>
      <c r="V58"/>
    </row>
    <row r="59" spans="1:22" x14ac:dyDescent="0.25">
      <c r="B59" s="41"/>
      <c r="D59" s="46"/>
      <c r="E59" s="46"/>
      <c r="F59" s="46"/>
      <c r="G59" s="46"/>
      <c r="H59" s="52"/>
      <c r="I59"/>
      <c r="J59"/>
      <c r="K59"/>
      <c r="L59"/>
      <c r="M59"/>
      <c r="N59"/>
      <c r="O59"/>
      <c r="P59"/>
      <c r="Q59"/>
      <c r="R59"/>
      <c r="S59"/>
      <c r="T59"/>
      <c r="U59"/>
      <c r="V59"/>
    </row>
    <row r="60" spans="1:22" x14ac:dyDescent="0.25">
      <c r="B60" s="41" t="s">
        <v>42</v>
      </c>
      <c r="D60" s="89">
        <f>D23</f>
        <v>120</v>
      </c>
      <c r="E60" s="53">
        <f>IF(AND($B$16&lt;$F$2,$E$16&lt;$F$2),C6,IF($B$16&lt;$F$2,I6,F6))</f>
        <v>0.48621866666666663</v>
      </c>
      <c r="F60" s="53">
        <f>IF(AND($B$16&lt;$F$2,$E$16&lt;$F$2),D6,IF($B$16&lt;$F$2,J6,G6))</f>
        <v>0.32847799999999999</v>
      </c>
      <c r="G60" s="53">
        <f>E60+F60</f>
        <v>0.81469666666666662</v>
      </c>
      <c r="H60" s="54">
        <f>ROUND((D60*E60),2)+ROUND((D60*F60),2)</f>
        <v>97.77000000000001</v>
      </c>
      <c r="I60"/>
      <c r="J60"/>
      <c r="K60"/>
      <c r="L60"/>
      <c r="M60" s="90"/>
      <c r="N60"/>
      <c r="O60"/>
      <c r="P60"/>
      <c r="Q60"/>
      <c r="R60"/>
      <c r="S60"/>
      <c r="T60"/>
      <c r="U60"/>
      <c r="V60"/>
    </row>
    <row r="61" spans="1:22" x14ac:dyDescent="0.25">
      <c r="B61" s="41"/>
      <c r="D61" s="55"/>
      <c r="E61" s="56"/>
      <c r="F61" s="57"/>
      <c r="G61" s="57"/>
      <c r="H61" s="54"/>
      <c r="I61"/>
      <c r="J61"/>
      <c r="K61"/>
      <c r="L61"/>
      <c r="M61"/>
      <c r="N61"/>
      <c r="O61"/>
      <c r="P61"/>
      <c r="Q61"/>
      <c r="R61"/>
      <c r="S61"/>
      <c r="T61"/>
      <c r="U61"/>
      <c r="V61"/>
    </row>
    <row r="62" spans="1:22" x14ac:dyDescent="0.25">
      <c r="B62" s="41" t="s">
        <v>43</v>
      </c>
      <c r="D62" s="58">
        <f>IF($K$14=M4,(D60*(K16)/(K16+L16)),0)+IF($L$14=M4,(D60*(L16)/(K16+L16)),0)</f>
        <v>120</v>
      </c>
      <c r="F62" s="59">
        <f>N4</f>
        <v>1.8849999999999999E-2</v>
      </c>
      <c r="G62" s="59"/>
      <c r="H62" s="54">
        <f>ROUND(D62*(E62+F62),2)</f>
        <v>2.2599999999999998</v>
      </c>
      <c r="I62"/>
      <c r="J62"/>
      <c r="K62"/>
      <c r="L62"/>
      <c r="M62"/>
      <c r="N62"/>
      <c r="O62"/>
      <c r="P62"/>
      <c r="Q62"/>
      <c r="R62"/>
      <c r="S62"/>
      <c r="T62"/>
      <c r="U62"/>
      <c r="V62"/>
    </row>
    <row r="63" spans="1:22" x14ac:dyDescent="0.25">
      <c r="B63" s="41" t="s">
        <v>44</v>
      </c>
      <c r="D63" s="58">
        <f>IF($K$14=M5,(D60*(K16)/(K16+L16)),0)+IF($L$14=M5,(D60*(L16)/(K16+L16)),0)</f>
        <v>0</v>
      </c>
      <c r="F63" s="59">
        <f>N5</f>
        <v>4.4630000000000003E-2</v>
      </c>
      <c r="G63" s="59"/>
      <c r="H63" s="54">
        <f>ROUND(D63*(E63+F63),2)</f>
        <v>0</v>
      </c>
      <c r="I63"/>
      <c r="J63"/>
      <c r="K63"/>
      <c r="L63" s="98"/>
      <c r="M63"/>
      <c r="N63"/>
      <c r="O63"/>
      <c r="P63"/>
      <c r="Q63"/>
      <c r="R63"/>
      <c r="S63"/>
      <c r="T63"/>
      <c r="U63"/>
      <c r="V63"/>
    </row>
    <row r="64" spans="1:22" x14ac:dyDescent="0.25">
      <c r="B64" s="41" t="s">
        <v>45</v>
      </c>
      <c r="D64" s="58">
        <f>IF($K$14=M6,(D60*(K16)/(K16+L16)),0)+IF($L$14=M6,(D60*(L16)/(K16+L16)),0)</f>
        <v>0</v>
      </c>
      <c r="F64" s="59">
        <f>N6</f>
        <v>7.8770000000000007E-2</v>
      </c>
      <c r="G64" s="59"/>
      <c r="H64" s="54">
        <f>ROUND(D64*(E64+F64),2)</f>
        <v>0</v>
      </c>
      <c r="I64"/>
      <c r="J64"/>
      <c r="K64"/>
      <c r="L64"/>
      <c r="M64"/>
      <c r="N64"/>
      <c r="O64"/>
      <c r="P64" s="1"/>
    </row>
    <row r="65" spans="2:16" x14ac:dyDescent="0.25">
      <c r="B65" s="41" t="s">
        <v>46</v>
      </c>
      <c r="D65" s="58">
        <f>IF($K$14=M10,(D60*(K16)/(K16+L16)),0)+IF($L$14=M10,(D60*(L16)/(K16+L16)),0)</f>
        <v>0</v>
      </c>
      <c r="F65" s="59">
        <f>N10</f>
        <v>0</v>
      </c>
      <c r="G65" s="59"/>
      <c r="H65" s="54">
        <f>ROUND(D65*(E65+F65),2)</f>
        <v>0</v>
      </c>
      <c r="I65"/>
      <c r="J65"/>
      <c r="K65"/>
      <c r="L65"/>
      <c r="M65"/>
      <c r="N65"/>
      <c r="O65"/>
      <c r="P65" s="1"/>
    </row>
    <row r="66" spans="2:16" x14ac:dyDescent="0.25">
      <c r="B66" s="41"/>
      <c r="D66" s="60"/>
      <c r="H66" s="54"/>
      <c r="I66" s="1"/>
      <c r="J66" s="1"/>
      <c r="K66" s="90"/>
      <c r="L66" s="1"/>
      <c r="M66" s="1"/>
      <c r="N66" s="1"/>
      <c r="O66" s="1"/>
      <c r="P66" s="1"/>
    </row>
    <row r="67" spans="2:16" x14ac:dyDescent="0.25">
      <c r="B67" s="41" t="s">
        <v>47</v>
      </c>
      <c r="D67" s="222">
        <f>D32</f>
        <v>120</v>
      </c>
      <c r="E67" s="53">
        <f>E60*F19</f>
        <v>0.48621866666666663</v>
      </c>
      <c r="F67" s="53">
        <f>F60</f>
        <v>0.32847799999999999</v>
      </c>
      <c r="G67" s="53">
        <f>E67+F67</f>
        <v>0.81469666666666662</v>
      </c>
      <c r="H67" s="54">
        <f>ROUND((D67*E67),2)+ROUND((D67*F67),2)</f>
        <v>97.77000000000001</v>
      </c>
      <c r="I67" s="1"/>
      <c r="J67" s="1"/>
      <c r="K67" s="90"/>
      <c r="L67" s="1"/>
      <c r="M67" s="90"/>
      <c r="N67" s="1"/>
      <c r="O67" s="1"/>
      <c r="P67" s="1"/>
    </row>
    <row r="68" spans="2:16" x14ac:dyDescent="0.25">
      <c r="B68" s="41"/>
      <c r="D68" s="55"/>
      <c r="E68" s="56"/>
      <c r="F68" s="57"/>
      <c r="G68" s="57"/>
      <c r="H68" s="54"/>
      <c r="I68" s="1"/>
      <c r="J68" s="1"/>
      <c r="K68" s="90"/>
      <c r="L68" s="1"/>
      <c r="M68" s="1"/>
      <c r="N68" s="1"/>
      <c r="O68" s="1"/>
      <c r="P68" s="1"/>
    </row>
    <row r="69" spans="2:16" x14ac:dyDescent="0.25">
      <c r="B69" s="41" t="s">
        <v>43</v>
      </c>
      <c r="D69" s="58">
        <f>IF($K$14=M4,(D67*(K16)/(K16+L16)),0)+IF($L$14=M4,(D67*(L16)/(K16+L16)),0)</f>
        <v>120</v>
      </c>
      <c r="F69" s="59">
        <f>F62</f>
        <v>1.8849999999999999E-2</v>
      </c>
      <c r="G69" s="59"/>
      <c r="H69" s="54">
        <f>ROUND(D69*(E69+F69),2)</f>
        <v>2.2599999999999998</v>
      </c>
      <c r="I69" s="1"/>
      <c r="J69" s="1"/>
      <c r="K69" s="1"/>
      <c r="L69" s="1"/>
      <c r="M69" s="1"/>
      <c r="N69" s="1"/>
      <c r="O69" s="1"/>
      <c r="P69" s="1"/>
    </row>
    <row r="70" spans="2:16" x14ac:dyDescent="0.25">
      <c r="B70" s="41" t="s">
        <v>44</v>
      </c>
      <c r="D70" s="58">
        <f>IF($K$14=M5,(D67*(K16)/(K16+L16)),0)+IF($L$14=M5,(D67*(L16)/(K16+L16)),0)</f>
        <v>0</v>
      </c>
      <c r="F70" s="59">
        <f t="shared" ref="F70:F72" si="18">F63</f>
        <v>4.4630000000000003E-2</v>
      </c>
      <c r="G70" s="59"/>
      <c r="H70" s="54">
        <f>ROUND(D70*(E70+F70),2)</f>
        <v>0</v>
      </c>
      <c r="I70" s="1"/>
      <c r="J70" s="1"/>
      <c r="K70" s="1"/>
      <c r="L70" s="1"/>
      <c r="M70" s="1"/>
      <c r="N70" s="1"/>
      <c r="O70" s="1"/>
      <c r="P70" s="1"/>
    </row>
    <row r="71" spans="2:16" x14ac:dyDescent="0.25">
      <c r="B71" s="41" t="s">
        <v>45</v>
      </c>
      <c r="D71" s="58">
        <f>IF($K$14=M6,(D67*(K16)/(K16+L16)),0)+IF($L$14=M6,(D67*(L16)/(K16+L16)),0)</f>
        <v>0</v>
      </c>
      <c r="F71" s="59">
        <f t="shared" si="18"/>
        <v>7.8770000000000007E-2</v>
      </c>
      <c r="G71" s="59"/>
      <c r="H71" s="54">
        <f>ROUND(D71*(E71+F71),2)</f>
        <v>0</v>
      </c>
      <c r="I71" s="1"/>
      <c r="J71" s="1"/>
      <c r="K71" s="1"/>
      <c r="L71" s="1"/>
      <c r="M71" s="1"/>
      <c r="N71" s="1"/>
      <c r="O71" s="1"/>
      <c r="P71" s="1"/>
    </row>
    <row r="72" spans="2:16" x14ac:dyDescent="0.25">
      <c r="B72" s="41" t="s">
        <v>46</v>
      </c>
      <c r="D72" s="58">
        <f>IF($K$14=M10,(D67*(K16)/(K16+L16)),0)+IF($L$14=M10,(D67*(L16)/(K16+L16)),0)</f>
        <v>0</v>
      </c>
      <c r="F72" s="59">
        <f t="shared" si="18"/>
        <v>0</v>
      </c>
      <c r="G72" s="59"/>
      <c r="H72" s="54">
        <f>ROUND(D72*(E72+F72),2)</f>
        <v>0</v>
      </c>
      <c r="J72" s="1"/>
      <c r="K72" s="1"/>
      <c r="L72" s="1"/>
      <c r="M72" s="1"/>
      <c r="N72" s="1"/>
      <c r="O72" s="1"/>
      <c r="P72" s="1"/>
    </row>
    <row r="73" spans="2:16" x14ac:dyDescent="0.25">
      <c r="B73" s="41"/>
      <c r="D73" s="58"/>
      <c r="F73" s="59"/>
      <c r="G73" s="59"/>
      <c r="H73" s="54"/>
      <c r="J73" s="1"/>
      <c r="K73" s="1"/>
      <c r="L73" s="1"/>
      <c r="M73" s="1"/>
      <c r="N73" s="1"/>
      <c r="O73" s="1"/>
      <c r="P73" s="1"/>
    </row>
    <row r="74" spans="2:16" x14ac:dyDescent="0.25">
      <c r="B74" s="119"/>
      <c r="C74" s="120"/>
      <c r="D74" s="121"/>
      <c r="E74" s="122"/>
      <c r="F74" s="123"/>
      <c r="G74" s="122"/>
      <c r="H74" s="124"/>
      <c r="I74" s="116"/>
      <c r="J74" s="1"/>
      <c r="K74" s="1"/>
      <c r="L74" s="1"/>
      <c r="M74" s="1"/>
      <c r="N74" s="1"/>
      <c r="O74" s="1"/>
      <c r="P74" s="1"/>
    </row>
    <row r="75" spans="2:16" x14ac:dyDescent="0.25">
      <c r="B75" s="119"/>
      <c r="C75" s="120"/>
      <c r="D75" s="125"/>
      <c r="E75" s="120"/>
      <c r="F75" s="126"/>
      <c r="G75" s="126"/>
      <c r="H75" s="124"/>
      <c r="I75" s="1"/>
      <c r="J75" s="1"/>
      <c r="K75" s="1"/>
      <c r="L75" s="1"/>
      <c r="M75" s="1"/>
      <c r="N75" s="1"/>
      <c r="O75" s="1"/>
      <c r="P75" s="1"/>
    </row>
    <row r="76" spans="2:16" x14ac:dyDescent="0.25">
      <c r="B76" s="119"/>
      <c r="C76" s="120"/>
      <c r="D76" s="121"/>
      <c r="E76" s="122"/>
      <c r="F76" s="123"/>
      <c r="G76" s="122"/>
      <c r="H76" s="124"/>
      <c r="I76" s="97"/>
      <c r="K76" s="1"/>
      <c r="L76" s="1"/>
      <c r="M76" s="1"/>
      <c r="N76" s="1"/>
      <c r="O76" s="1"/>
      <c r="P76" s="1"/>
    </row>
    <row r="77" spans="2:16" x14ac:dyDescent="0.25">
      <c r="B77" s="61"/>
      <c r="C77" s="24"/>
      <c r="D77" s="24"/>
      <c r="E77" s="24"/>
      <c r="F77" s="24"/>
      <c r="G77" s="24"/>
      <c r="H77" s="62"/>
      <c r="I77"/>
      <c r="J77" s="1"/>
      <c r="K77" s="1"/>
      <c r="L77" s="1"/>
      <c r="M77" s="1"/>
      <c r="N77" s="1"/>
      <c r="O77" s="1"/>
      <c r="P77" s="1"/>
    </row>
    <row r="78" spans="2:16" x14ac:dyDescent="0.25">
      <c r="B78" s="34"/>
      <c r="C78" s="35"/>
      <c r="D78" s="35"/>
      <c r="E78" s="35"/>
      <c r="F78" s="35"/>
      <c r="G78" s="35"/>
      <c r="H78" s="96">
        <f>SUM(H60:H77)</f>
        <v>200.06</v>
      </c>
      <c r="I78" s="1"/>
      <c r="L78" s="1"/>
      <c r="M78" s="1"/>
      <c r="N78" s="1"/>
      <c r="O78" s="1"/>
      <c r="P78" s="1"/>
    </row>
    <row r="79" spans="2:16" x14ac:dyDescent="0.25">
      <c r="B79" s="95"/>
      <c r="C79" s="1"/>
      <c r="D79" s="1"/>
      <c r="E79" s="1"/>
      <c r="F79" s="1"/>
      <c r="G79" s="1"/>
      <c r="H79" s="43"/>
      <c r="I79" s="1"/>
      <c r="L79" s="1"/>
      <c r="M79" s="1"/>
      <c r="N79" s="1"/>
      <c r="O79" s="1"/>
      <c r="P79" s="1"/>
    </row>
    <row r="80" spans="2:16" x14ac:dyDescent="0.25">
      <c r="B80" s="41"/>
      <c r="D80" s="63" t="s">
        <v>48</v>
      </c>
      <c r="E80" s="64"/>
      <c r="F80" s="64"/>
      <c r="G80" s="64"/>
      <c r="H80" s="65"/>
      <c r="I80" s="66"/>
      <c r="K80" s="67"/>
      <c r="L80" s="1"/>
      <c r="M80" s="1"/>
      <c r="N80" s="1"/>
      <c r="O80" s="1"/>
      <c r="P80" s="1"/>
    </row>
    <row r="81" spans="2:16" x14ac:dyDescent="0.25">
      <c r="B81" s="41" t="s">
        <v>49</v>
      </c>
      <c r="D81" s="68">
        <f>(H60+H62+H63+H64+H65)/(1-E81-E83)</f>
        <v>106.60769476713206</v>
      </c>
      <c r="E81" s="69">
        <f>N23</f>
        <v>1.0999999999999999E-2</v>
      </c>
      <c r="H81" s="70">
        <f>D81*E81</f>
        <v>1.1726846424384525</v>
      </c>
      <c r="I81" s="67"/>
      <c r="L81" s="1"/>
      <c r="M81" s="1"/>
      <c r="N81" s="1"/>
      <c r="O81" s="1"/>
      <c r="P81" s="1"/>
    </row>
    <row r="82" spans="2:16" x14ac:dyDescent="0.25">
      <c r="B82" s="41" t="s">
        <v>50</v>
      </c>
      <c r="D82" s="68">
        <f>(H67+H69+H70+H71+H72+H74+H76)/(1-E81-E83)</f>
        <v>106.60769476713206</v>
      </c>
      <c r="E82" s="71">
        <f>E81</f>
        <v>1.0999999999999999E-2</v>
      </c>
      <c r="H82" s="70">
        <f t="shared" ref="H82:H84" si="19">D82*E82</f>
        <v>1.1726846424384525</v>
      </c>
      <c r="I82" s="67"/>
      <c r="L82" s="1"/>
      <c r="M82" s="1"/>
      <c r="N82" s="1"/>
      <c r="O82" s="1"/>
      <c r="P82" s="1"/>
    </row>
    <row r="83" spans="2:16" x14ac:dyDescent="0.25">
      <c r="B83" s="41" t="s">
        <v>51</v>
      </c>
      <c r="D83" s="68">
        <f>D81</f>
        <v>106.60769476713206</v>
      </c>
      <c r="E83" s="69">
        <f>N25</f>
        <v>5.0700000000000002E-2</v>
      </c>
      <c r="H83" s="70">
        <f t="shared" si="19"/>
        <v>5.4050101246935958</v>
      </c>
      <c r="I83" s="67"/>
      <c r="L83" s="1"/>
      <c r="M83" s="1"/>
      <c r="N83" s="1"/>
      <c r="O83" s="1"/>
      <c r="P83" s="1"/>
    </row>
    <row r="84" spans="2:16" x14ac:dyDescent="0.25">
      <c r="B84" s="41" t="s">
        <v>52</v>
      </c>
      <c r="D84" s="68">
        <f>D82</f>
        <v>106.60769476713206</v>
      </c>
      <c r="E84" s="71">
        <f>E83</f>
        <v>5.0700000000000002E-2</v>
      </c>
      <c r="H84" s="70">
        <f t="shared" si="19"/>
        <v>5.4050101246935958</v>
      </c>
      <c r="I84" s="67"/>
      <c r="L84" s="1"/>
      <c r="M84" s="1"/>
      <c r="N84" s="1"/>
      <c r="O84" s="1"/>
      <c r="P84" s="1"/>
    </row>
    <row r="85" spans="2:16" x14ac:dyDescent="0.25">
      <c r="B85" s="41" t="s">
        <v>11</v>
      </c>
      <c r="D85" s="72">
        <f>D81/(1-E85)</f>
        <v>128.44300574353261</v>
      </c>
      <c r="E85" s="73">
        <v>0.17</v>
      </c>
      <c r="H85" s="70">
        <f>D85*E85</f>
        <v>21.835310976400546</v>
      </c>
      <c r="I85" s="67"/>
      <c r="L85" s="1"/>
      <c r="M85" s="1"/>
      <c r="N85" s="1"/>
      <c r="O85" s="1"/>
      <c r="P85" s="1"/>
    </row>
    <row r="86" spans="2:16" x14ac:dyDescent="0.25">
      <c r="B86" s="74" t="s">
        <v>53</v>
      </c>
      <c r="C86" s="75"/>
      <c r="D86" s="76">
        <f>((D67*F67)+(H69+H70+H71+H72)+(D74*F74)+(D76*F76))/(1-E82-E84)/(1-E86)</f>
        <v>53.515599218787116</v>
      </c>
      <c r="E86" s="77">
        <f>E85</f>
        <v>0.17</v>
      </c>
      <c r="F86" s="75"/>
      <c r="G86" s="75"/>
      <c r="H86" s="78">
        <f>D86*E86</f>
        <v>9.0976518671938109</v>
      </c>
      <c r="L86" s="1"/>
      <c r="M86" s="1"/>
      <c r="N86" s="1"/>
      <c r="O86" s="1"/>
      <c r="P86" s="1"/>
    </row>
    <row r="87" spans="2:16" x14ac:dyDescent="0.25">
      <c r="L87" s="1"/>
      <c r="M87" s="1"/>
      <c r="N87" s="1"/>
      <c r="O87" s="1"/>
    </row>
    <row r="88" spans="2:16" x14ac:dyDescent="0.25">
      <c r="B88" s="223" t="s">
        <v>193</v>
      </c>
      <c r="C88" s="133"/>
      <c r="D88" s="224">
        <f>D60+D67</f>
        <v>240</v>
      </c>
      <c r="E88" s="225">
        <f>IF(AND($B$16&lt;$F$2,$E$16&lt;$F$2),C8,IF($B$16&lt;$F$2,I8,F8))</f>
        <v>0</v>
      </c>
      <c r="F88" s="225">
        <f>IF(AND($B$16&lt;$F$2,$E$16&lt;$F$2),D8,IF($B$16&lt;$F$2,J8,G8))</f>
        <v>-2.5948538827325071E-3</v>
      </c>
      <c r="G88" s="133"/>
      <c r="H88" s="223">
        <f>D88*(E88+F88)</f>
        <v>-0.62276493185580173</v>
      </c>
      <c r="L88" s="1"/>
      <c r="M88" s="1"/>
      <c r="N88" s="1"/>
      <c r="O88" s="1"/>
    </row>
    <row r="90" spans="2:16" x14ac:dyDescent="0.25">
      <c r="B90" s="502" t="s">
        <v>387</v>
      </c>
      <c r="C90" s="503"/>
      <c r="D90" s="503"/>
      <c r="E90" s="503"/>
      <c r="F90" s="503"/>
      <c r="G90" s="503"/>
      <c r="H90" s="504"/>
      <c r="I90"/>
      <c r="J90" s="505" t="s">
        <v>387</v>
      </c>
      <c r="K90" s="505"/>
    </row>
    <row r="91" spans="2:16" x14ac:dyDescent="0.25">
      <c r="B91" s="450"/>
      <c r="C91" s="450"/>
      <c r="D91" s="451" t="s">
        <v>40</v>
      </c>
      <c r="E91" s="451" t="s">
        <v>10</v>
      </c>
      <c r="F91" s="451" t="s">
        <v>9</v>
      </c>
      <c r="G91" s="451" t="s">
        <v>34</v>
      </c>
      <c r="H91" s="451" t="s">
        <v>7</v>
      </c>
      <c r="I91"/>
      <c r="J91" s="506">
        <f>SUM(H92:H93)</f>
        <v>-15.11</v>
      </c>
      <c r="K91" s="507"/>
    </row>
    <row r="92" spans="2:16" x14ac:dyDescent="0.25">
      <c r="B92" s="453" t="s">
        <v>411</v>
      </c>
      <c r="C92" s="454"/>
      <c r="D92" s="455">
        <f>D23+D25</f>
        <v>100</v>
      </c>
      <c r="E92" s="452">
        <f>IF(AND($B$16&lt;$F$2,$E$16&lt;$F$2),C7,IF($B$16&lt;$F$2,I7,F7))</f>
        <v>0.34776399999999996</v>
      </c>
      <c r="F92" s="452">
        <f>IF(AND($B$16&lt;$F$2,$E$16&lt;$F$2),D7,IF($B$16&lt;$F$2,J7,G7))</f>
        <v>0.31576066666666669</v>
      </c>
      <c r="G92" s="452">
        <f>SUM(E92:F92)</f>
        <v>0.66352466666666665</v>
      </c>
      <c r="H92" s="456">
        <f>ROUND((D92*E92),2)+ROUND((D92*F92),2)</f>
        <v>66.36</v>
      </c>
      <c r="I92"/>
      <c r="J92" s="244"/>
      <c r="K92" s="244"/>
    </row>
    <row r="93" spans="2:16" x14ac:dyDescent="0.25">
      <c r="B93" s="453" t="s">
        <v>412</v>
      </c>
      <c r="C93" s="454"/>
      <c r="D93" s="455">
        <f>-D92</f>
        <v>-100</v>
      </c>
      <c r="E93" s="452">
        <f>IF(AND($B$16&lt;$F$2,$E$16&lt;$F$2),C6,IF($B$16&lt;$F$2,I6,F6))</f>
        <v>0.48621866666666663</v>
      </c>
      <c r="F93" s="452">
        <f>IF(AND($B$16&lt;$F$2,$E$16&lt;$F$2),D6,IF($B$16&lt;$F$2,J6,G6))</f>
        <v>0.32847799999999999</v>
      </c>
      <c r="G93" s="452">
        <f>SUM(E93:F93)</f>
        <v>0.81469666666666662</v>
      </c>
      <c r="H93" s="456">
        <f>ROUND((D93*E93),2)+ROUND((D93*F93),2)</f>
        <v>-81.47</v>
      </c>
      <c r="I93"/>
      <c r="J93" s="244"/>
      <c r="K93" s="244"/>
    </row>
  </sheetData>
  <mergeCells count="13">
    <mergeCell ref="B90:H90"/>
    <mergeCell ref="J90:K90"/>
    <mergeCell ref="J91:K91"/>
    <mergeCell ref="U4:W4"/>
    <mergeCell ref="X4:Z4"/>
    <mergeCell ref="K13:L13"/>
    <mergeCell ref="B56:H56"/>
    <mergeCell ref="B4:B5"/>
    <mergeCell ref="C4:E4"/>
    <mergeCell ref="F4:H4"/>
    <mergeCell ref="I4:K4"/>
    <mergeCell ref="Q4:Q5"/>
    <mergeCell ref="R4:T4"/>
  </mergeCells>
  <conditionalFormatting sqref="K14:L14">
    <cfRule type="cellIs" dxfId="125" priority="1" operator="equal">
      <formula>"Escassez Hídrica"</formula>
    </cfRule>
    <cfRule type="cellIs" dxfId="124" priority="2" operator="equal">
      <formula>"VERDE"</formula>
    </cfRule>
    <cfRule type="cellIs" dxfId="123" priority="3" operator="equal">
      <formula>"BVM2"</formula>
    </cfRule>
    <cfRule type="cellIs" dxfId="122" priority="4" operator="equal">
      <formula>"BVM1"</formula>
    </cfRule>
    <cfRule type="cellIs" dxfId="121" priority="5" operator="equal">
      <formula>"BAM"</formula>
    </cfRule>
  </conditionalFormatting>
  <conditionalFormatting sqref="M3">
    <cfRule type="cellIs" dxfId="120" priority="11" operator="equal">
      <formula>"VERDE"</formula>
    </cfRule>
    <cfRule type="cellIs" dxfId="119" priority="12" operator="equal">
      <formula>"BVM2"</formula>
    </cfRule>
    <cfRule type="cellIs" dxfId="118" priority="13" operator="equal">
      <formula>"BVM1"</formula>
    </cfRule>
    <cfRule type="cellIs" dxfId="117" priority="14" operator="equal">
      <formula>"BAM"</formula>
    </cfRule>
  </conditionalFormatting>
  <conditionalFormatting sqref="M7 M10">
    <cfRule type="containsText" dxfId="116" priority="6" operator="containsText" text="Escassez Hídrica">
      <formula>NOT(ISERROR(SEARCH("Escassez Hídrica",M7)))</formula>
    </cfRule>
    <cfRule type="cellIs" dxfId="115" priority="7" operator="equal">
      <formula>"VERDE"</formula>
    </cfRule>
    <cfRule type="cellIs" dxfId="114" priority="8" operator="equal">
      <formula>"BVM2"</formula>
    </cfRule>
    <cfRule type="cellIs" dxfId="113" priority="9" operator="equal">
      <formula>"BVM1"</formula>
    </cfRule>
    <cfRule type="cellIs" dxfId="112" priority="10" operator="equal">
      <formula>"BAM"</formula>
    </cfRule>
  </conditionalFormatting>
  <dataValidations disablePrompts="1" count="1">
    <dataValidation type="list" allowBlank="1" showInputMessage="1" showErrorMessage="1" sqref="K14:L14" xr:uid="{319BD4C8-E37D-4799-91DC-871EF453357D}">
      <formula1>$M$3:$M$10</formula1>
    </dataValidation>
  </dataValidations>
  <pageMargins left="0.511811024" right="0.511811024" top="0.78740157499999996" bottom="0.78740157499999996" header="0.31496062000000002" footer="0.31496062000000002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791A4-B9C8-4549-9B3A-E500A0AF2928}">
  <sheetPr>
    <tabColor rgb="FF00B050"/>
  </sheetPr>
  <dimension ref="A1:Z77"/>
  <sheetViews>
    <sheetView showGridLines="0" topLeftCell="A14" zoomScale="80" zoomScaleNormal="80" workbookViewId="0">
      <selection activeCell="J51" sqref="J51"/>
    </sheetView>
  </sheetViews>
  <sheetFormatPr defaultColWidth="9.125" defaultRowHeight="14.3" x14ac:dyDescent="0.25"/>
  <cols>
    <col min="1" max="1" width="5.375" style="19" customWidth="1"/>
    <col min="2" max="2" width="21" style="19" customWidth="1"/>
    <col min="3" max="3" width="13.875" style="19" customWidth="1"/>
    <col min="4" max="4" width="15.125" style="19" customWidth="1"/>
    <col min="5" max="5" width="21.75" style="19" bestFit="1" customWidth="1"/>
    <col min="6" max="6" width="16" style="19" customWidth="1"/>
    <col min="7" max="10" width="12.75" style="19" customWidth="1"/>
    <col min="11" max="12" width="13.875" style="19" customWidth="1"/>
    <col min="13" max="13" width="17.375" style="19" customWidth="1"/>
    <col min="14" max="14" width="12.75" style="19" customWidth="1"/>
    <col min="15" max="15" width="14" style="19" customWidth="1"/>
    <col min="16" max="16" width="16.125" style="19" customWidth="1"/>
    <col min="17" max="17" width="9.375" style="19" bestFit="1" customWidth="1"/>
    <col min="18" max="18" width="12.125" style="19" bestFit="1" customWidth="1"/>
    <col min="19" max="19" width="13.125" style="19" bestFit="1" customWidth="1"/>
    <col min="20" max="20" width="11.25" style="19" bestFit="1" customWidth="1"/>
    <col min="21" max="21" width="12.125" style="19" bestFit="1" customWidth="1"/>
    <col min="22" max="22" width="13.125" style="19" bestFit="1" customWidth="1"/>
    <col min="23" max="23" width="11.25" style="19" bestFit="1" customWidth="1"/>
    <col min="24" max="24" width="12.125" style="19" bestFit="1" customWidth="1"/>
    <col min="25" max="25" width="13.125" style="19" bestFit="1" customWidth="1"/>
    <col min="26" max="26" width="11.25" style="19" bestFit="1" customWidth="1"/>
    <col min="27" max="16384" width="9.125" style="19"/>
  </cols>
  <sheetData>
    <row r="1" spans="1:26" x14ac:dyDescent="0.25">
      <c r="A1" s="19" t="s">
        <v>8</v>
      </c>
      <c r="B1" s="19" t="s">
        <v>8</v>
      </c>
      <c r="F1" s="24"/>
      <c r="G1" s="1"/>
      <c r="H1" s="1" t="s">
        <v>8</v>
      </c>
      <c r="I1" s="1"/>
      <c r="J1" s="1"/>
      <c r="K1" s="1"/>
      <c r="L1" s="19" t="s">
        <v>8</v>
      </c>
    </row>
    <row r="2" spans="1:26" ht="19.05" x14ac:dyDescent="0.25">
      <c r="A2" s="19" t="s">
        <v>8</v>
      </c>
      <c r="B2" s="25" t="s">
        <v>66</v>
      </c>
      <c r="E2" s="20" t="s">
        <v>28</v>
      </c>
      <c r="F2" s="21">
        <f>'Fatura B1 (GD) OK'!F2</f>
        <v>46241</v>
      </c>
      <c r="G2" s="1" t="s">
        <v>8</v>
      </c>
      <c r="I2"/>
      <c r="J2" s="1"/>
      <c r="K2" s="1"/>
      <c r="M2" s="6" t="s">
        <v>12</v>
      </c>
      <c r="N2" s="6" t="s">
        <v>6</v>
      </c>
      <c r="O2" s="19" t="s">
        <v>29</v>
      </c>
      <c r="Q2" s="26" t="s">
        <v>30</v>
      </c>
      <c r="R2" s="27"/>
    </row>
    <row r="3" spans="1:26" x14ac:dyDescent="0.25">
      <c r="M3" s="7" t="s">
        <v>13</v>
      </c>
      <c r="N3" s="8">
        <v>0</v>
      </c>
    </row>
    <row r="4" spans="1:26" ht="14.95" customHeight="1" x14ac:dyDescent="0.25">
      <c r="B4" s="464" t="s">
        <v>31</v>
      </c>
      <c r="C4" s="466" t="str">
        <f>'Fatura B1 (GD) OK'!C4:E4</f>
        <v>TARIFA ANTIGA - REH 3508/2025</v>
      </c>
      <c r="D4" s="466"/>
      <c r="E4" s="466"/>
      <c r="F4" s="466" t="str">
        <f>'Fatura B1 (GD) OK'!F4</f>
        <v>TARIFA NOVA - REH xxxx/2026</v>
      </c>
      <c r="G4" s="466"/>
      <c r="H4" s="466"/>
      <c r="I4" s="467" t="s">
        <v>32</v>
      </c>
      <c r="J4" s="467"/>
      <c r="K4" s="467"/>
      <c r="M4" s="9" t="s">
        <v>14</v>
      </c>
      <c r="N4" s="10">
        <f>[1]BANDEIRA!$D$5</f>
        <v>1.8849999999999999E-2</v>
      </c>
      <c r="Q4" s="464" t="s">
        <v>31</v>
      </c>
      <c r="R4" s="457" t="str">
        <f>C4</f>
        <v>TARIFA ANTIGA - REH 3508/2025</v>
      </c>
      <c r="S4" s="458"/>
      <c r="T4" s="459"/>
      <c r="U4" s="457" t="str">
        <f>F4</f>
        <v>TARIFA NOVA - REH xxxx/2026</v>
      </c>
      <c r="V4" s="458"/>
      <c r="W4" s="459"/>
      <c r="X4" s="457" t="s">
        <v>32</v>
      </c>
      <c r="Y4" s="458"/>
      <c r="Z4" s="459"/>
    </row>
    <row r="5" spans="1:26" x14ac:dyDescent="0.25">
      <c r="B5" s="465"/>
      <c r="C5" s="28" t="s">
        <v>33</v>
      </c>
      <c r="D5" s="28" t="s">
        <v>9</v>
      </c>
      <c r="E5" s="28" t="s">
        <v>34</v>
      </c>
      <c r="F5" s="28" t="s">
        <v>33</v>
      </c>
      <c r="G5" s="28" t="s">
        <v>9</v>
      </c>
      <c r="H5" s="28" t="s">
        <v>34</v>
      </c>
      <c r="I5" s="29" t="s">
        <v>33</v>
      </c>
      <c r="J5" s="29" t="s">
        <v>9</v>
      </c>
      <c r="K5" s="29" t="s">
        <v>34</v>
      </c>
      <c r="M5" s="11" t="s">
        <v>15</v>
      </c>
      <c r="N5" s="12">
        <f>[1]BANDEIRA!$D$6</f>
        <v>4.4630000000000003E-2</v>
      </c>
      <c r="Q5" s="465"/>
      <c r="R5" s="28" t="s">
        <v>35</v>
      </c>
      <c r="S5"/>
      <c r="T5"/>
      <c r="U5" s="28" t="s">
        <v>35</v>
      </c>
      <c r="V5"/>
      <c r="W5"/>
      <c r="X5" s="28" t="s">
        <v>35</v>
      </c>
      <c r="Y5"/>
      <c r="Z5"/>
    </row>
    <row r="6" spans="1:26" x14ac:dyDescent="0.25">
      <c r="B6" s="30" t="s">
        <v>66</v>
      </c>
      <c r="C6" s="31">
        <f>'TABELA DE TARIFAS ANTIGAS'!G89/1000</f>
        <v>0.46862999999999999</v>
      </c>
      <c r="D6" s="31">
        <f>'TABELA DE TARIFAS ANTIGAS'!H89/1000</f>
        <v>0.32068000000000002</v>
      </c>
      <c r="E6" s="31">
        <f t="shared" ref="E6" si="0">C6+D6</f>
        <v>0.78930999999999996</v>
      </c>
      <c r="F6" s="31">
        <f>'TABELA DE TARIFAS NOVAS'!G91/1000</f>
        <v>0.50631999999999999</v>
      </c>
      <c r="G6" s="31">
        <f>'TABELA DE TARIFAS NOVAS'!H91/1000</f>
        <v>0.33738999999999997</v>
      </c>
      <c r="H6" s="31">
        <f t="shared" ref="H6" si="1">F6+G6</f>
        <v>0.84370999999999996</v>
      </c>
      <c r="I6" s="31">
        <f>((C6*$C$14)+(F6*$D$14))/($D$14+$C$14)</f>
        <v>0.50255099999999997</v>
      </c>
      <c r="J6" s="31">
        <f>((D6*$C$14)+(G6*$D$14))/($D$14+$C$14)</f>
        <v>0.33571899999999999</v>
      </c>
      <c r="K6" s="32">
        <f t="shared" ref="K6" si="2">I6+J6</f>
        <v>0.83826999999999996</v>
      </c>
      <c r="M6" s="13" t="s">
        <v>16</v>
      </c>
      <c r="N6" s="14">
        <f>[1]BANDEIRA!$D$7</f>
        <v>7.8770000000000007E-2</v>
      </c>
      <c r="P6" s="33"/>
      <c r="Q6" s="30" t="str">
        <f>B6</f>
        <v>B3</v>
      </c>
      <c r="R6" s="31">
        <f>'FIO B'!H35/1000</f>
        <v>0.20383072193179136</v>
      </c>
      <c r="S6"/>
      <c r="T6"/>
      <c r="U6" s="31">
        <f>'FIO B'!K35/1000</f>
        <v>0.20915159219558199</v>
      </c>
      <c r="V6"/>
      <c r="W6"/>
      <c r="X6" s="31">
        <f>((R6*$C$14)+(U6*$D$14))/($D$14+$C$14)</f>
        <v>0.20861950516920294</v>
      </c>
      <c r="Y6"/>
      <c r="Z6"/>
    </row>
    <row r="7" spans="1:26" x14ac:dyDescent="0.25">
      <c r="B7" s="242" t="s">
        <v>200</v>
      </c>
      <c r="C7" s="257">
        <v>1.8774721494831901E-4</v>
      </c>
      <c r="D7" s="256">
        <v>-4.4031307414479802E-3</v>
      </c>
      <c r="E7" s="32">
        <v>3.6054083865702689E-3</v>
      </c>
      <c r="F7" s="32">
        <f>T11</f>
        <v>1.84189231569235E-4</v>
      </c>
      <c r="G7" s="32">
        <f>U11</f>
        <v>-5.3182974871251499E-4</v>
      </c>
      <c r="H7" s="32">
        <f t="shared" ref="H7" si="3">F7+G7</f>
        <v>-3.4764051714327999E-4</v>
      </c>
      <c r="I7" s="31">
        <f>((C7*$C$14)+(F7*$D$14))/($D$14+$C$14)</f>
        <v>1.845450299071434E-4</v>
      </c>
      <c r="J7" s="31">
        <f>((D7*$C$14)+(G7*$D$14))/($D$14+$C$14)</f>
        <v>-9.1895984798606148E-4</v>
      </c>
      <c r="K7" s="32">
        <f t="shared" ref="K7" si="4">I7+J7</f>
        <v>-7.3441481807891805E-4</v>
      </c>
      <c r="M7" s="7" t="s">
        <v>17</v>
      </c>
      <c r="N7" s="323">
        <v>0.14199999999999999</v>
      </c>
      <c r="P7" s="33"/>
      <c r="Q7" s="82"/>
      <c r="R7" s="83"/>
      <c r="S7"/>
      <c r="T7"/>
      <c r="U7" s="83"/>
      <c r="V7"/>
      <c r="W7"/>
      <c r="X7" s="83"/>
      <c r="Y7"/>
      <c r="Z7"/>
    </row>
    <row r="8" spans="1:26" x14ac:dyDescent="0.25">
      <c r="B8" s="94" t="s">
        <v>57</v>
      </c>
      <c r="C8" s="83"/>
      <c r="D8" s="83"/>
      <c r="E8" s="83"/>
      <c r="F8" s="83"/>
      <c r="G8" s="81">
        <f>G6*15%</f>
        <v>5.0608499999999994E-2</v>
      </c>
      <c r="H8" s="83"/>
      <c r="I8" s="83"/>
      <c r="J8" s="31">
        <f>((D8*$C$14)+(G8*$D$14))/($D$14+$C$14)</f>
        <v>4.5547649999999988E-2</v>
      </c>
      <c r="K8" s="84"/>
      <c r="M8" s="131"/>
      <c r="N8" s="325"/>
      <c r="P8" s="227" t="s">
        <v>194</v>
      </c>
      <c r="Q8" s="228"/>
      <c r="R8" s="229" t="s">
        <v>195</v>
      </c>
      <c r="S8" s="229" t="s">
        <v>196</v>
      </c>
      <c r="T8" s="229" t="s">
        <v>35</v>
      </c>
      <c r="U8" s="229" t="s">
        <v>100</v>
      </c>
      <c r="V8"/>
      <c r="W8"/>
      <c r="X8" s="83"/>
      <c r="Y8"/>
      <c r="Z8"/>
    </row>
    <row r="9" spans="1:26" x14ac:dyDescent="0.25">
      <c r="A9" s="19" t="s">
        <v>8</v>
      </c>
      <c r="G9" s="1"/>
      <c r="H9" s="1"/>
      <c r="I9" s="1"/>
      <c r="J9" s="1"/>
      <c r="K9" s="1"/>
      <c r="O9" s="20"/>
      <c r="P9" s="230" t="s">
        <v>197</v>
      </c>
      <c r="Q9" s="231"/>
      <c r="R9" s="232"/>
      <c r="S9" s="232"/>
      <c r="T9" s="233"/>
      <c r="U9" s="233"/>
      <c r="V9"/>
      <c r="W9"/>
      <c r="X9"/>
      <c r="Y9"/>
      <c r="Z9"/>
    </row>
    <row r="10" spans="1:26" x14ac:dyDescent="0.25">
      <c r="B10" s="34"/>
      <c r="C10" s="35"/>
      <c r="D10" s="36"/>
      <c r="E10" s="35"/>
      <c r="F10" s="35"/>
      <c r="G10" s="35"/>
      <c r="H10" s="37" t="s">
        <v>37</v>
      </c>
      <c r="I10" s="1"/>
      <c r="L10" s="20" t="s">
        <v>25</v>
      </c>
      <c r="M10" s="21">
        <f>EOMONTH(B14,0)+1</f>
        <v>46266</v>
      </c>
      <c r="P10" s="234" t="s">
        <v>198</v>
      </c>
      <c r="Q10" s="235"/>
      <c r="R10" s="236"/>
      <c r="S10" s="236"/>
      <c r="T10" s="237"/>
      <c r="U10" s="256">
        <v>0</v>
      </c>
      <c r="V10"/>
      <c r="W10"/>
      <c r="X10"/>
      <c r="Y10"/>
      <c r="Z10"/>
    </row>
    <row r="11" spans="1:26" x14ac:dyDescent="0.25">
      <c r="B11" s="38" t="s">
        <v>38</v>
      </c>
      <c r="C11" s="411">
        <v>945467</v>
      </c>
      <c r="E11" s="1"/>
      <c r="F11" s="1"/>
      <c r="G11" s="1"/>
      <c r="H11" s="40">
        <f>E14</f>
        <v>46267</v>
      </c>
      <c r="K11" s="460" t="s">
        <v>26</v>
      </c>
      <c r="L11" s="460"/>
      <c r="P11" s="238" t="s">
        <v>199</v>
      </c>
      <c r="Q11" s="239"/>
      <c r="R11" s="240"/>
      <c r="S11" s="240"/>
      <c r="T11" s="257">
        <f>'Fatura B1 (GD) OK'!T11</f>
        <v>1.84189231569235E-4</v>
      </c>
      <c r="U11" s="257">
        <f>'Fatura B1 (GD) OK'!U11</f>
        <v>-5.3182974871251499E-4</v>
      </c>
      <c r="V11"/>
      <c r="W11"/>
      <c r="X11"/>
      <c r="Y11"/>
      <c r="Z11"/>
    </row>
    <row r="12" spans="1:26" x14ac:dyDescent="0.25">
      <c r="A12" s="19" t="s">
        <v>8</v>
      </c>
      <c r="B12" s="41"/>
      <c r="H12" s="42"/>
      <c r="K12" s="7" t="s">
        <v>14</v>
      </c>
      <c r="L12" s="7" t="s">
        <v>14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.2" x14ac:dyDescent="0.25">
      <c r="B13" s="16" t="s">
        <v>21</v>
      </c>
      <c r="C13" s="16" t="s">
        <v>22</v>
      </c>
      <c r="D13" s="16" t="s">
        <v>23</v>
      </c>
      <c r="E13" s="16" t="s">
        <v>24</v>
      </c>
      <c r="F13" s="1"/>
      <c r="G13" s="1"/>
      <c r="H13" s="43"/>
      <c r="J13" s="16" t="s">
        <v>21</v>
      </c>
      <c r="K13" s="16" t="s">
        <v>22</v>
      </c>
      <c r="L13" s="16" t="s">
        <v>23</v>
      </c>
      <c r="M13" s="16" t="s">
        <v>24</v>
      </c>
    </row>
    <row r="14" spans="1:26" x14ac:dyDescent="0.25">
      <c r="B14" s="17">
        <v>46237</v>
      </c>
      <c r="C14" s="18">
        <f>IF((F2-B14-1)&lt;0,0,(F2-B14-1))</f>
        <v>3</v>
      </c>
      <c r="D14" s="18">
        <f>E14-F2+1</f>
        <v>27</v>
      </c>
      <c r="E14" s="17">
        <v>46267</v>
      </c>
      <c r="F14" s="44"/>
      <c r="G14" s="44"/>
      <c r="H14" s="45"/>
      <c r="J14" s="22">
        <f>B14</f>
        <v>46237</v>
      </c>
      <c r="K14" s="23">
        <f>IF((M10-J14-1)&lt;0,0,(M10-J14-1))</f>
        <v>28</v>
      </c>
      <c r="L14" s="23">
        <f>M14-M10+1</f>
        <v>2</v>
      </c>
      <c r="M14" s="22">
        <f>E14</f>
        <v>46267</v>
      </c>
    </row>
    <row r="16" spans="1:26" x14ac:dyDescent="0.25">
      <c r="B16" s="1"/>
      <c r="F16" s="253"/>
      <c r="G16"/>
      <c r="H16" s="3"/>
    </row>
    <row r="17" spans="2:20" x14ac:dyDescent="0.25">
      <c r="B17" s="5" t="s">
        <v>55</v>
      </c>
      <c r="E17" s="26" t="s">
        <v>10</v>
      </c>
      <c r="F17" s="85">
        <v>1</v>
      </c>
      <c r="G17" s="86" t="s">
        <v>9</v>
      </c>
      <c r="H17" s="85">
        <v>1</v>
      </c>
      <c r="M17" s="357" t="s">
        <v>280</v>
      </c>
      <c r="N17" s="360"/>
      <c r="O17" s="359">
        <v>1025311205</v>
      </c>
    </row>
    <row r="18" spans="2:20" x14ac:dyDescent="0.25">
      <c r="B18" s="5"/>
    </row>
    <row r="19" spans="2:20" ht="41.95" customHeight="1" x14ac:dyDescent="0.25">
      <c r="B19" s="260" t="s">
        <v>207</v>
      </c>
      <c r="C19" s="260" t="s">
        <v>208</v>
      </c>
      <c r="D19" s="260" t="s">
        <v>209</v>
      </c>
      <c r="E19" s="261" t="s">
        <v>210</v>
      </c>
      <c r="F19" s="261" t="s">
        <v>211</v>
      </c>
      <c r="G19" s="261" t="s">
        <v>212</v>
      </c>
      <c r="H19" s="261" t="s">
        <v>213</v>
      </c>
      <c r="I19" s="261" t="s">
        <v>214</v>
      </c>
      <c r="J19" s="261" t="s">
        <v>215</v>
      </c>
      <c r="K19" s="262" t="s">
        <v>216</v>
      </c>
      <c r="L19" s="260" t="s">
        <v>217</v>
      </c>
      <c r="M19" s="261" t="s">
        <v>218</v>
      </c>
      <c r="N19" s="261" t="s">
        <v>219</v>
      </c>
      <c r="O19" s="261" t="s">
        <v>220</v>
      </c>
    </row>
    <row r="20" spans="2:20" x14ac:dyDescent="0.25">
      <c r="B20" s="263"/>
      <c r="C20" s="263"/>
      <c r="D20" s="263"/>
      <c r="E20" s="263"/>
      <c r="F20" s="263"/>
      <c r="G20" s="263"/>
      <c r="H20" s="263"/>
      <c r="I20" s="263"/>
      <c r="J20" s="263"/>
      <c r="K20" s="263"/>
      <c r="L20" s="264"/>
      <c r="M20" s="265"/>
      <c r="N20" s="265"/>
      <c r="O20" s="265"/>
      <c r="R20" s="26" t="s">
        <v>105</v>
      </c>
      <c r="S20" s="26" t="s">
        <v>106</v>
      </c>
    </row>
    <row r="21" spans="2:20" x14ac:dyDescent="0.25">
      <c r="B21" s="265" t="s">
        <v>221</v>
      </c>
      <c r="C21" s="266" t="s">
        <v>2</v>
      </c>
      <c r="D21" s="267">
        <v>2282</v>
      </c>
      <c r="E21" s="268">
        <f>(ROUND(D21*K21,2)+ROUND(G21,2)+ROUND(J21,2))/ROUND(D21,4)</f>
        <v>0.64529798422436457</v>
      </c>
      <c r="F21" s="269">
        <f t="shared" ref="F21:F26" si="5">ROUND(D21*E21,2)</f>
        <v>1472.57</v>
      </c>
      <c r="G21" s="269">
        <f t="shared" ref="G21:G26" si="6">((D21*K21)/(1-$N$21-$N$23))*($N$21+$N$23)</f>
        <v>75.411786496216564</v>
      </c>
      <c r="H21" s="270">
        <f>((D21*K21)/(1-$N$21-$N$23)/(1-$I$21))</f>
        <v>1472.5700825255619</v>
      </c>
      <c r="I21" s="271">
        <v>0.17</v>
      </c>
      <c r="J21" s="270">
        <f>(H21*$I$21)</f>
        <v>250.33691402934554</v>
      </c>
      <c r="K21" s="268">
        <f>IF(AND($B$14&lt;$F$2,$E$14&lt;$F$2),C6,IF($B$14&lt;$F$2,I6,F6))</f>
        <v>0.50255099999999997</v>
      </c>
      <c r="L21" s="47" t="s">
        <v>92</v>
      </c>
      <c r="M21" s="269">
        <f>D70</f>
        <v>2084.5678354470847</v>
      </c>
      <c r="N21" s="272">
        <v>1.0999999999999999E-2</v>
      </c>
      <c r="O21" s="273">
        <f>ROUND(M21*N21,2)</f>
        <v>22.93</v>
      </c>
      <c r="R21" s="254">
        <f>IF(AND($B$14&lt;$F$2,$E$14&lt;$F$2),R6,IF($B$14&lt;$F$2,X6,U6))</f>
        <v>0.20861950516920294</v>
      </c>
      <c r="S21" s="137">
        <f>D21*R21</f>
        <v>476.06971079612111</v>
      </c>
      <c r="T21" s="315" t="s">
        <v>392</v>
      </c>
    </row>
    <row r="22" spans="2:20" x14ac:dyDescent="0.25">
      <c r="B22" s="265" t="s">
        <v>222</v>
      </c>
      <c r="C22" s="266" t="s">
        <v>2</v>
      </c>
      <c r="D22" s="274">
        <f>D21</f>
        <v>2282</v>
      </c>
      <c r="E22" s="268">
        <f>(ROUND(D22*K22,2)+ROUND(G22,2)+ROUND(J22,2))/ROUND(D22,4)</f>
        <v>0.43107800175284838</v>
      </c>
      <c r="F22" s="269">
        <f t="shared" si="5"/>
        <v>983.72</v>
      </c>
      <c r="G22" s="269">
        <f t="shared" si="6"/>
        <v>50.377314045188108</v>
      </c>
      <c r="H22" s="270">
        <f>ROUND((D22*K22)/(1-$N$21-$N$23)/(1-$I$21),8)</f>
        <v>983.72056872999997</v>
      </c>
      <c r="I22" s="265"/>
      <c r="J22" s="270">
        <f>ROUND(H22*$I$21,2)</f>
        <v>167.23</v>
      </c>
      <c r="K22" s="268">
        <f>IF(AND($B$14&lt;$F$2,$E$14&lt;$F$2),D6,IF($B$14&lt;$F$2,J6,G6))</f>
        <v>0.33571899999999999</v>
      </c>
      <c r="L22" s="47" t="s">
        <v>230</v>
      </c>
      <c r="M22" s="269">
        <f>D71</f>
        <v>-357.17787488010231</v>
      </c>
      <c r="N22" s="272">
        <f>N21</f>
        <v>1.0999999999999999E-2</v>
      </c>
      <c r="O22" s="273">
        <f>ROUND(M22*N22,2)</f>
        <v>-3.93</v>
      </c>
    </row>
    <row r="23" spans="2:20" x14ac:dyDescent="0.25">
      <c r="B23" s="265" t="s">
        <v>43</v>
      </c>
      <c r="C23" s="266" t="s">
        <v>2</v>
      </c>
      <c r="D23" s="274">
        <f>IF($K$12=M4,($D$21*($K$14)/($K$14+$L$14)),0)+IF($L$12=M4,($D$21*($L$14)/($K$14+$L$14)),0)</f>
        <v>2282</v>
      </c>
      <c r="E23" s="268">
        <f>IFERROR((ROUND(D23*K23,2)+ROUND(G23,2)+ROUND(J23,2))/ROUND(D23,4), 0)</f>
        <v>2.4206836108676601E-2</v>
      </c>
      <c r="F23" s="269">
        <f t="shared" si="5"/>
        <v>55.24</v>
      </c>
      <c r="G23" s="269">
        <f t="shared" si="6"/>
        <v>2.8285928700841945</v>
      </c>
      <c r="H23" s="270">
        <f>ROUND((D23*K23)/(1-$N$21-$N$23)/(1-$I$21),8)</f>
        <v>55.234087799999998</v>
      </c>
      <c r="I23" s="265"/>
      <c r="J23" s="270">
        <f>ROUND(H23*$I$21,2)</f>
        <v>9.39</v>
      </c>
      <c r="K23" s="268">
        <f>N4</f>
        <v>1.8849999999999999E-2</v>
      </c>
      <c r="L23" s="47" t="s">
        <v>51</v>
      </c>
      <c r="M23" s="269">
        <f>M21</f>
        <v>2084.5678354470847</v>
      </c>
      <c r="N23" s="272">
        <v>5.0700000000000002E-2</v>
      </c>
      <c r="O23" s="273">
        <f>ROUND(M23*N23,2)</f>
        <v>105.69</v>
      </c>
      <c r="R23" s="276"/>
    </row>
    <row r="24" spans="2:20" x14ac:dyDescent="0.25">
      <c r="B24" s="265" t="s">
        <v>245</v>
      </c>
      <c r="C24" s="266" t="s">
        <v>2</v>
      </c>
      <c r="D24" s="274">
        <f>IF($K$12=M5,($D$21*($K$14)/($K$14+$L$14)),0)+IF($L$12=M5,($D$21*($L$14)/($K$14+$L$14)),0)</f>
        <v>0</v>
      </c>
      <c r="E24" s="268">
        <f>IFERROR((ROUND(D24*K24,2)+ROUND(G24,2)+ROUND(J24,2))/ROUND(D24,4), 0)</f>
        <v>0</v>
      </c>
      <c r="F24" s="269">
        <f t="shared" si="5"/>
        <v>0</v>
      </c>
      <c r="G24" s="269">
        <f t="shared" si="6"/>
        <v>0</v>
      </c>
      <c r="H24" s="270">
        <f>ROUND((D24*K24)/(1-$N$21-$N$23)/(1-$I$21),8)</f>
        <v>0</v>
      </c>
      <c r="I24" s="265"/>
      <c r="J24" s="270">
        <f>ROUND(H24*$I$21,2)</f>
        <v>0</v>
      </c>
      <c r="K24" s="268">
        <f>N5</f>
        <v>4.4630000000000003E-2</v>
      </c>
      <c r="L24" s="47" t="s">
        <v>231</v>
      </c>
      <c r="M24" s="269">
        <f>M22</f>
        <v>-357.17787488010231</v>
      </c>
      <c r="N24" s="272">
        <f>N23</f>
        <v>5.0700000000000002E-2</v>
      </c>
      <c r="O24" s="273">
        <f>ROUND(M24*N24,2)</f>
        <v>-18.11</v>
      </c>
    </row>
    <row r="25" spans="2:20" x14ac:dyDescent="0.25">
      <c r="B25" s="265" t="s">
        <v>246</v>
      </c>
      <c r="C25" s="266" t="s">
        <v>2</v>
      </c>
      <c r="D25" s="274">
        <f>IF($K$12=M6,($D$21*($K$14)/($K$14+$L$14)),0)+IF($L$12=M6,($D$21*($L$14)/($K$14+$L$14)),0)</f>
        <v>0</v>
      </c>
      <c r="E25" s="268">
        <f>IFERROR((ROUND(D25*K25,2)+ROUND(G25,2)+ROUND(J25,2))/ROUND(D25,4), 0)</f>
        <v>0</v>
      </c>
      <c r="F25" s="269">
        <f t="shared" si="5"/>
        <v>0</v>
      </c>
      <c r="G25" s="269">
        <f t="shared" si="6"/>
        <v>0</v>
      </c>
      <c r="H25" s="270">
        <f>ROUND((D25*K25)/(1-$N$21-$N$23)/(1-$I$21),8)</f>
        <v>0</v>
      </c>
      <c r="I25" s="265"/>
      <c r="J25" s="270">
        <f>ROUND(H25*$I$21,2)</f>
        <v>0</v>
      </c>
      <c r="K25" s="268">
        <f>N6</f>
        <v>7.8770000000000007E-2</v>
      </c>
      <c r="L25" s="47"/>
      <c r="M25" s="269"/>
      <c r="N25" s="269"/>
      <c r="O25" s="269"/>
    </row>
    <row r="26" spans="2:20" x14ac:dyDescent="0.25">
      <c r="B26" s="265" t="s">
        <v>251</v>
      </c>
      <c r="C26" s="266" t="s">
        <v>2</v>
      </c>
      <c r="D26" s="274">
        <f>IF($K$12=M7,($D$21*($K$14)/($K$14+$L$14)),0)+IF($L$12=M7,($D$21*($L$14)/($K$14+$L$14)),0)</f>
        <v>0</v>
      </c>
      <c r="E26" s="268">
        <f>IFERROR((ROUND(D26*K26,2)+ROUND(G26,2)+ROUND(J26,2))/ROUND(D26,4), 0)</f>
        <v>0</v>
      </c>
      <c r="F26" s="269">
        <f t="shared" si="5"/>
        <v>0</v>
      </c>
      <c r="G26" s="269">
        <f t="shared" si="6"/>
        <v>0</v>
      </c>
      <c r="H26" s="270">
        <f>ROUND((D26*K26)/(1-$N$21-$N$23)/(1-$I$21),8)</f>
        <v>0</v>
      </c>
      <c r="I26" s="265"/>
      <c r="J26" s="270">
        <f>ROUND(H26*$I$21,2)</f>
        <v>0</v>
      </c>
      <c r="K26" s="268">
        <f>N7</f>
        <v>0.14199999999999999</v>
      </c>
      <c r="L26" s="47"/>
      <c r="M26" s="269"/>
      <c r="N26" s="269"/>
      <c r="O26" s="269"/>
    </row>
    <row r="27" spans="2:20" x14ac:dyDescent="0.25">
      <c r="B27" s="265"/>
      <c r="C27" s="266"/>
      <c r="D27" s="274"/>
      <c r="E27" s="268"/>
      <c r="F27" s="269"/>
      <c r="G27" s="269"/>
      <c r="H27" s="270"/>
      <c r="I27" s="265"/>
      <c r="J27" s="270"/>
      <c r="K27" s="268"/>
      <c r="L27" s="47"/>
      <c r="M27" s="269"/>
      <c r="N27" s="269"/>
      <c r="O27" s="269"/>
    </row>
    <row r="28" spans="2:20" x14ac:dyDescent="0.25">
      <c r="B28" s="265" t="s">
        <v>227</v>
      </c>
      <c r="C28" s="266" t="s">
        <v>2</v>
      </c>
      <c r="D28" s="267">
        <v>-391</v>
      </c>
      <c r="E28" s="268">
        <f t="shared" ref="E28:E29" si="7">IFERROR((ROUND(D28*K28,2)+ROUND(G28,2)+ROUND(J28,2))/ROUND(D28,4),0)</f>
        <v>0.5356010230179028</v>
      </c>
      <c r="F28" s="269">
        <f>ROUND(D28*E28,2)</f>
        <v>-209.42</v>
      </c>
      <c r="G28" s="269">
        <f t="shared" ref="G28:G33" si="8">((D28*K28)/(1-$N$22-$N$24))*($N$22+$N$24)</f>
        <v>-12.921125556538421</v>
      </c>
      <c r="H28" s="270">
        <v>0</v>
      </c>
      <c r="I28" s="271">
        <v>0.12</v>
      </c>
      <c r="J28" s="265">
        <f t="shared" ref="J28:J33" si="9">H28*$I$21</f>
        <v>0</v>
      </c>
      <c r="K28" s="268">
        <f>K21</f>
        <v>0.50255099999999997</v>
      </c>
      <c r="L28" s="47"/>
      <c r="M28" s="269"/>
      <c r="N28" s="269"/>
      <c r="O28" s="269"/>
    </row>
    <row r="29" spans="2:20" x14ac:dyDescent="0.25">
      <c r="B29" s="265" t="s">
        <v>228</v>
      </c>
      <c r="C29" s="266" t="s">
        <v>2</v>
      </c>
      <c r="D29" s="274">
        <f>D28</f>
        <v>-391</v>
      </c>
      <c r="E29" s="268">
        <f t="shared" si="7"/>
        <v>0.43107416879795402</v>
      </c>
      <c r="F29" s="269">
        <f>ROUND(D29*E29,2)</f>
        <v>-168.55</v>
      </c>
      <c r="G29" s="269">
        <f t="shared" si="8"/>
        <v>-8.6316957895129498</v>
      </c>
      <c r="H29" s="270">
        <f>ROUND((D29*K29)/(1-$N$22-$N$24)/(1-$I$21),8)</f>
        <v>-168.55159613000001</v>
      </c>
      <c r="I29" s="271">
        <f>I21</f>
        <v>0.17</v>
      </c>
      <c r="J29" s="270">
        <f t="shared" si="9"/>
        <v>-28.653771342100004</v>
      </c>
      <c r="K29" s="268">
        <f>K22</f>
        <v>0.33571899999999999</v>
      </c>
      <c r="L29" s="47"/>
      <c r="M29" s="269"/>
      <c r="N29" s="269"/>
      <c r="O29" s="269"/>
    </row>
    <row r="30" spans="2:20" x14ac:dyDescent="0.25">
      <c r="B30" s="265" t="s">
        <v>229</v>
      </c>
      <c r="C30" s="266" t="s">
        <v>2</v>
      </c>
      <c r="D30" s="274">
        <f>IF($K$12=M4,($D$28*($K$14)/($K$14+$L$14)),0)+IF($L$12=M4,($D$28*($L$14)/($K$14+$L$14)),0)</f>
        <v>-391</v>
      </c>
      <c r="E30" s="268">
        <f>IFERROR((ROUND(D30*K30,2)+ROUND(G30,2)+ROUND(J30,2))/ROUND(D30,4),0)</f>
        <v>2.4194373401534526E-2</v>
      </c>
      <c r="F30" s="269">
        <f t="shared" ref="F30" si="10">ROUND(D30*E30,2)</f>
        <v>-9.4600000000000009</v>
      </c>
      <c r="G30" s="269">
        <f t="shared" si="8"/>
        <v>-0.48465373015027174</v>
      </c>
      <c r="H30" s="270">
        <f>(D30*K30)/(1-$N$22-$N$24)/(1-$I$21)</f>
        <v>-9.4638599158437007</v>
      </c>
      <c r="I30" s="265"/>
      <c r="J30" s="270">
        <f t="shared" si="9"/>
        <v>-1.6088561856934291</v>
      </c>
      <c r="K30" s="268">
        <f>N4</f>
        <v>1.8849999999999999E-2</v>
      </c>
      <c r="L30" s="255"/>
      <c r="M30" s="275"/>
      <c r="N30" s="275"/>
      <c r="O30" s="275"/>
      <c r="R30" s="276"/>
    </row>
    <row r="31" spans="2:20" x14ac:dyDescent="0.25">
      <c r="B31" s="265" t="s">
        <v>248</v>
      </c>
      <c r="C31" s="266" t="s">
        <v>2</v>
      </c>
      <c r="D31" s="274">
        <f>IF($K$12=M5,($D$28*($K$14)/($K$14+$L$14)),0)+IF($L$12=M5,($D$28*($L$14)/($K$14+$L$14)),0)</f>
        <v>0</v>
      </c>
      <c r="E31" s="268">
        <f t="shared" ref="E31:E33" si="11">IFERROR((ROUND(D31*K31,2)+ROUND(G31,2)+ROUND(J31,2))/ROUND(D31,4),0)</f>
        <v>0</v>
      </c>
      <c r="F31" s="269">
        <f t="shared" ref="F31:F33" si="12">ROUND(D31*E31,2)</f>
        <v>0</v>
      </c>
      <c r="G31" s="269">
        <f t="shared" si="8"/>
        <v>0</v>
      </c>
      <c r="H31" s="270">
        <f>(D31*K31)/(1-$N$22-$N$24)/(1-$I$21)</f>
        <v>0</v>
      </c>
      <c r="I31" s="265"/>
      <c r="J31" s="270">
        <f t="shared" si="9"/>
        <v>0</v>
      </c>
      <c r="K31" s="268">
        <f>N5</f>
        <v>4.4630000000000003E-2</v>
      </c>
      <c r="O31" s="264"/>
      <c r="R31" s="276"/>
    </row>
    <row r="32" spans="2:20" x14ac:dyDescent="0.25">
      <c r="B32" s="265" t="s">
        <v>249</v>
      </c>
      <c r="C32" s="266" t="s">
        <v>2</v>
      </c>
      <c r="D32" s="274">
        <f>IF($K$12=M6,($D$28*($K$14)/($K$14+$L$14)),0)+IF($L$12=M6,($D$28*($L$14)/($K$14+$L$14)),0)</f>
        <v>0</v>
      </c>
      <c r="E32" s="268">
        <f t="shared" si="11"/>
        <v>0</v>
      </c>
      <c r="F32" s="269">
        <f t="shared" si="12"/>
        <v>0</v>
      </c>
      <c r="G32" s="269">
        <f t="shared" si="8"/>
        <v>0</v>
      </c>
      <c r="H32" s="270">
        <f>(D32*K32)/(1-$N$22-$N$24)/(1-$I$21)</f>
        <v>0</v>
      </c>
      <c r="I32" s="265"/>
      <c r="J32" s="270">
        <f t="shared" si="9"/>
        <v>0</v>
      </c>
      <c r="K32" s="268">
        <f>N6</f>
        <v>7.8770000000000007E-2</v>
      </c>
      <c r="O32" s="264"/>
      <c r="R32" s="276"/>
    </row>
    <row r="33" spans="1:22" x14ac:dyDescent="0.25">
      <c r="B33" s="265" t="s">
        <v>250</v>
      </c>
      <c r="C33" s="266" t="s">
        <v>2</v>
      </c>
      <c r="D33" s="274">
        <f>IF($K$12=M7,($D$28*($K$14)/($K$14+$L$14)),0)+IF($L$12=M7,($D$28*($L$14)/($K$14+$L$14)),0)</f>
        <v>0</v>
      </c>
      <c r="E33" s="268">
        <f t="shared" si="11"/>
        <v>0</v>
      </c>
      <c r="F33" s="269">
        <f t="shared" si="12"/>
        <v>0</v>
      </c>
      <c r="G33" s="269">
        <f t="shared" si="8"/>
        <v>0</v>
      </c>
      <c r="H33" s="270">
        <f>(D33*K33)/(1-$N$22-$N$24)/(1-$I$21)</f>
        <v>0</v>
      </c>
      <c r="I33" s="265"/>
      <c r="J33" s="270">
        <f t="shared" si="9"/>
        <v>0</v>
      </c>
      <c r="K33" s="268">
        <f>N7</f>
        <v>0.14199999999999999</v>
      </c>
      <c r="O33" s="264"/>
      <c r="R33" s="276"/>
    </row>
    <row r="34" spans="1:22" x14ac:dyDescent="0.25">
      <c r="B34" s="265"/>
      <c r="C34" s="266"/>
      <c r="D34" s="274"/>
      <c r="E34" s="268"/>
      <c r="F34" s="269"/>
      <c r="G34" s="269"/>
      <c r="H34" s="270"/>
      <c r="I34" s="265"/>
      <c r="J34" s="270"/>
      <c r="K34" s="268"/>
      <c r="O34" s="264"/>
      <c r="Q34" s="56"/>
      <c r="R34" s="165"/>
      <c r="S34" s="277"/>
      <c r="T34" s="56"/>
    </row>
    <row r="35" spans="1:22" x14ac:dyDescent="0.25">
      <c r="B35" s="265" t="s">
        <v>224</v>
      </c>
      <c r="C35" s="265"/>
      <c r="D35" s="274"/>
      <c r="E35" s="265"/>
      <c r="F35" s="278"/>
      <c r="G35" s="265"/>
      <c r="H35" s="265"/>
      <c r="I35" s="265"/>
      <c r="J35" s="265"/>
      <c r="K35" s="265"/>
      <c r="O35" s="264"/>
      <c r="S35" s="277"/>
    </row>
    <row r="36" spans="1:22" x14ac:dyDescent="0.25">
      <c r="B36" s="265" t="s">
        <v>223</v>
      </c>
      <c r="C36" s="265"/>
      <c r="D36" s="274"/>
      <c r="E36" s="265"/>
      <c r="F36" s="278"/>
      <c r="G36" s="265"/>
      <c r="H36" s="265"/>
      <c r="I36" s="265"/>
      <c r="J36" s="265"/>
      <c r="K36" s="265"/>
      <c r="O36" s="264"/>
      <c r="S36" s="277"/>
    </row>
    <row r="37" spans="1:22" x14ac:dyDescent="0.25">
      <c r="B37" s="265" t="s">
        <v>247</v>
      </c>
      <c r="C37" s="265"/>
      <c r="D37" s="274"/>
      <c r="E37" s="265"/>
      <c r="F37" s="278"/>
      <c r="G37" s="265"/>
      <c r="H37" s="265"/>
      <c r="I37" s="265"/>
      <c r="J37" s="265"/>
      <c r="K37" s="265"/>
      <c r="O37" s="264"/>
      <c r="S37" s="277"/>
    </row>
    <row r="38" spans="1:22" x14ac:dyDescent="0.25">
      <c r="B38" s="265" t="s">
        <v>225</v>
      </c>
      <c r="C38" s="265"/>
      <c r="D38" s="274"/>
      <c r="E38" s="265"/>
      <c r="F38" s="278">
        <v>61.73</v>
      </c>
      <c r="G38" s="265"/>
      <c r="H38" s="265"/>
      <c r="I38" s="265"/>
      <c r="J38" s="265"/>
      <c r="K38" s="265"/>
      <c r="O38" s="264"/>
    </row>
    <row r="39" spans="1:22" x14ac:dyDescent="0.25">
      <c r="B39" s="265"/>
      <c r="C39" s="265"/>
      <c r="D39" s="274"/>
      <c r="E39" s="265"/>
      <c r="F39" s="265"/>
      <c r="G39" s="265"/>
      <c r="H39" s="265"/>
      <c r="I39" s="265"/>
      <c r="J39" s="265"/>
      <c r="K39" s="265"/>
      <c r="O39" s="264"/>
    </row>
    <row r="40" spans="1:22" x14ac:dyDescent="0.25">
      <c r="B40" s="265"/>
      <c r="C40" s="265"/>
      <c r="D40" s="274"/>
      <c r="E40" s="265"/>
      <c r="F40" s="265"/>
      <c r="G40" s="265"/>
      <c r="H40" s="265"/>
      <c r="I40" s="265"/>
      <c r="J40" s="265"/>
      <c r="K40" s="265"/>
      <c r="O40" s="264"/>
    </row>
    <row r="41" spans="1:22" x14ac:dyDescent="0.25">
      <c r="B41" s="279" t="s">
        <v>162</v>
      </c>
      <c r="C41" s="275"/>
      <c r="D41" s="280"/>
      <c r="E41" s="275"/>
      <c r="F41" s="281">
        <f>SUM(F21:F40)</f>
        <v>2185.8299999999995</v>
      </c>
      <c r="G41" s="282">
        <f>SUM(G21:G40)</f>
        <v>106.58021833528726</v>
      </c>
      <c r="H41" s="283">
        <f>SUM(H21:H40)</f>
        <v>2333.5092830097178</v>
      </c>
      <c r="I41" s="275"/>
      <c r="J41" s="283">
        <f>SUM(J21:J40)</f>
        <v>396.69428650155209</v>
      </c>
      <c r="K41" s="275"/>
      <c r="L41" s="75"/>
      <c r="M41" s="75"/>
      <c r="N41" s="75"/>
      <c r="O41" s="255"/>
    </row>
    <row r="42" spans="1:22" x14ac:dyDescent="0.25">
      <c r="B42" s="5"/>
    </row>
    <row r="43" spans="1:22" x14ac:dyDescent="0.25">
      <c r="B43" s="223" t="s">
        <v>193</v>
      </c>
      <c r="C43" s="133"/>
      <c r="D43" s="224">
        <v>50</v>
      </c>
      <c r="E43" s="225">
        <v>1.84189231569235E-4</v>
      </c>
      <c r="F43" s="225">
        <v>-5.3182974871251499E-4</v>
      </c>
      <c r="G43" s="133"/>
      <c r="H43" s="223">
        <v>-1.7382025857163998E-2</v>
      </c>
    </row>
    <row r="44" spans="1:22" x14ac:dyDescent="0.25">
      <c r="I44"/>
      <c r="J44"/>
      <c r="K44"/>
      <c r="L44"/>
      <c r="M44"/>
      <c r="N44"/>
      <c r="O44"/>
      <c r="P44"/>
      <c r="Q44"/>
      <c r="R44"/>
      <c r="S44"/>
      <c r="T44"/>
      <c r="U44"/>
      <c r="V44"/>
    </row>
    <row r="45" spans="1:22" x14ac:dyDescent="0.25">
      <c r="B45" s="461" t="s">
        <v>39</v>
      </c>
      <c r="C45" s="462"/>
      <c r="D45" s="462"/>
      <c r="E45" s="462"/>
      <c r="F45" s="462"/>
      <c r="G45" s="462"/>
      <c r="H45" s="463"/>
      <c r="I45"/>
      <c r="J45"/>
      <c r="K45"/>
      <c r="L45"/>
      <c r="M45"/>
      <c r="N45"/>
      <c r="O45"/>
      <c r="P45"/>
      <c r="Q45"/>
      <c r="R45"/>
      <c r="S45"/>
      <c r="T45"/>
      <c r="U45"/>
      <c r="V45"/>
    </row>
    <row r="46" spans="1:22" x14ac:dyDescent="0.25">
      <c r="B46" s="41"/>
      <c r="D46" s="46" t="s">
        <v>40</v>
      </c>
      <c r="E46" s="46" t="s">
        <v>10</v>
      </c>
      <c r="F46" s="46" t="s">
        <v>9</v>
      </c>
      <c r="G46" s="46" t="s">
        <v>34</v>
      </c>
      <c r="H46" s="47" t="s">
        <v>7</v>
      </c>
      <c r="I46"/>
      <c r="J46" s="46" t="s">
        <v>8</v>
      </c>
      <c r="K46"/>
      <c r="L46"/>
      <c r="M46"/>
      <c r="N46"/>
      <c r="O46"/>
      <c r="P46"/>
      <c r="Q46"/>
      <c r="R46"/>
      <c r="S46"/>
      <c r="T46"/>
      <c r="U46"/>
      <c r="V46"/>
    </row>
    <row r="47" spans="1:22" x14ac:dyDescent="0.25">
      <c r="A47" s="19" t="s">
        <v>8</v>
      </c>
      <c r="B47" s="48" t="s">
        <v>41</v>
      </c>
      <c r="C47" s="49"/>
      <c r="D47" s="50"/>
      <c r="E47" s="50"/>
      <c r="F47" s="50"/>
      <c r="G47" s="50"/>
      <c r="H47" s="51">
        <f>SUM(H49:H65)+SUM(H70:H75)</f>
        <v>2124.0870865792917</v>
      </c>
      <c r="I47"/>
      <c r="J47"/>
      <c r="K47"/>
      <c r="L47"/>
      <c r="M47"/>
      <c r="N47"/>
      <c r="O47"/>
      <c r="P47"/>
      <c r="Q47"/>
      <c r="R47"/>
      <c r="S47"/>
      <c r="T47"/>
      <c r="U47"/>
      <c r="V47"/>
    </row>
    <row r="48" spans="1:22" x14ac:dyDescent="0.25">
      <c r="A48" s="19" t="s">
        <v>8</v>
      </c>
      <c r="B48" s="41"/>
      <c r="D48" s="46"/>
      <c r="E48" s="46"/>
      <c r="F48" s="46"/>
      <c r="G48" s="46"/>
      <c r="H48" s="52"/>
      <c r="I48"/>
      <c r="J48"/>
      <c r="K48"/>
      <c r="L48"/>
      <c r="M48"/>
      <c r="N48"/>
      <c r="O48"/>
      <c r="P48"/>
      <c r="Q48"/>
      <c r="R48"/>
      <c r="S48"/>
      <c r="T48"/>
      <c r="U48"/>
      <c r="V48"/>
    </row>
    <row r="49" spans="1:22" x14ac:dyDescent="0.25">
      <c r="A49" s="19" t="s">
        <v>8</v>
      </c>
      <c r="B49" s="41" t="s">
        <v>42</v>
      </c>
      <c r="D49" s="89">
        <f>D21</f>
        <v>2282</v>
      </c>
      <c r="E49" s="53">
        <f>IF(AND($B$14&lt;$F$2,$E$14&lt;$F$2),C6,IF($B$14&lt;$F$2,I6,F6))</f>
        <v>0.50255099999999997</v>
      </c>
      <c r="F49" s="53">
        <f>IF(AND($B$14&lt;$F$2,$E$14&lt;$F$2),D6,IF($B$14&lt;$F$2,J6,G6))</f>
        <v>0.33571899999999999</v>
      </c>
      <c r="G49" s="53">
        <f>E49+F49</f>
        <v>0.83826999999999996</v>
      </c>
      <c r="H49" s="54">
        <f>ROUND((D49*E49),2)+ROUND((D49*F49),2)</f>
        <v>1912.9299999999998</v>
      </c>
      <c r="I49"/>
      <c r="J49"/>
      <c r="K49"/>
      <c r="L49"/>
      <c r="M49" s="90"/>
      <c r="N49"/>
      <c r="O49"/>
      <c r="P49"/>
      <c r="Q49"/>
      <c r="R49"/>
      <c r="S49"/>
      <c r="T49"/>
      <c r="U49"/>
      <c r="V49"/>
    </row>
    <row r="50" spans="1:22" x14ac:dyDescent="0.25">
      <c r="B50" s="41"/>
      <c r="D50" s="55"/>
      <c r="E50" s="56"/>
      <c r="F50" s="57"/>
      <c r="G50" s="57"/>
      <c r="H50" s="54"/>
      <c r="I50"/>
      <c r="J50"/>
      <c r="K50"/>
      <c r="L50"/>
      <c r="M50"/>
      <c r="N50"/>
      <c r="O50"/>
      <c r="P50"/>
      <c r="Q50"/>
      <c r="R50"/>
      <c r="S50"/>
      <c r="T50"/>
      <c r="U50"/>
      <c r="V50"/>
    </row>
    <row r="51" spans="1:22" x14ac:dyDescent="0.25">
      <c r="B51" s="41" t="s">
        <v>43</v>
      </c>
      <c r="D51" s="58">
        <f>IF($K$12=M4,(D49*(K14)/(K14+L14)),0)+IF($L$12=M4,(D49*(L14)/(K14+L14)),0)</f>
        <v>2282</v>
      </c>
      <c r="F51" s="59">
        <f>N4</f>
        <v>1.8849999999999999E-2</v>
      </c>
      <c r="G51" s="59"/>
      <c r="H51" s="54">
        <f>ROUND(D51*(E51+F51),2)</f>
        <v>43.02</v>
      </c>
      <c r="I51"/>
      <c r="J51"/>
      <c r="K51"/>
      <c r="L51"/>
      <c r="M51"/>
      <c r="N51"/>
      <c r="O51"/>
      <c r="P51"/>
      <c r="Q51"/>
      <c r="R51"/>
      <c r="S51"/>
      <c r="T51"/>
      <c r="U51"/>
      <c r="V51"/>
    </row>
    <row r="52" spans="1:22" x14ac:dyDescent="0.25">
      <c r="B52" s="41" t="s">
        <v>44</v>
      </c>
      <c r="D52" s="58">
        <f>IF($K$12=M5,(D49*(K14)/(K14+L14)),0)+IF($L$12=M5,(D49*(L14)/(K14+L14)),0)</f>
        <v>0</v>
      </c>
      <c r="F52" s="59">
        <f>N5</f>
        <v>4.4630000000000003E-2</v>
      </c>
      <c r="G52" s="59"/>
      <c r="H52" s="54">
        <f>ROUND(D52*(E52+F52),2)</f>
        <v>0</v>
      </c>
      <c r="I52"/>
      <c r="J52"/>
      <c r="K52"/>
      <c r="L52" s="98"/>
      <c r="M52"/>
      <c r="N52"/>
      <c r="O52"/>
      <c r="P52"/>
      <c r="Q52"/>
      <c r="R52"/>
      <c r="S52"/>
      <c r="T52"/>
      <c r="U52"/>
      <c r="V52"/>
    </row>
    <row r="53" spans="1:22" x14ac:dyDescent="0.25">
      <c r="B53" s="41" t="s">
        <v>45</v>
      </c>
      <c r="D53" s="58">
        <f>IF($K$12=M6,(D49*(K14)/(K14+L14)),0)+IF($L$12=M6,(D49*(L14)/(K14+L14)),0)</f>
        <v>0</v>
      </c>
      <c r="F53" s="59">
        <f>N6</f>
        <v>7.8770000000000007E-2</v>
      </c>
      <c r="G53" s="59"/>
      <c r="H53" s="54">
        <f>ROUND(D53*(E53+F53),2)</f>
        <v>0</v>
      </c>
      <c r="I53"/>
      <c r="J53"/>
      <c r="K53"/>
      <c r="L53"/>
      <c r="M53"/>
      <c r="N53"/>
      <c r="O53"/>
      <c r="P53"/>
      <c r="Q53"/>
      <c r="R53"/>
      <c r="S53"/>
      <c r="T53"/>
      <c r="U53"/>
      <c r="V53"/>
    </row>
    <row r="54" spans="1:22" x14ac:dyDescent="0.25">
      <c r="B54" s="41" t="s">
        <v>46</v>
      </c>
      <c r="D54" s="58">
        <f>IF($K$12=M8,(D49*(K14)/(K14+L14)),0)+IF($L$12=M8,(D49*(L14)/(K14+L14)),0)</f>
        <v>0</v>
      </c>
      <c r="F54" s="59">
        <f>N8</f>
        <v>0</v>
      </c>
      <c r="G54" s="59"/>
      <c r="H54" s="54">
        <f>ROUND(D54*(E54+F54),2)</f>
        <v>0</v>
      </c>
      <c r="I54"/>
      <c r="J54"/>
      <c r="K54"/>
      <c r="L54"/>
      <c r="M54"/>
      <c r="N54"/>
      <c r="O54"/>
      <c r="P54"/>
      <c r="Q54"/>
      <c r="R54"/>
      <c r="S54"/>
      <c r="T54"/>
      <c r="U54"/>
      <c r="V54"/>
    </row>
    <row r="55" spans="1:22" x14ac:dyDescent="0.25">
      <c r="B55" s="41"/>
      <c r="D55" s="60"/>
      <c r="H55" s="54"/>
      <c r="I55" s="1"/>
      <c r="J55" s="1"/>
      <c r="K55" s="90"/>
      <c r="L55" s="1"/>
      <c r="M55" s="1"/>
      <c r="N55" s="1"/>
      <c r="O55" s="1"/>
      <c r="P55" s="1"/>
    </row>
    <row r="56" spans="1:22" x14ac:dyDescent="0.25">
      <c r="B56" s="41" t="s">
        <v>47</v>
      </c>
      <c r="D56" s="222">
        <f>D28</f>
        <v>-391</v>
      </c>
      <c r="E56" s="53">
        <f>E49*F17</f>
        <v>0.50255099999999997</v>
      </c>
      <c r="F56" s="53">
        <f>F49</f>
        <v>0.33571899999999999</v>
      </c>
      <c r="G56" s="53">
        <f>E56+F56</f>
        <v>0.83826999999999996</v>
      </c>
      <c r="H56" s="54">
        <f>ROUND((D56*E56),2)+ROUND((D56*F56),2)</f>
        <v>-327.77</v>
      </c>
      <c r="I56" s="1"/>
      <c r="J56" s="1"/>
      <c r="K56" s="90"/>
      <c r="L56" s="1"/>
      <c r="M56" s="90"/>
      <c r="N56" s="1"/>
      <c r="O56" s="1"/>
      <c r="P56" s="1"/>
    </row>
    <row r="57" spans="1:22" x14ac:dyDescent="0.25">
      <c r="B57" s="41"/>
      <c r="D57" s="55"/>
      <c r="E57" s="56"/>
      <c r="F57" s="57"/>
      <c r="G57" s="57"/>
      <c r="H57" s="54"/>
      <c r="I57" s="1"/>
      <c r="J57" s="1"/>
      <c r="K57" s="90"/>
      <c r="L57" s="1"/>
      <c r="M57" s="1"/>
      <c r="N57" s="1"/>
      <c r="O57" s="1"/>
      <c r="P57" s="1"/>
    </row>
    <row r="58" spans="1:22" x14ac:dyDescent="0.25">
      <c r="B58" s="41" t="s">
        <v>43</v>
      </c>
      <c r="D58" s="58">
        <f>IF($K$12=M4,(D56*(K14)/(K14+L14)),0)+IF($L$12=M4,(D56*(L14)/(K14+L14)),0)</f>
        <v>-391</v>
      </c>
      <c r="F58" s="59">
        <f>F51</f>
        <v>1.8849999999999999E-2</v>
      </c>
      <c r="G58" s="59"/>
      <c r="H58" s="54">
        <f>ROUND(D58*(E58+F58),2)</f>
        <v>-7.37</v>
      </c>
      <c r="I58" s="1"/>
      <c r="J58" s="1"/>
      <c r="K58" s="1"/>
      <c r="L58" s="1"/>
      <c r="M58" s="1"/>
      <c r="N58" s="1"/>
      <c r="O58" s="1"/>
      <c r="P58" s="1"/>
    </row>
    <row r="59" spans="1:22" x14ac:dyDescent="0.25">
      <c r="B59" s="41" t="s">
        <v>44</v>
      </c>
      <c r="D59" s="58">
        <f>IF($K$12=M5,(D56*(K14)/(K14+L14)),0)+IF($L$12=M5,(D56*(L14)/(K14+L14)),0)</f>
        <v>0</v>
      </c>
      <c r="F59" s="59">
        <f t="shared" ref="F59:F61" si="13">F52</f>
        <v>4.4630000000000003E-2</v>
      </c>
      <c r="G59" s="59"/>
      <c r="H59" s="54">
        <f>ROUND(D59*(E59+F59),2)</f>
        <v>0</v>
      </c>
      <c r="I59" s="1"/>
      <c r="J59" s="1"/>
      <c r="K59" s="1"/>
      <c r="L59" s="1"/>
      <c r="M59" s="1"/>
      <c r="N59" s="1"/>
      <c r="O59" s="1"/>
      <c r="P59" s="1"/>
    </row>
    <row r="60" spans="1:22" x14ac:dyDescent="0.25">
      <c r="B60" s="41" t="s">
        <v>45</v>
      </c>
      <c r="D60" s="58">
        <f>IF($K$12=M6,(D56*(K14)/(K14+L14)),0)+IF($L$12=M6,(D56*(L14)/(K14+L14)),0)</f>
        <v>0</v>
      </c>
      <c r="F60" s="59">
        <f t="shared" si="13"/>
        <v>7.8770000000000007E-2</v>
      </c>
      <c r="G60" s="59"/>
      <c r="H60" s="54">
        <f>ROUND(D60*(E60+F60),2)</f>
        <v>0</v>
      </c>
      <c r="I60" s="1"/>
      <c r="J60" s="1"/>
      <c r="K60" s="1"/>
      <c r="L60" s="1"/>
      <c r="M60" s="1"/>
      <c r="N60" s="1"/>
      <c r="O60" s="1"/>
      <c r="P60" s="1"/>
    </row>
    <row r="61" spans="1:22" x14ac:dyDescent="0.25">
      <c r="B61" s="41" t="s">
        <v>46</v>
      </c>
      <c r="D61" s="58">
        <f>IF($K$12=M8,(D56*(K14)/(K14+L14)),0)+IF($L$12=M8,(D56*(L14)/(K14+L14)),0)</f>
        <v>0</v>
      </c>
      <c r="F61" s="59">
        <f t="shared" si="13"/>
        <v>0</v>
      </c>
      <c r="G61" s="59"/>
      <c r="H61" s="54">
        <f>ROUND(D61*(E61+F61),2)</f>
        <v>0</v>
      </c>
      <c r="J61" s="1"/>
      <c r="K61" s="1"/>
      <c r="L61" s="1"/>
      <c r="M61" s="1"/>
      <c r="N61" s="1"/>
      <c r="O61" s="1"/>
      <c r="P61" s="1"/>
    </row>
    <row r="62" spans="1:22" x14ac:dyDescent="0.25">
      <c r="B62" s="41"/>
      <c r="D62" s="58"/>
      <c r="F62" s="59"/>
      <c r="G62" s="59"/>
      <c r="H62" s="54"/>
      <c r="J62" s="1"/>
      <c r="K62" s="1"/>
      <c r="L62" s="1"/>
      <c r="M62" s="1"/>
      <c r="N62" s="1"/>
      <c r="O62" s="1"/>
      <c r="P62" s="1"/>
    </row>
    <row r="63" spans="1:22" x14ac:dyDescent="0.25">
      <c r="B63" s="119"/>
      <c r="C63" s="120"/>
      <c r="D63" s="121"/>
      <c r="E63" s="122"/>
      <c r="F63" s="123"/>
      <c r="G63" s="122"/>
      <c r="H63" s="124"/>
      <c r="I63" s="116"/>
      <c r="J63" s="1"/>
      <c r="K63" s="1"/>
      <c r="L63" s="1"/>
      <c r="M63" s="1"/>
      <c r="N63" s="1"/>
      <c r="O63" s="1"/>
      <c r="P63" s="1"/>
    </row>
    <row r="64" spans="1:22" x14ac:dyDescent="0.25">
      <c r="B64" s="119"/>
      <c r="C64" s="120"/>
      <c r="D64" s="125"/>
      <c r="E64" s="120"/>
      <c r="F64" s="126"/>
      <c r="G64" s="126"/>
      <c r="H64" s="124"/>
      <c r="I64" s="1"/>
      <c r="J64" s="1"/>
      <c r="K64" s="1"/>
      <c r="L64" s="1"/>
      <c r="M64" s="1"/>
      <c r="N64" s="1"/>
      <c r="O64" s="1"/>
      <c r="P64" s="1"/>
    </row>
    <row r="65" spans="2:16" x14ac:dyDescent="0.25">
      <c r="B65" s="119"/>
      <c r="C65" s="120"/>
      <c r="D65" s="121"/>
      <c r="E65" s="122"/>
      <c r="F65" s="123"/>
      <c r="G65" s="122"/>
      <c r="H65" s="124"/>
      <c r="I65" s="97"/>
      <c r="K65" s="1"/>
      <c r="L65" s="1"/>
      <c r="M65" s="1"/>
      <c r="N65" s="1"/>
      <c r="O65" s="1"/>
      <c r="P65" s="1"/>
    </row>
    <row r="66" spans="2:16" x14ac:dyDescent="0.25">
      <c r="B66" s="61"/>
      <c r="C66" s="24"/>
      <c r="D66" s="24"/>
      <c r="E66" s="24"/>
      <c r="F66" s="24"/>
      <c r="G66" s="24"/>
      <c r="H66" s="62"/>
      <c r="I66"/>
      <c r="J66" s="1"/>
      <c r="K66" s="1"/>
      <c r="L66" s="1"/>
      <c r="M66" s="1"/>
      <c r="N66" s="1"/>
      <c r="O66" s="1"/>
      <c r="P66" s="1"/>
    </row>
    <row r="67" spans="2:16" x14ac:dyDescent="0.25">
      <c r="B67" s="34"/>
      <c r="C67" s="35"/>
      <c r="D67" s="35"/>
      <c r="E67" s="35"/>
      <c r="F67" s="35"/>
      <c r="G67" s="35"/>
      <c r="H67" s="96">
        <f>SUM(H49:H66)</f>
        <v>1620.81</v>
      </c>
      <c r="I67" s="1"/>
      <c r="L67" s="1"/>
      <c r="M67" s="1"/>
      <c r="N67" s="1"/>
      <c r="O67" s="1"/>
      <c r="P67" s="1"/>
    </row>
    <row r="68" spans="2:16" x14ac:dyDescent="0.25">
      <c r="B68" s="95"/>
      <c r="C68" s="1"/>
      <c r="D68" s="1"/>
      <c r="E68" s="1"/>
      <c r="F68" s="1"/>
      <c r="G68" s="1"/>
      <c r="H68" s="43"/>
      <c r="I68" s="1"/>
      <c r="L68" s="1"/>
      <c r="M68" s="1"/>
      <c r="N68" s="1"/>
      <c r="O68" s="1"/>
      <c r="P68" s="1"/>
    </row>
    <row r="69" spans="2:16" x14ac:dyDescent="0.25">
      <c r="B69" s="41"/>
      <c r="D69" s="63" t="s">
        <v>48</v>
      </c>
      <c r="E69" s="64"/>
      <c r="F69" s="64"/>
      <c r="G69" s="64"/>
      <c r="H69" s="65"/>
      <c r="I69" s="66"/>
      <c r="K69" s="67"/>
      <c r="L69" s="1"/>
      <c r="M69" s="1"/>
      <c r="N69" s="1"/>
      <c r="O69" s="1"/>
      <c r="P69" s="1"/>
    </row>
    <row r="70" spans="2:16" x14ac:dyDescent="0.25">
      <c r="B70" s="41" t="s">
        <v>49</v>
      </c>
      <c r="D70" s="68">
        <f>(H49+H51+H52+H53+H54)/(1-E70-E72)</f>
        <v>2084.5678354470847</v>
      </c>
      <c r="E70" s="69">
        <f>N21</f>
        <v>1.0999999999999999E-2</v>
      </c>
      <c r="H70" s="70">
        <f>D70*E70</f>
        <v>22.930246189917931</v>
      </c>
      <c r="I70" s="67"/>
      <c r="L70" s="1"/>
      <c r="M70" s="1"/>
      <c r="N70" s="1"/>
      <c r="O70" s="1"/>
      <c r="P70" s="1"/>
    </row>
    <row r="71" spans="2:16" x14ac:dyDescent="0.25">
      <c r="B71" s="41" t="s">
        <v>50</v>
      </c>
      <c r="D71" s="68">
        <f>(H56+H58+H59+H60+H61+H63+H65)/(1-E70-E72)</f>
        <v>-357.17787488010231</v>
      </c>
      <c r="E71" s="71">
        <f>E70</f>
        <v>1.0999999999999999E-2</v>
      </c>
      <c r="H71" s="70">
        <f t="shared" ref="H71:H73" si="14">D71*E71</f>
        <v>-3.9289566236811253</v>
      </c>
      <c r="I71" s="67"/>
      <c r="L71" s="1"/>
      <c r="M71" s="1"/>
      <c r="N71" s="1"/>
      <c r="O71" s="1"/>
      <c r="P71" s="1"/>
    </row>
    <row r="72" spans="2:16" x14ac:dyDescent="0.25">
      <c r="B72" s="41" t="s">
        <v>51</v>
      </c>
      <c r="D72" s="68">
        <f>D70</f>
        <v>2084.5678354470847</v>
      </c>
      <c r="E72" s="69">
        <f>N23</f>
        <v>5.0700000000000002E-2</v>
      </c>
      <c r="H72" s="70">
        <f t="shared" si="14"/>
        <v>105.6875892571672</v>
      </c>
      <c r="I72" s="67"/>
      <c r="L72" s="1"/>
      <c r="M72" s="1"/>
      <c r="N72" s="1"/>
      <c r="O72" s="1"/>
      <c r="P72" s="1"/>
    </row>
    <row r="73" spans="2:16" x14ac:dyDescent="0.25">
      <c r="B73" s="41" t="s">
        <v>52</v>
      </c>
      <c r="D73" s="68">
        <f>D71</f>
        <v>-357.17787488010231</v>
      </c>
      <c r="E73" s="71">
        <f>E72</f>
        <v>5.0700000000000002E-2</v>
      </c>
      <c r="H73" s="70">
        <f t="shared" si="14"/>
        <v>-18.108918256421187</v>
      </c>
      <c r="I73" s="67"/>
      <c r="L73" s="1"/>
      <c r="M73" s="1"/>
      <c r="N73" s="1"/>
      <c r="O73" s="1"/>
      <c r="P73" s="1"/>
    </row>
    <row r="74" spans="2:16" x14ac:dyDescent="0.25">
      <c r="B74" s="41" t="s">
        <v>11</v>
      </c>
      <c r="D74" s="72">
        <f>D70/(1-E74)</f>
        <v>2511.5275125868493</v>
      </c>
      <c r="E74" s="73">
        <v>0.17</v>
      </c>
      <c r="H74" s="70">
        <f>D74*E74</f>
        <v>426.95967713976444</v>
      </c>
      <c r="I74" s="67"/>
      <c r="L74" s="1"/>
      <c r="M74" s="1"/>
      <c r="N74" s="1"/>
      <c r="O74" s="1"/>
      <c r="P74" s="1"/>
    </row>
    <row r="75" spans="2:16" x14ac:dyDescent="0.25">
      <c r="B75" s="74" t="s">
        <v>53</v>
      </c>
      <c r="C75" s="75"/>
      <c r="D75" s="76">
        <f>((D56*F56)+(H58+H59+H60+H61)+(D63*F63)+(D65*F65))/(1-E71-E73)/(1-E75)</f>
        <v>-178.01500663209166</v>
      </c>
      <c r="E75" s="77">
        <f>E74</f>
        <v>0.17</v>
      </c>
      <c r="F75" s="75"/>
      <c r="G75" s="75"/>
      <c r="H75" s="78">
        <f>D75*E75</f>
        <v>-30.262551127455584</v>
      </c>
      <c r="L75" s="1"/>
      <c r="M75" s="1"/>
      <c r="N75" s="1"/>
      <c r="O75" s="1"/>
      <c r="P75" s="1"/>
    </row>
    <row r="76" spans="2:16" x14ac:dyDescent="0.25">
      <c r="L76" s="1"/>
      <c r="M76" s="1"/>
      <c r="N76" s="1"/>
      <c r="O76" s="1"/>
      <c r="P76" s="1"/>
    </row>
    <row r="77" spans="2:16" x14ac:dyDescent="0.25">
      <c r="B77" s="223" t="s">
        <v>193</v>
      </c>
      <c r="C77" s="133"/>
      <c r="D77" s="224">
        <f>D49+D56</f>
        <v>1891</v>
      </c>
      <c r="E77" s="225">
        <f>IF(AND($B$14&lt;$F$2,$E$14&lt;$F$2),C7,IF($B$14&lt;$F$2,I7,F7))</f>
        <v>1.845450299071434E-4</v>
      </c>
      <c r="F77" s="225">
        <f>IF(AND($B$14&lt;$F$2,$E$14&lt;$F$2),D7,IF($B$14&lt;$F$2,J7,G7))</f>
        <v>-9.1895984798606148E-4</v>
      </c>
      <c r="G77" s="133"/>
      <c r="H77" s="223">
        <f>D77*(E77+F77)</f>
        <v>-1.388778420987234</v>
      </c>
      <c r="L77" s="1"/>
      <c r="M77" s="1"/>
      <c r="N77" s="1"/>
      <c r="O77" s="1"/>
      <c r="P77" s="1"/>
    </row>
  </sheetData>
  <mergeCells count="10">
    <mergeCell ref="U4:W4"/>
    <mergeCell ref="X4:Z4"/>
    <mergeCell ref="K11:L11"/>
    <mergeCell ref="B45:H45"/>
    <mergeCell ref="B4:B5"/>
    <mergeCell ref="C4:E4"/>
    <mergeCell ref="F4:H4"/>
    <mergeCell ref="I4:K4"/>
    <mergeCell ref="Q4:Q5"/>
    <mergeCell ref="R4:T4"/>
  </mergeCells>
  <conditionalFormatting sqref="K12:L12">
    <cfRule type="cellIs" dxfId="111" priority="1" operator="equal">
      <formula>"Escassez Hídrica"</formula>
    </cfRule>
    <cfRule type="cellIs" dxfId="110" priority="2" operator="equal">
      <formula>"VERDE"</formula>
    </cfRule>
    <cfRule type="cellIs" dxfId="109" priority="3" operator="equal">
      <formula>"BVM2"</formula>
    </cfRule>
    <cfRule type="cellIs" dxfId="108" priority="4" operator="equal">
      <formula>"BVM1"</formula>
    </cfRule>
    <cfRule type="cellIs" dxfId="107" priority="5" operator="equal">
      <formula>"BAM"</formula>
    </cfRule>
  </conditionalFormatting>
  <conditionalFormatting sqref="M3">
    <cfRule type="cellIs" dxfId="106" priority="16" operator="equal">
      <formula>"VERDE"</formula>
    </cfRule>
    <cfRule type="cellIs" dxfId="105" priority="17" operator="equal">
      <formula>"BVM2"</formula>
    </cfRule>
    <cfRule type="cellIs" dxfId="104" priority="18" operator="equal">
      <formula>"BVM1"</formula>
    </cfRule>
    <cfRule type="cellIs" dxfId="103" priority="19" operator="equal">
      <formula>"BAM"</formula>
    </cfRule>
  </conditionalFormatting>
  <conditionalFormatting sqref="M7:M8">
    <cfRule type="containsText" dxfId="102" priority="7" operator="containsText" text="Escassez Hídrica">
      <formula>NOT(ISERROR(SEARCH("Escassez Hídrica",M7)))</formula>
    </cfRule>
    <cfRule type="cellIs" dxfId="101" priority="8" operator="equal">
      <formula>"VERDE"</formula>
    </cfRule>
    <cfRule type="cellIs" dxfId="100" priority="9" operator="equal">
      <formula>"BVM2"</formula>
    </cfRule>
    <cfRule type="cellIs" dxfId="99" priority="10" operator="equal">
      <formula>"BVM1"</formula>
    </cfRule>
    <cfRule type="cellIs" dxfId="98" priority="11" operator="equal">
      <formula>"BAM"</formula>
    </cfRule>
  </conditionalFormatting>
  <dataValidations count="1">
    <dataValidation type="list" allowBlank="1" showInputMessage="1" showErrorMessage="1" sqref="K12:L12" xr:uid="{71E13887-27F9-4073-B3BC-0A2617DB21E0}">
      <formula1>$M$3:$M$8</formula1>
    </dataValidation>
  </dataValidations>
  <pageMargins left="0.511811024" right="0.511811024" top="0.78740157499999996" bottom="0.78740157499999996" header="0.31496062000000002" footer="0.31496062000000002"/>
  <pageSetup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8FEC8-2121-4A3A-AFF3-CC36D1B40382}">
  <sheetPr>
    <tabColor rgb="FF00B050"/>
  </sheetPr>
  <dimension ref="A1:Z89"/>
  <sheetViews>
    <sheetView showGridLines="0" topLeftCell="E9" zoomScale="80" zoomScaleNormal="80" workbookViewId="0">
      <selection activeCell="Q28" sqref="Q28"/>
    </sheetView>
  </sheetViews>
  <sheetFormatPr defaultColWidth="9.125" defaultRowHeight="14.3" x14ac:dyDescent="0.25"/>
  <cols>
    <col min="1" max="1" width="5.375" style="19" customWidth="1"/>
    <col min="2" max="2" width="20" style="19" customWidth="1"/>
    <col min="3" max="3" width="13.875" style="19" customWidth="1"/>
    <col min="4" max="4" width="15" style="19" customWidth="1"/>
    <col min="5" max="5" width="21.75" style="19" bestFit="1" customWidth="1"/>
    <col min="6" max="6" width="15.125" style="19" bestFit="1" customWidth="1"/>
    <col min="7" max="10" width="12.75" style="19" customWidth="1"/>
    <col min="11" max="12" width="13.875" style="19" customWidth="1"/>
    <col min="13" max="13" width="14.125" style="19" customWidth="1"/>
    <col min="14" max="14" width="12.75" style="19" customWidth="1"/>
    <col min="15" max="15" width="14" style="19" customWidth="1"/>
    <col min="16" max="16" width="18.375" style="19" customWidth="1"/>
    <col min="17" max="17" width="9.375" style="19" bestFit="1" customWidth="1"/>
    <col min="18" max="18" width="12.125" style="19" bestFit="1" customWidth="1"/>
    <col min="19" max="19" width="13.125" style="19" bestFit="1" customWidth="1"/>
    <col min="20" max="20" width="11.25" style="19" bestFit="1" customWidth="1"/>
    <col min="21" max="21" width="12.125" style="19" bestFit="1" customWidth="1"/>
    <col min="22" max="22" width="13.125" style="19" bestFit="1" customWidth="1"/>
    <col min="23" max="23" width="11.25" style="19" bestFit="1" customWidth="1"/>
    <col min="24" max="24" width="12.125" style="19" bestFit="1" customWidth="1"/>
    <col min="25" max="25" width="13.125" style="19" bestFit="1" customWidth="1"/>
    <col min="26" max="26" width="11.25" style="19" bestFit="1" customWidth="1"/>
    <col min="27" max="16384" width="9.125" style="19"/>
  </cols>
  <sheetData>
    <row r="1" spans="1:26" x14ac:dyDescent="0.25">
      <c r="A1" s="19" t="s">
        <v>8</v>
      </c>
      <c r="B1" s="19" t="s">
        <v>8</v>
      </c>
      <c r="F1" s="24"/>
      <c r="G1" s="1"/>
      <c r="H1" s="1" t="s">
        <v>8</v>
      </c>
      <c r="I1" s="1"/>
      <c r="J1" s="1"/>
      <c r="K1" s="1"/>
      <c r="L1" s="19" t="s">
        <v>8</v>
      </c>
    </row>
    <row r="2" spans="1:26" ht="19.05" x14ac:dyDescent="0.25">
      <c r="A2" s="19" t="s">
        <v>8</v>
      </c>
      <c r="B2" s="25" t="s">
        <v>67</v>
      </c>
      <c r="E2" s="20" t="s">
        <v>28</v>
      </c>
      <c r="F2" s="21">
        <f>'Fatura B1 (GD) OK'!F2</f>
        <v>46241</v>
      </c>
      <c r="G2" s="1" t="s">
        <v>8</v>
      </c>
      <c r="I2"/>
      <c r="J2" s="1"/>
      <c r="K2" s="1"/>
      <c r="M2" s="6" t="s">
        <v>12</v>
      </c>
      <c r="N2" s="6" t="s">
        <v>6</v>
      </c>
      <c r="O2" s="19" t="s">
        <v>29</v>
      </c>
      <c r="Q2" s="26" t="s">
        <v>30</v>
      </c>
      <c r="R2" s="27"/>
    </row>
    <row r="3" spans="1:26" x14ac:dyDescent="0.25">
      <c r="M3" s="7" t="s">
        <v>13</v>
      </c>
      <c r="N3" s="8">
        <v>0</v>
      </c>
    </row>
    <row r="4" spans="1:26" ht="14.95" customHeight="1" x14ac:dyDescent="0.25">
      <c r="B4" s="464" t="s">
        <v>31</v>
      </c>
      <c r="C4" s="466" t="str">
        <f>'Fatura B1 (GD) OK'!C4:E4</f>
        <v>TARIFA ANTIGA - REH 3508/2025</v>
      </c>
      <c r="D4" s="466"/>
      <c r="E4" s="466"/>
      <c r="F4" s="466" t="str">
        <f>'Fatura B1 (GD) OK'!F4</f>
        <v>TARIFA NOVA - REH xxxx/2026</v>
      </c>
      <c r="G4" s="466"/>
      <c r="H4" s="466"/>
      <c r="I4" s="467" t="s">
        <v>32</v>
      </c>
      <c r="J4" s="467"/>
      <c r="K4" s="467"/>
      <c r="M4" s="9" t="s">
        <v>14</v>
      </c>
      <c r="N4" s="10">
        <f>'[3]Fatura B1 (Res) OK'!$N$4</f>
        <v>1.8849999999999999E-2</v>
      </c>
      <c r="Q4" s="464" t="s">
        <v>31</v>
      </c>
      <c r="R4" s="457" t="str">
        <f>C4</f>
        <v>TARIFA ANTIGA - REH 3508/2025</v>
      </c>
      <c r="S4" s="458"/>
      <c r="T4" s="459"/>
      <c r="U4" s="457" t="str">
        <f>F4</f>
        <v>TARIFA NOVA - REH xxxx/2026</v>
      </c>
      <c r="V4" s="458"/>
      <c r="W4" s="459"/>
      <c r="X4" s="457" t="s">
        <v>32</v>
      </c>
      <c r="Y4" s="458"/>
      <c r="Z4" s="459"/>
    </row>
    <row r="5" spans="1:26" x14ac:dyDescent="0.25">
      <c r="B5" s="465"/>
      <c r="C5" s="28" t="s">
        <v>33</v>
      </c>
      <c r="D5" s="28" t="s">
        <v>9</v>
      </c>
      <c r="E5" s="28" t="s">
        <v>34</v>
      </c>
      <c r="F5" s="28" t="s">
        <v>33</v>
      </c>
      <c r="G5" s="28" t="s">
        <v>9</v>
      </c>
      <c r="H5" s="28" t="s">
        <v>34</v>
      </c>
      <c r="I5" s="29" t="s">
        <v>33</v>
      </c>
      <c r="J5" s="29" t="s">
        <v>9</v>
      </c>
      <c r="K5" s="29" t="s">
        <v>34</v>
      </c>
      <c r="M5" s="11" t="s">
        <v>15</v>
      </c>
      <c r="N5" s="12">
        <f>'[3]Fatura B1 (Res) OK'!$N$5</f>
        <v>4.4630000000000003E-2</v>
      </c>
      <c r="Q5" s="465"/>
      <c r="R5" s="28" t="s">
        <v>35</v>
      </c>
      <c r="S5"/>
      <c r="T5"/>
      <c r="U5" s="28" t="s">
        <v>35</v>
      </c>
      <c r="V5"/>
      <c r="W5"/>
      <c r="X5" s="28" t="s">
        <v>35</v>
      </c>
      <c r="Y5"/>
      <c r="Z5"/>
    </row>
    <row r="6" spans="1:26" x14ac:dyDescent="0.25">
      <c r="B6" s="30" t="s">
        <v>67</v>
      </c>
      <c r="C6" s="31">
        <f>'TABELA DE TARIFAS ANTIGAS'!G77/1000</f>
        <v>0.46862999999999999</v>
      </c>
      <c r="D6" s="31">
        <f>'TABELA DE TARIFAS ANTIGAS'!H77/1000</f>
        <v>0.32068000000000002</v>
      </c>
      <c r="E6" s="31">
        <f t="shared" ref="E6" si="0">C6+D6</f>
        <v>0.78930999999999996</v>
      </c>
      <c r="F6" s="31">
        <f>'TABELA DE TARIFAS NOVAS'!G79/1000</f>
        <v>0.50631999999999999</v>
      </c>
      <c r="G6" s="31">
        <f>'TABELA DE TARIFAS NOVAS'!H79/1000</f>
        <v>0.33738999999999997</v>
      </c>
      <c r="H6" s="31">
        <f t="shared" ref="H6" si="1">F6+G6</f>
        <v>0.84370999999999996</v>
      </c>
      <c r="I6" s="31">
        <f t="shared" ref="I6:J6" si="2">((C6*$C$14)+(F6*$D$14))/($D$14+$C$14)</f>
        <v>0.48621866666666663</v>
      </c>
      <c r="J6" s="31">
        <f t="shared" si="2"/>
        <v>0.32847799999999999</v>
      </c>
      <c r="K6" s="32">
        <f t="shared" ref="K6" si="3">I6+J6</f>
        <v>0.81469666666666662</v>
      </c>
      <c r="M6" s="13" t="s">
        <v>16</v>
      </c>
      <c r="N6" s="14">
        <f>'[3]Fatura B1 (Res) OK'!$N$6</f>
        <v>7.8770000000000007E-2</v>
      </c>
      <c r="P6" s="33"/>
      <c r="Q6" s="30" t="str">
        <f>B6</f>
        <v>B2</v>
      </c>
      <c r="R6" s="31">
        <f>'FIO B'!H20/1000</f>
        <v>0.20383072193179136</v>
      </c>
      <c r="S6"/>
      <c r="T6"/>
      <c r="U6" s="31">
        <f>'FIO B'!K20/1000</f>
        <v>0.20915159219558199</v>
      </c>
      <c r="V6"/>
      <c r="W6"/>
      <c r="X6" s="31">
        <f>((R6*$C$14)+(U6*$D$14))/($D$14+$C$14)</f>
        <v>0.20631379472156031</v>
      </c>
      <c r="Y6"/>
      <c r="Z6"/>
    </row>
    <row r="7" spans="1:26" x14ac:dyDescent="0.25">
      <c r="B7" s="242" t="s">
        <v>200</v>
      </c>
      <c r="C7" s="257">
        <v>1.8774721494831901E-4</v>
      </c>
      <c r="D7" s="256">
        <v>-4.4031307414479802E-3</v>
      </c>
      <c r="E7" s="32">
        <v>3.6054083865702689E-3</v>
      </c>
      <c r="F7" s="32">
        <f>T11</f>
        <v>1.84189231569235E-4</v>
      </c>
      <c r="G7" s="32">
        <f>U11</f>
        <v>-5.3182974871251499E-4</v>
      </c>
      <c r="H7" s="32">
        <f t="shared" ref="H7" si="4">F7+G7</f>
        <v>-3.4764051714327999E-4</v>
      </c>
      <c r="I7" s="31">
        <f>((C7*$C$14)+(F7*$D$14))/($D$14+$C$14)</f>
        <v>1.8608682270474647E-4</v>
      </c>
      <c r="J7" s="31">
        <f>((D7*$C$14)+(G7*$D$14))/($D$14+$C$14)</f>
        <v>-2.5965236115047629E-3</v>
      </c>
      <c r="K7" s="32">
        <f t="shared" ref="K7" si="5">I7+J7</f>
        <v>-2.4104367888000164E-3</v>
      </c>
      <c r="M7" s="7" t="s">
        <v>17</v>
      </c>
      <c r="N7" s="15">
        <v>0.14199999999999999</v>
      </c>
      <c r="P7" s="33"/>
      <c r="Q7" s="82"/>
      <c r="R7" s="83"/>
      <c r="S7"/>
      <c r="T7"/>
      <c r="U7" s="83"/>
      <c r="V7"/>
      <c r="W7"/>
      <c r="X7" s="83"/>
      <c r="Y7"/>
      <c r="Z7"/>
    </row>
    <row r="8" spans="1:26" x14ac:dyDescent="0.25">
      <c r="B8" s="94" t="s">
        <v>57</v>
      </c>
      <c r="C8" s="83"/>
      <c r="D8" s="83"/>
      <c r="E8" s="83"/>
      <c r="F8" s="83"/>
      <c r="G8" s="81">
        <f>G6*15%</f>
        <v>5.0608499999999994E-2</v>
      </c>
      <c r="H8" s="83"/>
      <c r="I8" s="83"/>
      <c r="J8" s="31">
        <f>((D8*$C$14)+(G8*$D$14))/($D$14+$C$14)</f>
        <v>2.3617299999999997E-2</v>
      </c>
      <c r="K8" s="84"/>
      <c r="P8" s="227" t="s">
        <v>194</v>
      </c>
      <c r="Q8" s="228"/>
      <c r="R8" s="229" t="s">
        <v>195</v>
      </c>
      <c r="S8" s="229" t="s">
        <v>196</v>
      </c>
      <c r="T8" s="229" t="s">
        <v>35</v>
      </c>
      <c r="U8" s="229" t="s">
        <v>100</v>
      </c>
      <c r="V8"/>
      <c r="W8"/>
      <c r="X8" s="83"/>
      <c r="Y8"/>
      <c r="Z8"/>
    </row>
    <row r="9" spans="1:26" x14ac:dyDescent="0.25">
      <c r="A9" s="19" t="s">
        <v>8</v>
      </c>
      <c r="G9" s="1"/>
      <c r="H9" s="1"/>
      <c r="I9" s="1"/>
      <c r="J9" s="1"/>
      <c r="K9" s="1"/>
      <c r="O9" s="20"/>
      <c r="P9" s="230" t="s">
        <v>197</v>
      </c>
      <c r="Q9" s="231"/>
      <c r="R9" s="232"/>
      <c r="S9" s="232"/>
      <c r="T9" s="233"/>
      <c r="U9" s="233"/>
      <c r="V9"/>
      <c r="W9"/>
      <c r="X9"/>
      <c r="Y9"/>
      <c r="Z9"/>
    </row>
    <row r="10" spans="1:26" x14ac:dyDescent="0.25">
      <c r="B10" s="34"/>
      <c r="C10" s="35"/>
      <c r="D10" s="36"/>
      <c r="E10" s="35"/>
      <c r="F10" s="35"/>
      <c r="G10" s="35"/>
      <c r="H10" s="37" t="s">
        <v>37</v>
      </c>
      <c r="I10" s="1"/>
      <c r="L10" s="20" t="s">
        <v>25</v>
      </c>
      <c r="M10" s="21">
        <f>EOMONTH(B14,0)+1</f>
        <v>46235</v>
      </c>
      <c r="P10" s="234" t="s">
        <v>198</v>
      </c>
      <c r="Q10" s="235"/>
      <c r="R10" s="236"/>
      <c r="S10" s="236"/>
      <c r="T10" s="237"/>
      <c r="U10" s="256">
        <v>0</v>
      </c>
      <c r="V10"/>
      <c r="W10"/>
      <c r="X10"/>
      <c r="Y10"/>
      <c r="Z10"/>
    </row>
    <row r="11" spans="1:26" x14ac:dyDescent="0.25">
      <c r="B11" s="38" t="s">
        <v>38</v>
      </c>
      <c r="C11" s="411">
        <v>1321770</v>
      </c>
      <c r="E11" s="1"/>
      <c r="F11" s="1"/>
      <c r="G11" s="1"/>
      <c r="H11" s="40">
        <f>E14</f>
        <v>46254</v>
      </c>
      <c r="K11" s="460" t="s">
        <v>26</v>
      </c>
      <c r="L11" s="460"/>
      <c r="P11" s="238" t="s">
        <v>199</v>
      </c>
      <c r="Q11" s="239"/>
      <c r="R11" s="240"/>
      <c r="S11" s="240"/>
      <c r="T11" s="257">
        <f>'Fatura B1 (GD) OK'!T11</f>
        <v>1.84189231569235E-4</v>
      </c>
      <c r="U11" s="257">
        <f>'Fatura B1 (GD) OK'!U11</f>
        <v>-5.3182974871251499E-4</v>
      </c>
      <c r="V11"/>
      <c r="W11"/>
      <c r="X11"/>
      <c r="Y11"/>
      <c r="Z11"/>
    </row>
    <row r="12" spans="1:26" x14ac:dyDescent="0.25">
      <c r="A12" s="19" t="s">
        <v>8</v>
      </c>
      <c r="B12" s="41"/>
      <c r="H12" s="42"/>
      <c r="K12" s="7" t="str">
        <f>'Fatura B1 (GD) OK'!K12</f>
        <v>BAM</v>
      </c>
      <c r="L12" s="7" t="str">
        <f>'Fatura B1 (GD) OK'!L12</f>
        <v>BAM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.2" x14ac:dyDescent="0.25">
      <c r="B13" s="16" t="s">
        <v>21</v>
      </c>
      <c r="C13" s="16" t="s">
        <v>22</v>
      </c>
      <c r="D13" s="16" t="s">
        <v>23</v>
      </c>
      <c r="E13" s="16" t="s">
        <v>24</v>
      </c>
      <c r="F13" s="1"/>
      <c r="G13" s="1"/>
      <c r="H13" s="43"/>
      <c r="J13" s="16" t="s">
        <v>21</v>
      </c>
      <c r="K13" s="16" t="s">
        <v>22</v>
      </c>
      <c r="L13" s="16" t="s">
        <v>23</v>
      </c>
      <c r="M13" s="16" t="s">
        <v>24</v>
      </c>
    </row>
    <row r="14" spans="1:26" x14ac:dyDescent="0.25">
      <c r="B14" s="17">
        <v>46224</v>
      </c>
      <c r="C14" s="18">
        <f>IF((F2-B14-1)&lt;0,0,(F2-B14-1))</f>
        <v>16</v>
      </c>
      <c r="D14" s="18">
        <f>E14-F2+1</f>
        <v>14</v>
      </c>
      <c r="E14" s="17">
        <v>46254</v>
      </c>
      <c r="F14" s="44"/>
      <c r="G14" s="44"/>
      <c r="H14" s="45"/>
      <c r="J14" s="22">
        <f>B14</f>
        <v>46224</v>
      </c>
      <c r="K14" s="23">
        <f>IF((M10-J14-1)&lt;0,0,(M10-J14-1))</f>
        <v>10</v>
      </c>
      <c r="L14" s="23">
        <f>M14-M10+1</f>
        <v>20</v>
      </c>
      <c r="M14" s="22">
        <f>E14</f>
        <v>46254</v>
      </c>
    </row>
    <row r="16" spans="1:26" x14ac:dyDescent="0.25">
      <c r="B16" s="1"/>
      <c r="F16" s="253"/>
      <c r="G16"/>
      <c r="H16" s="3"/>
    </row>
    <row r="17" spans="2:22" x14ac:dyDescent="0.25">
      <c r="B17" s="5" t="s">
        <v>55</v>
      </c>
      <c r="E17" s="26" t="s">
        <v>10</v>
      </c>
      <c r="F17" s="85">
        <v>1</v>
      </c>
      <c r="G17" s="86" t="s">
        <v>9</v>
      </c>
      <c r="H17" s="85">
        <v>1</v>
      </c>
      <c r="M17" s="357" t="s">
        <v>280</v>
      </c>
      <c r="N17" s="360"/>
      <c r="O17" s="359">
        <v>1025311193</v>
      </c>
    </row>
    <row r="18" spans="2:22" x14ac:dyDescent="0.25">
      <c r="I18"/>
      <c r="J18"/>
      <c r="K18"/>
      <c r="L18"/>
      <c r="M18"/>
      <c r="N18"/>
      <c r="O18"/>
      <c r="P18"/>
      <c r="Q18"/>
      <c r="R18"/>
      <c r="S18"/>
      <c r="T18"/>
      <c r="U18"/>
      <c r="V18"/>
    </row>
    <row r="19" spans="2:22" ht="41.95" customHeight="1" x14ac:dyDescent="0.25">
      <c r="B19" s="260" t="s">
        <v>207</v>
      </c>
      <c r="C19" s="260" t="s">
        <v>208</v>
      </c>
      <c r="D19" s="260" t="s">
        <v>209</v>
      </c>
      <c r="E19" s="261" t="s">
        <v>210</v>
      </c>
      <c r="F19" s="261" t="s">
        <v>211</v>
      </c>
      <c r="G19" s="261" t="s">
        <v>212</v>
      </c>
      <c r="H19" s="261" t="s">
        <v>213</v>
      </c>
      <c r="I19" s="261" t="s">
        <v>214</v>
      </c>
      <c r="J19" s="261" t="s">
        <v>215</v>
      </c>
      <c r="K19" s="262" t="s">
        <v>216</v>
      </c>
      <c r="L19" s="260" t="s">
        <v>217</v>
      </c>
      <c r="M19" s="261" t="s">
        <v>218</v>
      </c>
      <c r="N19" s="261" t="s">
        <v>219</v>
      </c>
      <c r="O19" s="261" t="s">
        <v>220</v>
      </c>
    </row>
    <row r="20" spans="2:22" x14ac:dyDescent="0.25">
      <c r="B20" s="263"/>
      <c r="C20" s="263"/>
      <c r="D20" s="263"/>
      <c r="E20" s="263"/>
      <c r="F20" s="263"/>
      <c r="G20" s="263"/>
      <c r="H20" s="263"/>
      <c r="I20" s="263"/>
      <c r="J20" s="263"/>
      <c r="K20" s="263"/>
      <c r="L20" s="264"/>
      <c r="M20" s="265"/>
      <c r="N20" s="265"/>
      <c r="O20" s="265"/>
      <c r="R20" s="26" t="s">
        <v>105</v>
      </c>
      <c r="S20" s="26" t="s">
        <v>106</v>
      </c>
    </row>
    <row r="21" spans="2:22" x14ac:dyDescent="0.25">
      <c r="B21" s="265" t="s">
        <v>221</v>
      </c>
      <c r="C21" s="266" t="s">
        <v>2</v>
      </c>
      <c r="D21" s="267">
        <v>715</v>
      </c>
      <c r="E21" s="268">
        <f>(ROUND(D21*K21,2)+ROUND(G21,2)+ROUND(J21,2))/ROUND(D21,4)</f>
        <v>0.62433566433566434</v>
      </c>
      <c r="F21" s="269">
        <f>ROUND(D21*E21,2)</f>
        <v>446.4</v>
      </c>
      <c r="G21" s="269">
        <f>((D21*K21)/(1-$N$21-$N$23))*($N$21+$N$23)</f>
        <v>22.860257475576397</v>
      </c>
      <c r="H21" s="270">
        <f t="shared" ref="H21:H26" si="6">(IF($I$21=12%,(D21*K21)/(1-$N$21-$N$23)/(1-$C$50)/$F$50*$C$50,(D21*K21)/(1-$N$21-$N$23)/(1-$I$21)))</f>
        <v>446.3934989665579</v>
      </c>
      <c r="I21" s="271">
        <v>0.17</v>
      </c>
      <c r="J21" s="270">
        <f>(H21*$I$21)</f>
        <v>75.886894824314851</v>
      </c>
      <c r="K21" s="268">
        <f>IF(AND($B$14&lt;$F$2,$E$14&lt;$F$2),C6,IF($B$14&lt;$F$2,I6,F6))</f>
        <v>0.48621866666666663</v>
      </c>
      <c r="L21" s="47" t="s">
        <v>92</v>
      </c>
      <c r="M21" s="269">
        <f>D82</f>
        <v>635.18064584887566</v>
      </c>
      <c r="N21" s="272">
        <f>'Fatura B1 (GD) OK'!N21</f>
        <v>1.0999999999999999E-2</v>
      </c>
      <c r="O21" s="273">
        <f>ROUND(M21*N21,2)</f>
        <v>6.99</v>
      </c>
      <c r="R21" s="254">
        <f>IF(AND($B$14&lt;$F$2,$E$14&lt;$F$2),R6,IF($B$14&lt;$F$2,X6,U6))</f>
        <v>0.20631379472156031</v>
      </c>
      <c r="S21" s="137">
        <f>D21*R21</f>
        <v>147.51436322591562</v>
      </c>
      <c r="T21" s="315" t="s">
        <v>392</v>
      </c>
    </row>
    <row r="22" spans="2:22" x14ac:dyDescent="0.25">
      <c r="B22" s="265" t="s">
        <v>222</v>
      </c>
      <c r="C22" s="266" t="s">
        <v>2</v>
      </c>
      <c r="D22" s="274">
        <f>D21</f>
        <v>715</v>
      </c>
      <c r="E22" s="268">
        <f>(ROUND(D22*K22,2)+ROUND(G22,2)+ROUND(J22,2))/ROUND(D22,4)</f>
        <v>0.42177622377622376</v>
      </c>
      <c r="F22" s="269">
        <f>ROUND(D22*E22,2)</f>
        <v>301.57</v>
      </c>
      <c r="G22" s="269">
        <f>((D22*K22)/(1-$N$21-$N$23))*($N$21+$N$23)</f>
        <v>15.443857198124268</v>
      </c>
      <c r="H22" s="270">
        <f t="shared" si="6"/>
        <v>301.57304481701721</v>
      </c>
      <c r="I22" s="265"/>
      <c r="J22" s="270">
        <f>ROUND(H22*$I$21,2)</f>
        <v>51.27</v>
      </c>
      <c r="K22" s="268">
        <f>IF(AND($B$14&lt;$F$2,$E$14&lt;$F$2),D6,IF($B$14&lt;$F$2,J6,G6))</f>
        <v>0.32847799999999999</v>
      </c>
      <c r="L22" s="47" t="s">
        <v>230</v>
      </c>
      <c r="M22" s="269">
        <f>D83</f>
        <v>-162.57060641585846</v>
      </c>
      <c r="N22" s="272">
        <f>N21</f>
        <v>1.0999999999999999E-2</v>
      </c>
      <c r="O22" s="273">
        <f>ROUND(M22*N22,2)</f>
        <v>-1.79</v>
      </c>
    </row>
    <row r="23" spans="2:22" x14ac:dyDescent="0.25">
      <c r="B23" s="265" t="s">
        <v>43</v>
      </c>
      <c r="C23" s="266" t="s">
        <v>2</v>
      </c>
      <c r="D23" s="274">
        <f>IF($K$12=M4,($D$21*($K$14)/($K$14+$L$14)),0)+IF($L$12=M4,($D$21*($L$14)/($K$14+$L$14)),0)</f>
        <v>715</v>
      </c>
      <c r="E23" s="268">
        <f>IFERROR((ROUND(D23*K23,2)+ROUND(G23,2)+ROUND(J23,2))/ROUND(D23,4), 0)</f>
        <v>2.4209790209790211E-2</v>
      </c>
      <c r="F23" s="269">
        <f>ROUND(D23*E23,2)</f>
        <v>17.309999999999999</v>
      </c>
      <c r="G23" s="269">
        <f>((D23*K23)/(1-$N$21-$N$23))*($N$21+$N$23)</f>
        <v>0.88625937866354043</v>
      </c>
      <c r="H23" s="270">
        <f t="shared" si="6"/>
        <v>17.306035395980167</v>
      </c>
      <c r="I23" s="265"/>
      <c r="J23" s="270">
        <f>ROUND(H23*$I$21,2)</f>
        <v>2.94</v>
      </c>
      <c r="K23" s="268">
        <f>N4</f>
        <v>1.8849999999999999E-2</v>
      </c>
      <c r="L23" s="47" t="s">
        <v>51</v>
      </c>
      <c r="M23" s="269">
        <f>M21</f>
        <v>635.18064584887566</v>
      </c>
      <c r="N23" s="272">
        <f>'Fatura B1 (GD) OK'!N23</f>
        <v>5.0700000000000002E-2</v>
      </c>
      <c r="O23" s="273">
        <f>ROUND(M23*N23,2)</f>
        <v>32.200000000000003</v>
      </c>
      <c r="R23" s="276"/>
    </row>
    <row r="24" spans="2:22" x14ac:dyDescent="0.25">
      <c r="B24" s="265" t="s">
        <v>351</v>
      </c>
      <c r="C24" s="266" t="s">
        <v>2</v>
      </c>
      <c r="D24" s="274">
        <f t="shared" ref="D24:D26" si="7">IF($K$12=M5,($D$21*($K$14)/($K$14+$L$14)),0)+IF($L$12=M5,($D$21*($L$14)/($K$14+$L$14)),0)</f>
        <v>0</v>
      </c>
      <c r="E24" s="268">
        <f t="shared" ref="E24:E26" si="8">IFERROR((ROUND(D24*K24,2)+ROUND(G24,2)+ROUND(J24,2))/ROUND(D24,4), 0)</f>
        <v>0</v>
      </c>
      <c r="F24" s="269">
        <f t="shared" ref="F24:F26" si="9">ROUND(D24*E24,2)</f>
        <v>0</v>
      </c>
      <c r="G24" s="269">
        <f t="shared" ref="G24:G26" si="10">((D24*K24)/(1-$N$21-$N$23))*($N$21+$N$23)</f>
        <v>0</v>
      </c>
      <c r="H24" s="270">
        <f t="shared" si="6"/>
        <v>0</v>
      </c>
      <c r="I24" s="265"/>
      <c r="J24" s="270">
        <f t="shared" ref="J24:J26" si="11">ROUND(H24*$I$21,2)</f>
        <v>0</v>
      </c>
      <c r="K24" s="268">
        <f t="shared" ref="K24:K26" si="12">N5</f>
        <v>4.4630000000000003E-2</v>
      </c>
      <c r="L24" s="47" t="s">
        <v>231</v>
      </c>
      <c r="M24" s="269">
        <f>M22</f>
        <v>-162.57060641585846</v>
      </c>
      <c r="N24" s="272">
        <f>N23</f>
        <v>5.0700000000000002E-2</v>
      </c>
      <c r="O24" s="273">
        <f>ROUND(M24*N24,2)</f>
        <v>-8.24</v>
      </c>
    </row>
    <row r="25" spans="2:22" x14ac:dyDescent="0.25">
      <c r="B25" s="265" t="s">
        <v>252</v>
      </c>
      <c r="C25" s="266" t="s">
        <v>2</v>
      </c>
      <c r="D25" s="274">
        <f t="shared" si="7"/>
        <v>0</v>
      </c>
      <c r="E25" s="268">
        <f t="shared" si="8"/>
        <v>0</v>
      </c>
      <c r="F25" s="269">
        <f t="shared" si="9"/>
        <v>0</v>
      </c>
      <c r="G25" s="269">
        <f t="shared" si="10"/>
        <v>0</v>
      </c>
      <c r="H25" s="270">
        <f t="shared" si="6"/>
        <v>0</v>
      </c>
      <c r="I25" s="265"/>
      <c r="J25" s="270">
        <f t="shared" si="11"/>
        <v>0</v>
      </c>
      <c r="K25" s="268">
        <f t="shared" si="12"/>
        <v>7.8770000000000007E-2</v>
      </c>
      <c r="L25" s="47"/>
      <c r="M25" s="269"/>
      <c r="N25" s="269"/>
      <c r="O25" s="269"/>
    </row>
    <row r="26" spans="2:22" x14ac:dyDescent="0.25">
      <c r="B26" s="265" t="s">
        <v>253</v>
      </c>
      <c r="C26" s="266" t="s">
        <v>2</v>
      </c>
      <c r="D26" s="274">
        <f t="shared" si="7"/>
        <v>0</v>
      </c>
      <c r="E26" s="268">
        <f t="shared" si="8"/>
        <v>0</v>
      </c>
      <c r="F26" s="269">
        <f t="shared" si="9"/>
        <v>0</v>
      </c>
      <c r="G26" s="269">
        <f t="shared" si="10"/>
        <v>0</v>
      </c>
      <c r="H26" s="270">
        <f t="shared" si="6"/>
        <v>0</v>
      </c>
      <c r="I26" s="265"/>
      <c r="J26" s="270">
        <f t="shared" si="11"/>
        <v>0</v>
      </c>
      <c r="K26" s="268">
        <f t="shared" si="12"/>
        <v>0.14199999999999999</v>
      </c>
      <c r="L26" s="47"/>
      <c r="M26" s="269"/>
      <c r="N26" s="269"/>
      <c r="O26" s="269"/>
    </row>
    <row r="27" spans="2:22" x14ac:dyDescent="0.25">
      <c r="B27" s="265"/>
      <c r="C27" s="266"/>
      <c r="D27" s="274"/>
      <c r="E27" s="268"/>
      <c r="F27" s="269"/>
      <c r="G27" s="269"/>
      <c r="H27" s="270"/>
      <c r="I27" s="265"/>
      <c r="J27" s="270"/>
      <c r="K27" s="268"/>
      <c r="L27" s="47"/>
      <c r="M27" s="269"/>
      <c r="N27" s="269"/>
      <c r="O27" s="269"/>
    </row>
    <row r="28" spans="2:22" x14ac:dyDescent="0.25">
      <c r="B28" s="265" t="s">
        <v>227</v>
      </c>
      <c r="C28" s="266" t="s">
        <v>2</v>
      </c>
      <c r="D28" s="267">
        <v>-183</v>
      </c>
      <c r="E28" s="268">
        <f>IFERROR((ROUND(D28*K28,2)+ROUND(G28,2)+ROUND(J28,2))/ROUND(D28,4), 0)</f>
        <v>0.51819672131147543</v>
      </c>
      <c r="F28" s="269">
        <f>ROUND(D28*E28,2)</f>
        <v>-94.83</v>
      </c>
      <c r="G28" s="269">
        <f>((D28*K28)/(1-$N$22-$N$24))*($N$22+$N$24)</f>
        <v>-5.8509470182244483</v>
      </c>
      <c r="H28" s="270">
        <v>0</v>
      </c>
      <c r="I28" s="271">
        <v>0</v>
      </c>
      <c r="J28" s="265">
        <f>H28*$I$21</f>
        <v>0</v>
      </c>
      <c r="K28" s="268">
        <f>K21</f>
        <v>0.48621866666666663</v>
      </c>
      <c r="L28" s="47"/>
      <c r="M28" s="269"/>
      <c r="N28" s="269"/>
      <c r="O28" s="269"/>
    </row>
    <row r="29" spans="2:22" x14ac:dyDescent="0.25">
      <c r="B29" s="265" t="s">
        <v>228</v>
      </c>
      <c r="C29" s="266" t="s">
        <v>2</v>
      </c>
      <c r="D29" s="274">
        <f>D28</f>
        <v>-183</v>
      </c>
      <c r="E29" s="268">
        <f>IFERROR((ROUND(D29*K29,2)+ROUND(G29,2)+ROUND(J29,2))/ROUND(D29,4), 0)</f>
        <v>0.42174863387978145</v>
      </c>
      <c r="F29" s="269">
        <f>ROUND(D29*E29,2)</f>
        <v>-77.180000000000007</v>
      </c>
      <c r="G29" s="269">
        <f>((D29*K29)/(1-$N$22-$N$24))*($N$22+$N$24)</f>
        <v>-3.952763450708729</v>
      </c>
      <c r="H29" s="270">
        <f>(IF($I$29=12%,(D29*K29)/(1-$N$22-$N$24)/(1-$C$50)/$F$50*$C$50,(D29*K29)/(1-$N$22-$N$24)/(1-$I$29)))</f>
        <v>-77.185828253865949</v>
      </c>
      <c r="I29" s="271">
        <f>I21</f>
        <v>0.17</v>
      </c>
      <c r="J29" s="270">
        <f>H29*$I$21</f>
        <v>-13.121590803157213</v>
      </c>
      <c r="K29" s="268">
        <f>K22</f>
        <v>0.32847799999999999</v>
      </c>
      <c r="L29" s="47"/>
      <c r="M29" s="269"/>
      <c r="N29" s="269"/>
      <c r="O29" s="269"/>
    </row>
    <row r="30" spans="2:22" x14ac:dyDescent="0.25">
      <c r="B30" s="265" t="s">
        <v>206</v>
      </c>
      <c r="C30" s="266" t="s">
        <v>2</v>
      </c>
      <c r="D30" s="274">
        <f>IF($K$12=M4,($D$28*($K$14)/($K$14+$L$14)),0)+IF($L$12=M4,($D$28*($L$14)/($K$14+$L$14)),0)</f>
        <v>-183</v>
      </c>
      <c r="E30" s="268">
        <f>IFERROR((ROUND(D30*K30,2)+ROUND(G30,2)+ROUND(J30,2))/ROUND(D30,4), 0)</f>
        <v>2.4207650273224041E-2</v>
      </c>
      <c r="F30" s="269">
        <f t="shared" ref="F30:F33" si="13">ROUND(D30*E30,2)</f>
        <v>-4.43</v>
      </c>
      <c r="G30" s="269">
        <f>((D30*K30)/(1-$N$22-$N$24))*($N$22+$N$24)</f>
        <v>-0.22683281999360547</v>
      </c>
      <c r="H30" s="270">
        <f>(IF($I$29=12%,(D30*K30)/(1-$N$22-$N$24)/(1-$C$50)/$F$50*$C$50,(D30*K30)/(1-$N$22-$N$24)/(1-$I$29)))</f>
        <v>-4.4293768915585607</v>
      </c>
      <c r="I30" s="265"/>
      <c r="J30" s="270">
        <f>H30*$I$21</f>
        <v>-0.75299407156495535</v>
      </c>
      <c r="K30" s="268">
        <f>N4</f>
        <v>1.8849999999999999E-2</v>
      </c>
      <c r="L30" s="255"/>
      <c r="M30" s="275"/>
      <c r="N30" s="275"/>
      <c r="O30" s="275"/>
      <c r="R30" s="276"/>
    </row>
    <row r="31" spans="2:22" x14ac:dyDescent="0.25">
      <c r="B31" s="265" t="s">
        <v>275</v>
      </c>
      <c r="C31" s="266" t="s">
        <v>2</v>
      </c>
      <c r="D31" s="274">
        <f t="shared" ref="D31:D33" si="14">IF($K$12=M5,($D$28*($K$14)/($K$14+$L$14)),0)+IF($L$12=M5,($D$28*($L$14)/($K$14+$L$14)),0)</f>
        <v>0</v>
      </c>
      <c r="E31" s="268">
        <f t="shared" ref="E31:E33" si="15">IFERROR((ROUND(D31*K31,2)+ROUND(G31,2)+ROUND(J31,2))/ROUND(D31,4), 0)</f>
        <v>0</v>
      </c>
      <c r="F31" s="269">
        <f t="shared" si="13"/>
        <v>0</v>
      </c>
      <c r="G31" s="269">
        <f t="shared" ref="G31:G33" si="16">((D31*K31)/(1-$N$22-$N$24))*($N$22+$N$24)</f>
        <v>0</v>
      </c>
      <c r="H31" s="270">
        <f>(IF($I$29=12%,(D31*K31)/(1-$N$22-$N$24)/(1-$C$50)/$F$50*$C$50,(D31*K31)/(1-$N$22-$N$24)/(1-$I$29)))</f>
        <v>0</v>
      </c>
      <c r="I31" s="265"/>
      <c r="J31" s="270">
        <f t="shared" ref="J31:J33" si="17">H31*$I$21</f>
        <v>0</v>
      </c>
      <c r="K31" s="268">
        <f t="shared" ref="K31:K33" si="18">N5</f>
        <v>4.4630000000000003E-2</v>
      </c>
      <c r="O31" s="264"/>
      <c r="Q31" s="56"/>
      <c r="R31" s="165"/>
      <c r="S31" s="277"/>
      <c r="T31" s="56"/>
    </row>
    <row r="32" spans="2:22" x14ac:dyDescent="0.25">
      <c r="B32" s="265" t="s">
        <v>276</v>
      </c>
      <c r="C32" s="266" t="s">
        <v>2</v>
      </c>
      <c r="D32" s="274">
        <f t="shared" si="14"/>
        <v>0</v>
      </c>
      <c r="E32" s="268">
        <f t="shared" si="15"/>
        <v>0</v>
      </c>
      <c r="F32" s="269">
        <f t="shared" si="13"/>
        <v>0</v>
      </c>
      <c r="G32" s="269">
        <f t="shared" si="16"/>
        <v>0</v>
      </c>
      <c r="H32" s="270">
        <f>(IF($I$29=12%,(D32*K32)/(1-$N$22-$N$24)/(1-$C$50)/$F$50*$C$50,(D32*K32)/(1-$N$22-$N$24)/(1-$I$29)))</f>
        <v>0</v>
      </c>
      <c r="I32" s="265"/>
      <c r="J32" s="270">
        <f t="shared" si="17"/>
        <v>0</v>
      </c>
      <c r="K32" s="268">
        <f t="shared" si="18"/>
        <v>7.8770000000000007E-2</v>
      </c>
      <c r="O32" s="264"/>
      <c r="Q32" s="56"/>
      <c r="R32" s="165"/>
      <c r="S32" s="277"/>
      <c r="T32" s="56"/>
    </row>
    <row r="33" spans="2:26" x14ac:dyDescent="0.25">
      <c r="B33" s="265" t="s">
        <v>277</v>
      </c>
      <c r="C33" s="266" t="s">
        <v>2</v>
      </c>
      <c r="D33" s="274">
        <f t="shared" si="14"/>
        <v>0</v>
      </c>
      <c r="E33" s="268">
        <f t="shared" si="15"/>
        <v>0</v>
      </c>
      <c r="F33" s="269">
        <f t="shared" si="13"/>
        <v>0</v>
      </c>
      <c r="G33" s="269">
        <f t="shared" si="16"/>
        <v>0</v>
      </c>
      <c r="H33" s="270">
        <f>(IF($I$29=12%,(D33*K33)/(1-$N$22-$N$24)/(1-$C$50)/$F$50*$C$50,(D33*K33)/(1-$N$22-$N$24)/(1-$I$29)))</f>
        <v>0</v>
      </c>
      <c r="I33" s="265"/>
      <c r="J33" s="270">
        <f t="shared" si="17"/>
        <v>0</v>
      </c>
      <c r="K33" s="268">
        <f t="shared" si="18"/>
        <v>0.14199999999999999</v>
      </c>
      <c r="O33" s="264"/>
      <c r="Q33" s="56"/>
      <c r="R33" s="165"/>
      <c r="S33" s="277"/>
      <c r="T33" s="56"/>
    </row>
    <row r="34" spans="2:26" x14ac:dyDescent="0.25">
      <c r="B34" s="265"/>
      <c r="C34" s="266"/>
      <c r="D34" s="274"/>
      <c r="E34" s="268"/>
      <c r="F34" s="269"/>
      <c r="G34" s="269"/>
      <c r="H34" s="270"/>
      <c r="I34" s="265"/>
      <c r="J34" s="270"/>
      <c r="K34" s="268"/>
      <c r="O34" s="264"/>
      <c r="S34" s="277"/>
    </row>
    <row r="35" spans="2:26" x14ac:dyDescent="0.25">
      <c r="B35" s="265" t="s">
        <v>223</v>
      </c>
      <c r="C35" s="265"/>
      <c r="D35" s="274"/>
      <c r="E35" s="265"/>
      <c r="F35" s="278"/>
      <c r="G35" s="265"/>
      <c r="H35" s="265"/>
      <c r="I35" s="265"/>
      <c r="J35" s="265"/>
      <c r="K35" s="265"/>
      <c r="O35" s="264"/>
      <c r="S35" s="277"/>
    </row>
    <row r="36" spans="2:26" x14ac:dyDescent="0.25">
      <c r="B36" s="265" t="s">
        <v>224</v>
      </c>
      <c r="C36" s="265"/>
      <c r="D36" s="274"/>
      <c r="E36" s="265"/>
      <c r="F36" s="278"/>
      <c r="G36" s="265"/>
      <c r="H36" s="265"/>
      <c r="I36" s="265"/>
      <c r="J36" s="265"/>
      <c r="K36" s="265"/>
      <c r="O36" s="264"/>
      <c r="S36" s="277"/>
    </row>
    <row r="37" spans="2:26" x14ac:dyDescent="0.25">
      <c r="B37" s="265" t="s">
        <v>247</v>
      </c>
      <c r="C37" s="265"/>
      <c r="D37" s="274"/>
      <c r="E37" s="265"/>
      <c r="F37" s="278">
        <v>-6.69</v>
      </c>
      <c r="G37" s="265"/>
      <c r="H37" s="265"/>
      <c r="I37" s="265"/>
      <c r="J37" s="265"/>
      <c r="K37" s="265"/>
      <c r="O37" s="264"/>
      <c r="S37" s="277"/>
    </row>
    <row r="38" spans="2:26" x14ac:dyDescent="0.25">
      <c r="B38" s="265" t="s">
        <v>225</v>
      </c>
      <c r="C38" s="265"/>
      <c r="D38" s="274"/>
      <c r="E38" s="265"/>
      <c r="F38" s="278"/>
      <c r="G38" s="265"/>
      <c r="H38" s="265"/>
      <c r="I38" s="265"/>
      <c r="J38" s="265"/>
      <c r="K38" s="265"/>
      <c r="O38" s="264"/>
      <c r="S38" s="277"/>
    </row>
    <row r="39" spans="2:26" x14ac:dyDescent="0.25">
      <c r="B39" s="265"/>
      <c r="C39" s="265"/>
      <c r="D39" s="274"/>
      <c r="E39" s="265"/>
      <c r="F39" s="265"/>
      <c r="G39" s="265"/>
      <c r="H39" s="265"/>
      <c r="I39" s="265"/>
      <c r="J39" s="265"/>
      <c r="K39" s="265"/>
      <c r="O39" s="264"/>
    </row>
    <row r="40" spans="2:26" x14ac:dyDescent="0.25">
      <c r="B40" s="265"/>
      <c r="C40" s="265"/>
      <c r="D40" s="274"/>
      <c r="E40" s="265"/>
      <c r="F40" s="265"/>
      <c r="G40" s="265"/>
      <c r="H40" s="265"/>
      <c r="I40" s="265"/>
      <c r="J40" s="265"/>
      <c r="K40" s="265"/>
      <c r="O40" s="264"/>
    </row>
    <row r="41" spans="2:26" x14ac:dyDescent="0.25">
      <c r="B41" s="265"/>
      <c r="C41" s="265"/>
      <c r="D41" s="274"/>
      <c r="E41" s="265"/>
      <c r="F41" s="265"/>
      <c r="G41" s="265"/>
      <c r="H41" s="265"/>
      <c r="I41" s="265"/>
      <c r="J41" s="265"/>
      <c r="K41" s="265"/>
      <c r="O41" s="264"/>
    </row>
    <row r="42" spans="2:26" x14ac:dyDescent="0.25">
      <c r="B42" s="279" t="s">
        <v>162</v>
      </c>
      <c r="C42" s="275"/>
      <c r="D42" s="280"/>
      <c r="E42" s="275"/>
      <c r="F42" s="281">
        <f>SUM(F21:F41)</f>
        <v>582.15</v>
      </c>
      <c r="G42" s="282">
        <f>SUM(G21:G41)</f>
        <v>29.159830763437423</v>
      </c>
      <c r="H42" s="283">
        <f>SUM(H21:H41)</f>
        <v>683.65737403413084</v>
      </c>
      <c r="I42" s="275"/>
      <c r="J42" s="283">
        <f>SUM(J21:J41)</f>
        <v>116.22230994959268</v>
      </c>
      <c r="K42" s="275"/>
      <c r="L42" s="75"/>
      <c r="M42" s="75"/>
      <c r="N42" s="75"/>
      <c r="O42" s="255"/>
    </row>
    <row r="43" spans="2:26" x14ac:dyDescent="0.25">
      <c r="I43"/>
      <c r="J43"/>
      <c r="K43"/>
      <c r="L43"/>
      <c r="M43"/>
      <c r="N43"/>
      <c r="O43"/>
      <c r="P43"/>
      <c r="Q43"/>
      <c r="R43"/>
      <c r="S43"/>
      <c r="T43"/>
      <c r="U43"/>
      <c r="V43"/>
    </row>
    <row r="44" spans="2:26" s="1" customFormat="1" x14ac:dyDescent="0.25">
      <c r="B44" s="284" t="s">
        <v>226</v>
      </c>
      <c r="C44" s="285">
        <f>D21+D28</f>
        <v>532</v>
      </c>
      <c r="D44" s="286">
        <f>IF(AND($B$14&lt;$F$2,$E$14&lt;$F$2),C7,IF($B$14&lt;$F$2,I7,F7))</f>
        <v>1.8608682270474647E-4</v>
      </c>
      <c r="E44" s="286">
        <f>IF(AND($B$14&lt;$F$2,$E$14&lt;$F$2),D7,IF($B$14&lt;$F$2,J7,G7))</f>
        <v>-2.5965236115047629E-3</v>
      </c>
      <c r="F44" s="284">
        <f>C44*(D44+E44)</f>
        <v>-1.2823523716416088</v>
      </c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2:26" s="1" customFormat="1" x14ac:dyDescent="0.25">
      <c r="B45" s="194"/>
      <c r="C45" s="194"/>
      <c r="D45" s="361"/>
      <c r="E45" s="194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2:26" x14ac:dyDescent="0.25">
      <c r="B46" s="19" t="s">
        <v>281</v>
      </c>
    </row>
    <row r="47" spans="2:26" x14ac:dyDescent="0.25">
      <c r="B47" s="105"/>
      <c r="C47" s="105"/>
      <c r="D47" s="106" t="s">
        <v>91</v>
      </c>
      <c r="F47" s="106"/>
    </row>
    <row r="48" spans="2:26" x14ac:dyDescent="0.25">
      <c r="B48" s="107" t="s">
        <v>92</v>
      </c>
      <c r="C48" s="108">
        <f>N21</f>
        <v>1.0999999999999999E-2</v>
      </c>
      <c r="D48" s="109">
        <f>((D21*K21)+(D22*K22)+(D23*K23)+(D24*K24)+(D25*K25)+(D26*K26))/(1-$N$21-$N$23)</f>
        <v>635.17624071903083</v>
      </c>
      <c r="E48" s="2" t="s">
        <v>93</v>
      </c>
      <c r="F48" s="108">
        <f>C48</f>
        <v>1.0999999999999999E-2</v>
      </c>
      <c r="G48" s="110">
        <f>D48*F48</f>
        <v>6.9869386479093389</v>
      </c>
    </row>
    <row r="49" spans="1:26" x14ac:dyDescent="0.25">
      <c r="B49" s="107" t="s">
        <v>51</v>
      </c>
      <c r="C49" s="108">
        <f>N23</f>
        <v>5.0700000000000002E-2</v>
      </c>
      <c r="D49" s="109">
        <f>D48</f>
        <v>635.17624071903083</v>
      </c>
      <c r="E49" s="2" t="s">
        <v>93</v>
      </c>
      <c r="F49" s="108">
        <f>C49</f>
        <v>5.0700000000000002E-2</v>
      </c>
      <c r="G49" s="110">
        <f>D49*F49</f>
        <v>32.203435404454865</v>
      </c>
    </row>
    <row r="50" spans="1:26" x14ac:dyDescent="0.25">
      <c r="A50" s="111" t="s">
        <v>94</v>
      </c>
      <c r="B50" s="107" t="s">
        <v>11</v>
      </c>
      <c r="C50" s="112">
        <v>0.04</v>
      </c>
      <c r="D50" s="113">
        <f>H50/F50*C50</f>
        <v>220.54730580521908</v>
      </c>
      <c r="E50" s="2" t="s">
        <v>93</v>
      </c>
      <c r="F50" s="362">
        <v>0.12</v>
      </c>
      <c r="G50" s="110">
        <f>D50*F50</f>
        <v>26.465676696626289</v>
      </c>
      <c r="H50" s="110">
        <f>((D21*K21)+(D22*K22)+(D23*K23)+(D24*K24)+(D25*K25)+(D26*K26))/(1-F48-F49)/(1-(C50))</f>
        <v>661.64191741565719</v>
      </c>
      <c r="I50" s="115"/>
    </row>
    <row r="51" spans="1:26" x14ac:dyDescent="0.25">
      <c r="B51" s="105"/>
      <c r="C51" s="105"/>
      <c r="D51" s="105"/>
      <c r="E51" s="110">
        <f>(O40)/(1-C48-C49-C50)</f>
        <v>0</v>
      </c>
      <c r="F51" s="116"/>
      <c r="G51" s="116"/>
      <c r="H51" s="105"/>
      <c r="I51" s="105"/>
      <c r="J51" s="117"/>
      <c r="K51" s="117"/>
      <c r="L51" s="117"/>
      <c r="M51" s="106"/>
      <c r="N51" s="106"/>
      <c r="O51" s="118"/>
    </row>
    <row r="52" spans="1:26" x14ac:dyDescent="0.25">
      <c r="C52" s="314" t="s">
        <v>241</v>
      </c>
      <c r="D52" s="363" t="s">
        <v>242</v>
      </c>
      <c r="F52"/>
      <c r="G52"/>
      <c r="H52"/>
    </row>
    <row r="53" spans="1:26" x14ac:dyDescent="0.25">
      <c r="C53" s="1"/>
      <c r="D53" s="2" t="s">
        <v>243</v>
      </c>
      <c r="F53" s="1"/>
      <c r="G53" s="1"/>
      <c r="H53" s="1"/>
      <c r="J53" s="1"/>
    </row>
    <row r="54" spans="1:26" s="1" customFormat="1" x14ac:dyDescent="0.25">
      <c r="B54" s="194"/>
      <c r="C54" s="194"/>
      <c r="D54" s="361"/>
      <c r="E54" s="194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x14ac:dyDescent="0.25">
      <c r="I55"/>
      <c r="J55"/>
      <c r="K55"/>
      <c r="L55"/>
      <c r="M55"/>
      <c r="N55"/>
      <c r="O55"/>
      <c r="P55"/>
      <c r="Q55"/>
      <c r="R55"/>
      <c r="S55"/>
      <c r="T55"/>
      <c r="U55"/>
      <c r="V55"/>
    </row>
    <row r="56" spans="1:26" x14ac:dyDescent="0.25">
      <c r="I56"/>
      <c r="J56"/>
      <c r="K56"/>
      <c r="L56"/>
      <c r="M56"/>
      <c r="N56"/>
      <c r="O56"/>
      <c r="P56"/>
      <c r="Q56"/>
      <c r="R56"/>
      <c r="S56"/>
      <c r="T56"/>
      <c r="U56"/>
      <c r="V56"/>
    </row>
    <row r="57" spans="1:26" x14ac:dyDescent="0.25">
      <c r="B57" s="461" t="s">
        <v>136</v>
      </c>
      <c r="C57" s="462"/>
      <c r="D57" s="462"/>
      <c r="E57" s="462"/>
      <c r="F57" s="462"/>
      <c r="G57" s="462"/>
      <c r="H57" s="463"/>
      <c r="I57"/>
      <c r="J57"/>
      <c r="K57"/>
      <c r="L57"/>
      <c r="M57"/>
      <c r="N57"/>
      <c r="O57"/>
      <c r="P57"/>
      <c r="Q57"/>
      <c r="R57"/>
      <c r="S57"/>
      <c r="T57"/>
      <c r="U57"/>
      <c r="V57"/>
    </row>
    <row r="58" spans="1:26" x14ac:dyDescent="0.25">
      <c r="B58" s="41"/>
      <c r="D58" s="46" t="s">
        <v>40</v>
      </c>
      <c r="E58" s="46" t="s">
        <v>10</v>
      </c>
      <c r="F58" s="46" t="s">
        <v>9</v>
      </c>
      <c r="G58" s="46" t="s">
        <v>34</v>
      </c>
      <c r="H58" s="47" t="s">
        <v>7</v>
      </c>
      <c r="I58"/>
      <c r="J58"/>
      <c r="K58"/>
      <c r="L58"/>
      <c r="M58"/>
      <c r="N58"/>
      <c r="O58"/>
      <c r="P58"/>
      <c r="Q58"/>
      <c r="R58"/>
      <c r="S58"/>
      <c r="T58"/>
      <c r="U58"/>
      <c r="V58"/>
    </row>
    <row r="59" spans="1:26" x14ac:dyDescent="0.25">
      <c r="A59" s="19" t="s">
        <v>8</v>
      </c>
      <c r="B59" s="48" t="s">
        <v>41</v>
      </c>
      <c r="C59" s="49"/>
      <c r="D59" s="50"/>
      <c r="E59" s="50"/>
      <c r="F59" s="50"/>
      <c r="G59" s="50"/>
      <c r="H59" s="51">
        <f>SUM(H61:H77)+SUM(H82:H87)</f>
        <v>588.83259704489922</v>
      </c>
      <c r="I59"/>
      <c r="J59"/>
      <c r="K59"/>
      <c r="L59"/>
      <c r="M59"/>
      <c r="N59"/>
      <c r="O59"/>
      <c r="P59"/>
      <c r="Q59"/>
      <c r="R59"/>
      <c r="S59"/>
      <c r="T59"/>
      <c r="U59"/>
      <c r="V59"/>
    </row>
    <row r="60" spans="1:26" x14ac:dyDescent="0.25">
      <c r="A60" s="19" t="s">
        <v>8</v>
      </c>
      <c r="B60" s="41"/>
      <c r="D60" s="46"/>
      <c r="E60" s="46"/>
      <c r="F60" s="46"/>
      <c r="G60" s="46"/>
      <c r="H60" s="52"/>
      <c r="I60"/>
      <c r="J60"/>
      <c r="K60"/>
      <c r="L60"/>
      <c r="M60"/>
      <c r="N60"/>
      <c r="O60"/>
      <c r="P60"/>
      <c r="Q60"/>
      <c r="R60"/>
      <c r="S60"/>
      <c r="T60"/>
      <c r="U60"/>
      <c r="V60"/>
    </row>
    <row r="61" spans="1:26" x14ac:dyDescent="0.25">
      <c r="A61" s="19" t="s">
        <v>8</v>
      </c>
      <c r="B61" s="41" t="s">
        <v>42</v>
      </c>
      <c r="D61" s="89">
        <f>D21</f>
        <v>715</v>
      </c>
      <c r="E61" s="53">
        <f>IF(AND($B$14&lt;$F$2,$E$14&lt;$F$2),C6,IF($B$14&lt;$F$2,I6,F6))</f>
        <v>0.48621866666666663</v>
      </c>
      <c r="F61" s="53">
        <f>IF(AND($B$14&lt;$F$2,$E$14&lt;$F$2),D6,IF($B$14&lt;$F$2,J6,G6))</f>
        <v>0.32847799999999999</v>
      </c>
      <c r="G61" s="53">
        <f>E61+F61</f>
        <v>0.81469666666666662</v>
      </c>
      <c r="H61" s="54">
        <f>ROUND((D61*E61),2)+ROUND((D61*F61),2)</f>
        <v>582.51</v>
      </c>
      <c r="I61"/>
      <c r="J61"/>
      <c r="K61"/>
      <c r="L61"/>
      <c r="M61" s="90"/>
      <c r="N61"/>
      <c r="O61"/>
      <c r="P61"/>
      <c r="Q61"/>
      <c r="R61"/>
      <c r="S61"/>
      <c r="T61"/>
      <c r="U61"/>
      <c r="V61"/>
    </row>
    <row r="62" spans="1:26" x14ac:dyDescent="0.25">
      <c r="B62" s="41"/>
      <c r="D62" s="55"/>
      <c r="E62" s="56"/>
      <c r="F62" s="57"/>
      <c r="G62" s="57"/>
      <c r="H62" s="54"/>
      <c r="I62"/>
      <c r="J62"/>
      <c r="K62"/>
      <c r="L62"/>
      <c r="M62"/>
      <c r="N62"/>
      <c r="O62"/>
      <c r="P62"/>
      <c r="Q62"/>
      <c r="R62"/>
      <c r="S62"/>
      <c r="T62"/>
      <c r="U62"/>
      <c r="V62"/>
    </row>
    <row r="63" spans="1:26" x14ac:dyDescent="0.25">
      <c r="B63" s="41" t="s">
        <v>43</v>
      </c>
      <c r="D63" s="58">
        <f>IF($K$12=M4,(D61*(K14)/(K14+L14)),0)+IF($L$12=M4,(D61*(L14)/(K14+L14)),0)</f>
        <v>715</v>
      </c>
      <c r="F63" s="59">
        <f>N4</f>
        <v>1.8849999999999999E-2</v>
      </c>
      <c r="G63" s="59"/>
      <c r="H63" s="54">
        <f>ROUND(D63*(E63+F63),2)</f>
        <v>13.48</v>
      </c>
      <c r="I63"/>
      <c r="J63"/>
      <c r="K63"/>
      <c r="L63"/>
      <c r="M63"/>
      <c r="N63"/>
      <c r="O63"/>
      <c r="P63"/>
      <c r="Q63"/>
      <c r="R63"/>
      <c r="S63"/>
      <c r="T63"/>
      <c r="U63"/>
      <c r="V63"/>
    </row>
    <row r="64" spans="1:26" x14ac:dyDescent="0.25">
      <c r="B64" s="41" t="s">
        <v>44</v>
      </c>
      <c r="D64" s="58">
        <f>IF($K$12=M5,(D61*(K14)/(K14+L14)),0)+IF($L$12=M5,(D61*(L14)/(K14+L14)),0)</f>
        <v>0</v>
      </c>
      <c r="F64" s="59">
        <f>N5</f>
        <v>4.4630000000000003E-2</v>
      </c>
      <c r="G64" s="59"/>
      <c r="H64" s="54">
        <f>ROUND(D64*(E64+F64),2)</f>
        <v>0</v>
      </c>
      <c r="I64"/>
      <c r="J64"/>
      <c r="K64"/>
      <c r="L64" s="98"/>
      <c r="M64"/>
      <c r="N64"/>
      <c r="O64"/>
      <c r="P64"/>
      <c r="Q64"/>
      <c r="R64"/>
      <c r="S64"/>
      <c r="T64"/>
      <c r="U64"/>
      <c r="V64"/>
    </row>
    <row r="65" spans="2:22" x14ac:dyDescent="0.25">
      <c r="B65" s="41" t="s">
        <v>45</v>
      </c>
      <c r="D65" s="58">
        <f>IF($K$12=M6,(D61*(K14)/(K14+L14)),0)+IF($L$12=M6,(D61*(L14)/(K14+L14)),0)</f>
        <v>0</v>
      </c>
      <c r="F65" s="59">
        <f>N6</f>
        <v>7.8770000000000007E-2</v>
      </c>
      <c r="G65" s="59"/>
      <c r="H65" s="54">
        <f>ROUND(D65*(E65+F65),2)</f>
        <v>0</v>
      </c>
      <c r="I65"/>
      <c r="J65"/>
      <c r="K65"/>
      <c r="L65"/>
      <c r="M65"/>
      <c r="N65"/>
      <c r="O65"/>
      <c r="P65"/>
      <c r="Q65"/>
      <c r="R65"/>
      <c r="S65"/>
      <c r="T65"/>
      <c r="U65"/>
      <c r="V65"/>
    </row>
    <row r="66" spans="2:22" x14ac:dyDescent="0.25">
      <c r="B66" s="41" t="s">
        <v>46</v>
      </c>
      <c r="D66" s="58">
        <f>IF($K$12=M7,(D61*(K14)/(K14+L14)),0)+IF($L$12=M7,(D61*(L14)/(K14+L14)),0)</f>
        <v>0</v>
      </c>
      <c r="F66" s="59">
        <f>N7</f>
        <v>0.14199999999999999</v>
      </c>
      <c r="G66" s="59"/>
      <c r="H66" s="54">
        <f>ROUND(D66*(E66+F66),2)</f>
        <v>0</v>
      </c>
      <c r="I66"/>
      <c r="J66"/>
      <c r="K66"/>
      <c r="L66"/>
      <c r="M66"/>
      <c r="N66"/>
      <c r="O66"/>
      <c r="P66"/>
      <c r="Q66"/>
      <c r="R66"/>
      <c r="S66"/>
      <c r="T66"/>
      <c r="U66"/>
      <c r="V66"/>
    </row>
    <row r="67" spans="2:22" x14ac:dyDescent="0.25">
      <c r="B67" s="41"/>
      <c r="D67" s="60"/>
      <c r="H67" s="54"/>
      <c r="I67" s="1"/>
      <c r="J67" s="1"/>
      <c r="K67" s="90"/>
      <c r="L67" s="1"/>
      <c r="M67" s="1"/>
      <c r="N67" s="1"/>
      <c r="O67" s="1"/>
      <c r="P67" s="1"/>
    </row>
    <row r="68" spans="2:22" x14ac:dyDescent="0.25">
      <c r="B68" s="41" t="s">
        <v>47</v>
      </c>
      <c r="D68" s="222">
        <f>D28</f>
        <v>-183</v>
      </c>
      <c r="E68" s="53">
        <f>E61*F17</f>
        <v>0.48621866666666663</v>
      </c>
      <c r="F68" s="53">
        <f>F61</f>
        <v>0.32847799999999999</v>
      </c>
      <c r="G68" s="53">
        <f>E68+F68</f>
        <v>0.81469666666666662</v>
      </c>
      <c r="H68" s="54">
        <f>ROUND((D68*E68),2)+ROUND((D68*F68),2)</f>
        <v>-149.09</v>
      </c>
      <c r="I68" s="1"/>
      <c r="J68" s="1"/>
      <c r="K68" s="90"/>
      <c r="L68" s="1"/>
      <c r="M68" s="90"/>
      <c r="N68" s="1"/>
      <c r="O68" s="1"/>
      <c r="P68" s="1"/>
    </row>
    <row r="69" spans="2:22" x14ac:dyDescent="0.25">
      <c r="B69" s="41"/>
      <c r="D69" s="55"/>
      <c r="E69" s="56"/>
      <c r="F69" s="57"/>
      <c r="G69" s="57"/>
      <c r="H69" s="54"/>
      <c r="I69" s="1"/>
      <c r="J69" s="1"/>
      <c r="K69" s="90"/>
      <c r="L69" s="1"/>
      <c r="M69" s="1"/>
      <c r="N69" s="1"/>
      <c r="O69" s="1"/>
      <c r="P69" s="1"/>
    </row>
    <row r="70" spans="2:22" x14ac:dyDescent="0.25">
      <c r="B70" s="41" t="s">
        <v>43</v>
      </c>
      <c r="D70" s="58">
        <f>IF($K$12=M4,(D68*(K14)/(K14+L14)),0)+IF($L$12=M4,(D68*(L14)/(K14+L14)),0)</f>
        <v>-183</v>
      </c>
      <c r="F70" s="59">
        <f>F63</f>
        <v>1.8849999999999999E-2</v>
      </c>
      <c r="G70" s="59"/>
      <c r="H70" s="54">
        <f>ROUND(D70*(E70+F70),2)</f>
        <v>-3.45</v>
      </c>
      <c r="I70" s="1"/>
      <c r="J70" s="1"/>
      <c r="K70" s="1"/>
      <c r="L70" s="1"/>
      <c r="M70" s="1"/>
      <c r="N70" s="1"/>
      <c r="O70" s="1"/>
      <c r="P70" s="1"/>
    </row>
    <row r="71" spans="2:22" x14ac:dyDescent="0.25">
      <c r="B71" s="41" t="s">
        <v>44</v>
      </c>
      <c r="D71" s="58">
        <f>IF($K$12=M5,(D68*(K14)/(K14+L14)),0)+IF($L$12=M5,(D68*(L14)/(K14+L14)),0)</f>
        <v>0</v>
      </c>
      <c r="F71" s="59">
        <f>F64</f>
        <v>4.4630000000000003E-2</v>
      </c>
      <c r="G71" s="59"/>
      <c r="H71" s="54">
        <f>ROUND(D71*(E71+F71),2)</f>
        <v>0</v>
      </c>
      <c r="I71" s="1"/>
      <c r="J71" s="1"/>
      <c r="K71" s="1"/>
      <c r="L71" s="1"/>
      <c r="M71" s="1"/>
      <c r="N71" s="1"/>
      <c r="O71" s="1"/>
      <c r="P71" s="1"/>
    </row>
    <row r="72" spans="2:22" x14ac:dyDescent="0.25">
      <c r="B72" s="41" t="s">
        <v>45</v>
      </c>
      <c r="D72" s="58">
        <f>IF($K$12=M6,(D68*(K14)/(K14+L14)),0)+IF($L$12=M6,(D68*(L14)/(K14+L14)),0)</f>
        <v>0</v>
      </c>
      <c r="F72" s="59">
        <f>F65</f>
        <v>7.8770000000000007E-2</v>
      </c>
      <c r="G72" s="59"/>
      <c r="H72" s="54">
        <f>ROUND(D72*(E72+F72),2)</f>
        <v>0</v>
      </c>
      <c r="I72" s="1"/>
      <c r="J72" s="1"/>
      <c r="K72" s="1"/>
      <c r="L72" s="1"/>
      <c r="M72" s="1"/>
      <c r="N72" s="1"/>
      <c r="O72" s="1"/>
      <c r="P72" s="1"/>
    </row>
    <row r="73" spans="2:22" x14ac:dyDescent="0.25">
      <c r="B73" s="41" t="s">
        <v>46</v>
      </c>
      <c r="D73" s="58">
        <f>IF($K$12=M7,(D68*(K14)/(K14+L14)),0)+IF($L$12=M7,(D68*(L14)/(K14+L14)),0)</f>
        <v>0</v>
      </c>
      <c r="F73" s="59">
        <f>F66</f>
        <v>0.14199999999999999</v>
      </c>
      <c r="G73" s="59"/>
      <c r="H73" s="54">
        <f>ROUND(D73*(E73+F73),2)</f>
        <v>0</v>
      </c>
      <c r="J73" s="1"/>
      <c r="K73" s="1"/>
      <c r="L73" s="1"/>
      <c r="M73" s="1"/>
      <c r="N73" s="1"/>
      <c r="O73" s="1"/>
      <c r="P73" s="1"/>
    </row>
    <row r="74" spans="2:22" x14ac:dyDescent="0.25">
      <c r="B74" s="41"/>
      <c r="D74" s="58"/>
      <c r="F74" s="59"/>
      <c r="G74" s="59"/>
      <c r="H74" s="54"/>
      <c r="J74" s="1"/>
      <c r="K74" s="1"/>
      <c r="L74" s="1"/>
      <c r="M74" s="1"/>
      <c r="N74" s="1"/>
      <c r="O74" s="1"/>
      <c r="P74" s="1"/>
    </row>
    <row r="75" spans="2:22" x14ac:dyDescent="0.25">
      <c r="B75" s="119"/>
      <c r="C75" s="120"/>
      <c r="D75" s="121"/>
      <c r="E75" s="122"/>
      <c r="F75" s="122"/>
      <c r="G75" s="122"/>
      <c r="H75" s="124"/>
      <c r="I75" s="1"/>
      <c r="J75" s="1"/>
      <c r="K75" s="1"/>
      <c r="L75" s="1"/>
      <c r="M75" s="1"/>
      <c r="N75" s="1"/>
      <c r="O75" s="1"/>
      <c r="P75" s="1"/>
    </row>
    <row r="76" spans="2:22" x14ac:dyDescent="0.25">
      <c r="B76" s="119"/>
      <c r="C76" s="120"/>
      <c r="D76" s="125"/>
      <c r="E76" s="120"/>
      <c r="F76" s="120"/>
      <c r="G76" s="126"/>
      <c r="H76" s="124"/>
      <c r="I76" s="1"/>
      <c r="J76" s="1"/>
      <c r="K76" s="1"/>
      <c r="L76" s="1"/>
      <c r="M76" s="1"/>
      <c r="N76" s="1"/>
      <c r="O76" s="1"/>
      <c r="P76" s="1"/>
    </row>
    <row r="77" spans="2:22" x14ac:dyDescent="0.25">
      <c r="B77" s="119"/>
      <c r="C77" s="120"/>
      <c r="D77" s="121"/>
      <c r="E77" s="122"/>
      <c r="F77" s="122"/>
      <c r="G77" s="122"/>
      <c r="H77" s="124"/>
      <c r="I77" s="97"/>
      <c r="J77" s="1"/>
      <c r="K77" s="1"/>
      <c r="L77" s="1"/>
      <c r="M77" s="1"/>
      <c r="N77" s="1"/>
      <c r="O77" s="1"/>
      <c r="P77" s="1"/>
    </row>
    <row r="78" spans="2:22" x14ac:dyDescent="0.25">
      <c r="B78" s="61"/>
      <c r="C78" s="24"/>
      <c r="D78" s="24"/>
      <c r="E78" s="24"/>
      <c r="F78" s="24"/>
      <c r="G78" s="24"/>
      <c r="H78" s="62"/>
      <c r="I78"/>
      <c r="J78" s="1"/>
      <c r="K78" s="1"/>
      <c r="L78" s="1"/>
      <c r="M78" s="1"/>
      <c r="N78" s="1"/>
      <c r="O78" s="1"/>
      <c r="P78" s="1"/>
    </row>
    <row r="79" spans="2:22" x14ac:dyDescent="0.25">
      <c r="B79" s="34"/>
      <c r="C79" s="35"/>
      <c r="D79" s="35"/>
      <c r="E79" s="35"/>
      <c r="F79" s="35"/>
      <c r="G79" s="35"/>
      <c r="H79" s="96">
        <f>SUM(H61:H78)</f>
        <v>443.45</v>
      </c>
      <c r="I79" s="1"/>
      <c r="L79" s="1"/>
      <c r="M79" s="1"/>
      <c r="N79" s="1"/>
      <c r="O79" s="1"/>
      <c r="P79" s="1"/>
    </row>
    <row r="80" spans="2:22" x14ac:dyDescent="0.25">
      <c r="B80" s="95"/>
      <c r="C80" s="1"/>
      <c r="D80" s="1"/>
      <c r="E80" s="1"/>
      <c r="F80" s="1"/>
      <c r="G80" s="1"/>
      <c r="H80" s="43"/>
      <c r="I80" s="1"/>
      <c r="L80" s="1"/>
      <c r="M80" s="1"/>
      <c r="N80" s="1"/>
      <c r="O80" s="1"/>
      <c r="P80" s="1"/>
    </row>
    <row r="81" spans="2:16" x14ac:dyDescent="0.25">
      <c r="B81" s="41"/>
      <c r="D81" s="63" t="s">
        <v>48</v>
      </c>
      <c r="E81" s="64"/>
      <c r="F81" s="64"/>
      <c r="G81" s="64"/>
      <c r="H81" s="65"/>
      <c r="I81" s="66"/>
      <c r="K81" s="67"/>
      <c r="L81" s="1"/>
      <c r="M81" s="1"/>
      <c r="N81" s="1"/>
      <c r="O81" s="1"/>
      <c r="P81" s="1"/>
    </row>
    <row r="82" spans="2:16" x14ac:dyDescent="0.25">
      <c r="B82" s="41" t="s">
        <v>49</v>
      </c>
      <c r="D82" s="68">
        <f>(H61+H63+H64+H65+H66)/(1-E82-E84)</f>
        <v>635.18064584887566</v>
      </c>
      <c r="E82" s="69">
        <f>N21</f>
        <v>1.0999999999999999E-2</v>
      </c>
      <c r="H82" s="70">
        <f>D82*E82</f>
        <v>6.9869871043376319</v>
      </c>
      <c r="I82" s="67"/>
      <c r="L82" s="1"/>
      <c r="M82" s="1"/>
      <c r="N82" s="1"/>
      <c r="O82" s="1"/>
      <c r="P82" s="1"/>
    </row>
    <row r="83" spans="2:16" x14ac:dyDescent="0.25">
      <c r="B83" s="41" t="s">
        <v>50</v>
      </c>
      <c r="D83" s="68">
        <f>(H68+H70+H71+H72+H73+H75+H77)/(1-E82-E84)</f>
        <v>-162.57060641585846</v>
      </c>
      <c r="E83" s="71">
        <f>E82</f>
        <v>1.0999999999999999E-2</v>
      </c>
      <c r="H83" s="70">
        <f t="shared" ref="H83:H85" si="19">D83*E83</f>
        <v>-1.7882766705744431</v>
      </c>
      <c r="I83" s="67"/>
      <c r="L83" s="1"/>
      <c r="M83" s="1"/>
      <c r="N83" s="1"/>
      <c r="O83" s="1"/>
      <c r="P83" s="1"/>
    </row>
    <row r="84" spans="2:16" x14ac:dyDescent="0.25">
      <c r="B84" s="41" t="s">
        <v>51</v>
      </c>
      <c r="D84" s="68">
        <f>D82</f>
        <v>635.18064584887566</v>
      </c>
      <c r="E84" s="69">
        <f>N23</f>
        <v>5.0700000000000002E-2</v>
      </c>
      <c r="H84" s="70">
        <f t="shared" si="19"/>
        <v>32.203658744537996</v>
      </c>
      <c r="I84" s="67"/>
      <c r="L84" s="1"/>
      <c r="M84" s="1"/>
      <c r="N84" s="1"/>
      <c r="O84" s="1"/>
      <c r="P84" s="1"/>
    </row>
    <row r="85" spans="2:16" x14ac:dyDescent="0.25">
      <c r="B85" s="41" t="s">
        <v>52</v>
      </c>
      <c r="D85" s="68">
        <f>D83</f>
        <v>-162.57060641585846</v>
      </c>
      <c r="E85" s="71">
        <f>E84</f>
        <v>5.0700000000000002E-2</v>
      </c>
      <c r="H85" s="70">
        <f t="shared" si="19"/>
        <v>-8.2423297452840245</v>
      </c>
      <c r="I85" s="67"/>
      <c r="L85" s="1"/>
      <c r="M85" s="1"/>
      <c r="N85" s="1"/>
      <c r="O85" s="1"/>
      <c r="P85" s="1"/>
    </row>
    <row r="86" spans="2:16" x14ac:dyDescent="0.25">
      <c r="B86" s="41" t="s">
        <v>11</v>
      </c>
      <c r="D86" s="72">
        <f>D82/(1-E86)</f>
        <v>765.27788656491043</v>
      </c>
      <c r="E86" s="73">
        <v>0.17</v>
      </c>
      <c r="H86" s="70">
        <f>D86*E86</f>
        <v>130.09724071603478</v>
      </c>
      <c r="I86" s="67"/>
      <c r="L86" s="1"/>
      <c r="M86" s="1"/>
      <c r="N86" s="1"/>
      <c r="O86" s="1"/>
      <c r="P86" s="1"/>
    </row>
    <row r="87" spans="2:16" x14ac:dyDescent="0.25">
      <c r="B87" s="74" t="s">
        <v>53</v>
      </c>
      <c r="C87" s="75"/>
      <c r="D87" s="76">
        <f>((D68*F68)+(H70+H71+H72+H73)+(D75*F75)+(D77*F77))/(1-E83-E85)/(1-E87)</f>
        <v>-81.615782965604296</v>
      </c>
      <c r="E87" s="77">
        <f>E86</f>
        <v>0.17</v>
      </c>
      <c r="F87" s="75"/>
      <c r="G87" s="75"/>
      <c r="H87" s="78">
        <f>D87*E87</f>
        <v>-13.874683104152732</v>
      </c>
      <c r="L87" s="1"/>
      <c r="M87" s="1"/>
      <c r="N87" s="1"/>
      <c r="O87" s="1"/>
      <c r="P87" s="1"/>
    </row>
    <row r="88" spans="2:16" x14ac:dyDescent="0.25">
      <c r="L88" s="1"/>
      <c r="M88" s="1"/>
      <c r="N88" s="1"/>
      <c r="O88" s="1"/>
      <c r="P88" s="1"/>
    </row>
    <row r="89" spans="2:16" x14ac:dyDescent="0.25">
      <c r="B89" s="223" t="s">
        <v>193</v>
      </c>
      <c r="C89" s="133"/>
      <c r="D89" s="224">
        <f>D61+D68</f>
        <v>532</v>
      </c>
      <c r="E89" s="225">
        <f>IF(AND($B$14&lt;$F$2,$E$14&lt;$F$2),C7,IF($B$14&lt;$F$2,I7,F7))</f>
        <v>1.8608682270474647E-4</v>
      </c>
      <c r="F89" s="225">
        <f>IF(AND($B$14&lt;$F$2,$E$14&lt;$F$2),D7,IF($B$14&lt;$F$2,J7,G7))</f>
        <v>-2.5965236115047629E-3</v>
      </c>
      <c r="G89" s="133"/>
      <c r="H89" s="223">
        <f>D89*(E89+F89)</f>
        <v>-1.2823523716416088</v>
      </c>
      <c r="L89" s="1"/>
      <c r="M89" s="1"/>
      <c r="N89" s="1"/>
      <c r="O89" s="1"/>
      <c r="P89" s="1"/>
    </row>
  </sheetData>
  <mergeCells count="10">
    <mergeCell ref="U4:W4"/>
    <mergeCell ref="X4:Z4"/>
    <mergeCell ref="K11:L11"/>
    <mergeCell ref="B57:H57"/>
    <mergeCell ref="B4:B5"/>
    <mergeCell ref="C4:E4"/>
    <mergeCell ref="F4:H4"/>
    <mergeCell ref="I4:K4"/>
    <mergeCell ref="Q4:Q5"/>
    <mergeCell ref="R4:T4"/>
  </mergeCells>
  <conditionalFormatting sqref="K12:L12">
    <cfRule type="cellIs" dxfId="97" priority="1" operator="equal">
      <formula>"Escassez Hídrica"</formula>
    </cfRule>
    <cfRule type="cellIs" dxfId="96" priority="2" operator="equal">
      <formula>"VERDE"</formula>
    </cfRule>
    <cfRule type="cellIs" dxfId="95" priority="3" operator="equal">
      <formula>"BVM2"</formula>
    </cfRule>
    <cfRule type="cellIs" dxfId="94" priority="4" operator="equal">
      <formula>"BVM1"</formula>
    </cfRule>
    <cfRule type="cellIs" dxfId="93" priority="5" operator="equal">
      <formula>"BAM"</formula>
    </cfRule>
  </conditionalFormatting>
  <conditionalFormatting sqref="M3">
    <cfRule type="cellIs" dxfId="92" priority="16" operator="equal">
      <formula>"VERDE"</formula>
    </cfRule>
    <cfRule type="cellIs" dxfId="91" priority="17" operator="equal">
      <formula>"BVM2"</formula>
    </cfRule>
    <cfRule type="cellIs" dxfId="90" priority="18" operator="equal">
      <formula>"BVM1"</formula>
    </cfRule>
    <cfRule type="cellIs" dxfId="89" priority="19" operator="equal">
      <formula>"BAM"</formula>
    </cfRule>
  </conditionalFormatting>
  <conditionalFormatting sqref="M7">
    <cfRule type="containsText" dxfId="88" priority="7" operator="containsText" text="Escassez Hídrica">
      <formula>NOT(ISERROR(SEARCH("Escassez Hídrica",M7)))</formula>
    </cfRule>
    <cfRule type="cellIs" dxfId="87" priority="8" operator="equal">
      <formula>"VERDE"</formula>
    </cfRule>
    <cfRule type="cellIs" dxfId="86" priority="9" operator="equal">
      <formula>"BVM2"</formula>
    </cfRule>
    <cfRule type="cellIs" dxfId="85" priority="10" operator="equal">
      <formula>"BVM1"</formula>
    </cfRule>
    <cfRule type="cellIs" dxfId="84" priority="11" operator="equal">
      <formula>"BAM"</formula>
    </cfRule>
  </conditionalFormatting>
  <dataValidations disablePrompts="1" count="1">
    <dataValidation type="list" allowBlank="1" showInputMessage="1" showErrorMessage="1" sqref="K12:L12" xr:uid="{6AA380F3-A0F7-45F7-9EAC-2782E41897E5}">
      <formula1>$M$3:$M$7</formula1>
    </dataValidation>
  </dataValidations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D2A93-B131-4EFA-9A42-B88EB9E4D12B}">
  <sheetPr>
    <tabColor rgb="FF00B050"/>
  </sheetPr>
  <dimension ref="A1:Z128"/>
  <sheetViews>
    <sheetView showGridLines="0" topLeftCell="D9" zoomScale="80" zoomScaleNormal="80" workbookViewId="0">
      <selection activeCell="Q30" sqref="Q30"/>
    </sheetView>
  </sheetViews>
  <sheetFormatPr defaultColWidth="9.125" defaultRowHeight="14.3" x14ac:dyDescent="0.25"/>
  <cols>
    <col min="1" max="1" width="5.375" style="19" customWidth="1"/>
    <col min="2" max="2" width="31" style="19" customWidth="1"/>
    <col min="3" max="3" width="20.375" style="19" customWidth="1"/>
    <col min="4" max="4" width="13.875" style="19" customWidth="1"/>
    <col min="5" max="5" width="14.375" style="19" customWidth="1"/>
    <col min="6" max="6" width="16" style="19" customWidth="1"/>
    <col min="7" max="9" width="12.75" style="19" customWidth="1"/>
    <col min="10" max="10" width="14.75" style="19" customWidth="1"/>
    <col min="11" max="12" width="13.875" style="19" customWidth="1"/>
    <col min="13" max="14" width="12.75" style="19" customWidth="1"/>
    <col min="15" max="15" width="14.125" style="19" customWidth="1"/>
    <col min="16" max="16" width="12.75" style="19" customWidth="1"/>
    <col min="17" max="17" width="9.375" style="19" bestFit="1" customWidth="1"/>
    <col min="18" max="18" width="12.125" style="19" bestFit="1" customWidth="1"/>
    <col min="19" max="19" width="13.125" style="19" bestFit="1" customWidth="1"/>
    <col min="20" max="20" width="11.25" style="19" bestFit="1" customWidth="1"/>
    <col min="21" max="21" width="12.125" style="19" bestFit="1" customWidth="1"/>
    <col min="22" max="22" width="13.125" style="19" bestFit="1" customWidth="1"/>
    <col min="23" max="23" width="11.25" style="19" bestFit="1" customWidth="1"/>
    <col min="24" max="24" width="12.125" style="19" bestFit="1" customWidth="1"/>
    <col min="25" max="25" width="13.125" style="19" bestFit="1" customWidth="1"/>
    <col min="26" max="26" width="11.25" style="19" bestFit="1" customWidth="1"/>
    <col min="27" max="16384" width="9.125" style="19"/>
  </cols>
  <sheetData>
    <row r="1" spans="1:26" x14ac:dyDescent="0.25">
      <c r="A1" s="19" t="s">
        <v>8</v>
      </c>
      <c r="B1" s="19" t="s">
        <v>8</v>
      </c>
      <c r="F1" s="24"/>
      <c r="G1" s="1"/>
      <c r="H1" s="1" t="s">
        <v>8</v>
      </c>
      <c r="I1" s="1"/>
      <c r="J1" s="1"/>
      <c r="K1" s="1"/>
      <c r="L1" s="19" t="s">
        <v>8</v>
      </c>
    </row>
    <row r="2" spans="1:26" ht="19.05" x14ac:dyDescent="0.25">
      <c r="A2" s="19" t="s">
        <v>8</v>
      </c>
      <c r="B2" s="25" t="s">
        <v>67</v>
      </c>
      <c r="E2" s="20" t="s">
        <v>28</v>
      </c>
      <c r="F2" s="21">
        <f>'Fatura B1 (GD) OK'!F2</f>
        <v>46241</v>
      </c>
      <c r="G2" s="1" t="s">
        <v>8</v>
      </c>
      <c r="I2"/>
      <c r="J2" s="1"/>
      <c r="K2" s="1"/>
      <c r="M2" s="6" t="s">
        <v>12</v>
      </c>
      <c r="N2" s="6" t="s">
        <v>6</v>
      </c>
      <c r="O2" s="19" t="s">
        <v>29</v>
      </c>
      <c r="Q2" s="26" t="s">
        <v>30</v>
      </c>
      <c r="R2" s="27"/>
    </row>
    <row r="3" spans="1:26" x14ac:dyDescent="0.25">
      <c r="M3" s="7" t="s">
        <v>13</v>
      </c>
      <c r="N3" s="8">
        <v>0</v>
      </c>
    </row>
    <row r="4" spans="1:26" ht="14.95" customHeight="1" x14ac:dyDescent="0.25">
      <c r="B4" s="464" t="s">
        <v>31</v>
      </c>
      <c r="C4" s="466" t="str">
        <f>'Fatura B1 (GD) OK'!C4:E4</f>
        <v>TARIFA ANTIGA - REH 3508/2025</v>
      </c>
      <c r="D4" s="466"/>
      <c r="E4" s="466"/>
      <c r="F4" s="466" t="str">
        <f>'Fatura B1 (GD) OK'!F4</f>
        <v>TARIFA NOVA - REH xxxx/2026</v>
      </c>
      <c r="G4" s="466"/>
      <c r="H4" s="466"/>
      <c r="I4" s="467" t="s">
        <v>32</v>
      </c>
      <c r="J4" s="467"/>
      <c r="K4" s="467"/>
      <c r="M4" s="9" t="s">
        <v>14</v>
      </c>
      <c r="N4" s="10">
        <v>1.8849999999999999E-2</v>
      </c>
      <c r="Q4" s="464" t="s">
        <v>31</v>
      </c>
      <c r="R4" s="457" t="str">
        <f>C4</f>
        <v>TARIFA ANTIGA - REH 3508/2025</v>
      </c>
      <c r="S4" s="458"/>
      <c r="T4" s="459"/>
      <c r="U4" s="457" t="str">
        <f>F4</f>
        <v>TARIFA NOVA - REH xxxx/2026</v>
      </c>
      <c r="V4" s="458"/>
      <c r="W4" s="459"/>
      <c r="X4" s="457" t="s">
        <v>32</v>
      </c>
      <c r="Y4" s="458"/>
      <c r="Z4" s="459"/>
    </row>
    <row r="5" spans="1:26" x14ac:dyDescent="0.25">
      <c r="B5" s="465"/>
      <c r="C5" s="28" t="s">
        <v>33</v>
      </c>
      <c r="D5" s="28" t="s">
        <v>9</v>
      </c>
      <c r="E5" s="28" t="s">
        <v>34</v>
      </c>
      <c r="F5" s="28" t="s">
        <v>33</v>
      </c>
      <c r="G5" s="28" t="s">
        <v>9</v>
      </c>
      <c r="H5" s="28" t="s">
        <v>34</v>
      </c>
      <c r="I5" s="29" t="s">
        <v>33</v>
      </c>
      <c r="J5" s="29" t="s">
        <v>9</v>
      </c>
      <c r="K5" s="29" t="s">
        <v>34</v>
      </c>
      <c r="M5" s="11" t="s">
        <v>15</v>
      </c>
      <c r="N5" s="12">
        <v>4.4630000000000003E-2</v>
      </c>
      <c r="Q5" s="465"/>
      <c r="R5" s="28" t="s">
        <v>35</v>
      </c>
      <c r="S5"/>
      <c r="T5"/>
      <c r="U5" s="28" t="s">
        <v>35</v>
      </c>
      <c r="V5"/>
      <c r="W5"/>
      <c r="X5" s="28" t="s">
        <v>35</v>
      </c>
      <c r="Y5"/>
      <c r="Z5"/>
    </row>
    <row r="6" spans="1:26" x14ac:dyDescent="0.25">
      <c r="B6" s="30" t="s">
        <v>67</v>
      </c>
      <c r="C6" s="31">
        <f>'TABELA DE TARIFAS ANTIGAS'!G77/1000</f>
        <v>0.46862999999999999</v>
      </c>
      <c r="D6" s="31">
        <f>'TABELA DE TARIFAS ANTIGAS'!H77/1000</f>
        <v>0.32068000000000002</v>
      </c>
      <c r="E6" s="31">
        <f t="shared" ref="E6" si="0">C6+D6</f>
        <v>0.78930999999999996</v>
      </c>
      <c r="F6" s="31">
        <f>'TABELA DE TARIFAS NOVAS'!G79/1000</f>
        <v>0.50631999999999999</v>
      </c>
      <c r="G6" s="31">
        <f>'TABELA DE TARIFAS NOVAS'!H79/1000</f>
        <v>0.33738999999999997</v>
      </c>
      <c r="H6" s="31">
        <f t="shared" ref="H6" si="1">F6+G6</f>
        <v>0.84370999999999996</v>
      </c>
      <c r="I6" s="31">
        <f t="shared" ref="I6:J6" si="2">((C6*$C$14)+(F6*$D$14))/($D$14+$C$14)</f>
        <v>0.50380733333333327</v>
      </c>
      <c r="J6" s="31">
        <f t="shared" si="2"/>
        <v>0.33627599999999996</v>
      </c>
      <c r="K6" s="32">
        <f t="shared" ref="K6" si="3">I6+J6</f>
        <v>0.84008333333333329</v>
      </c>
      <c r="M6" s="13" t="s">
        <v>16</v>
      </c>
      <c r="N6" s="14">
        <v>7.8770000000000007E-2</v>
      </c>
      <c r="P6" s="33"/>
      <c r="Q6" s="30" t="str">
        <f>B6</f>
        <v>B2</v>
      </c>
      <c r="R6" s="31">
        <f>'FIO B'!H30/1000</f>
        <v>0.20383072193179136</v>
      </c>
      <c r="S6"/>
      <c r="T6"/>
      <c r="U6" s="31">
        <f xml:space="preserve"> 'FIO B'!K30/1000</f>
        <v>0.20915159219558199</v>
      </c>
      <c r="V6"/>
      <c r="W6"/>
      <c r="X6" s="31">
        <f>((R6*$C$14)+(U6*$D$14))/($D$14+$C$14)</f>
        <v>0.20879686751132928</v>
      </c>
      <c r="Y6"/>
      <c r="Z6"/>
    </row>
    <row r="7" spans="1:26" x14ac:dyDescent="0.25">
      <c r="B7" s="242" t="s">
        <v>200</v>
      </c>
      <c r="C7" s="257">
        <v>1.8774721494831901E-4</v>
      </c>
      <c r="D7" s="256">
        <v>-4.4031307414479802E-3</v>
      </c>
      <c r="E7" s="32">
        <v>3.6054083865702689E-3</v>
      </c>
      <c r="F7" s="32">
        <f>T11</f>
        <v>1.84189231569235E-4</v>
      </c>
      <c r="G7" s="32">
        <f>U11</f>
        <v>-5.3182974871251499E-4</v>
      </c>
      <c r="H7" s="32">
        <f t="shared" ref="H7" si="4">F7+G7</f>
        <v>-3.4764051714327999E-4</v>
      </c>
      <c r="I7" s="31">
        <f>((C7*$C$14)+(F7*$D$14))/($D$14+$C$14)</f>
        <v>1.8442643046117391E-4</v>
      </c>
      <c r="J7" s="31">
        <f>((D7*$C$14)+(G7*$D$14))/($D$14+$C$14)</f>
        <v>-7.8991648156154595E-4</v>
      </c>
      <c r="K7" s="32">
        <f t="shared" ref="K7" si="5">I7+J7</f>
        <v>-6.0549005110037207E-4</v>
      </c>
      <c r="M7" s="226"/>
      <c r="N7" s="14"/>
      <c r="P7" s="33"/>
      <c r="Q7" s="82"/>
      <c r="R7" s="83"/>
      <c r="S7"/>
      <c r="T7"/>
      <c r="U7" s="83"/>
      <c r="V7"/>
      <c r="W7"/>
      <c r="X7" s="83"/>
      <c r="Y7"/>
      <c r="Z7"/>
    </row>
    <row r="8" spans="1:26" x14ac:dyDescent="0.25">
      <c r="B8" s="94" t="s">
        <v>57</v>
      </c>
      <c r="C8" s="83"/>
      <c r="D8" s="83"/>
      <c r="E8" s="83"/>
      <c r="F8" s="83"/>
      <c r="G8" s="81">
        <f>G6*15%</f>
        <v>5.0608499999999994E-2</v>
      </c>
      <c r="H8" s="83"/>
      <c r="I8" s="83"/>
      <c r="J8" s="31">
        <f>((D8*$C$14)+(G8*$D$14))/($D$14+$C$14)</f>
        <v>4.7234599999999995E-2</v>
      </c>
      <c r="K8" s="84"/>
      <c r="M8" s="7" t="s">
        <v>17</v>
      </c>
      <c r="N8" s="15">
        <v>0.14199999999999999</v>
      </c>
      <c r="P8" s="227" t="s">
        <v>194</v>
      </c>
      <c r="Q8" s="228"/>
      <c r="R8" s="229" t="s">
        <v>195</v>
      </c>
      <c r="S8" s="229" t="s">
        <v>196</v>
      </c>
      <c r="T8" s="229" t="s">
        <v>35</v>
      </c>
      <c r="U8" s="229" t="s">
        <v>100</v>
      </c>
      <c r="V8"/>
      <c r="W8"/>
      <c r="X8" s="83"/>
      <c r="Y8"/>
      <c r="Z8"/>
    </row>
    <row r="9" spans="1:26" x14ac:dyDescent="0.25">
      <c r="A9" s="19" t="s">
        <v>8</v>
      </c>
      <c r="G9" s="1"/>
      <c r="H9" s="1"/>
      <c r="I9" s="1"/>
      <c r="J9" s="1"/>
      <c r="K9" s="1"/>
      <c r="O9" s="20"/>
      <c r="P9" s="230" t="s">
        <v>197</v>
      </c>
      <c r="Q9" s="231"/>
      <c r="R9" s="232"/>
      <c r="S9" s="232"/>
      <c r="T9" s="233"/>
      <c r="U9" s="233"/>
      <c r="V9"/>
      <c r="W9"/>
      <c r="X9"/>
      <c r="Y9"/>
      <c r="Z9"/>
    </row>
    <row r="10" spans="1:26" x14ac:dyDescent="0.25">
      <c r="B10" s="34"/>
      <c r="C10" s="35"/>
      <c r="D10" s="36"/>
      <c r="E10" s="35"/>
      <c r="F10" s="35"/>
      <c r="G10" s="35"/>
      <c r="H10" s="37" t="s">
        <v>37</v>
      </c>
      <c r="I10" s="1"/>
      <c r="L10" s="20" t="s">
        <v>25</v>
      </c>
      <c r="M10" s="21">
        <f>EOMONTH(B14,0)+1</f>
        <v>46266</v>
      </c>
      <c r="P10" s="234" t="s">
        <v>198</v>
      </c>
      <c r="Q10" s="235"/>
      <c r="R10" s="236"/>
      <c r="S10" s="236"/>
      <c r="T10" s="237"/>
      <c r="U10" s="256">
        <v>0</v>
      </c>
      <c r="V10"/>
      <c r="W10"/>
      <c r="X10"/>
      <c r="Y10"/>
      <c r="Z10"/>
    </row>
    <row r="11" spans="1:26" x14ac:dyDescent="0.25">
      <c r="B11" s="38" t="s">
        <v>38</v>
      </c>
      <c r="C11" s="411">
        <v>160489097</v>
      </c>
      <c r="E11" s="1"/>
      <c r="F11" s="1"/>
      <c r="G11" s="1"/>
      <c r="H11" s="40">
        <f>E14</f>
        <v>46268</v>
      </c>
      <c r="K11" s="460" t="s">
        <v>26</v>
      </c>
      <c r="L11" s="460"/>
      <c r="P11" s="238" t="s">
        <v>199</v>
      </c>
      <c r="Q11" s="239"/>
      <c r="R11" s="240"/>
      <c r="S11" s="240"/>
      <c r="T11" s="257">
        <f>'Fatura B1 (GD) OK'!T11</f>
        <v>1.84189231569235E-4</v>
      </c>
      <c r="U11" s="257">
        <f>'Fatura B1 (GD) OK'!U11</f>
        <v>-5.3182974871251499E-4</v>
      </c>
      <c r="V11"/>
      <c r="W11"/>
      <c r="X11"/>
      <c r="Y11"/>
      <c r="Z11"/>
    </row>
    <row r="12" spans="1:26" x14ac:dyDescent="0.25">
      <c r="A12" s="19" t="s">
        <v>8</v>
      </c>
      <c r="B12" s="41"/>
      <c r="H12" s="42"/>
      <c r="K12" s="7" t="s">
        <v>14</v>
      </c>
      <c r="L12" s="7" t="s">
        <v>14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.2" x14ac:dyDescent="0.25">
      <c r="B13" s="16" t="s">
        <v>21</v>
      </c>
      <c r="C13" s="16" t="s">
        <v>22</v>
      </c>
      <c r="D13" s="16" t="s">
        <v>23</v>
      </c>
      <c r="E13" s="16" t="s">
        <v>24</v>
      </c>
      <c r="F13" s="1"/>
      <c r="G13" s="1"/>
      <c r="H13" s="43"/>
      <c r="J13" s="16" t="s">
        <v>21</v>
      </c>
      <c r="K13" s="16" t="s">
        <v>22</v>
      </c>
      <c r="L13" s="16" t="s">
        <v>23</v>
      </c>
      <c r="M13" s="16" t="s">
        <v>24</v>
      </c>
    </row>
    <row r="14" spans="1:26" x14ac:dyDescent="0.25">
      <c r="B14" s="17">
        <v>46238</v>
      </c>
      <c r="C14" s="18">
        <f>IF((F2-B14-1)&lt;0,0,(F2-B14-1))</f>
        <v>2</v>
      </c>
      <c r="D14" s="18">
        <f>E14-F2+1</f>
        <v>28</v>
      </c>
      <c r="E14" s="17">
        <v>46268</v>
      </c>
      <c r="F14" s="44"/>
      <c r="G14" s="44"/>
      <c r="H14" s="45"/>
      <c r="J14" s="22">
        <f>B14</f>
        <v>46238</v>
      </c>
      <c r="K14" s="23">
        <f>IF((M10-J14-1)&lt;0,0,(M10-J14-1))</f>
        <v>27</v>
      </c>
      <c r="L14" s="23">
        <f>M14-M10+1</f>
        <v>3</v>
      </c>
      <c r="M14" s="22">
        <f>E14</f>
        <v>46268</v>
      </c>
    </row>
    <row r="17" spans="2:20" x14ac:dyDescent="0.25">
      <c r="B17" s="5" t="s">
        <v>55</v>
      </c>
      <c r="E17" s="26" t="s">
        <v>10</v>
      </c>
      <c r="F17" s="85">
        <v>1</v>
      </c>
      <c r="G17" s="86" t="s">
        <v>9</v>
      </c>
      <c r="H17" s="85">
        <v>1</v>
      </c>
      <c r="M17" s="357" t="s">
        <v>280</v>
      </c>
      <c r="N17" s="360"/>
      <c r="O17" s="359">
        <v>1025311195</v>
      </c>
    </row>
    <row r="18" spans="2:20" x14ac:dyDescent="0.25">
      <c r="R18" s="315" t="s">
        <v>393</v>
      </c>
    </row>
    <row r="19" spans="2:20" ht="41.95" customHeight="1" x14ac:dyDescent="0.25">
      <c r="B19" s="260" t="s">
        <v>207</v>
      </c>
      <c r="C19" s="260" t="s">
        <v>208</v>
      </c>
      <c r="D19" s="260" t="s">
        <v>209</v>
      </c>
      <c r="E19" s="261" t="s">
        <v>210</v>
      </c>
      <c r="F19" s="261" t="s">
        <v>211</v>
      </c>
      <c r="G19" s="261" t="s">
        <v>212</v>
      </c>
      <c r="H19" s="261" t="s">
        <v>213</v>
      </c>
      <c r="I19" s="261" t="s">
        <v>214</v>
      </c>
      <c r="J19" s="261" t="s">
        <v>215</v>
      </c>
      <c r="K19" s="262" t="s">
        <v>216</v>
      </c>
      <c r="L19" s="260" t="s">
        <v>217</v>
      </c>
      <c r="M19" s="261" t="s">
        <v>218</v>
      </c>
      <c r="N19" s="261" t="s">
        <v>219</v>
      </c>
      <c r="O19" s="261" t="s">
        <v>220</v>
      </c>
    </row>
    <row r="20" spans="2:20" x14ac:dyDescent="0.25">
      <c r="B20" s="263"/>
      <c r="C20" s="263"/>
      <c r="D20" s="263"/>
      <c r="E20" s="263"/>
      <c r="F20" s="263"/>
      <c r="G20" s="263"/>
      <c r="H20" s="263"/>
      <c r="I20" s="263"/>
      <c r="J20" s="263"/>
      <c r="K20" s="263"/>
      <c r="L20" s="264"/>
      <c r="M20" s="265"/>
      <c r="N20" s="265"/>
      <c r="O20" s="265"/>
      <c r="R20" s="26" t="s">
        <v>105</v>
      </c>
      <c r="S20" s="26" t="s">
        <v>106</v>
      </c>
      <c r="T20" s="315" t="s">
        <v>392</v>
      </c>
    </row>
    <row r="21" spans="2:20" x14ac:dyDescent="0.25">
      <c r="B21" s="400" t="s">
        <v>372</v>
      </c>
      <c r="C21" s="401" t="s">
        <v>2</v>
      </c>
      <c r="D21" s="326">
        <v>1036</v>
      </c>
      <c r="E21" s="402">
        <f>IFERROR((ROUND(D21*K21,2)+ROUND(G21,2)+ROUND(J21,2))/ROUND(D21,4), 0)</f>
        <v>0.55930501930501941</v>
      </c>
      <c r="F21" s="403">
        <f>ROUND(D21*E21,2)</f>
        <v>579.44000000000005</v>
      </c>
      <c r="G21" s="403">
        <f t="shared" ref="G21:G28" si="6">((D21*K21)/(1-$N$21-$N$23))*($N$21+$N$23)</f>
        <v>34.321612826885506</v>
      </c>
      <c r="H21" s="404">
        <f t="shared" ref="H21:H28" si="7">(IF($I$21=12%,(D21*K21)/(1-$N$21-$N$23)/(1-$C$122)/$F$122*$C$122,(D21*K21)/(1-$N$21-$N$23)/(1-$I$21)))</f>
        <v>579.44376058356124</v>
      </c>
      <c r="I21" s="406">
        <v>0.04</v>
      </c>
      <c r="J21" s="404">
        <f>(H21*$I$21)</f>
        <v>23.177750423342449</v>
      </c>
      <c r="K21" s="402">
        <f>IF(AND($B$14&lt;$F$2,$E$14&lt;$F$2),C6,IF($B$14&lt;$F$2,I6,F6))</f>
        <v>0.50380733333333327</v>
      </c>
      <c r="L21" s="47" t="s">
        <v>92</v>
      </c>
      <c r="M21" s="269">
        <f>D109</f>
        <v>948.36406266652455</v>
      </c>
      <c r="N21" s="272">
        <f>'Fatura B1 (GD) OK'!N21</f>
        <v>1.0999999999999999E-2</v>
      </c>
      <c r="O21" s="273">
        <f t="shared" ref="O21" si="8">ROUND(M21*N21,2)</f>
        <v>10.43</v>
      </c>
      <c r="R21" s="254">
        <f>IF(AND($B$14&lt;$F$2,$E$14&lt;$F$2),R6,IF($B$14&lt;$F$2,X6,U6))</f>
        <v>0.20879686751132928</v>
      </c>
      <c r="S21" s="137">
        <f>D21*R21</f>
        <v>216.31355474173714</v>
      </c>
      <c r="T21" s="432">
        <f>SUM(S21:S23)</f>
        <v>216.31355474173714</v>
      </c>
    </row>
    <row r="22" spans="2:20" x14ac:dyDescent="0.25">
      <c r="B22" s="400" t="s">
        <v>232</v>
      </c>
      <c r="C22" s="401" t="s">
        <v>2</v>
      </c>
      <c r="D22" s="326">
        <v>0</v>
      </c>
      <c r="E22" s="402">
        <f>IFERROR((ROUND(D22*K22,2)+ROUND(G22,2)+ROUND(J22,2))/ROUND(D22,4), 0)</f>
        <v>0</v>
      </c>
      <c r="F22" s="403">
        <f>ROUND(D22*E22,2)</f>
        <v>0</v>
      </c>
      <c r="G22" s="403">
        <f t="shared" si="6"/>
        <v>0</v>
      </c>
      <c r="H22" s="404">
        <f t="shared" si="7"/>
        <v>0</v>
      </c>
      <c r="I22" s="271">
        <f>I21</f>
        <v>0.04</v>
      </c>
      <c r="J22" s="404">
        <f>(H22*$I$21)</f>
        <v>0</v>
      </c>
      <c r="K22" s="402">
        <f>(K21+(K21*(-$H$55)))</f>
        <v>0.20152293333333332</v>
      </c>
      <c r="L22" s="47" t="s">
        <v>230</v>
      </c>
      <c r="M22" s="269">
        <f>D110</f>
        <v>-920.89949909410643</v>
      </c>
      <c r="N22" s="272">
        <f>N21</f>
        <v>1.0999999999999999E-2</v>
      </c>
      <c r="O22" s="273">
        <f>ROUND(M22*N22,2)</f>
        <v>-10.130000000000001</v>
      </c>
      <c r="R22" s="254">
        <f>IF(AND($B$14&lt;$F$2,$E$14&lt;$F$2),R6,IF($B$14&lt;$F$2,X6,U6))</f>
        <v>0.20879686751132928</v>
      </c>
      <c r="S22" s="137">
        <f>D22*R22</f>
        <v>0</v>
      </c>
    </row>
    <row r="23" spans="2:20" x14ac:dyDescent="0.25">
      <c r="B23" s="400" t="s">
        <v>222</v>
      </c>
      <c r="C23" s="401" t="s">
        <v>2</v>
      </c>
      <c r="D23" s="405">
        <f>D21</f>
        <v>1036</v>
      </c>
      <c r="E23" s="402">
        <f>IFERROR((ROUND(D23*K23,2)+ROUND(G23,2)+ROUND(J23,2))/ROUND(D23,4), 0)</f>
        <v>0.37332046332046337</v>
      </c>
      <c r="F23" s="403">
        <f>ROUND(D23*E23,2)</f>
        <v>386.76</v>
      </c>
      <c r="G23" s="403">
        <f t="shared" si="6"/>
        <v>22.908627785569646</v>
      </c>
      <c r="H23" s="404">
        <f t="shared" si="7"/>
        <v>386.76100394330166</v>
      </c>
      <c r="I23" s="400"/>
      <c r="J23" s="404">
        <f>ROUND(H23*$I$21,2)</f>
        <v>15.47</v>
      </c>
      <c r="K23" s="402">
        <f>IF(AND($B$14&lt;$F$2,$E$14&lt;$F$2),D6,IF($B$14&lt;$F$2,J6,G6))</f>
        <v>0.33627599999999996</v>
      </c>
      <c r="L23" s="47" t="s">
        <v>51</v>
      </c>
      <c r="M23" s="269">
        <f>M21</f>
        <v>948.36406266652455</v>
      </c>
      <c r="N23" s="272">
        <f>'Fatura B1 (GD) OK'!N23</f>
        <v>5.0700000000000002E-2</v>
      </c>
      <c r="O23" s="273">
        <f>ROUND(M23*N23,2)</f>
        <v>48.08</v>
      </c>
      <c r="S23" s="436">
        <f>-S22*$H$55</f>
        <v>0</v>
      </c>
      <c r="T23" s="315" t="s">
        <v>394</v>
      </c>
    </row>
    <row r="24" spans="2:20" x14ac:dyDescent="0.25">
      <c r="B24" s="400" t="s">
        <v>233</v>
      </c>
      <c r="C24" s="401" t="s">
        <v>2</v>
      </c>
      <c r="D24" s="405">
        <f>D22</f>
        <v>0</v>
      </c>
      <c r="E24" s="402">
        <f>IFERROR((ROUND(D24*K24,2)+ROUND(G24,2)+ROUND(J24,2))/ROUND(D24,4), 0)</f>
        <v>0</v>
      </c>
      <c r="F24" s="403">
        <f>ROUND(D24*E24,2)</f>
        <v>0</v>
      </c>
      <c r="G24" s="403">
        <f t="shared" si="6"/>
        <v>0</v>
      </c>
      <c r="H24" s="404">
        <f t="shared" si="7"/>
        <v>0</v>
      </c>
      <c r="I24" s="400"/>
      <c r="J24" s="404">
        <f>ROUND(H24*$I$21,2)</f>
        <v>0</v>
      </c>
      <c r="K24" s="402">
        <f>ROUND(K23+(K23*(-$H$55)),8)</f>
        <v>0.1345104</v>
      </c>
      <c r="L24" s="47" t="s">
        <v>231</v>
      </c>
      <c r="M24" s="269">
        <f>M22</f>
        <v>-920.89949909410643</v>
      </c>
      <c r="N24" s="272">
        <f>N23</f>
        <v>5.0700000000000002E-2</v>
      </c>
      <c r="O24" s="273">
        <f>ROUND(M24*N24,2)</f>
        <v>-46.69</v>
      </c>
    </row>
    <row r="25" spans="2:20" x14ac:dyDescent="0.25">
      <c r="B25" s="400" t="s">
        <v>43</v>
      </c>
      <c r="C25" s="401" t="s">
        <v>2</v>
      </c>
      <c r="D25" s="405">
        <f>IF($K$12=M4,($D$21*($K$14)/($K$14+$L$14)),0)+IF($L$12=M4,($D$21*($L$14)/($K$14+$L$14)),0)+IF($K$12=M4,($D$22*($K$14)/($K$14+$L$14)),0)+IF($L$12=M4,(D22*($L$14)/($K$14+$L$14)),0)</f>
        <v>1036</v>
      </c>
      <c r="E25" s="402">
        <f>IFERROR((ROUND(D25*K25,2)+ROUND(G25,2)+ROUND(J25,2))/ROUND(D25,4), 0)</f>
        <v>2.092664092664093E-2</v>
      </c>
      <c r="F25" s="403">
        <f>ROUND(D25*E25,2)</f>
        <v>21.68</v>
      </c>
      <c r="G25" s="403">
        <f t="shared" si="6"/>
        <v>1.2841464563572418</v>
      </c>
      <c r="H25" s="404">
        <f t="shared" si="7"/>
        <v>21.679944225372125</v>
      </c>
      <c r="I25" s="400"/>
      <c r="J25" s="404">
        <f>ROUND(H25*$I$21,2)</f>
        <v>0.87</v>
      </c>
      <c r="K25" s="402">
        <f>J65</f>
        <v>1.8849999999999999E-2</v>
      </c>
      <c r="L25" s="47"/>
      <c r="M25" s="269"/>
      <c r="N25" s="269"/>
      <c r="O25" s="269"/>
      <c r="R25" s="276"/>
    </row>
    <row r="26" spans="2:20" x14ac:dyDescent="0.25">
      <c r="B26" s="400" t="s">
        <v>245</v>
      </c>
      <c r="C26" s="401" t="s">
        <v>2</v>
      </c>
      <c r="D26" s="405">
        <f>IF($K$12=M5,((D21+D22)*($K$14)/($K$14+$L$14)),0)+IF($L$12=M5,((D21+D22)*($L$14)/($K$14+$L$14)),0)</f>
        <v>0</v>
      </c>
      <c r="E26" s="402">
        <f t="shared" ref="E26:E28" si="9">IFERROR((ROUND(D26*K26,2)+ROUND(G26,2)+ROUND(J26,2))/ROUND(D26,4), 0)</f>
        <v>0</v>
      </c>
      <c r="F26" s="403">
        <f t="shared" ref="F26:F28" si="10">ROUND(D26*E26,2)</f>
        <v>0</v>
      </c>
      <c r="G26" s="403">
        <f t="shared" si="6"/>
        <v>0</v>
      </c>
      <c r="H26" s="404">
        <f t="shared" si="7"/>
        <v>0</v>
      </c>
      <c r="I26" s="400"/>
      <c r="J26" s="404">
        <f t="shared" ref="J26:J28" si="11">ROUND(H26*$I$21,2)</f>
        <v>0</v>
      </c>
      <c r="K26" s="402">
        <f t="shared" ref="K26:K28" si="12">J66</f>
        <v>0</v>
      </c>
      <c r="L26" s="47"/>
      <c r="M26" s="269"/>
      <c r="N26" s="269"/>
      <c r="O26" s="269"/>
    </row>
    <row r="27" spans="2:20" x14ac:dyDescent="0.25">
      <c r="B27" s="400" t="s">
        <v>252</v>
      </c>
      <c r="C27" s="401" t="s">
        <v>2</v>
      </c>
      <c r="D27" s="405">
        <f t="shared" ref="D27:D28" si="13">IF($K$12=M6,((D22+D23)*($K$14)/($K$14+$L$14)),0)+IF($L$12=M6,((D22+D23)*($L$14)/($K$14+$L$14)),0)</f>
        <v>0</v>
      </c>
      <c r="E27" s="402">
        <f t="shared" si="9"/>
        <v>0</v>
      </c>
      <c r="F27" s="403">
        <f t="shared" si="10"/>
        <v>0</v>
      </c>
      <c r="G27" s="403">
        <f t="shared" si="6"/>
        <v>0</v>
      </c>
      <c r="H27" s="404">
        <f t="shared" si="7"/>
        <v>0</v>
      </c>
      <c r="I27" s="400"/>
      <c r="J27" s="404">
        <f t="shared" si="11"/>
        <v>0</v>
      </c>
      <c r="K27" s="402">
        <f t="shared" si="12"/>
        <v>0</v>
      </c>
      <c r="L27" s="47"/>
      <c r="M27" s="269"/>
      <c r="N27" s="269"/>
      <c r="O27" s="269"/>
    </row>
    <row r="28" spans="2:20" x14ac:dyDescent="0.25">
      <c r="B28" s="400" t="s">
        <v>253</v>
      </c>
      <c r="C28" s="401" t="s">
        <v>2</v>
      </c>
      <c r="D28" s="405">
        <f t="shared" si="13"/>
        <v>0</v>
      </c>
      <c r="E28" s="402">
        <f t="shared" si="9"/>
        <v>0</v>
      </c>
      <c r="F28" s="403">
        <f t="shared" si="10"/>
        <v>0</v>
      </c>
      <c r="G28" s="403">
        <f t="shared" si="6"/>
        <v>0</v>
      </c>
      <c r="H28" s="404">
        <f t="shared" si="7"/>
        <v>0</v>
      </c>
      <c r="I28" s="400"/>
      <c r="J28" s="404">
        <f t="shared" si="11"/>
        <v>0</v>
      </c>
      <c r="K28" s="402">
        <f t="shared" si="12"/>
        <v>0</v>
      </c>
      <c r="L28" s="47"/>
      <c r="M28" s="269"/>
      <c r="N28" s="269"/>
      <c r="O28" s="269"/>
    </row>
    <row r="29" spans="2:20" x14ac:dyDescent="0.25">
      <c r="B29" s="265"/>
      <c r="C29" s="266"/>
      <c r="D29" s="274"/>
      <c r="E29" s="268"/>
      <c r="F29" s="269"/>
      <c r="G29" s="269"/>
      <c r="H29" s="270"/>
      <c r="I29" s="265"/>
      <c r="J29" s="270"/>
      <c r="K29" s="268"/>
      <c r="L29" s="47"/>
      <c r="M29" s="269"/>
      <c r="N29" s="269"/>
      <c r="O29" s="269"/>
    </row>
    <row r="30" spans="2:20" x14ac:dyDescent="0.25">
      <c r="B30" s="265" t="s">
        <v>234</v>
      </c>
      <c r="C30" s="266" t="s">
        <v>2</v>
      </c>
      <c r="D30" s="326">
        <v>0</v>
      </c>
      <c r="E30" s="268">
        <f>IFERROR((ROUND(D30*K30,2)+ROUND(G30,2)+ROUND(J30,2))/ROUND(D30,4), 0)</f>
        <v>0</v>
      </c>
      <c r="F30" s="435">
        <f t="shared" ref="F30:F35" si="14">ROUND(D30*E30,2)</f>
        <v>0</v>
      </c>
      <c r="G30" s="269">
        <f t="shared" ref="G30:G39" si="15">((D30*K30)/(1-$N$22-$N$24))*($N$22+$N$24)</f>
        <v>0</v>
      </c>
      <c r="H30" s="270">
        <v>0</v>
      </c>
      <c r="I30" s="271">
        <v>0</v>
      </c>
      <c r="J30" s="265">
        <f t="shared" ref="J30:J36" si="16">H30*$I$21</f>
        <v>0</v>
      </c>
      <c r="K30" s="268">
        <f>K22</f>
        <v>0.20152293333333332</v>
      </c>
      <c r="L30" s="47"/>
      <c r="M30" s="269"/>
      <c r="N30" s="269"/>
      <c r="O30" s="269"/>
    </row>
    <row r="31" spans="2:20" x14ac:dyDescent="0.25">
      <c r="B31" s="400" t="s">
        <v>227</v>
      </c>
      <c r="C31" s="401" t="s">
        <v>2</v>
      </c>
      <c r="D31" s="326">
        <v>-1006</v>
      </c>
      <c r="E31" s="402">
        <f t="shared" ref="E31:E35" si="17">IFERROR((ROUND(D31*K31,2)+ROUND(G31,2)+ROUND(J31,2))/ROUND(D31,4), 0)</f>
        <v>0.53693836978131204</v>
      </c>
      <c r="F31" s="400">
        <f t="shared" si="14"/>
        <v>-540.16</v>
      </c>
      <c r="G31" s="403">
        <f t="shared" si="15"/>
        <v>-33.327743729581861</v>
      </c>
      <c r="H31" s="404">
        <v>0</v>
      </c>
      <c r="I31" s="271">
        <v>0</v>
      </c>
      <c r="J31" s="400">
        <f t="shared" si="16"/>
        <v>0</v>
      </c>
      <c r="K31" s="402">
        <f>K21</f>
        <v>0.50380733333333327</v>
      </c>
      <c r="L31" s="47"/>
      <c r="M31" s="269"/>
      <c r="N31" s="269"/>
      <c r="O31" s="269"/>
    </row>
    <row r="32" spans="2:20" x14ac:dyDescent="0.25">
      <c r="B32" s="265" t="s">
        <v>408</v>
      </c>
      <c r="C32" s="401" t="s">
        <v>2</v>
      </c>
      <c r="D32" s="326">
        <v>0</v>
      </c>
      <c r="E32" s="402">
        <f t="shared" si="17"/>
        <v>0</v>
      </c>
      <c r="F32" s="445">
        <f t="shared" si="14"/>
        <v>0</v>
      </c>
      <c r="G32" s="403">
        <f t="shared" si="15"/>
        <v>0</v>
      </c>
      <c r="H32" s="404"/>
      <c r="I32" s="271">
        <v>0</v>
      </c>
      <c r="J32" s="400">
        <f t="shared" si="16"/>
        <v>0</v>
      </c>
      <c r="K32" s="402">
        <f>K22</f>
        <v>0.20152293333333332</v>
      </c>
      <c r="L32" s="47"/>
      <c r="M32" s="269"/>
      <c r="N32" s="269"/>
      <c r="O32" s="269"/>
    </row>
    <row r="33" spans="2:19" x14ac:dyDescent="0.25">
      <c r="B33" s="400" t="s">
        <v>235</v>
      </c>
      <c r="C33" s="401" t="s">
        <v>2</v>
      </c>
      <c r="D33" s="405">
        <f>D30</f>
        <v>0</v>
      </c>
      <c r="E33" s="268">
        <f t="shared" si="17"/>
        <v>0</v>
      </c>
      <c r="F33" s="265">
        <f t="shared" si="14"/>
        <v>0</v>
      </c>
      <c r="G33" s="269">
        <f t="shared" si="15"/>
        <v>0</v>
      </c>
      <c r="H33" s="270">
        <f t="shared" ref="H33:H39" si="18">(IF($I$33=12%,(D33*K33)/(1-$N$22-$N$24)/(1-$C$128)/$F$128*$C$128,(D33*K33)/(1-$N$22-$N$24)/(1-$I$33)))</f>
        <v>0</v>
      </c>
      <c r="I33" s="271">
        <f>I21</f>
        <v>0.04</v>
      </c>
      <c r="J33" s="270">
        <f t="shared" si="16"/>
        <v>0</v>
      </c>
      <c r="K33" s="268">
        <f>K24</f>
        <v>0.1345104</v>
      </c>
      <c r="L33" s="47"/>
      <c r="M33" s="269"/>
      <c r="N33" s="269"/>
      <c r="O33" s="269"/>
    </row>
    <row r="34" spans="2:19" x14ac:dyDescent="0.25">
      <c r="B34" s="400" t="s">
        <v>228</v>
      </c>
      <c r="C34" s="401" t="s">
        <v>2</v>
      </c>
      <c r="D34" s="405">
        <f>D31</f>
        <v>-1006</v>
      </c>
      <c r="E34" s="402">
        <f t="shared" si="17"/>
        <v>0.37332007952286284</v>
      </c>
      <c r="F34" s="400">
        <f t="shared" si="14"/>
        <v>-375.56</v>
      </c>
      <c r="G34" s="403">
        <f t="shared" si="15"/>
        <v>-22.24525053309176</v>
      </c>
      <c r="H34" s="404">
        <f t="shared" si="18"/>
        <v>-375.56136097197049</v>
      </c>
      <c r="I34" s="271">
        <f>I22</f>
        <v>0.04</v>
      </c>
      <c r="J34" s="404">
        <f t="shared" si="16"/>
        <v>-15.022454438878819</v>
      </c>
      <c r="K34" s="402">
        <f>K23</f>
        <v>0.33627599999999996</v>
      </c>
      <c r="L34" s="47"/>
      <c r="M34" s="269"/>
      <c r="N34" s="269"/>
      <c r="O34" s="269"/>
    </row>
    <row r="35" spans="2:19" x14ac:dyDescent="0.25">
      <c r="B35" s="400" t="s">
        <v>409</v>
      </c>
      <c r="C35" s="401" t="s">
        <v>2</v>
      </c>
      <c r="D35" s="405">
        <f>D32</f>
        <v>0</v>
      </c>
      <c r="E35" s="402">
        <f t="shared" si="17"/>
        <v>0</v>
      </c>
      <c r="F35" s="400">
        <f t="shared" si="14"/>
        <v>0</v>
      </c>
      <c r="G35" s="403">
        <f t="shared" si="15"/>
        <v>0</v>
      </c>
      <c r="H35" s="404">
        <f t="shared" si="18"/>
        <v>0</v>
      </c>
      <c r="I35" s="271">
        <f>I23</f>
        <v>0</v>
      </c>
      <c r="J35" s="404">
        <f t="shared" si="16"/>
        <v>0</v>
      </c>
      <c r="K35" s="402">
        <f>K24</f>
        <v>0.1345104</v>
      </c>
      <c r="L35" s="47"/>
      <c r="M35" s="269"/>
      <c r="N35" s="269"/>
      <c r="O35" s="269"/>
    </row>
    <row r="36" spans="2:19" x14ac:dyDescent="0.25">
      <c r="B36" s="400" t="s">
        <v>229</v>
      </c>
      <c r="C36" s="401" t="s">
        <v>2</v>
      </c>
      <c r="D36" s="405">
        <f>IF($K$12=M4,(($D$30+$D$31)*($K$14)/($K$14+$L$14)),0)+IF($L$12=M4,(($D$30+$D$31)*($L$14)/($K$14+$L$14)),0)</f>
        <v>-1006</v>
      </c>
      <c r="E36" s="402">
        <f>IFERROR((ROUND(D36*K36,2)+ROUND(G36,2)+ROUND(J36,2))/ROUND(D36,4), 0)</f>
        <v>2.0924453280318091E-2</v>
      </c>
      <c r="F36" s="403">
        <f t="shared" ref="F36" si="19">ROUND(D36*E36,2)</f>
        <v>-21.05</v>
      </c>
      <c r="G36" s="403">
        <f t="shared" si="15"/>
        <v>-1.2469607481615688</v>
      </c>
      <c r="H36" s="404">
        <f t="shared" si="18"/>
        <v>-21.052146612668299</v>
      </c>
      <c r="I36" s="400"/>
      <c r="J36" s="404">
        <f t="shared" si="16"/>
        <v>-0.84208586450673195</v>
      </c>
      <c r="K36" s="402">
        <f>J84</f>
        <v>1.8849999999999999E-2</v>
      </c>
      <c r="L36" s="255"/>
      <c r="M36" s="275"/>
      <c r="N36" s="275"/>
      <c r="O36" s="275"/>
      <c r="R36" s="276"/>
    </row>
    <row r="37" spans="2:19" x14ac:dyDescent="0.25">
      <c r="B37" s="400" t="s">
        <v>248</v>
      </c>
      <c r="C37" s="401" t="s">
        <v>2</v>
      </c>
      <c r="D37" s="405">
        <f>IF($K$12=M5,(($D$30+$D$31)*($K$14)/($K$14+$L$14)),0)+IF($L$12=M5,(($D$30+$D$31)*($L$14)/($K$14+$L$14)),0)</f>
        <v>0</v>
      </c>
      <c r="E37" s="402">
        <f t="shared" ref="E37:E39" si="20">IFERROR((ROUND(D37*K37,2)+ROUND(G37,2)+ROUND(J37,2))/ROUND(D37,4), 0)</f>
        <v>0</v>
      </c>
      <c r="F37" s="403">
        <f t="shared" ref="F37:F39" si="21">ROUND(D37*E37,2)</f>
        <v>0</v>
      </c>
      <c r="G37" s="403">
        <f t="shared" si="15"/>
        <v>0</v>
      </c>
      <c r="H37" s="404">
        <f t="shared" si="18"/>
        <v>0</v>
      </c>
      <c r="I37" s="400"/>
      <c r="J37" s="404">
        <f t="shared" ref="J37:J39" si="22">H37*$I$21</f>
        <v>0</v>
      </c>
      <c r="K37" s="402">
        <f t="shared" ref="K37:K39" si="23">J85</f>
        <v>0</v>
      </c>
      <c r="O37" s="264"/>
      <c r="S37" s="277"/>
    </row>
    <row r="38" spans="2:19" x14ac:dyDescent="0.25">
      <c r="B38" s="400" t="s">
        <v>249</v>
      </c>
      <c r="C38" s="401" t="s">
        <v>2</v>
      </c>
      <c r="D38" s="405">
        <f>IF($K$12=M6,(($D$30+$D$31)*($K$14)/($K$14+$L$14)),0)+IF($L$12=M6,(($D$30+$D$31)*($L$14)/($K$14+$L$14)),0)</f>
        <v>0</v>
      </c>
      <c r="E38" s="402">
        <f t="shared" si="20"/>
        <v>0</v>
      </c>
      <c r="F38" s="403">
        <f t="shared" si="21"/>
        <v>0</v>
      </c>
      <c r="G38" s="403">
        <f t="shared" si="15"/>
        <v>0</v>
      </c>
      <c r="H38" s="404">
        <f t="shared" si="18"/>
        <v>0</v>
      </c>
      <c r="I38" s="400"/>
      <c r="J38" s="404">
        <f t="shared" si="22"/>
        <v>0</v>
      </c>
      <c r="K38" s="402">
        <f t="shared" si="23"/>
        <v>0</v>
      </c>
      <c r="O38" s="264"/>
      <c r="S38" s="277"/>
    </row>
    <row r="39" spans="2:19" x14ac:dyDescent="0.25">
      <c r="B39" s="400" t="s">
        <v>250</v>
      </c>
      <c r="C39" s="401" t="s">
        <v>2</v>
      </c>
      <c r="D39" s="405">
        <f>IF($K$12=M7,(($D$30+$D$31)*($K$14)/($K$14+$L$14)),0)+IF($L$12=M7,(($D$30+$D$31)*($L$14)/($K$14+$L$14)),0)</f>
        <v>0</v>
      </c>
      <c r="E39" s="402">
        <f t="shared" si="20"/>
        <v>0</v>
      </c>
      <c r="F39" s="403">
        <f t="shared" si="21"/>
        <v>0</v>
      </c>
      <c r="G39" s="403">
        <f t="shared" si="15"/>
        <v>0</v>
      </c>
      <c r="H39" s="404">
        <f t="shared" si="18"/>
        <v>0</v>
      </c>
      <c r="I39" s="400"/>
      <c r="J39" s="404">
        <f t="shared" si="22"/>
        <v>0</v>
      </c>
      <c r="K39" s="402">
        <f t="shared" si="23"/>
        <v>0</v>
      </c>
      <c r="O39" s="264"/>
      <c r="S39" s="277"/>
    </row>
    <row r="40" spans="2:19" x14ac:dyDescent="0.25">
      <c r="B40" s="400"/>
      <c r="C40" s="401"/>
      <c r="D40" s="274"/>
      <c r="E40" s="268"/>
      <c r="F40" s="269"/>
      <c r="G40" s="269"/>
      <c r="H40" s="270"/>
      <c r="I40" s="265"/>
      <c r="J40" s="270"/>
      <c r="K40" s="268"/>
      <c r="O40" s="264"/>
      <c r="S40" s="277"/>
    </row>
    <row r="41" spans="2:19" x14ac:dyDescent="0.25">
      <c r="B41" s="265" t="s">
        <v>223</v>
      </c>
      <c r="C41" s="265"/>
      <c r="D41" s="274"/>
      <c r="E41" s="265"/>
      <c r="F41" s="278"/>
      <c r="G41" s="265"/>
      <c r="H41" s="265"/>
      <c r="I41" s="265"/>
      <c r="J41" s="265"/>
      <c r="K41" s="265"/>
      <c r="O41" s="264"/>
      <c r="S41" s="277"/>
    </row>
    <row r="42" spans="2:19" x14ac:dyDescent="0.25">
      <c r="B42" s="265" t="s">
        <v>224</v>
      </c>
      <c r="C42" s="265"/>
      <c r="D42" s="274"/>
      <c r="E42" s="265"/>
      <c r="F42" s="278">
        <v>-211.16</v>
      </c>
      <c r="G42" s="265"/>
      <c r="H42" s="265"/>
      <c r="I42" s="265"/>
      <c r="J42" s="265"/>
      <c r="K42" s="265"/>
      <c r="O42" s="264"/>
      <c r="S42" s="277"/>
    </row>
    <row r="43" spans="2:19" x14ac:dyDescent="0.25">
      <c r="B43" s="265" t="s">
        <v>350</v>
      </c>
      <c r="C43" s="265"/>
      <c r="D43" s="274"/>
      <c r="E43" s="265"/>
      <c r="G43" s="265"/>
      <c r="H43" s="265"/>
      <c r="I43" s="265"/>
      <c r="J43" s="265"/>
      <c r="K43" s="265"/>
      <c r="O43" s="264"/>
      <c r="S43" s="277"/>
    </row>
    <row r="44" spans="2:19" x14ac:dyDescent="0.25">
      <c r="B44" s="265" t="s">
        <v>225</v>
      </c>
      <c r="C44" s="265"/>
      <c r="D44" s="274"/>
      <c r="E44" s="265"/>
      <c r="F44" s="278"/>
      <c r="G44" s="265"/>
      <c r="H44" s="265"/>
      <c r="I44" s="265"/>
      <c r="J44" s="265"/>
      <c r="K44" s="265"/>
      <c r="O44" s="264"/>
      <c r="S44" s="277"/>
    </row>
    <row r="45" spans="2:19" x14ac:dyDescent="0.25">
      <c r="B45" s="265"/>
      <c r="C45" s="265"/>
      <c r="D45" s="274"/>
      <c r="E45" s="265"/>
      <c r="F45" s="265"/>
      <c r="G45" s="265"/>
      <c r="H45" s="265"/>
      <c r="I45" s="265"/>
      <c r="J45" s="265"/>
      <c r="K45" s="265"/>
      <c r="O45" s="264"/>
    </row>
    <row r="46" spans="2:19" x14ac:dyDescent="0.25">
      <c r="B46" s="265"/>
      <c r="C46" s="265"/>
      <c r="D46" s="274"/>
      <c r="E46" s="265"/>
      <c r="F46" s="265"/>
      <c r="G46" s="265"/>
      <c r="H46" s="265"/>
      <c r="I46" s="265"/>
      <c r="J46" s="265"/>
      <c r="K46" s="265"/>
      <c r="O46" s="264"/>
    </row>
    <row r="47" spans="2:19" x14ac:dyDescent="0.25">
      <c r="B47" s="265"/>
      <c r="C47" s="265"/>
      <c r="D47" s="274"/>
      <c r="E47" s="265"/>
      <c r="F47" s="265"/>
      <c r="G47" s="265"/>
      <c r="H47" s="265"/>
      <c r="I47" s="265"/>
      <c r="J47" s="265"/>
      <c r="K47" s="265"/>
      <c r="O47" s="264"/>
    </row>
    <row r="48" spans="2:19" x14ac:dyDescent="0.25">
      <c r="B48" s="279" t="s">
        <v>162</v>
      </c>
      <c r="C48" s="275"/>
      <c r="D48" s="280"/>
      <c r="E48" s="275"/>
      <c r="F48" s="281">
        <f>SUM(F21:F47)</f>
        <v>-160.04999999999995</v>
      </c>
      <c r="G48" s="282">
        <f>SUM(G21:G47)</f>
        <v>1.6944320579771999</v>
      </c>
      <c r="H48" s="283">
        <f>SUM(H21:H47)</f>
        <v>591.27120116759613</v>
      </c>
      <c r="I48" s="275"/>
      <c r="J48" s="283">
        <f>SUM(J21:J47)</f>
        <v>23.653210119956899</v>
      </c>
      <c r="K48" s="275"/>
      <c r="L48" s="75"/>
      <c r="M48" s="75"/>
      <c r="N48" s="75"/>
      <c r="O48" s="255"/>
    </row>
    <row r="50" spans="1:22" x14ac:dyDescent="0.25">
      <c r="B50" s="223" t="s">
        <v>193</v>
      </c>
      <c r="C50" s="133"/>
      <c r="D50" s="224">
        <f>D21+D22</f>
        <v>1036</v>
      </c>
      <c r="E50" s="225">
        <f>IF(AND($B$14&lt;$F$2,$E$14&lt;$F$2),C7,IF($B$14&lt;$F$2,I7,F7))</f>
        <v>1.8442643046117391E-4</v>
      </c>
      <c r="F50" s="225">
        <f>IF(AND($B$14&lt;$F$2,$E$14&lt;$F$2),D7,IF($B$14&lt;$F$2,J7,G7))</f>
        <v>-7.8991648156154595E-4</v>
      </c>
      <c r="G50" s="133"/>
      <c r="H50" s="223">
        <f>(D50*(E50+F50))+(D61*(E50+F50)*-H55)</f>
        <v>-0.62728769293998543</v>
      </c>
    </row>
    <row r="51" spans="1:22" x14ac:dyDescent="0.25">
      <c r="B51" s="223"/>
      <c r="C51" s="133"/>
      <c r="D51" s="224">
        <f>D31+D30</f>
        <v>-1006</v>
      </c>
      <c r="E51" s="225">
        <f>IF(AND($B$14&lt;$F$2,$E$14&lt;$F$2),C7,IF($B$14&lt;$F$2,I7,F7))</f>
        <v>1.8442643046117391E-4</v>
      </c>
      <c r="F51" s="225">
        <f>IF(AND($B$14&lt;$F$2,$E$14&lt;$F$2),D7,IF($B$14&lt;$F$2,J7,G7))</f>
        <v>-7.8991648156154595E-4</v>
      </c>
      <c r="G51" s="133"/>
      <c r="H51" s="223">
        <f>(D51*(E51+F51))+(D80*(E51+F51)*-H55)</f>
        <v>0.60912299140697435</v>
      </c>
    </row>
    <row r="52" spans="1:22" ht="14.95" thickBot="1" x14ac:dyDescent="0.3">
      <c r="B52" s="223"/>
      <c r="C52" s="133"/>
      <c r="D52" s="224"/>
      <c r="E52" s="225"/>
      <c r="F52" s="225"/>
      <c r="G52" s="133"/>
      <c r="H52" s="223">
        <f>SUM(H50:H51)</f>
        <v>-1.8164701533011085E-2</v>
      </c>
    </row>
    <row r="53" spans="1:22" ht="14.95" thickBot="1" x14ac:dyDescent="0.3">
      <c r="B53" s="441" t="s">
        <v>407</v>
      </c>
      <c r="C53" s="442"/>
      <c r="D53" s="443"/>
      <c r="E53" s="443"/>
      <c r="F53" s="444">
        <f>SUM(H74+H62+H75+H76+H77+H81+H93+H94+H95+H96)</f>
        <v>0</v>
      </c>
      <c r="G53" s="133"/>
      <c r="H53" s="223"/>
    </row>
    <row r="54" spans="1:22" x14ac:dyDescent="0.25">
      <c r="B54" s="223"/>
      <c r="C54" s="133"/>
      <c r="D54" s="224"/>
      <c r="E54" s="225"/>
      <c r="F54" s="225"/>
      <c r="G54" s="133"/>
      <c r="H54" s="223"/>
    </row>
    <row r="55" spans="1:22" x14ac:dyDescent="0.25">
      <c r="G55" s="102" t="s">
        <v>68</v>
      </c>
      <c r="H55" s="103">
        <v>0.6</v>
      </c>
      <c r="I55"/>
      <c r="J55"/>
      <c r="K55"/>
      <c r="L55"/>
      <c r="M55"/>
      <c r="N55"/>
      <c r="O55"/>
      <c r="P55"/>
      <c r="Q55"/>
      <c r="R55"/>
      <c r="S55"/>
      <c r="T55"/>
      <c r="U55"/>
      <c r="V55"/>
    </row>
    <row r="56" spans="1:22" x14ac:dyDescent="0.25">
      <c r="B56" s="461" t="s">
        <v>135</v>
      </c>
      <c r="C56" s="462"/>
      <c r="D56" s="462"/>
      <c r="E56" s="462"/>
      <c r="F56" s="462"/>
      <c r="G56" s="462"/>
      <c r="H56" s="463"/>
      <c r="I56"/>
      <c r="J56"/>
      <c r="K56"/>
      <c r="L56"/>
      <c r="M56"/>
      <c r="N56"/>
      <c r="O56"/>
      <c r="P56"/>
      <c r="Q56"/>
      <c r="R56"/>
      <c r="S56"/>
      <c r="T56"/>
      <c r="U56"/>
      <c r="V56"/>
    </row>
    <row r="57" spans="1:22" x14ac:dyDescent="0.25">
      <c r="B57" s="41"/>
      <c r="D57" s="46" t="s">
        <v>40</v>
      </c>
      <c r="E57" s="46" t="s">
        <v>10</v>
      </c>
      <c r="F57" s="46" t="s">
        <v>9</v>
      </c>
      <c r="G57" s="46" t="s">
        <v>34</v>
      </c>
      <c r="H57" s="47" t="s">
        <v>7</v>
      </c>
      <c r="I57"/>
      <c r="J57"/>
      <c r="K57"/>
      <c r="L57"/>
      <c r="M57"/>
      <c r="N57"/>
      <c r="O57"/>
      <c r="P57"/>
      <c r="Q57"/>
      <c r="R57"/>
      <c r="S57"/>
      <c r="T57"/>
      <c r="U57"/>
      <c r="V57"/>
    </row>
    <row r="58" spans="1:22" x14ac:dyDescent="0.25">
      <c r="A58" s="19" t="s">
        <v>8</v>
      </c>
      <c r="B58" s="48" t="s">
        <v>41</v>
      </c>
      <c r="C58" s="49"/>
      <c r="D58" s="50"/>
      <c r="E58" s="50"/>
      <c r="F58" s="50"/>
      <c r="G58" s="50"/>
      <c r="H58" s="51">
        <f>SUM(H60:H104)+SUM(H109:H114)</f>
        <v>35.348152450649536</v>
      </c>
      <c r="I58"/>
      <c r="J58"/>
      <c r="K58"/>
      <c r="L58"/>
      <c r="M58"/>
      <c r="N58"/>
      <c r="O58"/>
      <c r="P58"/>
      <c r="Q58"/>
      <c r="R58"/>
      <c r="S58"/>
      <c r="T58"/>
      <c r="U58"/>
      <c r="V58"/>
    </row>
    <row r="59" spans="1:22" x14ac:dyDescent="0.25">
      <c r="A59" s="19" t="s">
        <v>8</v>
      </c>
      <c r="B59" s="41"/>
      <c r="D59" s="46"/>
      <c r="E59" s="46"/>
      <c r="F59" s="46"/>
      <c r="G59" s="46"/>
      <c r="H59" s="52"/>
      <c r="I59"/>
      <c r="J59"/>
      <c r="K59"/>
      <c r="L59"/>
      <c r="M59"/>
      <c r="N59"/>
      <c r="O59"/>
      <c r="P59"/>
      <c r="Q59"/>
      <c r="R59"/>
      <c r="S59"/>
      <c r="T59"/>
      <c r="U59"/>
      <c r="V59"/>
    </row>
    <row r="60" spans="1:22" x14ac:dyDescent="0.25">
      <c r="A60" s="19" t="s">
        <v>8</v>
      </c>
      <c r="B60" s="41" t="s">
        <v>42</v>
      </c>
      <c r="D60" s="89">
        <f>D21</f>
        <v>1036</v>
      </c>
      <c r="E60" s="53">
        <f>IF(AND($B$14&lt;$F$2,$E$14&lt;$F$2),C6,IF($B$14&lt;$F$2,I6,F6))</f>
        <v>0.50380733333333327</v>
      </c>
      <c r="F60" s="53">
        <f>IF(AND($B$14&lt;$F$2,$E$14&lt;$F$2),D6,IF($B$14&lt;$F$2,J6,G6))</f>
        <v>0.33627599999999996</v>
      </c>
      <c r="G60" s="53">
        <f>E60+F60</f>
        <v>0.84008333333333329</v>
      </c>
      <c r="H60" s="54">
        <f>ROUND((D60*E60),2)+ROUND((D60*F60),2)</f>
        <v>870.32</v>
      </c>
      <c r="I60"/>
      <c r="J60"/>
      <c r="K60"/>
      <c r="L60"/>
      <c r="M60" s="322"/>
      <c r="N60"/>
      <c r="O60"/>
      <c r="P60"/>
      <c r="Q60"/>
      <c r="R60"/>
      <c r="S60"/>
      <c r="T60"/>
      <c r="U60"/>
      <c r="V60"/>
    </row>
    <row r="61" spans="1:22" x14ac:dyDescent="0.25">
      <c r="B61" s="41" t="s">
        <v>69</v>
      </c>
      <c r="D61" s="89">
        <f>D22</f>
        <v>0</v>
      </c>
      <c r="E61" s="53">
        <f>E60</f>
        <v>0.50380733333333327</v>
      </c>
      <c r="F61" s="53">
        <f t="shared" ref="F61:G61" si="24">F60</f>
        <v>0.33627599999999996</v>
      </c>
      <c r="G61" s="53">
        <f t="shared" si="24"/>
        <v>0.84008333333333329</v>
      </c>
      <c r="H61" s="54">
        <f>ROUND((D61*E61),2)+ROUND((D61*F61),2)</f>
        <v>0</v>
      </c>
      <c r="I61"/>
      <c r="J61" t="e">
        <f>(($D$61*E61)-($D$61*E61*$H$55))/$D$61</f>
        <v>#DIV/0!</v>
      </c>
      <c r="K61" t="e">
        <f>(($D$61*F61)-($D$61*F61*$H$55))/$D$61</f>
        <v>#DIV/0!</v>
      </c>
      <c r="L61"/>
      <c r="M61" s="90"/>
      <c r="N61"/>
      <c r="O61"/>
      <c r="P61"/>
      <c r="Q61"/>
      <c r="R61"/>
      <c r="S61"/>
      <c r="T61"/>
      <c r="U61"/>
      <c r="V61"/>
    </row>
    <row r="62" spans="1:22" x14ac:dyDescent="0.25">
      <c r="B62" s="41" t="s">
        <v>70</v>
      </c>
      <c r="D62" s="93"/>
      <c r="E62" s="53"/>
      <c r="F62" s="53"/>
      <c r="G62" s="53"/>
      <c r="H62" s="54">
        <f>-H61*$H$55</f>
        <v>0</v>
      </c>
      <c r="I62"/>
      <c r="J62"/>
      <c r="K62"/>
      <c r="L62"/>
      <c r="M62" s="90"/>
      <c r="N62"/>
      <c r="O62"/>
      <c r="P62"/>
      <c r="Q62"/>
      <c r="R62"/>
      <c r="S62"/>
      <c r="T62"/>
      <c r="U62"/>
      <c r="V62"/>
    </row>
    <row r="63" spans="1:22" x14ac:dyDescent="0.25">
      <c r="B63" s="41"/>
      <c r="D63" s="55"/>
      <c r="E63" s="56"/>
      <c r="F63" s="57"/>
      <c r="G63" s="57"/>
      <c r="H63" s="54"/>
      <c r="I63"/>
      <c r="J63"/>
      <c r="K63"/>
      <c r="L63"/>
      <c r="M63"/>
      <c r="N63"/>
      <c r="O63"/>
      <c r="P63"/>
      <c r="Q63"/>
      <c r="R63"/>
      <c r="S63"/>
      <c r="T63"/>
      <c r="U63"/>
      <c r="V63"/>
    </row>
    <row r="64" spans="1:22" x14ac:dyDescent="0.25">
      <c r="B64" s="41" t="s">
        <v>43</v>
      </c>
      <c r="D64" s="58">
        <f>IF($K$12=M4,(D60*(K14)/(K14+L14)),0)+IF($L$12=M4,(D60*(L14)/(K14+L14)),0)</f>
        <v>1036</v>
      </c>
      <c r="F64" s="59">
        <f>N4</f>
        <v>1.8849999999999999E-2</v>
      </c>
      <c r="G64" s="59"/>
      <c r="H64" s="54">
        <f>ROUND(D64*(E64+F64),2)</f>
        <v>19.53</v>
      </c>
      <c r="I64"/>
      <c r="J64" s="26" t="s">
        <v>240</v>
      </c>
      <c r="K64"/>
      <c r="L64"/>
      <c r="M64"/>
      <c r="N64"/>
      <c r="O64"/>
      <c r="P64"/>
      <c r="Q64"/>
      <c r="R64"/>
      <c r="S64"/>
      <c r="T64"/>
      <c r="U64"/>
      <c r="V64"/>
    </row>
    <row r="65" spans="2:22" x14ac:dyDescent="0.25">
      <c r="B65" s="41" t="s">
        <v>44</v>
      </c>
      <c r="D65" s="58">
        <f>IF($K$12=M5,(D60*(K14)/(K14+L14)),0)+IF($L$12=M5,(D60*(L14)/(K14+L14)),0)</f>
        <v>0</v>
      </c>
      <c r="F65" s="59">
        <f>N5</f>
        <v>4.4630000000000003E-2</v>
      </c>
      <c r="G65" s="59"/>
      <c r="H65" s="54">
        <f>ROUND(D65*(E65+F65),2)</f>
        <v>0</v>
      </c>
      <c r="I65"/>
      <c r="J65" s="312">
        <f>IFERROR((((D64*F64)+(D69*F69))-(D69*F69*$H$55))/(D64+D69), 0)</f>
        <v>1.8849999999999999E-2</v>
      </c>
      <c r="K65"/>
      <c r="L65" s="98"/>
      <c r="M65"/>
      <c r="N65"/>
      <c r="O65"/>
      <c r="P65"/>
      <c r="Q65"/>
      <c r="R65"/>
      <c r="S65"/>
      <c r="T65"/>
      <c r="U65"/>
      <c r="V65"/>
    </row>
    <row r="66" spans="2:22" x14ac:dyDescent="0.25">
      <c r="B66" s="41" t="s">
        <v>45</v>
      </c>
      <c r="D66" s="58">
        <f>IF($K$12=M6,(D60*(K14)/(K14+L14)),0)+IF($L$12=M6,(D60*(L14)/(K14+L14)),0)</f>
        <v>0</v>
      </c>
      <c r="F66" s="59">
        <f>N6</f>
        <v>7.8770000000000007E-2</v>
      </c>
      <c r="G66" s="59"/>
      <c r="H66" s="54">
        <f>ROUND(D66*(E66+F66),2)</f>
        <v>0</v>
      </c>
      <c r="I66"/>
      <c r="J66" s="312">
        <f t="shared" ref="J66:J68" si="25">IFERROR((((D65*F65)+(D70*F70))-(D70*F70*$H$55))/(D65+D70), 0)</f>
        <v>0</v>
      </c>
      <c r="K66"/>
      <c r="L66"/>
      <c r="M66"/>
      <c r="N66"/>
      <c r="O66"/>
      <c r="P66"/>
      <c r="Q66"/>
      <c r="R66"/>
      <c r="S66"/>
      <c r="T66"/>
      <c r="U66"/>
      <c r="V66"/>
    </row>
    <row r="67" spans="2:22" x14ac:dyDescent="0.25">
      <c r="B67" s="41" t="s">
        <v>46</v>
      </c>
      <c r="D67" s="58">
        <f>IF($K$12=M8,(D60*(K14)/(K14+L14)),0)+IF($L$12=M8,(D60*(L14)/(K14+L14)),0)</f>
        <v>0</v>
      </c>
      <c r="F67" s="59">
        <f>N8</f>
        <v>0.14199999999999999</v>
      </c>
      <c r="G67" s="59"/>
      <c r="H67" s="54">
        <f>ROUND(D67*(E67+F67),2)</f>
        <v>0</v>
      </c>
      <c r="I67"/>
      <c r="J67" s="312">
        <f t="shared" si="25"/>
        <v>0</v>
      </c>
      <c r="K67"/>
      <c r="L67"/>
      <c r="M67"/>
      <c r="N67"/>
      <c r="O67"/>
      <c r="P67"/>
      <c r="Q67"/>
      <c r="R67"/>
      <c r="S67"/>
      <c r="T67"/>
      <c r="U67"/>
      <c r="V67"/>
    </row>
    <row r="68" spans="2:22" x14ac:dyDescent="0.25">
      <c r="B68" s="41"/>
      <c r="D68" s="60"/>
      <c r="H68" s="54"/>
      <c r="I68" s="1"/>
      <c r="J68" s="312">
        <f t="shared" si="25"/>
        <v>0</v>
      </c>
      <c r="K68" s="90"/>
      <c r="L68" s="1"/>
      <c r="M68" s="1"/>
      <c r="N68" s="1"/>
      <c r="O68" s="1"/>
      <c r="P68" s="1"/>
    </row>
    <row r="69" spans="2:22" x14ac:dyDescent="0.25">
      <c r="B69" s="41" t="s">
        <v>71</v>
      </c>
      <c r="D69" s="58">
        <f>IF($K$12=M4,((D61)*(K14)/(K14+L14)),0)+IF($L$12=M4,((D61)*(L14)/(K14+L14)),0)</f>
        <v>0</v>
      </c>
      <c r="F69" s="59">
        <f>F64</f>
        <v>1.8849999999999999E-2</v>
      </c>
      <c r="G69" s="59"/>
      <c r="H69" s="54">
        <f>ROUND(D69*(E69+F69),2)</f>
        <v>0</v>
      </c>
      <c r="I69" s="1"/>
      <c r="J69" s="1"/>
      <c r="K69" s="90"/>
      <c r="L69" s="1"/>
      <c r="M69" s="1"/>
      <c r="N69" s="1"/>
      <c r="O69" s="1"/>
      <c r="P69" s="1"/>
    </row>
    <row r="70" spans="2:22" x14ac:dyDescent="0.25">
      <c r="B70" s="41" t="s">
        <v>72</v>
      </c>
      <c r="D70" s="58">
        <f>IF($K$12=M5,((D61)*(K14)/(K14+L14)),0)+IF($L$12=M5,((D61)*(L14)/(K14+L14)),0)</f>
        <v>0</v>
      </c>
      <c r="F70" s="59">
        <f>F65</f>
        <v>4.4630000000000003E-2</v>
      </c>
      <c r="G70" s="59"/>
      <c r="H70" s="54">
        <f>ROUND(D70*(E70+F70),2)</f>
        <v>0</v>
      </c>
      <c r="I70" s="1"/>
      <c r="J70" s="1"/>
      <c r="K70" s="90"/>
      <c r="L70" s="1"/>
      <c r="M70" s="1"/>
      <c r="N70" s="1"/>
      <c r="O70" s="1"/>
      <c r="P70" s="1"/>
    </row>
    <row r="71" spans="2:22" x14ac:dyDescent="0.25">
      <c r="B71" s="41" t="s">
        <v>73</v>
      </c>
      <c r="D71" s="58">
        <f>IF($K$12=M6,((D61)*(K14)/(K14+L14)),0)+IF($L$12=M6,((D61)*(L14)/(K14+L14)),0)</f>
        <v>0</v>
      </c>
      <c r="F71" s="59">
        <f>F66</f>
        <v>7.8770000000000007E-2</v>
      </c>
      <c r="G71" s="59"/>
      <c r="H71" s="54">
        <f>ROUND(D71*(E71+F71),2)</f>
        <v>0</v>
      </c>
      <c r="I71" s="1"/>
      <c r="J71" s="116"/>
      <c r="K71" s="90"/>
      <c r="L71" s="1"/>
      <c r="M71" s="1"/>
      <c r="N71" s="1"/>
      <c r="O71" s="1"/>
      <c r="P71" s="1"/>
    </row>
    <row r="72" spans="2:22" x14ac:dyDescent="0.25">
      <c r="B72" s="41" t="s">
        <v>74</v>
      </c>
      <c r="D72" s="58">
        <f>IF($K$12=M8,((D61)*(K14)/(K14+L14)),0)+IF($L$12=M8,((D61)*(L14)/(K14+L14)),0)</f>
        <v>0</v>
      </c>
      <c r="F72" s="59">
        <f>F67</f>
        <v>0.14199999999999999</v>
      </c>
      <c r="G72" s="59"/>
      <c r="H72" s="54">
        <f>ROUND(D72*(E72+F72),2)</f>
        <v>0</v>
      </c>
      <c r="I72" s="1"/>
      <c r="J72" s="1"/>
      <c r="K72" s="90"/>
      <c r="L72" s="1"/>
      <c r="M72" s="1"/>
      <c r="N72" s="1"/>
      <c r="O72" s="1"/>
      <c r="P72" s="1"/>
    </row>
    <row r="73" spans="2:22" x14ac:dyDescent="0.25">
      <c r="B73" s="41"/>
      <c r="D73" s="58"/>
      <c r="F73" s="59"/>
      <c r="G73" s="59"/>
      <c r="H73" s="54"/>
      <c r="I73" s="1"/>
      <c r="J73" s="1"/>
      <c r="K73" s="90"/>
      <c r="L73" s="1"/>
      <c r="M73" s="1">
        <v>46.34</v>
      </c>
      <c r="N73" s="1"/>
      <c r="O73" s="1"/>
      <c r="P73" s="1"/>
    </row>
    <row r="74" spans="2:22" x14ac:dyDescent="0.25">
      <c r="B74" s="41" t="s">
        <v>75</v>
      </c>
      <c r="D74" s="58"/>
      <c r="F74" s="59"/>
      <c r="G74" s="59"/>
      <c r="H74" s="54">
        <f>-H69*$H$55</f>
        <v>0</v>
      </c>
      <c r="I74" s="1"/>
      <c r="J74" s="1"/>
      <c r="K74" s="90"/>
      <c r="L74" s="1"/>
      <c r="M74" s="1"/>
      <c r="N74" s="1"/>
      <c r="O74" s="1"/>
      <c r="P74" s="1"/>
    </row>
    <row r="75" spans="2:22" x14ac:dyDescent="0.25">
      <c r="B75" s="41" t="s">
        <v>76</v>
      </c>
      <c r="D75" s="58"/>
      <c r="F75" s="59"/>
      <c r="G75" s="59"/>
      <c r="H75" s="54">
        <f t="shared" ref="H75:H77" si="26">-H70*$H$55</f>
        <v>0</v>
      </c>
      <c r="I75" s="1"/>
      <c r="J75" s="1" t="e">
        <f>(K80*D80)/(1-N21-N23)/(1-I21)</f>
        <v>#DIV/0!</v>
      </c>
      <c r="K75" s="90"/>
      <c r="L75" s="1"/>
      <c r="M75" s="1"/>
      <c r="N75" s="1"/>
      <c r="O75" s="1"/>
      <c r="P75" s="1"/>
    </row>
    <row r="76" spans="2:22" x14ac:dyDescent="0.25">
      <c r="B76" s="41" t="s">
        <v>77</v>
      </c>
      <c r="D76" s="58"/>
      <c r="F76" s="59"/>
      <c r="G76" s="59"/>
      <c r="H76" s="54">
        <f t="shared" si="26"/>
        <v>0</v>
      </c>
      <c r="I76" s="1"/>
      <c r="J76" s="1" t="e">
        <f>J75*I21</f>
        <v>#DIV/0!</v>
      </c>
      <c r="K76" s="90"/>
      <c r="L76" s="1"/>
      <c r="M76" s="1"/>
      <c r="N76" s="1"/>
      <c r="O76" s="1"/>
      <c r="P76" s="1"/>
    </row>
    <row r="77" spans="2:22" x14ac:dyDescent="0.25">
      <c r="B77" s="41" t="s">
        <v>78</v>
      </c>
      <c r="D77" s="104"/>
      <c r="H77" s="54">
        <f t="shared" si="26"/>
        <v>0</v>
      </c>
      <c r="I77" s="1"/>
      <c r="J77" s="1"/>
      <c r="K77" s="90"/>
      <c r="L77" s="1"/>
      <c r="M77" s="1"/>
      <c r="N77" s="1"/>
      <c r="O77" s="1"/>
      <c r="P77" s="1"/>
    </row>
    <row r="78" spans="2:22" x14ac:dyDescent="0.25">
      <c r="B78" s="41"/>
      <c r="D78" s="60"/>
      <c r="H78" s="54"/>
      <c r="I78" s="1"/>
      <c r="J78" s="1"/>
      <c r="K78" s="90"/>
      <c r="L78" s="1"/>
      <c r="M78" s="1"/>
      <c r="N78" s="1"/>
      <c r="O78" s="1"/>
      <c r="P78" s="1"/>
    </row>
    <row r="79" spans="2:22" x14ac:dyDescent="0.25">
      <c r="B79" s="41" t="s">
        <v>47</v>
      </c>
      <c r="D79" s="164">
        <f>D31</f>
        <v>-1006</v>
      </c>
      <c r="E79" s="53">
        <f>E60*F17</f>
        <v>0.50380733333333327</v>
      </c>
      <c r="F79" s="53">
        <f>F60</f>
        <v>0.33627599999999996</v>
      </c>
      <c r="G79" s="53">
        <f>E79+F79</f>
        <v>0.84008333333333329</v>
      </c>
      <c r="H79" s="54">
        <f>ROUND((D79*E79),2)+ROUND((D79*F79),2)</f>
        <v>-845.12</v>
      </c>
      <c r="I79" s="1"/>
      <c r="J79"/>
      <c r="K79" s="90"/>
      <c r="L79" s="1"/>
      <c r="M79" s="90"/>
      <c r="N79" s="1"/>
      <c r="O79" s="1"/>
      <c r="P79" s="1"/>
    </row>
    <row r="80" spans="2:22" x14ac:dyDescent="0.25">
      <c r="B80" s="41" t="s">
        <v>79</v>
      </c>
      <c r="D80" s="164">
        <f>D30</f>
        <v>0</v>
      </c>
      <c r="E80" s="53">
        <f>E79</f>
        <v>0.50380733333333327</v>
      </c>
      <c r="F80" s="53">
        <f t="shared" ref="F80:G80" si="27">F79</f>
        <v>0.33627599999999996</v>
      </c>
      <c r="G80" s="53">
        <f t="shared" si="27"/>
        <v>0.84008333333333329</v>
      </c>
      <c r="H80" s="54">
        <f>ROUND((D80*E80),2)+ROUND((D80*F80),2)</f>
        <v>0</v>
      </c>
      <c r="I80" s="1"/>
      <c r="J80" t="e">
        <f>(($D$80*E80)+($D$80*E80*$H$55))/$D$80</f>
        <v>#DIV/0!</v>
      </c>
      <c r="K80" t="e">
        <f>(($D$80*F80)+($D$80*F80*-$H$55))/$D$80</f>
        <v>#DIV/0!</v>
      </c>
      <c r="L80" s="1"/>
      <c r="M80" s="90"/>
      <c r="N80" s="1"/>
      <c r="O80" s="1"/>
      <c r="P80" s="1"/>
    </row>
    <row r="81" spans="2:16" x14ac:dyDescent="0.25">
      <c r="B81" s="41" t="s">
        <v>80</v>
      </c>
      <c r="D81" s="93"/>
      <c r="E81" s="53"/>
      <c r="F81" s="53"/>
      <c r="G81" s="53"/>
      <c r="H81" s="54">
        <f>-H80*$H$55</f>
        <v>0</v>
      </c>
      <c r="I81" s="1"/>
      <c r="K81" s="90"/>
      <c r="L81" s="1"/>
      <c r="M81" s="90"/>
      <c r="N81" s="1"/>
      <c r="O81" s="1"/>
      <c r="P81" s="1"/>
    </row>
    <row r="82" spans="2:16" x14ac:dyDescent="0.25">
      <c r="B82" s="41"/>
      <c r="D82" s="55"/>
      <c r="E82" s="56"/>
      <c r="F82" s="57"/>
      <c r="G82" s="57"/>
      <c r="H82" s="54"/>
      <c r="I82" s="1"/>
      <c r="K82" s="90"/>
      <c r="L82" s="1"/>
      <c r="M82" s="1"/>
      <c r="N82" s="1"/>
      <c r="O82" s="1"/>
      <c r="P82" s="1"/>
    </row>
    <row r="83" spans="2:16" x14ac:dyDescent="0.25">
      <c r="B83" s="41" t="s">
        <v>81</v>
      </c>
      <c r="D83" s="58">
        <f>IF($K$12=M4,(D79*(K14)/(K14+L14)),0)+IF($L$12=M4,(D79*(L14)/(K14+L14)),0)</f>
        <v>-1006</v>
      </c>
      <c r="F83" s="59">
        <f>F64</f>
        <v>1.8849999999999999E-2</v>
      </c>
      <c r="G83" s="59"/>
      <c r="H83" s="54">
        <f>ROUND(D83*(E83+F83),2)</f>
        <v>-18.96</v>
      </c>
      <c r="I83" s="1"/>
      <c r="J83" s="26" t="s">
        <v>240</v>
      </c>
      <c r="K83" s="1"/>
      <c r="L83" s="1"/>
      <c r="M83" s="1"/>
      <c r="N83" s="1"/>
      <c r="O83" s="1"/>
      <c r="P83" s="1"/>
    </row>
    <row r="84" spans="2:16" x14ac:dyDescent="0.25">
      <c r="B84" s="41" t="s">
        <v>82</v>
      </c>
      <c r="D84" s="58">
        <f>IF($K$12=M5,(D79*(K14)/(K14+L14)),0)+IF($L$12=M5,(D79*(L14)/(K14+L14)),0)</f>
        <v>0</v>
      </c>
      <c r="F84" s="59">
        <f>F65</f>
        <v>4.4630000000000003E-2</v>
      </c>
      <c r="G84" s="59"/>
      <c r="H84" s="54">
        <f>ROUND(D84*(E84+F84),2)</f>
        <v>0</v>
      </c>
      <c r="I84" s="1"/>
      <c r="J84" s="312">
        <f>IFERROR((((D83*F83)+(D88*F88))-(D88*F88*0.6))/(D83+D88), 0)</f>
        <v>1.8849999999999999E-2</v>
      </c>
      <c r="K84" s="1"/>
      <c r="L84" s="1"/>
      <c r="M84" s="1"/>
      <c r="N84" s="1"/>
      <c r="O84" s="1"/>
      <c r="P84" s="1"/>
    </row>
    <row r="85" spans="2:16" x14ac:dyDescent="0.25">
      <c r="B85" s="41" t="s">
        <v>83</v>
      </c>
      <c r="D85" s="58">
        <f>IF($K$12=M6,(D79*(K14)/(K14+L14)),0)+IF($L$12=M6,(D79*(L14)/(K14+L14)),0)</f>
        <v>0</v>
      </c>
      <c r="F85" s="59">
        <f>F66</f>
        <v>7.8770000000000007E-2</v>
      </c>
      <c r="G85" s="59"/>
      <c r="H85" s="54">
        <f>ROUND(D85*(E85+F85),2)</f>
        <v>0</v>
      </c>
      <c r="I85" s="1"/>
      <c r="J85" s="312">
        <f t="shared" ref="J85:J87" si="28">IFERROR((((D84*F84)+(D89*F89))-(D89*F89*0.6))/(D84+D89), 0)</f>
        <v>0</v>
      </c>
      <c r="K85" s="1"/>
      <c r="L85" s="1"/>
      <c r="M85" s="1"/>
      <c r="N85" s="1"/>
      <c r="O85" s="1"/>
      <c r="P85" s="1"/>
    </row>
    <row r="86" spans="2:16" x14ac:dyDescent="0.25">
      <c r="B86" s="41" t="s">
        <v>46</v>
      </c>
      <c r="D86" s="58">
        <f>IF($K$12=M8,(D79*(K14)/(K14+L14)),0)+IF($L$12=M8,(D79*(L14)/(K14+L14)),0)</f>
        <v>0</v>
      </c>
      <c r="F86" s="59">
        <f>F67</f>
        <v>0.14199999999999999</v>
      </c>
      <c r="G86" s="59"/>
      <c r="H86" s="54">
        <f>ROUND(D86*(E86+F86),2)</f>
        <v>0</v>
      </c>
      <c r="J86" s="312">
        <f t="shared" si="28"/>
        <v>0</v>
      </c>
      <c r="K86" s="1"/>
      <c r="L86" s="1"/>
      <c r="M86" s="1"/>
      <c r="N86" s="1"/>
      <c r="O86" s="1"/>
      <c r="P86" s="1"/>
    </row>
    <row r="87" spans="2:16" x14ac:dyDescent="0.25">
      <c r="B87" s="41"/>
      <c r="D87" s="58"/>
      <c r="F87" s="59"/>
      <c r="G87" s="59"/>
      <c r="H87" s="54"/>
      <c r="J87" s="312">
        <f t="shared" si="28"/>
        <v>0</v>
      </c>
      <c r="K87" s="1"/>
      <c r="L87" s="1"/>
      <c r="M87" s="1"/>
      <c r="N87" s="1"/>
      <c r="O87" s="1"/>
      <c r="P87" s="1"/>
    </row>
    <row r="88" spans="2:16" x14ac:dyDescent="0.25">
      <c r="B88" s="41" t="s">
        <v>84</v>
      </c>
      <c r="D88" s="58">
        <f>IF($K$12=M4,((D80)*(K14)/(K14+L14)),0)+IF($L$12=M4,((D80)*(L14)/(K14+L14)),0)</f>
        <v>0</v>
      </c>
      <c r="F88" s="59">
        <f>F83</f>
        <v>1.8849999999999999E-2</v>
      </c>
      <c r="G88" s="59"/>
      <c r="H88" s="54">
        <f>ROUND(D88*(E88+F88),2)</f>
        <v>0</v>
      </c>
      <c r="I88" s="1"/>
      <c r="J88" s="1"/>
      <c r="K88" s="90"/>
      <c r="L88" s="1"/>
      <c r="M88" s="1"/>
      <c r="N88" s="1"/>
      <c r="O88" s="1"/>
      <c r="P88" s="1"/>
    </row>
    <row r="89" spans="2:16" x14ac:dyDescent="0.25">
      <c r="B89" s="41" t="s">
        <v>85</v>
      </c>
      <c r="D89" s="58">
        <f>IF($K$12=M5,((D80)*(K14)/(K14+L14)),0)+IF($L$12=M5,((D80)*(L14)/(K14+L14)),0)</f>
        <v>0</v>
      </c>
      <c r="F89" s="59">
        <f>F84</f>
        <v>4.4630000000000003E-2</v>
      </c>
      <c r="G89" s="59"/>
      <c r="H89" s="54">
        <f>ROUND(D89*(E89+F89),2)</f>
        <v>0</v>
      </c>
      <c r="I89" s="1"/>
      <c r="J89" s="1"/>
      <c r="K89" s="90"/>
      <c r="L89" s="1"/>
      <c r="M89" s="1"/>
      <c r="N89" s="1"/>
      <c r="O89" s="1"/>
      <c r="P89" s="1"/>
    </row>
    <row r="90" spans="2:16" x14ac:dyDescent="0.25">
      <c r="B90" s="41" t="s">
        <v>86</v>
      </c>
      <c r="D90" s="58">
        <f>IF($K$12=M6,((D80)*(K14)/(K14+L14)),0)+IF($L$12=M6,((D80)*(L14)/(K14+L14)),0)</f>
        <v>0</v>
      </c>
      <c r="F90" s="59">
        <f>F85</f>
        <v>7.8770000000000007E-2</v>
      </c>
      <c r="G90" s="59"/>
      <c r="H90" s="54">
        <f>ROUND(D90*(E90+F90),2)</f>
        <v>0</v>
      </c>
      <c r="I90" s="1"/>
      <c r="J90" s="1"/>
      <c r="K90" s="90"/>
      <c r="L90" s="1"/>
      <c r="M90" s="1"/>
      <c r="N90" s="1"/>
      <c r="O90" s="1"/>
      <c r="P90" s="1"/>
    </row>
    <row r="91" spans="2:16" x14ac:dyDescent="0.25">
      <c r="B91" s="41" t="s">
        <v>74</v>
      </c>
      <c r="D91" s="58">
        <f>IF($K$12=M8,((D80)*(K14)/(K14+L14)),0)+IF($L$12=M8,((D80)*(L14)/(K14+L14)),0)</f>
        <v>0</v>
      </c>
      <c r="F91" s="59">
        <f>F86</f>
        <v>0.14199999999999999</v>
      </c>
      <c r="G91" s="59"/>
      <c r="H91" s="54">
        <f>ROUND(D91*(E91+F91),2)</f>
        <v>0</v>
      </c>
      <c r="I91" s="1"/>
      <c r="J91" s="1"/>
      <c r="K91" s="90"/>
      <c r="L91" s="1"/>
      <c r="M91" s="1"/>
      <c r="N91" s="1"/>
      <c r="O91" s="1"/>
      <c r="P91" s="1"/>
    </row>
    <row r="92" spans="2:16" x14ac:dyDescent="0.25">
      <c r="B92" s="41"/>
      <c r="D92" s="58"/>
      <c r="F92" s="59"/>
      <c r="G92" s="59"/>
      <c r="H92" s="54"/>
      <c r="I92" s="1"/>
      <c r="J92" s="1"/>
      <c r="K92" s="90"/>
      <c r="L92" s="1"/>
      <c r="M92" s="1"/>
      <c r="N92" s="1"/>
      <c r="O92" s="1"/>
      <c r="P92" s="1"/>
    </row>
    <row r="93" spans="2:16" x14ac:dyDescent="0.25">
      <c r="B93" s="41" t="s">
        <v>87</v>
      </c>
      <c r="D93" s="58"/>
      <c r="F93" s="59"/>
      <c r="G93" s="59"/>
      <c r="H93" s="54">
        <f>-H88*$H$55</f>
        <v>0</v>
      </c>
      <c r="I93" s="1"/>
      <c r="J93" s="1"/>
      <c r="K93" s="90"/>
      <c r="L93" s="1"/>
      <c r="M93" s="1"/>
      <c r="N93" s="1"/>
      <c r="O93" s="1"/>
      <c r="P93" s="1"/>
    </row>
    <row r="94" spans="2:16" x14ac:dyDescent="0.25">
      <c r="B94" s="41" t="s">
        <v>88</v>
      </c>
      <c r="D94" s="58"/>
      <c r="F94" s="59"/>
      <c r="G94" s="59"/>
      <c r="H94" s="54">
        <f t="shared" ref="H94:H96" si="29">-H89*$H$55</f>
        <v>0</v>
      </c>
      <c r="I94" s="1"/>
      <c r="J94" s="1"/>
      <c r="K94" s="90"/>
      <c r="L94" s="1"/>
      <c r="M94" s="1"/>
      <c r="N94" s="1"/>
      <c r="O94" s="1"/>
      <c r="P94" s="1"/>
    </row>
    <row r="95" spans="2:16" x14ac:dyDescent="0.25">
      <c r="B95" s="41" t="s">
        <v>89</v>
      </c>
      <c r="D95" s="58"/>
      <c r="F95" s="59"/>
      <c r="G95" s="59"/>
      <c r="H95" s="54">
        <f t="shared" si="29"/>
        <v>0</v>
      </c>
      <c r="I95" s="1"/>
      <c r="J95" s="1"/>
      <c r="K95" s="90"/>
      <c r="L95" s="1"/>
      <c r="M95" s="1"/>
      <c r="N95" s="1"/>
      <c r="O95" s="1"/>
      <c r="P95" s="1"/>
    </row>
    <row r="96" spans="2:16" x14ac:dyDescent="0.25">
      <c r="B96" s="41" t="s">
        <v>78</v>
      </c>
      <c r="D96" s="104"/>
      <c r="H96" s="54">
        <f t="shared" si="29"/>
        <v>0</v>
      </c>
      <c r="I96" s="1"/>
      <c r="J96" s="1"/>
      <c r="K96" s="90"/>
      <c r="L96" s="1"/>
      <c r="M96" s="1"/>
      <c r="N96" s="1"/>
      <c r="O96" s="1"/>
      <c r="P96" s="1"/>
    </row>
    <row r="97" spans="2:16" x14ac:dyDescent="0.25">
      <c r="B97" s="41"/>
      <c r="D97" s="58"/>
      <c r="F97" s="59"/>
      <c r="G97" s="59"/>
      <c r="H97" s="54"/>
      <c r="J97" s="1"/>
      <c r="K97" s="1"/>
      <c r="L97" s="1"/>
      <c r="M97" s="1"/>
      <c r="N97" s="1"/>
      <c r="O97" s="1"/>
      <c r="P97" s="1"/>
    </row>
    <row r="98" spans="2:16" x14ac:dyDescent="0.25">
      <c r="B98" s="119"/>
      <c r="C98" s="120"/>
      <c r="D98" s="121"/>
      <c r="E98" s="122"/>
      <c r="F98" s="122"/>
      <c r="G98" s="122"/>
      <c r="H98" s="124"/>
      <c r="I98" s="1"/>
      <c r="J98" s="1"/>
      <c r="K98" s="1"/>
      <c r="L98" s="1"/>
      <c r="M98" s="1"/>
      <c r="N98" s="1"/>
      <c r="O98" s="1"/>
      <c r="P98" s="1"/>
    </row>
    <row r="99" spans="2:16" x14ac:dyDescent="0.25">
      <c r="B99" s="119"/>
      <c r="C99" s="120"/>
      <c r="D99" s="121"/>
      <c r="E99" s="122"/>
      <c r="F99" s="122"/>
      <c r="G99" s="122"/>
      <c r="H99" s="124"/>
      <c r="I99" s="1"/>
      <c r="J99" s="1"/>
      <c r="K99" s="1"/>
      <c r="L99" s="1"/>
      <c r="M99" s="1"/>
      <c r="N99" s="1"/>
      <c r="O99" s="1"/>
      <c r="P99" s="1"/>
    </row>
    <row r="100" spans="2:16" x14ac:dyDescent="0.25">
      <c r="B100" s="119"/>
      <c r="C100" s="120"/>
      <c r="D100" s="121"/>
      <c r="E100" s="122"/>
      <c r="F100" s="122"/>
      <c r="G100" s="122"/>
      <c r="H100" s="124"/>
      <c r="I100" s="1"/>
      <c r="J100" s="1"/>
      <c r="K100" s="1"/>
      <c r="L100" s="1"/>
      <c r="M100" s="1"/>
      <c r="N100" s="1"/>
      <c r="O100" s="1"/>
      <c r="P100" s="1"/>
    </row>
    <row r="101" spans="2:16" x14ac:dyDescent="0.25">
      <c r="B101" s="119"/>
      <c r="C101" s="120"/>
      <c r="D101" s="125"/>
      <c r="E101" s="120"/>
      <c r="F101" s="120"/>
      <c r="G101" s="126"/>
      <c r="H101" s="124"/>
      <c r="I101" s="1"/>
      <c r="J101" s="1"/>
      <c r="K101" s="1"/>
      <c r="L101" s="1"/>
      <c r="M101" s="1"/>
      <c r="N101" s="1"/>
      <c r="O101" s="1"/>
      <c r="P101" s="1"/>
    </row>
    <row r="102" spans="2:16" x14ac:dyDescent="0.25">
      <c r="B102" s="119"/>
      <c r="C102" s="120"/>
      <c r="D102" s="121"/>
      <c r="E102" s="122"/>
      <c r="F102" s="122"/>
      <c r="G102" s="122"/>
      <c r="H102" s="124"/>
      <c r="I102" s="97">
        <f>H98+H102</f>
        <v>0</v>
      </c>
      <c r="J102" s="1"/>
      <c r="K102" s="1"/>
      <c r="L102" s="1"/>
      <c r="M102" s="1"/>
      <c r="N102" s="1"/>
      <c r="O102" s="1"/>
      <c r="P102" s="1"/>
    </row>
    <row r="103" spans="2:16" x14ac:dyDescent="0.25">
      <c r="B103" s="119"/>
      <c r="C103" s="120"/>
      <c r="D103" s="121"/>
      <c r="E103" s="122"/>
      <c r="F103" s="122"/>
      <c r="G103" s="122"/>
      <c r="H103" s="124"/>
      <c r="I103" s="97"/>
      <c r="J103" s="1"/>
      <c r="K103" s="1"/>
      <c r="L103" s="1"/>
      <c r="M103" s="1"/>
      <c r="N103" s="1"/>
      <c r="O103" s="1"/>
      <c r="P103" s="1"/>
    </row>
    <row r="104" spans="2:16" x14ac:dyDescent="0.25">
      <c r="B104" s="119"/>
      <c r="C104" s="120"/>
      <c r="D104" s="121"/>
      <c r="E104" s="122"/>
      <c r="F104" s="122"/>
      <c r="G104" s="122"/>
      <c r="H104" s="124"/>
      <c r="I104" s="97"/>
      <c r="J104" s="1"/>
      <c r="K104" s="1"/>
      <c r="L104" s="1"/>
      <c r="M104" s="1"/>
      <c r="N104" s="1"/>
      <c r="O104" s="1"/>
      <c r="P104" s="1"/>
    </row>
    <row r="105" spans="2:16" x14ac:dyDescent="0.25">
      <c r="B105" s="61"/>
      <c r="C105" s="24"/>
      <c r="D105" s="24"/>
      <c r="E105" s="24"/>
      <c r="F105" s="24"/>
      <c r="G105" s="24"/>
      <c r="H105" s="62"/>
      <c r="I105"/>
      <c r="J105" s="1"/>
      <c r="K105" s="1"/>
      <c r="L105" s="1"/>
      <c r="M105" s="1"/>
      <c r="N105" s="1"/>
      <c r="O105" s="1"/>
      <c r="P105" s="1"/>
    </row>
    <row r="106" spans="2:16" x14ac:dyDescent="0.25">
      <c r="B106" s="34"/>
      <c r="C106" s="35"/>
      <c r="D106" s="35"/>
      <c r="E106" s="35"/>
      <c r="F106" s="35"/>
      <c r="G106" s="35"/>
      <c r="H106" s="96">
        <f>SUM(H60:H105)</f>
        <v>25.770000000000017</v>
      </c>
      <c r="I106" s="1"/>
      <c r="L106" s="1"/>
      <c r="M106" s="1"/>
      <c r="N106" s="1"/>
      <c r="O106" s="1"/>
      <c r="P106" s="1"/>
    </row>
    <row r="107" spans="2:16" x14ac:dyDescent="0.25">
      <c r="B107" s="95"/>
      <c r="C107" s="1"/>
      <c r="D107" s="1"/>
      <c r="E107" s="1"/>
      <c r="F107" s="1"/>
      <c r="G107" s="1"/>
      <c r="H107" s="43"/>
      <c r="I107" s="1"/>
      <c r="L107" s="1"/>
      <c r="M107" s="1"/>
      <c r="N107" s="1"/>
      <c r="O107" s="1"/>
      <c r="P107" s="1"/>
    </row>
    <row r="108" spans="2:16" x14ac:dyDescent="0.25">
      <c r="B108" s="41"/>
      <c r="D108" s="63" t="s">
        <v>48</v>
      </c>
      <c r="E108" s="64"/>
      <c r="F108" s="64"/>
      <c r="G108" s="64"/>
      <c r="H108" s="65"/>
      <c r="I108" s="66"/>
      <c r="K108" s="67"/>
      <c r="L108" s="1"/>
      <c r="M108" s="1"/>
      <c r="N108" s="1"/>
      <c r="O108" s="1"/>
      <c r="P108" s="1"/>
    </row>
    <row r="109" spans="2:16" x14ac:dyDescent="0.25">
      <c r="B109" s="41" t="s">
        <v>49</v>
      </c>
      <c r="D109" s="68">
        <f>SUM(H60:H62,H64:H67,H69:H72,H74:H77)/(1-E109-E111)</f>
        <v>948.36406266652455</v>
      </c>
      <c r="E109" s="69">
        <f>N21</f>
        <v>1.0999999999999999E-2</v>
      </c>
      <c r="H109" s="70">
        <f>D109*E109</f>
        <v>10.432004689331769</v>
      </c>
      <c r="I109" s="67"/>
      <c r="L109" s="1"/>
      <c r="M109" s="1"/>
      <c r="N109" s="1"/>
      <c r="O109" s="1"/>
      <c r="P109" s="1"/>
    </row>
    <row r="110" spans="2:16" x14ac:dyDescent="0.25">
      <c r="B110" s="41" t="s">
        <v>50</v>
      </c>
      <c r="D110" s="68">
        <f>SUM(H79:H81,H83:H86,H88:H91,H93:H96,H98:H100,H102:H104)/(1-E109-E111)</f>
        <v>-920.89949909410643</v>
      </c>
      <c r="E110" s="71">
        <f>E109</f>
        <v>1.0999999999999999E-2</v>
      </c>
      <c r="H110" s="70">
        <f t="shared" ref="H110:H112" si="30">D110*E110</f>
        <v>-10.12989449003517</v>
      </c>
      <c r="I110" s="67"/>
      <c r="L110" s="1"/>
      <c r="M110" s="1"/>
      <c r="N110" s="1"/>
      <c r="O110" s="1"/>
      <c r="P110" s="1"/>
    </row>
    <row r="111" spans="2:16" x14ac:dyDescent="0.25">
      <c r="B111" s="41" t="s">
        <v>51</v>
      </c>
      <c r="D111" s="68">
        <f>D109</f>
        <v>948.36406266652455</v>
      </c>
      <c r="E111" s="69">
        <f>N23</f>
        <v>5.0700000000000002E-2</v>
      </c>
      <c r="H111" s="70">
        <f t="shared" si="30"/>
        <v>48.082057977192797</v>
      </c>
      <c r="I111" s="67"/>
      <c r="L111" s="1"/>
      <c r="M111" s="1"/>
      <c r="N111" s="1"/>
      <c r="O111" s="1"/>
      <c r="P111" s="1"/>
    </row>
    <row r="112" spans="2:16" x14ac:dyDescent="0.25">
      <c r="B112" s="41" t="s">
        <v>52</v>
      </c>
      <c r="D112" s="68">
        <f>D110</f>
        <v>-920.89949909410643</v>
      </c>
      <c r="E112" s="71">
        <f>E111</f>
        <v>5.0700000000000002E-2</v>
      </c>
      <c r="H112" s="70">
        <f t="shared" si="30"/>
        <v>-46.689604604071199</v>
      </c>
      <c r="I112" s="67"/>
      <c r="L112" s="1"/>
      <c r="M112" s="1"/>
      <c r="N112" s="1"/>
      <c r="O112" s="1"/>
      <c r="P112" s="1"/>
    </row>
    <row r="113" spans="1:16" x14ac:dyDescent="0.25">
      <c r="B113" s="41" t="s">
        <v>11</v>
      </c>
      <c r="D113" s="72">
        <f>IF((E113=17%),(D109/(1-E113)),D122)</f>
        <v>329.29307731476547</v>
      </c>
      <c r="E113" s="73">
        <f>I21</f>
        <v>0.04</v>
      </c>
      <c r="H113" s="70">
        <f>D113*E113</f>
        <v>13.17172309259062</v>
      </c>
      <c r="I113" s="67"/>
      <c r="L113" s="1"/>
      <c r="M113" s="1"/>
      <c r="N113" s="1"/>
      <c r="O113" s="1"/>
      <c r="P113" s="1"/>
    </row>
    <row r="114" spans="1:16" x14ac:dyDescent="0.25">
      <c r="B114" s="74" t="s">
        <v>53</v>
      </c>
      <c r="C114" s="75"/>
      <c r="D114" s="76">
        <f>IF((E114=17%),(D110/(1-E114)),D128)</f>
        <v>-132.20335535898255</v>
      </c>
      <c r="E114" s="77">
        <f>E113</f>
        <v>0.04</v>
      </c>
      <c r="F114" s="75"/>
      <c r="G114" s="75"/>
      <c r="H114" s="78">
        <f>D114*E114</f>
        <v>-5.2881342143593022</v>
      </c>
      <c r="L114" s="1"/>
      <c r="M114" s="1"/>
      <c r="N114" s="1"/>
      <c r="O114" s="1"/>
      <c r="P114" s="1"/>
    </row>
    <row r="115" spans="1:16" x14ac:dyDescent="0.25">
      <c r="L115" s="1"/>
      <c r="M115" s="1"/>
      <c r="N115" s="1"/>
      <c r="O115" s="1"/>
      <c r="P115" s="1"/>
    </row>
    <row r="116" spans="1:16" x14ac:dyDescent="0.25">
      <c r="B116" s="223" t="s">
        <v>193</v>
      </c>
      <c r="C116" s="133"/>
      <c r="D116" s="224">
        <f>D60+D61+D79+D80</f>
        <v>30</v>
      </c>
      <c r="E116" s="225">
        <f>IF(AND($B$14&lt;$F$2,$E$14&lt;$F$2),C7,IF($B$14&lt;$F$2,I7,F7))</f>
        <v>1.8442643046117391E-4</v>
      </c>
      <c r="F116" s="225">
        <f>IF(AND($B$14&lt;$F$2,$E$14&lt;$F$2),D7,IF($B$14&lt;$F$2,J7,G7))</f>
        <v>-7.8991648156154595E-4</v>
      </c>
      <c r="G116" s="133"/>
      <c r="H116" s="223">
        <f>((D116)*(E116+F116)+D61*(E116+F116)*-H55)+D80*(E116+F116)*-H55</f>
        <v>-1.8164701533011161E-2</v>
      </c>
      <c r="L116" s="1"/>
      <c r="M116" s="1"/>
      <c r="N116" s="1"/>
      <c r="O116" s="1"/>
      <c r="P116" s="1"/>
    </row>
    <row r="117" spans="1:16" x14ac:dyDescent="0.25">
      <c r="H117" s="67"/>
      <c r="L117" s="1"/>
      <c r="M117" s="1"/>
      <c r="N117" s="1"/>
      <c r="O117" s="1"/>
      <c r="P117" s="1"/>
    </row>
    <row r="118" spans="1:16" x14ac:dyDescent="0.25">
      <c r="B118" s="19" t="s">
        <v>90</v>
      </c>
      <c r="M118" s="24"/>
    </row>
    <row r="119" spans="1:16" x14ac:dyDescent="0.25">
      <c r="B119" s="118" t="s">
        <v>134</v>
      </c>
      <c r="C119" s="105"/>
      <c r="D119" s="106" t="s">
        <v>91</v>
      </c>
      <c r="F119" s="106"/>
    </row>
    <row r="120" spans="1:16" x14ac:dyDescent="0.25">
      <c r="B120" s="107" t="s">
        <v>92</v>
      </c>
      <c r="C120" s="108">
        <f>E109</f>
        <v>1.0999999999999999E-2</v>
      </c>
      <c r="D120" s="109">
        <f>SUM(H60:H77)/(1-C120-C121)</f>
        <v>948.36406266652455</v>
      </c>
      <c r="E120" s="2" t="s">
        <v>93</v>
      </c>
      <c r="F120" s="108">
        <f>C120</f>
        <v>1.0999999999999999E-2</v>
      </c>
      <c r="G120" s="110">
        <f>D120*F120</f>
        <v>10.432004689331769</v>
      </c>
    </row>
    <row r="121" spans="1:16" x14ac:dyDescent="0.25">
      <c r="B121" s="107" t="s">
        <v>51</v>
      </c>
      <c r="C121" s="108">
        <f>E111</f>
        <v>5.0700000000000002E-2</v>
      </c>
      <c r="D121" s="109">
        <f>D120</f>
        <v>948.36406266652455</v>
      </c>
      <c r="E121" s="2" t="s">
        <v>93</v>
      </c>
      <c r="F121" s="108">
        <f>C121</f>
        <v>5.0700000000000002E-2</v>
      </c>
      <c r="G121" s="110">
        <f>D121*F121</f>
        <v>48.082057977192797</v>
      </c>
    </row>
    <row r="122" spans="1:16" x14ac:dyDescent="0.25">
      <c r="A122" s="111" t="s">
        <v>94</v>
      </c>
      <c r="B122" s="107" t="s">
        <v>11</v>
      </c>
      <c r="C122" s="112">
        <v>0.04</v>
      </c>
      <c r="D122" s="113">
        <f>H122/F122*C122</f>
        <v>329.29307731476547</v>
      </c>
      <c r="E122" s="2" t="s">
        <v>93</v>
      </c>
      <c r="F122" s="114">
        <v>0.12</v>
      </c>
      <c r="G122" s="110">
        <f>D122*F122</f>
        <v>39.515169277771854</v>
      </c>
      <c r="H122" s="110">
        <f>((SUM(H60:H77))/(1-F120-F121)/(1-(C122)))</f>
        <v>987.87923194429641</v>
      </c>
      <c r="I122" s="115">
        <f>H122*C122</f>
        <v>39.515169277771854</v>
      </c>
    </row>
    <row r="123" spans="1:16" x14ac:dyDescent="0.25">
      <c r="B123" s="105"/>
      <c r="C123" s="105"/>
      <c r="D123" s="105"/>
      <c r="E123" s="110">
        <f>(O111)/(1-C120-C121-C122)</f>
        <v>0</v>
      </c>
      <c r="F123" s="116"/>
      <c r="G123" s="116"/>
      <c r="H123" s="105"/>
      <c r="I123" s="105"/>
      <c r="J123" s="117"/>
      <c r="K123" s="117"/>
      <c r="L123" s="117"/>
      <c r="M123" s="106"/>
      <c r="N123" s="106"/>
      <c r="O123" s="118"/>
    </row>
    <row r="124" spans="1:16" customFormat="1" x14ac:dyDescent="0.25"/>
    <row r="125" spans="1:16" x14ac:dyDescent="0.25">
      <c r="B125" s="118" t="s">
        <v>95</v>
      </c>
      <c r="C125" s="105"/>
      <c r="D125" s="106" t="s">
        <v>91</v>
      </c>
      <c r="F125" s="106"/>
    </row>
    <row r="126" spans="1:16" x14ac:dyDescent="0.25">
      <c r="B126" s="107" t="s">
        <v>92</v>
      </c>
      <c r="C126" s="108">
        <f>C120</f>
        <v>1.0999999999999999E-2</v>
      </c>
      <c r="D126" s="109">
        <f>SUM(H79:H104)/(1-C126-C127)</f>
        <v>-920.89949909410643</v>
      </c>
      <c r="E126" s="2" t="s">
        <v>93</v>
      </c>
      <c r="F126" s="108">
        <f>C126</f>
        <v>1.0999999999999999E-2</v>
      </c>
      <c r="G126" s="110">
        <f>D126*F126</f>
        <v>-10.12989449003517</v>
      </c>
    </row>
    <row r="127" spans="1:16" x14ac:dyDescent="0.25">
      <c r="B127" s="107" t="s">
        <v>51</v>
      </c>
      <c r="C127" s="108">
        <f>C121</f>
        <v>5.0700000000000002E-2</v>
      </c>
      <c r="D127" s="109">
        <f>D126</f>
        <v>-920.89949909410643</v>
      </c>
      <c r="E127" s="2" t="s">
        <v>93</v>
      </c>
      <c r="F127" s="108">
        <f>C127</f>
        <v>5.0700000000000002E-2</v>
      </c>
      <c r="G127" s="110">
        <f>D127*F127</f>
        <v>-46.689604604071199</v>
      </c>
    </row>
    <row r="128" spans="1:16" x14ac:dyDescent="0.25">
      <c r="A128" s="111" t="s">
        <v>94</v>
      </c>
      <c r="B128" s="107" t="s">
        <v>11</v>
      </c>
      <c r="C128" s="112">
        <v>0.04</v>
      </c>
      <c r="D128" s="113">
        <f>H128/F128*C128</f>
        <v>-132.20335535898255</v>
      </c>
      <c r="E128" s="2" t="s">
        <v>93</v>
      </c>
      <c r="F128" s="114">
        <v>0.12</v>
      </c>
      <c r="G128" s="110">
        <f>D128*F128</f>
        <v>-15.864402643077906</v>
      </c>
      <c r="H128" s="110">
        <f>((D79*F79)+(H83+H84+H85+H86)+(D80*F80)+(D80*F80*-H55)+(H88+H89+H90+H91+H93+H94+H95+H96)+(D98*F98)+(D99*F99)+(D99*F99*-H55)+(D103*F103)+(D103*F103*-H55)+(D102*F102))/(1-F126-F127)/(1-C128)</f>
        <v>-396.61006607694759</v>
      </c>
      <c r="I128" s="115">
        <f>H128*C128</f>
        <v>-15.864402643077904</v>
      </c>
    </row>
  </sheetData>
  <mergeCells count="10">
    <mergeCell ref="U4:W4"/>
    <mergeCell ref="X4:Z4"/>
    <mergeCell ref="K11:L11"/>
    <mergeCell ref="B56:H56"/>
    <mergeCell ref="B4:B5"/>
    <mergeCell ref="C4:E4"/>
    <mergeCell ref="F4:H4"/>
    <mergeCell ref="I4:K4"/>
    <mergeCell ref="Q4:Q5"/>
    <mergeCell ref="R4:T4"/>
  </mergeCells>
  <conditionalFormatting sqref="K12:L12">
    <cfRule type="cellIs" dxfId="83" priority="1" operator="equal">
      <formula>"Escassez Hídrica"</formula>
    </cfRule>
    <cfRule type="cellIs" dxfId="82" priority="2" operator="equal">
      <formula>"VERDE"</formula>
    </cfRule>
    <cfRule type="cellIs" dxfId="81" priority="3" operator="equal">
      <formula>"BVM2"</formula>
    </cfRule>
    <cfRule type="cellIs" dxfId="80" priority="4" operator="equal">
      <formula>"BVM1"</formula>
    </cfRule>
    <cfRule type="cellIs" dxfId="79" priority="5" operator="equal">
      <formula>"BAM"</formula>
    </cfRule>
  </conditionalFormatting>
  <conditionalFormatting sqref="M3">
    <cfRule type="cellIs" dxfId="78" priority="11" operator="equal">
      <formula>"VERDE"</formula>
    </cfRule>
    <cfRule type="cellIs" dxfId="77" priority="12" operator="equal">
      <formula>"BVM2"</formula>
    </cfRule>
    <cfRule type="cellIs" dxfId="76" priority="13" operator="equal">
      <formula>"BVM1"</formula>
    </cfRule>
    <cfRule type="cellIs" dxfId="75" priority="14" operator="equal">
      <formula>"BAM"</formula>
    </cfRule>
  </conditionalFormatting>
  <conditionalFormatting sqref="M8">
    <cfRule type="containsText" dxfId="74" priority="6" operator="containsText" text="Escassez Hídrica">
      <formula>NOT(ISERROR(SEARCH("Escassez Hídrica",M8)))</formula>
    </cfRule>
    <cfRule type="cellIs" dxfId="73" priority="7" operator="equal">
      <formula>"VERDE"</formula>
    </cfRule>
    <cfRule type="cellIs" dxfId="72" priority="8" operator="equal">
      <formula>"BVM2"</formula>
    </cfRule>
    <cfRule type="cellIs" dxfId="71" priority="9" operator="equal">
      <formula>"BVM1"</formula>
    </cfRule>
    <cfRule type="cellIs" dxfId="70" priority="10" operator="equal">
      <formula>"BAM"</formula>
    </cfRule>
  </conditionalFormatting>
  <dataValidations count="1">
    <dataValidation type="list" allowBlank="1" showInputMessage="1" showErrorMessage="1" sqref="K12:L12" xr:uid="{A72158A6-9371-4368-BC36-0A8971ECE1B0}">
      <formula1>$M$3:$M$8</formula1>
    </dataValidation>
  </dataValidations>
  <pageMargins left="0.511811024" right="0.511811024" top="0.78740157499999996" bottom="0.78740157499999996" header="0.31496062000000002" footer="0.31496062000000002"/>
  <pageSetup orientation="portrait" r:id="rId1"/>
  <ignoredErrors>
    <ignoredError sqref="E110:E111 K33 E113 K31" 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52CB5-11CB-4B46-9C3E-2B81635E9549}">
  <dimension ref="A1:AH282"/>
  <sheetViews>
    <sheetView showGridLines="0" zoomScale="80" zoomScaleNormal="80" workbookViewId="0">
      <selection activeCell="C11" sqref="C11"/>
    </sheetView>
  </sheetViews>
  <sheetFormatPr defaultColWidth="9.125" defaultRowHeight="14.3" x14ac:dyDescent="0.25"/>
  <cols>
    <col min="1" max="1" width="5.375" style="19" customWidth="1"/>
    <col min="2" max="2" width="27.125" style="19" customWidth="1"/>
    <col min="3" max="3" width="15.75" style="19" customWidth="1"/>
    <col min="4" max="10" width="12.75" style="19" customWidth="1"/>
    <col min="11" max="11" width="15.875" style="19" customWidth="1"/>
    <col min="12" max="12" width="13.875" style="19" customWidth="1"/>
    <col min="13" max="14" width="12.75" style="19" customWidth="1"/>
    <col min="15" max="15" width="14" style="19" customWidth="1"/>
    <col min="16" max="16" width="12.75" style="19" customWidth="1"/>
    <col min="17" max="17" width="13.375" style="19" customWidth="1"/>
    <col min="18" max="18" width="12.125" style="19" bestFit="1" customWidth="1"/>
    <col min="19" max="19" width="14.125" style="19" customWidth="1"/>
    <col min="20" max="20" width="11.25" style="19" bestFit="1" customWidth="1"/>
    <col min="21" max="21" width="12.125" style="19" bestFit="1" customWidth="1"/>
    <col min="22" max="22" width="13.125" style="19" bestFit="1" customWidth="1"/>
    <col min="23" max="23" width="11.25" style="19" bestFit="1" customWidth="1"/>
    <col min="24" max="24" width="12.125" style="19" bestFit="1" customWidth="1"/>
    <col min="25" max="25" width="13.125" style="19" bestFit="1" customWidth="1"/>
    <col min="26" max="26" width="11.25" style="19" bestFit="1" customWidth="1"/>
    <col min="27" max="16384" width="9.125" style="19"/>
  </cols>
  <sheetData>
    <row r="1" spans="1:26" x14ac:dyDescent="0.25">
      <c r="A1" s="19" t="s">
        <v>8</v>
      </c>
      <c r="B1" s="19" t="s">
        <v>8</v>
      </c>
      <c r="F1" s="24"/>
      <c r="G1" s="1"/>
      <c r="H1" s="1" t="s">
        <v>8</v>
      </c>
      <c r="I1" s="1"/>
      <c r="J1" s="1"/>
      <c r="K1" s="1"/>
      <c r="L1" s="19" t="s">
        <v>8</v>
      </c>
    </row>
    <row r="2" spans="1:26" ht="19.05" x14ac:dyDescent="0.25">
      <c r="A2" s="19" t="s">
        <v>8</v>
      </c>
      <c r="B2" s="25" t="s">
        <v>154</v>
      </c>
      <c r="E2" s="20" t="s">
        <v>28</v>
      </c>
      <c r="F2" s="21">
        <f>'[4]Fatura B1 (GD)'!F2</f>
        <v>45511</v>
      </c>
      <c r="G2" s="1" t="s">
        <v>8</v>
      </c>
      <c r="I2" s="101"/>
      <c r="J2" s="1"/>
      <c r="K2" s="1"/>
      <c r="M2" s="6" t="s">
        <v>12</v>
      </c>
      <c r="N2" s="6" t="s">
        <v>6</v>
      </c>
      <c r="O2" s="19" t="s">
        <v>29</v>
      </c>
      <c r="Q2" s="26" t="s">
        <v>30</v>
      </c>
      <c r="R2" s="27"/>
    </row>
    <row r="3" spans="1:26" x14ac:dyDescent="0.25">
      <c r="M3" s="7" t="s">
        <v>13</v>
      </c>
      <c r="N3" s="8">
        <v>0</v>
      </c>
    </row>
    <row r="4" spans="1:26" ht="14.95" customHeight="1" x14ac:dyDescent="0.25">
      <c r="B4" s="518" t="s">
        <v>152</v>
      </c>
      <c r="C4" s="466" t="s">
        <v>58</v>
      </c>
      <c r="D4" s="466"/>
      <c r="E4" s="466"/>
      <c r="F4" s="466" t="str">
        <f>'[4]Fatura B1 (GD)'!F4</f>
        <v>TARIFA NOVA - REH xxxx/2024</v>
      </c>
      <c r="G4" s="466"/>
      <c r="H4" s="466"/>
      <c r="I4" s="467" t="s">
        <v>32</v>
      </c>
      <c r="J4" s="467"/>
      <c r="K4" s="467"/>
      <c r="M4" s="9" t="s">
        <v>14</v>
      </c>
      <c r="N4" s="10">
        <v>1.8849999999999999E-2</v>
      </c>
      <c r="Q4" s="464" t="s">
        <v>31</v>
      </c>
      <c r="R4" s="457" t="str">
        <f>C4</f>
        <v>TARIFA ANTIGA - REH 3091/2022</v>
      </c>
      <c r="S4" s="458"/>
      <c r="T4" s="459"/>
      <c r="U4" s="457" t="str">
        <f>F4</f>
        <v>TARIFA NOVA - REH xxxx/2024</v>
      </c>
      <c r="V4" s="458"/>
      <c r="W4" s="459"/>
      <c r="X4" s="457" t="s">
        <v>32</v>
      </c>
      <c r="Y4" s="458"/>
      <c r="Z4" s="459"/>
    </row>
    <row r="5" spans="1:26" x14ac:dyDescent="0.25">
      <c r="B5" s="519"/>
      <c r="C5" s="28" t="s">
        <v>33</v>
      </c>
      <c r="D5" s="28" t="s">
        <v>9</v>
      </c>
      <c r="E5" s="28" t="s">
        <v>34</v>
      </c>
      <c r="F5" s="28" t="s">
        <v>33</v>
      </c>
      <c r="G5" s="28" t="s">
        <v>9</v>
      </c>
      <c r="H5" s="28" t="s">
        <v>34</v>
      </c>
      <c r="I5" s="29" t="s">
        <v>33</v>
      </c>
      <c r="J5" s="29" t="s">
        <v>9</v>
      </c>
      <c r="K5" s="29" t="s">
        <v>34</v>
      </c>
      <c r="M5" s="11" t="s">
        <v>15</v>
      </c>
      <c r="N5" s="12">
        <v>4.4630000000000003E-2</v>
      </c>
      <c r="Q5" s="465"/>
      <c r="R5" s="28" t="s">
        <v>35</v>
      </c>
      <c r="S5" s="1"/>
      <c r="T5" s="1"/>
      <c r="U5" s="28" t="s">
        <v>35</v>
      </c>
      <c r="V5" s="1"/>
      <c r="W5" s="1"/>
      <c r="X5" s="28" t="s">
        <v>35</v>
      </c>
      <c r="Y5" s="1"/>
      <c r="Z5" s="1"/>
    </row>
    <row r="6" spans="1:26" x14ac:dyDescent="0.25">
      <c r="B6" s="30" t="s">
        <v>153</v>
      </c>
      <c r="C6" s="310">
        <v>0.28337000000000001</v>
      </c>
      <c r="D6" s="310">
        <v>0.29880000000000001</v>
      </c>
      <c r="E6" s="310">
        <v>0.58217000000000008</v>
      </c>
      <c r="F6" s="310">
        <v>0.28935</v>
      </c>
      <c r="G6" s="310">
        <v>0.29333999999999999</v>
      </c>
      <c r="H6" s="310">
        <v>0.58268999999999993</v>
      </c>
      <c r="I6" s="31">
        <f>((C6*$C$14)+(F6*$D$14))/($D$14+$C$14)</f>
        <v>0.28935</v>
      </c>
      <c r="J6" s="31">
        <f>((D6*$C$14)+(G6*$D$14))/($D$14+$C$14)</f>
        <v>0.29333999999999999</v>
      </c>
      <c r="K6" s="32">
        <f>I6+J6</f>
        <v>0.58268999999999993</v>
      </c>
      <c r="M6" s="13" t="s">
        <v>16</v>
      </c>
      <c r="N6" s="14">
        <v>7.8770000000000007E-2</v>
      </c>
      <c r="P6" s="33"/>
      <c r="Q6" s="30" t="str">
        <f>B6</f>
        <v>Baixa renda</v>
      </c>
      <c r="R6" s="31">
        <v>0.17652000000000001</v>
      </c>
      <c r="S6"/>
      <c r="T6"/>
      <c r="U6" s="31">
        <v>6.17832676411392E-2</v>
      </c>
      <c r="V6"/>
      <c r="W6"/>
      <c r="X6" s="31">
        <v>6.1783267641139193E-2</v>
      </c>
      <c r="Y6" s="1"/>
      <c r="Z6" s="1"/>
    </row>
    <row r="7" spans="1:26" x14ac:dyDescent="0.25">
      <c r="B7" s="242" t="s">
        <v>200</v>
      </c>
      <c r="C7" s="257">
        <f>0.207830737658616/1000</f>
        <v>2.0783073765861601E-4</v>
      </c>
      <c r="D7" s="256">
        <f>4.01792/1000</f>
        <v>4.0179200000000003E-3</v>
      </c>
      <c r="E7" s="32">
        <f>C7+D7</f>
        <v>4.225750737658616E-3</v>
      </c>
      <c r="F7" s="32">
        <f>T11</f>
        <v>2.0783073765861601E-4</v>
      </c>
      <c r="G7" s="32">
        <f>U11</f>
        <v>4.0199999999999993E-3</v>
      </c>
      <c r="H7" s="32">
        <f>F7+G7</f>
        <v>4.2278307376586149E-3</v>
      </c>
      <c r="I7" s="31">
        <f>((C7*$C$14)+(F7*$D$14))/($D$14+$C$14)</f>
        <v>2.0783073765861604E-4</v>
      </c>
      <c r="J7" s="31">
        <f>((D7*$C$14)+(G7*$D$14))/($D$14+$C$14)</f>
        <v>4.0199999999999993E-3</v>
      </c>
      <c r="K7" s="32">
        <f>I7+J7</f>
        <v>4.2278307376586149E-3</v>
      </c>
      <c r="M7" s="226"/>
      <c r="N7" s="14"/>
      <c r="P7" s="33"/>
      <c r="Q7" s="82"/>
      <c r="R7" s="83"/>
      <c r="S7" s="1"/>
      <c r="T7" s="1"/>
      <c r="U7" s="83"/>
      <c r="V7" s="1"/>
      <c r="W7" s="1"/>
      <c r="X7" s="83"/>
      <c r="Y7" s="1"/>
      <c r="Z7" s="1"/>
    </row>
    <row r="8" spans="1:26" x14ac:dyDescent="0.25">
      <c r="B8" s="94" t="s">
        <v>57</v>
      </c>
      <c r="C8" s="83"/>
      <c r="D8" s="83"/>
      <c r="E8" s="83"/>
      <c r="F8" s="83"/>
      <c r="G8" s="81">
        <f>G6*15%</f>
        <v>4.4000999999999998E-2</v>
      </c>
      <c r="H8" s="83"/>
      <c r="I8" s="83"/>
      <c r="J8" s="31">
        <f>((D8*$C$14)+(G8*$D$14))/($D$14+$C$14)</f>
        <v>4.4001000000000005E-2</v>
      </c>
      <c r="K8" s="84"/>
      <c r="M8" s="7" t="s">
        <v>17</v>
      </c>
      <c r="N8" s="15">
        <v>0.14199999999999999</v>
      </c>
      <c r="P8" s="227" t="s">
        <v>194</v>
      </c>
      <c r="Q8" s="228"/>
      <c r="R8" s="229" t="s">
        <v>195</v>
      </c>
      <c r="S8" s="229" t="s">
        <v>196</v>
      </c>
      <c r="T8" s="229" t="s">
        <v>35</v>
      </c>
      <c r="U8" s="229" t="s">
        <v>100</v>
      </c>
      <c r="V8"/>
      <c r="W8"/>
      <c r="X8" s="83"/>
      <c r="Y8" s="1"/>
      <c r="Z8" s="1"/>
    </row>
    <row r="9" spans="1:26" x14ac:dyDescent="0.25">
      <c r="A9" s="19" t="s">
        <v>8</v>
      </c>
      <c r="G9" s="1"/>
      <c r="H9" s="1"/>
      <c r="I9" s="1"/>
      <c r="J9" s="1"/>
      <c r="K9" s="1"/>
      <c r="O9" s="20"/>
      <c r="P9" s="230" t="s">
        <v>197</v>
      </c>
      <c r="Q9" s="231"/>
      <c r="R9" s="232"/>
      <c r="S9" s="232"/>
      <c r="T9" s="233"/>
      <c r="U9" s="233"/>
      <c r="V9"/>
      <c r="W9"/>
      <c r="X9" s="1"/>
      <c r="Y9" s="1"/>
      <c r="Z9" s="1"/>
    </row>
    <row r="10" spans="1:26" x14ac:dyDescent="0.25">
      <c r="B10" s="34"/>
      <c r="C10" s="35"/>
      <c r="D10" s="36"/>
      <c r="E10" s="35"/>
      <c r="F10" s="35"/>
      <c r="G10" s="35"/>
      <c r="H10" s="37" t="s">
        <v>37</v>
      </c>
      <c r="I10" s="1"/>
      <c r="L10" s="20" t="s">
        <v>25</v>
      </c>
      <c r="M10" s="21">
        <f>EOMONTH(B14,0)+1</f>
        <v>46235</v>
      </c>
      <c r="P10" s="234" t="s">
        <v>198</v>
      </c>
      <c r="Q10" s="235"/>
      <c r="R10" s="236"/>
      <c r="S10" s="236"/>
      <c r="T10" s="237"/>
      <c r="U10" s="256">
        <f>5.61/1000</f>
        <v>5.6100000000000004E-3</v>
      </c>
      <c r="V10" s="244"/>
      <c r="W10" s="244"/>
      <c r="X10" s="1"/>
      <c r="Y10" s="1"/>
      <c r="Z10" s="1"/>
    </row>
    <row r="11" spans="1:26" x14ac:dyDescent="0.25">
      <c r="B11" s="38" t="s">
        <v>38</v>
      </c>
      <c r="C11" s="313">
        <v>1041172</v>
      </c>
      <c r="E11" s="1"/>
      <c r="F11" s="1"/>
      <c r="G11" s="1"/>
      <c r="H11" s="40">
        <f>E14</f>
        <v>46259</v>
      </c>
      <c r="K11" s="460" t="s">
        <v>26</v>
      </c>
      <c r="L11" s="460"/>
      <c r="P11" s="238" t="s">
        <v>199</v>
      </c>
      <c r="Q11" s="239"/>
      <c r="R11" s="240"/>
      <c r="S11" s="240"/>
      <c r="T11" s="257">
        <f>0.207830737658616/1000</f>
        <v>2.0783073765861601E-4</v>
      </c>
      <c r="U11" s="256">
        <f>4.02/1000</f>
        <v>4.0199999999999993E-3</v>
      </c>
      <c r="V11" s="244"/>
      <c r="W11" s="244" t="s">
        <v>205</v>
      </c>
      <c r="X11" s="1"/>
      <c r="Y11" s="1"/>
      <c r="Z11" s="1"/>
    </row>
    <row r="12" spans="1:26" x14ac:dyDescent="0.25">
      <c r="A12" s="19" t="s">
        <v>8</v>
      </c>
      <c r="B12" s="41"/>
      <c r="H12" s="43"/>
      <c r="K12" s="7" t="str">
        <f>'Fatura B1 (GD) OK'!K12</f>
        <v>BAM</v>
      </c>
      <c r="L12" s="7" t="str">
        <f>'Fatura B1 (GD) OK'!L12</f>
        <v>BAM</v>
      </c>
      <c r="P12" s="245" t="s">
        <v>201</v>
      </c>
      <c r="Q12" s="246">
        <v>0.65</v>
      </c>
      <c r="R12" s="244"/>
      <c r="S12" s="244"/>
      <c r="T12" s="244"/>
      <c r="U12" s="237">
        <f>$U$11*(1-Q12)</f>
        <v>1.4069999999999996E-3</v>
      </c>
      <c r="V12" s="244"/>
      <c r="W12" s="237">
        <f>((T12*$C$14)+(U12*$D$14))/($D$14+$C$14)</f>
        <v>1.4069999999999996E-3</v>
      </c>
      <c r="X12" s="1"/>
      <c r="Y12" s="1"/>
      <c r="Z12" s="1"/>
    </row>
    <row r="13" spans="1:26" ht="27.2" x14ac:dyDescent="0.25">
      <c r="B13" s="16" t="s">
        <v>21</v>
      </c>
      <c r="C13" s="16" t="s">
        <v>22</v>
      </c>
      <c r="D13" s="16" t="s">
        <v>23</v>
      </c>
      <c r="E13" s="16" t="s">
        <v>24</v>
      </c>
      <c r="F13" s="1"/>
      <c r="G13" s="1"/>
      <c r="H13" s="43"/>
      <c r="J13" s="16" t="s">
        <v>21</v>
      </c>
      <c r="K13" s="16" t="s">
        <v>22</v>
      </c>
      <c r="L13" s="16" t="s">
        <v>23</v>
      </c>
      <c r="M13" s="16" t="s">
        <v>24</v>
      </c>
      <c r="P13" s="247" t="s">
        <v>202</v>
      </c>
      <c r="Q13" s="248">
        <v>0.4</v>
      </c>
      <c r="R13" s="244"/>
      <c r="S13" s="244"/>
      <c r="T13" s="244"/>
      <c r="U13" s="237">
        <f>$U$11*(1-Q13)</f>
        <v>2.4119999999999996E-3</v>
      </c>
      <c r="V13" s="244"/>
      <c r="W13" s="237">
        <f>((T13*$C$14)+(U13*$D$14))/($D$14+$C$14)</f>
        <v>2.4119999999999996E-3</v>
      </c>
    </row>
    <row r="14" spans="1:26" x14ac:dyDescent="0.25">
      <c r="B14" s="17">
        <f>'Fatura B1 (GD) OK'!B14</f>
        <v>46227</v>
      </c>
      <c r="C14" s="18">
        <f>IF((F2-B14-1)&lt;0,0,(F2-B14-1))</f>
        <v>0</v>
      </c>
      <c r="D14" s="18">
        <f>E14-F2+1</f>
        <v>749</v>
      </c>
      <c r="E14" s="17">
        <f>'Fatura B1 (GD) OK'!E14</f>
        <v>46259</v>
      </c>
      <c r="F14" s="44"/>
      <c r="G14" s="44"/>
      <c r="H14" s="45"/>
      <c r="J14" s="22">
        <f>B14</f>
        <v>46227</v>
      </c>
      <c r="K14" s="23">
        <f>IF((M10-J14-1)&lt;0,0,(M10-J14-1))</f>
        <v>7</v>
      </c>
      <c r="L14" s="23">
        <f>M14-M10+1</f>
        <v>25</v>
      </c>
      <c r="M14" s="22">
        <f>E14</f>
        <v>46259</v>
      </c>
      <c r="P14" s="249" t="s">
        <v>203</v>
      </c>
      <c r="Q14" s="248">
        <v>0.1</v>
      </c>
      <c r="R14" s="244"/>
      <c r="S14"/>
      <c r="T14" s="250"/>
      <c r="U14" s="237">
        <f>$U$11*(1-Q14)</f>
        <v>3.6179999999999993E-3</v>
      </c>
      <c r="V14" s="244"/>
      <c r="W14" s="237">
        <f>((T14*$C$14)+(U14*$D$14))/($D$14+$C$14)</f>
        <v>3.6179999999999993E-3</v>
      </c>
    </row>
    <row r="15" spans="1:26" x14ac:dyDescent="0.25">
      <c r="P15" s="251" t="s">
        <v>204</v>
      </c>
      <c r="Q15" s="252">
        <v>0</v>
      </c>
      <c r="R15" s="1"/>
      <c r="S15" s="1"/>
      <c r="T15" s="1"/>
      <c r="U15" s="237">
        <f>$U$11*(1-Q15)</f>
        <v>4.0199999999999993E-3</v>
      </c>
      <c r="V15" s="1"/>
      <c r="W15" s="237">
        <f>((T15*$C$14)+(U15*$D$14))/($D$14+$C$14)</f>
        <v>4.0199999999999993E-3</v>
      </c>
    </row>
    <row r="16" spans="1:26" s="244" customFormat="1" x14ac:dyDescent="0.25">
      <c r="B16" s="287" t="s">
        <v>237</v>
      </c>
      <c r="D16" s="288">
        <v>537</v>
      </c>
      <c r="E16" s="289"/>
      <c r="G16"/>
      <c r="H16"/>
      <c r="I16"/>
      <c r="J16"/>
      <c r="K16"/>
      <c r="N16" s="290"/>
      <c r="O16" s="291"/>
      <c r="P16"/>
      <c r="Q16"/>
      <c r="S16"/>
      <c r="T16" s="250"/>
      <c r="U16"/>
      <c r="V16"/>
      <c r="W16"/>
    </row>
    <row r="17" spans="1:30" s="244" customFormat="1" x14ac:dyDescent="0.25">
      <c r="B17" s="287" t="s">
        <v>254</v>
      </c>
      <c r="D17" s="288">
        <v>221</v>
      </c>
      <c r="E17" s="289"/>
      <c r="G17"/>
      <c r="H17"/>
      <c r="I17"/>
      <c r="J17"/>
      <c r="K17"/>
      <c r="N17" s="290"/>
      <c r="O17" s="291"/>
      <c r="P17"/>
      <c r="Q17"/>
      <c r="S17"/>
      <c r="T17" s="250"/>
      <c r="U17"/>
      <c r="V17"/>
      <c r="W17"/>
    </row>
    <row r="18" spans="1:30" s="244" customFormat="1" x14ac:dyDescent="0.25">
      <c r="B18" s="287" t="s">
        <v>255</v>
      </c>
      <c r="D18" s="288">
        <v>316</v>
      </c>
      <c r="E18" s="289"/>
      <c r="G18"/>
      <c r="H18"/>
      <c r="I18"/>
      <c r="J18"/>
      <c r="K18"/>
      <c r="N18" s="290"/>
      <c r="O18" s="291"/>
      <c r="P18"/>
      <c r="Q18"/>
      <c r="S18"/>
      <c r="T18" s="250"/>
      <c r="U18"/>
      <c r="V18"/>
      <c r="W18"/>
    </row>
    <row r="19" spans="1:30" s="244" customFormat="1" x14ac:dyDescent="0.25">
      <c r="B19" s="287" t="s">
        <v>256</v>
      </c>
      <c r="D19" s="288">
        <f>D16-D18</f>
        <v>221</v>
      </c>
      <c r="E19" s="289"/>
      <c r="G19"/>
      <c r="H19"/>
      <c r="I19"/>
      <c r="J19"/>
      <c r="K19"/>
      <c r="M19" s="357" t="s">
        <v>104</v>
      </c>
      <c r="N19" s="358"/>
      <c r="O19" s="359">
        <v>241002228329</v>
      </c>
      <c r="P19"/>
      <c r="Q19"/>
      <c r="S19"/>
      <c r="T19" s="250"/>
      <c r="U19"/>
      <c r="V19"/>
      <c r="W19"/>
    </row>
    <row r="20" spans="1:30" s="244" customFormat="1" x14ac:dyDescent="0.25">
      <c r="B20" s="292"/>
      <c r="C20" s="289"/>
      <c r="D20" s="289"/>
      <c r="E20" s="292"/>
      <c r="G20"/>
      <c r="H20"/>
      <c r="I20"/>
      <c r="J20"/>
      <c r="K20"/>
      <c r="N20" s="290"/>
      <c r="O20" s="291"/>
      <c r="P20"/>
      <c r="Q20"/>
      <c r="S20"/>
      <c r="T20" s="250"/>
      <c r="U20"/>
      <c r="V20"/>
      <c r="W20"/>
    </row>
    <row r="21" spans="1:30" s="244" customFormat="1" ht="40.75" x14ac:dyDescent="0.25">
      <c r="B21" s="260" t="s">
        <v>207</v>
      </c>
      <c r="C21" s="260" t="s">
        <v>208</v>
      </c>
      <c r="D21" s="260" t="s">
        <v>209</v>
      </c>
      <c r="E21" s="261" t="s">
        <v>210</v>
      </c>
      <c r="F21" s="261" t="s">
        <v>211</v>
      </c>
      <c r="G21" s="261" t="s">
        <v>212</v>
      </c>
      <c r="H21" s="261" t="s">
        <v>213</v>
      </c>
      <c r="I21" s="261" t="s">
        <v>214</v>
      </c>
      <c r="J21" s="261" t="s">
        <v>215</v>
      </c>
      <c r="K21" s="262" t="s">
        <v>216</v>
      </c>
      <c r="L21" s="260" t="s">
        <v>217</v>
      </c>
      <c r="M21" s="261" t="s">
        <v>218</v>
      </c>
      <c r="N21" s="261" t="s">
        <v>219</v>
      </c>
      <c r="O21" s="261" t="s">
        <v>220</v>
      </c>
      <c r="R21" s="1"/>
      <c r="S21" s="1"/>
      <c r="T21" s="1"/>
      <c r="Y21"/>
      <c r="Z21"/>
      <c r="AA21"/>
      <c r="AB21"/>
      <c r="AC21"/>
      <c r="AD21"/>
    </row>
    <row r="22" spans="1:30" s="244" customFormat="1" x14ac:dyDescent="0.25">
      <c r="B22" s="263"/>
      <c r="C22" s="263"/>
      <c r="D22" s="263"/>
      <c r="E22" s="263"/>
      <c r="F22" s="263"/>
      <c r="G22" s="263"/>
      <c r="H22" s="263"/>
      <c r="I22" s="263"/>
      <c r="J22" s="263"/>
      <c r="K22" s="263"/>
      <c r="L22" s="264"/>
      <c r="M22" s="265"/>
      <c r="N22" s="265"/>
      <c r="O22" s="265"/>
      <c r="P22"/>
      <c r="T22"/>
      <c r="U22"/>
      <c r="V22"/>
      <c r="W22"/>
    </row>
    <row r="23" spans="1:30" s="244" customFormat="1" x14ac:dyDescent="0.25">
      <c r="B23" s="293" t="s">
        <v>238</v>
      </c>
      <c r="C23" s="293"/>
      <c r="D23" s="294">
        <f>-K168</f>
        <v>-35.786655000000025</v>
      </c>
      <c r="E23" s="295">
        <v>1</v>
      </c>
      <c r="F23" s="296">
        <f>D23*E23</f>
        <v>-35.786655000000025</v>
      </c>
      <c r="G23" s="297">
        <v>0</v>
      </c>
      <c r="H23" s="296">
        <v>0</v>
      </c>
      <c r="I23" s="297">
        <v>0</v>
      </c>
      <c r="J23" s="296"/>
      <c r="K23" s="268">
        <v>1</v>
      </c>
      <c r="L23" s="264"/>
      <c r="M23" s="265"/>
      <c r="N23" s="265"/>
      <c r="O23" s="265"/>
      <c r="P23"/>
      <c r="Q23" s="127"/>
      <c r="R23" s="1"/>
      <c r="S23" s="298"/>
      <c r="T23"/>
      <c r="U23"/>
      <c r="V23"/>
      <c r="W23"/>
    </row>
    <row r="24" spans="1:30" s="244" customFormat="1" x14ac:dyDescent="0.25">
      <c r="B24" s="293" t="s">
        <v>239</v>
      </c>
      <c r="C24" s="293"/>
      <c r="D24" s="297">
        <f>D23</f>
        <v>-35.786655000000025</v>
      </c>
      <c r="E24" s="268">
        <f>K24/(1-$N$25-$N$26)/(1-$I$24)</f>
        <v>1.2840448439821313</v>
      </c>
      <c r="F24" s="296">
        <f>-1*(F23-J24)</f>
        <v>43.598155000000027</v>
      </c>
      <c r="G24" s="297">
        <v>0</v>
      </c>
      <c r="H24" s="296">
        <f>ROUND((K168*K24)/(1-$N$25-$N$26)/(1-$I$24),2)</f>
        <v>45.95</v>
      </c>
      <c r="I24" s="271">
        <v>0.17</v>
      </c>
      <c r="J24" s="296">
        <f t="shared" ref="J24:J32" si="0">H24*$I$24</f>
        <v>7.8115000000000014</v>
      </c>
      <c r="K24" s="268">
        <v>1</v>
      </c>
      <c r="L24" s="264"/>
      <c r="M24" s="265"/>
      <c r="N24" s="265"/>
      <c r="O24" s="265"/>
      <c r="P24"/>
      <c r="Q24" s="127"/>
      <c r="R24" s="1"/>
      <c r="S24" s="298"/>
      <c r="T24"/>
      <c r="U24"/>
      <c r="V24"/>
      <c r="W24"/>
    </row>
    <row r="25" spans="1:30" s="244" customFormat="1" x14ac:dyDescent="0.25">
      <c r="A25" s="299">
        <v>0.65</v>
      </c>
      <c r="B25" s="265" t="s">
        <v>257</v>
      </c>
      <c r="C25" s="266" t="s">
        <v>2</v>
      </c>
      <c r="D25" s="269">
        <f>IF(D19&gt;0,30,0)</f>
        <v>30</v>
      </c>
      <c r="E25" s="268">
        <f t="shared" ref="E25:E32" si="1">K25/(1-$N$25-$N$26)/(1-$I$24)</f>
        <v>0.13003843146218036</v>
      </c>
      <c r="F25" s="269">
        <f t="shared" ref="F25:F32" si="2">ROUND(D25*E25,2)</f>
        <v>3.9</v>
      </c>
      <c r="G25" s="269">
        <f t="shared" ref="G25:G32" si="3">ROUND(((D25*K25)/(1-$N$25-$N$26))*($N$25+$N$26),2)</f>
        <v>0.2</v>
      </c>
      <c r="H25" s="270">
        <f t="shared" ref="H25:H32" si="4">ROUND((D25*K25)/(1-$N$25-$N$26)/(1-$I$24),2)</f>
        <v>3.9</v>
      </c>
      <c r="J25" s="270">
        <f t="shared" si="0"/>
        <v>0.66300000000000003</v>
      </c>
      <c r="K25" s="268">
        <f>K28*(1-A25)</f>
        <v>0.10127249999999999</v>
      </c>
      <c r="L25" s="47" t="s">
        <v>92</v>
      </c>
      <c r="M25" s="269">
        <f>D138</f>
        <v>267.98465309602472</v>
      </c>
      <c r="N25" s="272">
        <f>'Fatura B1 (GD) OK'!N21</f>
        <v>1.0999999999999999E-2</v>
      </c>
      <c r="O25" s="273">
        <f>ROUND(M25*N25,2)</f>
        <v>2.95</v>
      </c>
      <c r="P25"/>
      <c r="Q25" s="1"/>
      <c r="R25" s="1"/>
      <c r="S25" s="1"/>
      <c r="T25"/>
      <c r="U25"/>
      <c r="V25"/>
      <c r="W25"/>
    </row>
    <row r="26" spans="1:30" s="244" customFormat="1" x14ac:dyDescent="0.25">
      <c r="A26" s="299">
        <v>0.4</v>
      </c>
      <c r="B26" s="265" t="s">
        <v>258</v>
      </c>
      <c r="C26" s="266" t="s">
        <v>2</v>
      </c>
      <c r="D26" s="269">
        <f>IF(D19&gt;30,IF(D19&gt;100,70,D19-30),0)</f>
        <v>70</v>
      </c>
      <c r="E26" s="268">
        <f t="shared" si="1"/>
        <v>0.22292302536373779</v>
      </c>
      <c r="F26" s="269">
        <f t="shared" si="2"/>
        <v>15.6</v>
      </c>
      <c r="G26" s="269">
        <f t="shared" si="3"/>
        <v>0.8</v>
      </c>
      <c r="H26" s="270">
        <f t="shared" si="4"/>
        <v>15.6</v>
      </c>
      <c r="I26" s="265"/>
      <c r="J26" s="270">
        <f t="shared" si="0"/>
        <v>2.6520000000000001</v>
      </c>
      <c r="K26" s="268">
        <f>K28*(1-A26)</f>
        <v>0.17360999999999999</v>
      </c>
      <c r="L26" s="47" t="s">
        <v>51</v>
      </c>
      <c r="M26" s="269">
        <f>M25</f>
        <v>267.98465309602472</v>
      </c>
      <c r="N26" s="272">
        <f>'Fatura B1 (GD) OK'!N23</f>
        <v>5.0700000000000002E-2</v>
      </c>
      <c r="O26" s="273">
        <f>ROUND(M26*N26,2)</f>
        <v>13.59</v>
      </c>
      <c r="P26"/>
      <c r="Q26"/>
      <c r="R26"/>
      <c r="S26"/>
      <c r="T26"/>
      <c r="U26"/>
      <c r="V26"/>
      <c r="W26"/>
    </row>
    <row r="27" spans="1:30" s="244" customFormat="1" x14ac:dyDescent="0.25">
      <c r="A27" s="299">
        <v>0.1</v>
      </c>
      <c r="B27" s="265" t="s">
        <v>259</v>
      </c>
      <c r="C27" s="266" t="s">
        <v>2</v>
      </c>
      <c r="D27" s="269">
        <f>IF(D19&gt;100,IF(D19&gt;220,220-100,D19-100),0)</f>
        <v>120</v>
      </c>
      <c r="E27" s="268">
        <f t="shared" si="1"/>
        <v>0.33438453804560669</v>
      </c>
      <c r="F27" s="269">
        <f t="shared" si="2"/>
        <v>40.130000000000003</v>
      </c>
      <c r="G27" s="269">
        <f t="shared" si="3"/>
        <v>2.0499999999999998</v>
      </c>
      <c r="H27" s="270">
        <f t="shared" si="4"/>
        <v>40.130000000000003</v>
      </c>
      <c r="I27" s="265"/>
      <c r="J27" s="270">
        <f t="shared" si="0"/>
        <v>6.8221000000000007</v>
      </c>
      <c r="K27" s="268">
        <f>K28*(1-A27)</f>
        <v>0.26041500000000001</v>
      </c>
      <c r="L27" s="255"/>
      <c r="M27" s="275"/>
      <c r="N27" s="275"/>
      <c r="O27" s="275"/>
      <c r="P27"/>
      <c r="Q27"/>
      <c r="R27"/>
      <c r="S27"/>
      <c r="T27"/>
      <c r="U27"/>
      <c r="V27"/>
      <c r="W27"/>
    </row>
    <row r="28" spans="1:30" s="244" customFormat="1" x14ac:dyDescent="0.25">
      <c r="A28" s="299">
        <v>0</v>
      </c>
      <c r="B28" s="265" t="s">
        <v>260</v>
      </c>
      <c r="C28" s="266" t="s">
        <v>2</v>
      </c>
      <c r="D28" s="269">
        <f>IF(D19&gt;220,D19-220,0)</f>
        <v>1</v>
      </c>
      <c r="E28" s="268">
        <f t="shared" si="1"/>
        <v>0.37153837560622965</v>
      </c>
      <c r="F28" s="269">
        <f t="shared" si="2"/>
        <v>0.37</v>
      </c>
      <c r="G28" s="269">
        <f t="shared" si="3"/>
        <v>0.02</v>
      </c>
      <c r="H28" s="270">
        <f t="shared" si="4"/>
        <v>0.37</v>
      </c>
      <c r="I28" s="265"/>
      <c r="J28" s="270">
        <f t="shared" si="0"/>
        <v>6.2899999999999998E-2</v>
      </c>
      <c r="K28" s="268">
        <f>IF(AND($B$13&lt;$F$2,$E$13&lt;$F$2),C6,IF($B$13&lt;$F$2,I6,F6))</f>
        <v>0.28935</v>
      </c>
      <c r="L28"/>
      <c r="M28"/>
      <c r="N28"/>
      <c r="O28" s="264"/>
      <c r="P28"/>
      <c r="Q28"/>
      <c r="R28"/>
      <c r="S28"/>
      <c r="T28"/>
      <c r="U28"/>
      <c r="V28"/>
      <c r="W28"/>
    </row>
    <row r="29" spans="1:30" s="244" customFormat="1" x14ac:dyDescent="0.25">
      <c r="A29" s="299">
        <v>0.65</v>
      </c>
      <c r="B29" s="265" t="s">
        <v>261</v>
      </c>
      <c r="C29" s="266" t="s">
        <v>2</v>
      </c>
      <c r="D29" s="269">
        <f>IF(D18&gt;0,30,0)</f>
        <v>30</v>
      </c>
      <c r="E29" s="268">
        <f t="shared" si="1"/>
        <v>0.13003843146218036</v>
      </c>
      <c r="F29" s="269">
        <f t="shared" si="2"/>
        <v>3.9</v>
      </c>
      <c r="G29" s="269">
        <f t="shared" si="3"/>
        <v>0.2</v>
      </c>
      <c r="H29" s="270">
        <f t="shared" si="4"/>
        <v>3.9</v>
      </c>
      <c r="J29" s="270">
        <f t="shared" si="0"/>
        <v>0.66300000000000003</v>
      </c>
      <c r="K29" s="268">
        <f>K32*(1-A29)</f>
        <v>0.10127249999999999</v>
      </c>
      <c r="L29"/>
      <c r="M29"/>
      <c r="N29"/>
      <c r="O29" s="264"/>
      <c r="P29"/>
      <c r="Q29" s="1"/>
      <c r="R29" s="1"/>
      <c r="S29" s="1"/>
      <c r="T29"/>
      <c r="U29"/>
      <c r="V29"/>
      <c r="W29"/>
    </row>
    <row r="30" spans="1:30" s="244" customFormat="1" x14ac:dyDescent="0.25">
      <c r="A30" s="299">
        <v>0.4</v>
      </c>
      <c r="B30" s="265" t="s">
        <v>262</v>
      </c>
      <c r="C30" s="266" t="s">
        <v>2</v>
      </c>
      <c r="D30" s="269">
        <f>IF(D18&gt;30,IF(D18&gt;100,70,D18-30),0)</f>
        <v>70</v>
      </c>
      <c r="E30" s="268">
        <f t="shared" si="1"/>
        <v>0.22292302536373779</v>
      </c>
      <c r="F30" s="269">
        <f t="shared" si="2"/>
        <v>15.6</v>
      </c>
      <c r="G30" s="269">
        <f t="shared" si="3"/>
        <v>0.8</v>
      </c>
      <c r="H30" s="270">
        <f t="shared" si="4"/>
        <v>15.6</v>
      </c>
      <c r="I30" s="265"/>
      <c r="J30" s="270">
        <f t="shared" si="0"/>
        <v>2.6520000000000001</v>
      </c>
      <c r="K30" s="268">
        <f>K32*(1-A30)</f>
        <v>0.17360999999999999</v>
      </c>
      <c r="L30"/>
      <c r="M30"/>
      <c r="N30"/>
      <c r="O30" s="264"/>
      <c r="P30"/>
      <c r="Q30"/>
      <c r="R30"/>
      <c r="S30"/>
      <c r="T30"/>
      <c r="U30"/>
      <c r="V30"/>
      <c r="W30"/>
    </row>
    <row r="31" spans="1:30" s="244" customFormat="1" x14ac:dyDescent="0.25">
      <c r="A31" s="299">
        <v>0.1</v>
      </c>
      <c r="B31" s="265" t="s">
        <v>263</v>
      </c>
      <c r="C31" s="266" t="s">
        <v>2</v>
      </c>
      <c r="D31" s="269">
        <f>IF(D18&gt;100,IF(D18&gt;220,220-100,D18-100),0)</f>
        <v>120</v>
      </c>
      <c r="E31" s="268">
        <f t="shared" si="1"/>
        <v>0.33438453804560669</v>
      </c>
      <c r="F31" s="269">
        <f t="shared" si="2"/>
        <v>40.130000000000003</v>
      </c>
      <c r="G31" s="269">
        <f t="shared" si="3"/>
        <v>2.0499999999999998</v>
      </c>
      <c r="H31" s="270">
        <f t="shared" si="4"/>
        <v>40.130000000000003</v>
      </c>
      <c r="I31" s="265"/>
      <c r="J31" s="270">
        <f t="shared" si="0"/>
        <v>6.8221000000000007</v>
      </c>
      <c r="K31" s="268">
        <f>K32*(1-A31)</f>
        <v>0.26041500000000001</v>
      </c>
      <c r="O31" s="264"/>
      <c r="P31"/>
      <c r="Q31"/>
      <c r="R31"/>
      <c r="S31"/>
      <c r="T31"/>
      <c r="U31"/>
      <c r="V31"/>
      <c r="W31"/>
    </row>
    <row r="32" spans="1:30" s="244" customFormat="1" x14ac:dyDescent="0.25">
      <c r="A32" s="299">
        <v>0</v>
      </c>
      <c r="B32" s="265" t="s">
        <v>264</v>
      </c>
      <c r="C32" s="266" t="s">
        <v>2</v>
      </c>
      <c r="D32" s="269">
        <f>IF(D18&gt;220,D18-220,0)</f>
        <v>96</v>
      </c>
      <c r="E32" s="268">
        <f t="shared" si="1"/>
        <v>0.37153837560622965</v>
      </c>
      <c r="F32" s="269">
        <f t="shared" si="2"/>
        <v>35.67</v>
      </c>
      <c r="G32" s="269">
        <f t="shared" si="3"/>
        <v>1.83</v>
      </c>
      <c r="H32" s="270">
        <f t="shared" si="4"/>
        <v>35.67</v>
      </c>
      <c r="I32" s="265"/>
      <c r="J32" s="270">
        <f t="shared" si="0"/>
        <v>6.0639000000000003</v>
      </c>
      <c r="K32" s="268">
        <f>IF(AND($B$14&lt;$F$2,$E$14&lt;$F$2),C6,IF($B$14&lt;$F$2,I6,F6))</f>
        <v>0.28935</v>
      </c>
      <c r="L32"/>
      <c r="M32"/>
      <c r="N32"/>
      <c r="O32" s="264"/>
      <c r="P32"/>
      <c r="Q32"/>
      <c r="R32"/>
      <c r="S32"/>
      <c r="T32"/>
      <c r="U32"/>
      <c r="V32"/>
      <c r="W32"/>
    </row>
    <row r="33" spans="1:23" s="244" customFormat="1" x14ac:dyDescent="0.25">
      <c r="A33" s="311"/>
      <c r="B33" s="265"/>
      <c r="C33" s="266"/>
      <c r="D33" s="269"/>
      <c r="E33" s="268"/>
      <c r="F33" s="269"/>
      <c r="G33" s="269"/>
      <c r="H33" s="270"/>
      <c r="I33" s="265"/>
      <c r="J33" s="270"/>
      <c r="K33" s="268"/>
      <c r="L33"/>
      <c r="M33"/>
      <c r="N33"/>
      <c r="O33" s="264"/>
      <c r="P33"/>
      <c r="Q33"/>
      <c r="R33"/>
      <c r="S33"/>
      <c r="T33"/>
      <c r="U33"/>
      <c r="V33"/>
      <c r="W33"/>
    </row>
    <row r="34" spans="1:23" s="244" customFormat="1" x14ac:dyDescent="0.25">
      <c r="B34" s="265" t="s">
        <v>265</v>
      </c>
      <c r="C34" s="266" t="s">
        <v>2</v>
      </c>
      <c r="D34" s="269">
        <f t="shared" ref="D34:D41" si="5">D25</f>
        <v>30</v>
      </c>
      <c r="E34" s="268">
        <f t="shared" ref="E34:E41" si="6">K34/(1-$N$25-$N$26)/(1-$I$24)</f>
        <v>0.13183160008680142</v>
      </c>
      <c r="F34" s="269">
        <f t="shared" ref="F34:F41" si="7">ROUND(D34*E34,2)</f>
        <v>3.95</v>
      </c>
      <c r="G34" s="269">
        <f t="shared" ref="G34:G41" si="8">ROUND(((D34*K34)/(1-$N$25-$N$26))*($N$25+$N$26),2)</f>
        <v>0.2</v>
      </c>
      <c r="H34" s="270">
        <f t="shared" ref="H34:H41" si="9">ROUND((D34*K34)/(1-$N$25-$N$26)/(1-$I$24),2)</f>
        <v>3.95</v>
      </c>
      <c r="I34" s="265"/>
      <c r="J34" s="270">
        <f t="shared" ref="J34:J41" si="10">H34*$I$24</f>
        <v>0.6715000000000001</v>
      </c>
      <c r="K34" s="268">
        <f>K37*(1-A25)</f>
        <v>0.102669</v>
      </c>
      <c r="L34"/>
      <c r="M34"/>
      <c r="N34"/>
      <c r="O34" s="264"/>
      <c r="P34"/>
      <c r="Q34"/>
      <c r="R34"/>
      <c r="S34"/>
      <c r="T34"/>
      <c r="U34"/>
      <c r="V34"/>
      <c r="W34"/>
    </row>
    <row r="35" spans="1:23" s="244" customFormat="1" x14ac:dyDescent="0.25">
      <c r="B35" s="265" t="s">
        <v>266</v>
      </c>
      <c r="C35" s="266" t="s">
        <v>2</v>
      </c>
      <c r="D35" s="269">
        <f t="shared" si="5"/>
        <v>70</v>
      </c>
      <c r="E35" s="268">
        <f t="shared" si="6"/>
        <v>0.22599702872023103</v>
      </c>
      <c r="F35" s="269">
        <f t="shared" si="7"/>
        <v>15.82</v>
      </c>
      <c r="G35" s="269">
        <f t="shared" si="8"/>
        <v>0.81</v>
      </c>
      <c r="H35" s="270">
        <f t="shared" si="9"/>
        <v>15.82</v>
      </c>
      <c r="I35" s="265"/>
      <c r="J35" s="270">
        <f t="shared" si="10"/>
        <v>2.6894000000000005</v>
      </c>
      <c r="K35" s="268">
        <f>K37*(1-A26)</f>
        <v>0.17600399999999999</v>
      </c>
      <c r="L35"/>
      <c r="M35"/>
      <c r="N35"/>
      <c r="O35" s="264"/>
      <c r="P35"/>
      <c r="Q35"/>
      <c r="R35"/>
      <c r="S35"/>
      <c r="T35"/>
      <c r="U35"/>
      <c r="V35"/>
      <c r="W35"/>
    </row>
    <row r="36" spans="1:23" s="244" customFormat="1" x14ac:dyDescent="0.25">
      <c r="B36" s="265" t="s">
        <v>267</v>
      </c>
      <c r="C36" s="266" t="s">
        <v>2</v>
      </c>
      <c r="D36" s="269">
        <f t="shared" si="5"/>
        <v>120</v>
      </c>
      <c r="E36" s="268">
        <f t="shared" si="6"/>
        <v>0.33899554308034652</v>
      </c>
      <c r="F36" s="269">
        <f t="shared" si="7"/>
        <v>40.68</v>
      </c>
      <c r="G36" s="269">
        <f t="shared" si="8"/>
        <v>2.08</v>
      </c>
      <c r="H36" s="270">
        <f t="shared" si="9"/>
        <v>40.68</v>
      </c>
      <c r="I36" s="265"/>
      <c r="J36" s="270">
        <f t="shared" si="10"/>
        <v>6.9156000000000004</v>
      </c>
      <c r="K36" s="268">
        <f>K37*(1-A27)</f>
        <v>0.26400600000000002</v>
      </c>
      <c r="L36"/>
      <c r="M36"/>
      <c r="N36"/>
      <c r="O36" s="264"/>
      <c r="P36"/>
      <c r="Q36"/>
      <c r="R36"/>
      <c r="S36"/>
      <c r="T36"/>
      <c r="U36"/>
      <c r="V36"/>
      <c r="W36"/>
    </row>
    <row r="37" spans="1:23" s="244" customFormat="1" x14ac:dyDescent="0.25">
      <c r="B37" s="265" t="s">
        <v>268</v>
      </c>
      <c r="C37" s="266" t="s">
        <v>2</v>
      </c>
      <c r="D37" s="269">
        <f t="shared" si="5"/>
        <v>1</v>
      </c>
      <c r="E37" s="268">
        <f t="shared" si="6"/>
        <v>0.37666171453371838</v>
      </c>
      <c r="F37" s="269">
        <f t="shared" si="7"/>
        <v>0.38</v>
      </c>
      <c r="G37" s="269">
        <f t="shared" si="8"/>
        <v>0.02</v>
      </c>
      <c r="H37" s="270">
        <f t="shared" si="9"/>
        <v>0.38</v>
      </c>
      <c r="I37" s="265"/>
      <c r="J37" s="270">
        <f t="shared" si="10"/>
        <v>6.4600000000000005E-2</v>
      </c>
      <c r="K37" s="268">
        <f>IF(AND($B$14&lt;$F$2,$E$14&lt;$F$2),D6,IF($B$14&lt;$F$2,J6,G6))</f>
        <v>0.29333999999999999</v>
      </c>
      <c r="L37"/>
      <c r="M37"/>
      <c r="N37"/>
      <c r="O37" s="264"/>
      <c r="P37"/>
      <c r="Q37"/>
      <c r="R37"/>
      <c r="S37"/>
      <c r="T37"/>
      <c r="U37"/>
      <c r="V37"/>
      <c r="W37"/>
    </row>
    <row r="38" spans="1:23" s="244" customFormat="1" x14ac:dyDescent="0.25">
      <c r="B38" s="265" t="s">
        <v>269</v>
      </c>
      <c r="C38" s="266" t="s">
        <v>2</v>
      </c>
      <c r="D38" s="269">
        <f t="shared" si="5"/>
        <v>30</v>
      </c>
      <c r="E38" s="268">
        <f t="shared" si="6"/>
        <v>0.13183160008680142</v>
      </c>
      <c r="F38" s="269">
        <f t="shared" si="7"/>
        <v>3.95</v>
      </c>
      <c r="G38" s="269">
        <f t="shared" si="8"/>
        <v>0.2</v>
      </c>
      <c r="H38" s="270">
        <f t="shared" si="9"/>
        <v>3.95</v>
      </c>
      <c r="I38" s="265"/>
      <c r="J38" s="270">
        <f t="shared" si="10"/>
        <v>0.6715000000000001</v>
      </c>
      <c r="K38" s="268">
        <f>K41*(1-A29)</f>
        <v>0.102669</v>
      </c>
      <c r="L38"/>
      <c r="M38"/>
      <c r="N38"/>
      <c r="O38" s="264"/>
      <c r="P38"/>
      <c r="Q38"/>
      <c r="R38"/>
      <c r="S38"/>
      <c r="T38"/>
      <c r="U38"/>
      <c r="V38"/>
      <c r="W38"/>
    </row>
    <row r="39" spans="1:23" s="244" customFormat="1" x14ac:dyDescent="0.25">
      <c r="B39" s="265" t="s">
        <v>270</v>
      </c>
      <c r="C39" s="266" t="s">
        <v>2</v>
      </c>
      <c r="D39" s="269">
        <f t="shared" si="5"/>
        <v>70</v>
      </c>
      <c r="E39" s="268">
        <f t="shared" si="6"/>
        <v>0.22599702872023103</v>
      </c>
      <c r="F39" s="269">
        <f t="shared" si="7"/>
        <v>15.82</v>
      </c>
      <c r="G39" s="269">
        <f t="shared" si="8"/>
        <v>0.81</v>
      </c>
      <c r="H39" s="270">
        <f t="shared" si="9"/>
        <v>15.82</v>
      </c>
      <c r="I39" s="265"/>
      <c r="J39" s="270">
        <f t="shared" si="10"/>
        <v>2.6894000000000005</v>
      </c>
      <c r="K39" s="268">
        <f>K41*(1-A30)</f>
        <v>0.17600399999999999</v>
      </c>
      <c r="L39"/>
      <c r="M39"/>
      <c r="N39"/>
      <c r="O39" s="264"/>
      <c r="P39"/>
      <c r="Q39"/>
      <c r="R39"/>
      <c r="S39"/>
      <c r="T39"/>
      <c r="U39"/>
      <c r="V39"/>
      <c r="W39"/>
    </row>
    <row r="40" spans="1:23" s="244" customFormat="1" x14ac:dyDescent="0.25">
      <c r="B40" s="265" t="s">
        <v>271</v>
      </c>
      <c r="C40" s="266" t="s">
        <v>2</v>
      </c>
      <c r="D40" s="269">
        <f t="shared" si="5"/>
        <v>120</v>
      </c>
      <c r="E40" s="268">
        <f t="shared" si="6"/>
        <v>0.33899554308034652</v>
      </c>
      <c r="F40" s="269">
        <f t="shared" si="7"/>
        <v>40.68</v>
      </c>
      <c r="G40" s="269">
        <f t="shared" si="8"/>
        <v>2.08</v>
      </c>
      <c r="H40" s="270">
        <f t="shared" si="9"/>
        <v>40.68</v>
      </c>
      <c r="I40" s="265"/>
      <c r="J40" s="270">
        <f t="shared" si="10"/>
        <v>6.9156000000000004</v>
      </c>
      <c r="K40" s="268">
        <f>K41*(1-A31)</f>
        <v>0.26400600000000002</v>
      </c>
      <c r="L40"/>
      <c r="M40"/>
      <c r="N40"/>
      <c r="O40" s="264"/>
      <c r="P40"/>
      <c r="Q40"/>
      <c r="R40"/>
      <c r="S40"/>
      <c r="T40"/>
      <c r="U40"/>
      <c r="V40"/>
      <c r="W40"/>
    </row>
    <row r="41" spans="1:23" s="244" customFormat="1" x14ac:dyDescent="0.25">
      <c r="B41" s="265" t="s">
        <v>272</v>
      </c>
      <c r="C41" s="266" t="s">
        <v>2</v>
      </c>
      <c r="D41" s="269">
        <f t="shared" si="5"/>
        <v>96</v>
      </c>
      <c r="E41" s="268">
        <f t="shared" si="6"/>
        <v>0.37666171453371838</v>
      </c>
      <c r="F41" s="269">
        <f t="shared" si="7"/>
        <v>36.159999999999997</v>
      </c>
      <c r="G41" s="269">
        <f t="shared" si="8"/>
        <v>1.85</v>
      </c>
      <c r="H41" s="270">
        <f t="shared" si="9"/>
        <v>36.159999999999997</v>
      </c>
      <c r="I41" s="265"/>
      <c r="J41" s="270">
        <f t="shared" si="10"/>
        <v>6.1471999999999998</v>
      </c>
      <c r="K41" s="268">
        <f>IF(AND($B$14&lt;$F$2,$E$14&lt;$F$2),D6,IF($B$14&lt;$F$2,J6,G6))</f>
        <v>0.29333999999999999</v>
      </c>
      <c r="L41"/>
      <c r="M41"/>
      <c r="N41"/>
      <c r="O41" s="264"/>
      <c r="P41"/>
      <c r="Q41"/>
      <c r="R41"/>
      <c r="S41"/>
      <c r="T41"/>
      <c r="U41"/>
      <c r="V41"/>
      <c r="W41"/>
    </row>
    <row r="42" spans="1:23" s="244" customFormat="1" x14ac:dyDescent="0.25">
      <c r="B42" s="265"/>
      <c r="C42" s="266"/>
      <c r="D42" s="269"/>
      <c r="E42" s="268"/>
      <c r="F42" s="269"/>
      <c r="G42" s="269"/>
      <c r="H42" s="270"/>
      <c r="I42" s="265"/>
      <c r="J42" s="270"/>
      <c r="K42" s="268"/>
      <c r="L42"/>
      <c r="M42"/>
      <c r="N42"/>
      <c r="O42" s="264"/>
      <c r="P42"/>
      <c r="Q42"/>
      <c r="R42"/>
      <c r="S42"/>
      <c r="T42"/>
      <c r="U42"/>
      <c r="V42"/>
      <c r="W42"/>
    </row>
    <row r="43" spans="1:23" s="244" customFormat="1" x14ac:dyDescent="0.25">
      <c r="B43" s="265" t="s">
        <v>43</v>
      </c>
      <c r="C43" s="266"/>
      <c r="D43" s="269">
        <f>C175+C212</f>
        <v>60</v>
      </c>
      <c r="E43" s="268"/>
      <c r="F43" s="269">
        <f>(O175+O212)/(1-$N$25-$N$26)/(1-$I$24)</f>
        <v>0.51361793759285257</v>
      </c>
      <c r="G43" s="269">
        <f t="shared" ref="G43:G58" si="11">ROUND(((D43*K43)/(1-$N$25-$N$26))*($N$25+$N$26),2)</f>
        <v>0.03</v>
      </c>
      <c r="H43" s="270">
        <f t="shared" ref="H43:H58" si="12">F43</f>
        <v>0.51361793759285257</v>
      </c>
      <c r="I43" s="265"/>
      <c r="J43" s="270">
        <f t="shared" ref="J43:J58" si="13">H43*$I$24</f>
        <v>8.7315049390784938E-2</v>
      </c>
      <c r="K43" s="268">
        <f>K175</f>
        <v>6.5974999999999992E-3</v>
      </c>
      <c r="O43" s="264"/>
      <c r="P43"/>
      <c r="Q43"/>
      <c r="R43"/>
      <c r="S43"/>
      <c r="T43"/>
      <c r="U43"/>
      <c r="V43"/>
      <c r="W43"/>
    </row>
    <row r="44" spans="1:23" s="244" customFormat="1" x14ac:dyDescent="0.25">
      <c r="B44" s="265" t="s">
        <v>43</v>
      </c>
      <c r="C44" s="266"/>
      <c r="D44" s="269">
        <f>C176+C213</f>
        <v>140</v>
      </c>
      <c r="E44" s="268"/>
      <c r="F44" s="269">
        <f>(O176+O213)/(1-$N$25-$N$26)/(1-$I$24)</f>
        <v>2.0287908534917674</v>
      </c>
      <c r="G44" s="269">
        <f t="shared" si="11"/>
        <v>0.1</v>
      </c>
      <c r="H44" s="270">
        <f t="shared" si="12"/>
        <v>2.0287908534917674</v>
      </c>
      <c r="I44" s="265"/>
      <c r="J44" s="270">
        <f t="shared" si="13"/>
        <v>0.34489444509360045</v>
      </c>
      <c r="K44" s="268">
        <f>K176</f>
        <v>1.1309999999999999E-2</v>
      </c>
      <c r="L44" s="19"/>
      <c r="M44" s="19"/>
      <c r="N44" s="19"/>
      <c r="O44" s="264"/>
      <c r="P44"/>
      <c r="Q44" s="300"/>
      <c r="R44"/>
      <c r="S44"/>
      <c r="T44"/>
      <c r="U44"/>
      <c r="V44"/>
      <c r="W44"/>
    </row>
    <row r="45" spans="1:23" s="244" customFormat="1" x14ac:dyDescent="0.25">
      <c r="B45" s="265" t="s">
        <v>43</v>
      </c>
      <c r="C45" s="266"/>
      <c r="D45" s="269">
        <f>C177+C214</f>
        <v>240</v>
      </c>
      <c r="E45" s="268"/>
      <c r="F45" s="269">
        <f>(O177+O214)/(1-$N$25-$N$26)/(1-$I$24)</f>
        <v>5.2389029634470958</v>
      </c>
      <c r="G45" s="269">
        <f t="shared" si="11"/>
        <v>0.27</v>
      </c>
      <c r="H45" s="270">
        <f t="shared" si="12"/>
        <v>5.2389029634470958</v>
      </c>
      <c r="I45" s="265"/>
      <c r="J45" s="270">
        <f t="shared" si="13"/>
        <v>0.89061350378600634</v>
      </c>
      <c r="K45" s="268">
        <f>K177</f>
        <v>1.6965000000000001E-2</v>
      </c>
      <c r="L45" s="19"/>
      <c r="M45" s="19"/>
      <c r="N45" s="19"/>
      <c r="O45" s="264"/>
      <c r="P45" s="301"/>
      <c r="Q45" s="300"/>
      <c r="R45"/>
      <c r="S45"/>
      <c r="T45"/>
      <c r="U45"/>
      <c r="V45"/>
      <c r="W45"/>
    </row>
    <row r="46" spans="1:23" s="244" customFormat="1" x14ac:dyDescent="0.25">
      <c r="B46" s="265" t="s">
        <v>43</v>
      </c>
      <c r="C46" s="266"/>
      <c r="D46" s="269">
        <f>C178+C215</f>
        <v>97</v>
      </c>
      <c r="E46" s="268"/>
      <c r="F46" s="269">
        <f>(O178+O215)/(1-$N$25-$N$26)/(1-$I$24)</f>
        <v>2.3498020644873003</v>
      </c>
      <c r="G46" s="269">
        <f t="shared" si="11"/>
        <v>0.12</v>
      </c>
      <c r="H46" s="270">
        <f t="shared" si="12"/>
        <v>2.3498020644873003</v>
      </c>
      <c r="I46" s="265"/>
      <c r="J46" s="270">
        <f t="shared" si="13"/>
        <v>0.39946635096284111</v>
      </c>
      <c r="K46" s="268">
        <f>K178</f>
        <v>1.8849999999999999E-2</v>
      </c>
      <c r="L46" s="19"/>
      <c r="M46" s="19"/>
      <c r="N46" s="19"/>
      <c r="O46" s="264"/>
      <c r="P46"/>
      <c r="Q46" s="302"/>
      <c r="R46"/>
      <c r="S46"/>
      <c r="T46"/>
      <c r="U46"/>
      <c r="V46"/>
      <c r="W46"/>
    </row>
    <row r="47" spans="1:23" s="244" customFormat="1" x14ac:dyDescent="0.25">
      <c r="B47" s="265" t="s">
        <v>245</v>
      </c>
      <c r="C47" s="266"/>
      <c r="D47" s="269">
        <f>C184+C221</f>
        <v>0</v>
      </c>
      <c r="E47" s="268"/>
      <c r="F47" s="269">
        <f>(O184+O221)/(1-$N$25-$N$26)/(1-$I$24)</f>
        <v>0</v>
      </c>
      <c r="G47" s="269">
        <f t="shared" si="11"/>
        <v>0</v>
      </c>
      <c r="H47" s="270">
        <f t="shared" si="12"/>
        <v>0</v>
      </c>
      <c r="I47" s="265"/>
      <c r="J47" s="270">
        <f t="shared" si="13"/>
        <v>0</v>
      </c>
      <c r="K47" s="268">
        <f>K184</f>
        <v>1.5620500000000001E-2</v>
      </c>
      <c r="O47" s="264"/>
      <c r="P47"/>
      <c r="Q47"/>
      <c r="R47"/>
      <c r="S47"/>
      <c r="T47"/>
      <c r="U47"/>
      <c r="V47"/>
      <c r="W47"/>
    </row>
    <row r="48" spans="1:23" s="244" customFormat="1" x14ac:dyDescent="0.25">
      <c r="B48" s="265" t="s">
        <v>245</v>
      </c>
      <c r="C48" s="266"/>
      <c r="D48" s="269">
        <f>C185+C222</f>
        <v>0</v>
      </c>
      <c r="E48" s="268"/>
      <c r="F48" s="269">
        <f>(O185+O222)/(1-$N$25-$N$26)/(1-$I$24)</f>
        <v>0</v>
      </c>
      <c r="G48" s="269">
        <f t="shared" si="11"/>
        <v>0</v>
      </c>
      <c r="H48" s="270">
        <f t="shared" si="12"/>
        <v>0</v>
      </c>
      <c r="I48" s="265"/>
      <c r="J48" s="270">
        <f t="shared" si="13"/>
        <v>0</v>
      </c>
      <c r="K48" s="268">
        <f>K185</f>
        <v>2.6778E-2</v>
      </c>
      <c r="L48" s="19"/>
      <c r="M48" s="19"/>
      <c r="N48" s="19"/>
      <c r="O48" s="264"/>
      <c r="P48"/>
      <c r="Q48" s="300"/>
      <c r="R48"/>
      <c r="S48"/>
      <c r="T48"/>
      <c r="U48"/>
      <c r="V48"/>
      <c r="W48"/>
    </row>
    <row r="49" spans="1:23" s="244" customFormat="1" x14ac:dyDescent="0.25">
      <c r="B49" s="265" t="s">
        <v>245</v>
      </c>
      <c r="C49" s="266"/>
      <c r="D49" s="269">
        <f>C186+C223</f>
        <v>0</v>
      </c>
      <c r="E49" s="268"/>
      <c r="F49" s="269">
        <f>(O186+O223)/(1-$N$25-$N$26)/(1-$I$24)</f>
        <v>0</v>
      </c>
      <c r="G49" s="269">
        <f t="shared" si="11"/>
        <v>0</v>
      </c>
      <c r="H49" s="270">
        <f t="shared" si="12"/>
        <v>0</v>
      </c>
      <c r="I49" s="265"/>
      <c r="J49" s="270">
        <f t="shared" si="13"/>
        <v>0</v>
      </c>
      <c r="K49" s="268">
        <f>K186</f>
        <v>4.0167000000000001E-2</v>
      </c>
      <c r="L49" s="19"/>
      <c r="M49" s="19"/>
      <c r="N49" s="19"/>
      <c r="O49" s="264"/>
      <c r="P49" s="301"/>
      <c r="Q49" s="300"/>
      <c r="R49"/>
      <c r="S49"/>
      <c r="T49"/>
      <c r="U49"/>
      <c r="V49"/>
      <c r="W49"/>
    </row>
    <row r="50" spans="1:23" s="244" customFormat="1" x14ac:dyDescent="0.25">
      <c r="B50" s="265" t="s">
        <v>245</v>
      </c>
      <c r="C50" s="266"/>
      <c r="D50" s="269">
        <f>C187+C224</f>
        <v>0</v>
      </c>
      <c r="E50" s="268"/>
      <c r="F50" s="269">
        <f>(O187+O224)/(1-$N$25-$N$26)/(1-$I$24)</f>
        <v>0</v>
      </c>
      <c r="G50" s="269">
        <f t="shared" si="11"/>
        <v>0</v>
      </c>
      <c r="H50" s="270">
        <f t="shared" si="12"/>
        <v>0</v>
      </c>
      <c r="I50" s="265"/>
      <c r="J50" s="270">
        <f t="shared" si="13"/>
        <v>0</v>
      </c>
      <c r="K50" s="268">
        <f>K187</f>
        <v>4.4630000000000003E-2</v>
      </c>
      <c r="L50" s="19"/>
      <c r="M50" s="19"/>
      <c r="N50" s="19"/>
      <c r="O50" s="264"/>
      <c r="P50"/>
      <c r="Q50" s="302"/>
      <c r="R50"/>
      <c r="S50"/>
      <c r="T50"/>
      <c r="U50"/>
      <c r="V50"/>
      <c r="W50"/>
    </row>
    <row r="51" spans="1:23" s="244" customFormat="1" x14ac:dyDescent="0.25">
      <c r="B51" s="265" t="s">
        <v>246</v>
      </c>
      <c r="C51" s="266"/>
      <c r="D51" s="269">
        <f>C193+C230</f>
        <v>0</v>
      </c>
      <c r="E51" s="268"/>
      <c r="F51" s="269">
        <f>(O193+O230)/(1-$N$25-$N$26)/(1-$I$24)</f>
        <v>0</v>
      </c>
      <c r="G51" s="269">
        <f t="shared" si="11"/>
        <v>0</v>
      </c>
      <c r="H51" s="270">
        <f t="shared" si="12"/>
        <v>0</v>
      </c>
      <c r="I51" s="265"/>
      <c r="J51" s="270">
        <f t="shared" si="13"/>
        <v>0</v>
      </c>
      <c r="K51" s="268">
        <f>K193</f>
        <v>2.75695E-2</v>
      </c>
      <c r="O51" s="264"/>
      <c r="P51"/>
      <c r="Q51"/>
      <c r="R51"/>
      <c r="S51"/>
      <c r="T51"/>
      <c r="U51"/>
      <c r="V51"/>
      <c r="W51"/>
    </row>
    <row r="52" spans="1:23" s="244" customFormat="1" x14ac:dyDescent="0.25">
      <c r="B52" s="265" t="s">
        <v>246</v>
      </c>
      <c r="C52" s="266"/>
      <c r="D52" s="269">
        <f>C194+C231</f>
        <v>0</v>
      </c>
      <c r="E52" s="268"/>
      <c r="F52" s="269">
        <f>(O194+O231)/(1-$N$25-$N$26)/(1-$I$24)</f>
        <v>0</v>
      </c>
      <c r="G52" s="269">
        <f t="shared" si="11"/>
        <v>0</v>
      </c>
      <c r="H52" s="270">
        <f t="shared" si="12"/>
        <v>0</v>
      </c>
      <c r="I52" s="265"/>
      <c r="J52" s="270">
        <f t="shared" si="13"/>
        <v>0</v>
      </c>
      <c r="K52" s="268">
        <f>K194</f>
        <v>4.7262000000000005E-2</v>
      </c>
      <c r="L52" s="19"/>
      <c r="M52" s="19"/>
      <c r="N52" s="19"/>
      <c r="O52" s="264"/>
      <c r="P52"/>
      <c r="Q52" s="300"/>
      <c r="R52"/>
      <c r="S52"/>
      <c r="T52"/>
      <c r="U52"/>
      <c r="V52"/>
      <c r="W52"/>
    </row>
    <row r="53" spans="1:23" s="244" customFormat="1" x14ac:dyDescent="0.25">
      <c r="B53" s="265" t="s">
        <v>246</v>
      </c>
      <c r="C53" s="266"/>
      <c r="D53" s="269">
        <f>C195+C232</f>
        <v>0</v>
      </c>
      <c r="E53" s="268"/>
      <c r="F53" s="269">
        <f>(O195+O232)/(1-$N$25-$N$26)/(1-$I$24)</f>
        <v>0</v>
      </c>
      <c r="G53" s="269">
        <f t="shared" si="11"/>
        <v>0</v>
      </c>
      <c r="H53" s="270">
        <f t="shared" si="12"/>
        <v>0</v>
      </c>
      <c r="I53" s="265"/>
      <c r="J53" s="270">
        <f t="shared" si="13"/>
        <v>0</v>
      </c>
      <c r="K53" s="268">
        <f>K195</f>
        <v>7.0893000000000012E-2</v>
      </c>
      <c r="L53" s="19"/>
      <c r="M53" s="19"/>
      <c r="N53" s="19"/>
      <c r="O53" s="264"/>
      <c r="P53" s="301"/>
      <c r="Q53" s="300"/>
      <c r="R53"/>
      <c r="S53"/>
      <c r="T53"/>
      <c r="U53"/>
      <c r="V53"/>
      <c r="W53"/>
    </row>
    <row r="54" spans="1:23" s="244" customFormat="1" x14ac:dyDescent="0.25">
      <c r="B54" s="265" t="s">
        <v>246</v>
      </c>
      <c r="C54" s="266"/>
      <c r="D54" s="269">
        <f>C196+C233</f>
        <v>0</v>
      </c>
      <c r="E54" s="268"/>
      <c r="F54" s="269">
        <f>(O196+O233)/(1-$N$25-$N$26)/(1-$I$24)</f>
        <v>0</v>
      </c>
      <c r="G54" s="269">
        <f t="shared" si="11"/>
        <v>0</v>
      </c>
      <c r="H54" s="270">
        <f t="shared" si="12"/>
        <v>0</v>
      </c>
      <c r="I54" s="265"/>
      <c r="J54" s="270">
        <f t="shared" si="13"/>
        <v>0</v>
      </c>
      <c r="K54" s="268">
        <f>K196</f>
        <v>7.8770000000000007E-2</v>
      </c>
      <c r="L54" s="19"/>
      <c r="M54" s="19"/>
      <c r="N54" s="19"/>
      <c r="O54" s="264"/>
      <c r="P54"/>
      <c r="Q54" s="302"/>
      <c r="R54"/>
      <c r="S54"/>
      <c r="T54"/>
      <c r="U54"/>
      <c r="V54"/>
      <c r="W54"/>
    </row>
    <row r="55" spans="1:23" s="244" customFormat="1" x14ac:dyDescent="0.25">
      <c r="B55" s="265" t="s">
        <v>251</v>
      </c>
      <c r="C55" s="266"/>
      <c r="D55" s="269">
        <f>C202+C239</f>
        <v>0</v>
      </c>
      <c r="E55" s="268"/>
      <c r="F55" s="269">
        <f>(O202+O239)/(1-$N$25-$N$26)/(1-$I$24)</f>
        <v>0</v>
      </c>
      <c r="G55" s="269">
        <f t="shared" si="11"/>
        <v>0</v>
      </c>
      <c r="H55" s="270">
        <f t="shared" si="12"/>
        <v>0</v>
      </c>
      <c r="I55" s="265"/>
      <c r="J55" s="270">
        <f t="shared" si="13"/>
        <v>0</v>
      </c>
      <c r="K55" s="268">
        <f>K202</f>
        <v>4.9699999999999994E-2</v>
      </c>
      <c r="O55" s="264"/>
      <c r="P55"/>
      <c r="Q55"/>
      <c r="R55"/>
      <c r="S55"/>
      <c r="T55"/>
      <c r="U55"/>
      <c r="V55"/>
      <c r="W55"/>
    </row>
    <row r="56" spans="1:23" s="244" customFormat="1" x14ac:dyDescent="0.25">
      <c r="B56" s="265" t="s">
        <v>251</v>
      </c>
      <c r="C56" s="266"/>
      <c r="D56" s="269">
        <f>C203+C240</f>
        <v>0</v>
      </c>
      <c r="E56" s="268"/>
      <c r="F56" s="269">
        <f>(O203+O240)/(1-$N$25-$N$26)/(1-$I$24)</f>
        <v>0</v>
      </c>
      <c r="G56" s="269">
        <f t="shared" si="11"/>
        <v>0</v>
      </c>
      <c r="H56" s="270">
        <f t="shared" si="12"/>
        <v>0</v>
      </c>
      <c r="I56" s="265"/>
      <c r="J56" s="270">
        <f t="shared" si="13"/>
        <v>0</v>
      </c>
      <c r="K56" s="268">
        <f>K203</f>
        <v>8.5199999999999984E-2</v>
      </c>
      <c r="L56" s="19"/>
      <c r="M56" s="19"/>
      <c r="N56" s="19"/>
      <c r="O56" s="264"/>
      <c r="P56"/>
      <c r="Q56" s="300"/>
      <c r="R56"/>
      <c r="S56"/>
      <c r="T56"/>
      <c r="U56"/>
      <c r="V56"/>
      <c r="W56"/>
    </row>
    <row r="57" spans="1:23" s="244" customFormat="1" x14ac:dyDescent="0.25">
      <c r="B57" s="265" t="s">
        <v>251</v>
      </c>
      <c r="C57" s="266"/>
      <c r="D57" s="269">
        <f>C204+C241</f>
        <v>0</v>
      </c>
      <c r="E57" s="268"/>
      <c r="F57" s="269">
        <f>(O204+O241)/(1-$N$25-$N$26)/(1-$I$24)</f>
        <v>0</v>
      </c>
      <c r="G57" s="269">
        <f t="shared" si="11"/>
        <v>0</v>
      </c>
      <c r="H57" s="270">
        <f t="shared" si="12"/>
        <v>0</v>
      </c>
      <c r="I57" s="265"/>
      <c r="J57" s="270">
        <f t="shared" si="13"/>
        <v>0</v>
      </c>
      <c r="K57" s="268">
        <f>K204</f>
        <v>0.1278</v>
      </c>
      <c r="L57" s="19"/>
      <c r="M57" s="19"/>
      <c r="N57" s="19"/>
      <c r="O57" s="264"/>
      <c r="P57" s="301"/>
      <c r="Q57" s="300"/>
      <c r="R57"/>
      <c r="S57"/>
      <c r="T57"/>
      <c r="U57"/>
      <c r="V57"/>
      <c r="W57"/>
    </row>
    <row r="58" spans="1:23" s="244" customFormat="1" x14ac:dyDescent="0.25">
      <c r="B58" s="265" t="s">
        <v>251</v>
      </c>
      <c r="C58" s="266"/>
      <c r="D58" s="269">
        <f>C205+C242</f>
        <v>0</v>
      </c>
      <c r="E58" s="268"/>
      <c r="F58" s="269">
        <f>(O205+O242)/(1-$N$25-$N$26)/(1-$I$24)</f>
        <v>0</v>
      </c>
      <c r="G58" s="269">
        <f t="shared" si="11"/>
        <v>0</v>
      </c>
      <c r="H58" s="270">
        <f t="shared" si="12"/>
        <v>0</v>
      </c>
      <c r="I58" s="265"/>
      <c r="J58" s="270">
        <f t="shared" si="13"/>
        <v>0</v>
      </c>
      <c r="K58" s="268">
        <f>K205</f>
        <v>0.14199999999999999</v>
      </c>
      <c r="L58" s="19"/>
      <c r="M58" s="19"/>
      <c r="N58" s="19"/>
      <c r="O58" s="264"/>
      <c r="P58"/>
      <c r="Q58" s="302"/>
      <c r="R58"/>
      <c r="S58"/>
      <c r="T58"/>
      <c r="U58"/>
      <c r="V58"/>
      <c r="W58"/>
    </row>
    <row r="59" spans="1:23" s="244" customFormat="1" x14ac:dyDescent="0.25">
      <c r="B59" s="265"/>
      <c r="C59" s="266"/>
      <c r="D59" s="269"/>
      <c r="E59" s="268"/>
      <c r="F59" s="269"/>
      <c r="G59" s="269"/>
      <c r="H59" s="270"/>
      <c r="I59" s="265"/>
      <c r="J59" s="270"/>
      <c r="K59" s="268"/>
      <c r="L59" s="327"/>
      <c r="M59" s="328"/>
      <c r="N59" s="327"/>
      <c r="O59" s="329"/>
      <c r="P59"/>
      <c r="Q59" s="302"/>
      <c r="R59"/>
      <c r="S59"/>
      <c r="T59"/>
      <c r="U59"/>
      <c r="V59"/>
      <c r="W59"/>
    </row>
    <row r="60" spans="1:23" s="244" customFormat="1" x14ac:dyDescent="0.25">
      <c r="A60" s="299">
        <v>0.65</v>
      </c>
      <c r="B60" s="265" t="s">
        <v>273</v>
      </c>
      <c r="C60" s="266" t="s">
        <v>2</v>
      </c>
      <c r="D60" s="269">
        <f>-(IF(D17&gt;0,30,0))</f>
        <v>-30</v>
      </c>
      <c r="E60" s="268">
        <f>K60/(1-$N$25-$N$26)/(1-$I$60)</f>
        <v>0.1079318981136097</v>
      </c>
      <c r="F60" s="269">
        <f>ROUND(D60*E60,2)</f>
        <v>-3.24</v>
      </c>
      <c r="G60" s="269">
        <f>ROUND(((D60*K60)/(1-$N$25-$N$26))*($N$25+$N$26),2)</f>
        <v>-0.2</v>
      </c>
      <c r="H60" s="270">
        <f>ROUND((D60*K60)/(1-$N$25-$N$26)/(1-$I$24),2)</f>
        <v>-3.9</v>
      </c>
      <c r="J60" s="270">
        <f>H60*$I$24</f>
        <v>-0.66300000000000003</v>
      </c>
      <c r="K60" s="268">
        <f>K63*(1-A60)</f>
        <v>0.10127249999999999</v>
      </c>
      <c r="L60" s="47" t="s">
        <v>230</v>
      </c>
      <c r="M60" s="269">
        <f>D139</f>
        <v>-103.53831397207715</v>
      </c>
      <c r="N60" s="272">
        <f>N25</f>
        <v>1.0999999999999999E-2</v>
      </c>
      <c r="O60" s="273">
        <f>ROUND(M60*N60,2)</f>
        <v>-1.1399999999999999</v>
      </c>
      <c r="P60"/>
      <c r="Q60" s="1"/>
      <c r="R60" s="1"/>
      <c r="S60" s="1"/>
      <c r="T60"/>
      <c r="U60"/>
      <c r="V60"/>
      <c r="W60"/>
    </row>
    <row r="61" spans="1:23" s="244" customFormat="1" x14ac:dyDescent="0.25">
      <c r="A61" s="299">
        <v>0.4</v>
      </c>
      <c r="B61" s="265" t="s">
        <v>273</v>
      </c>
      <c r="C61" s="266" t="s">
        <v>2</v>
      </c>
      <c r="D61" s="269">
        <f>-(IF(D17&gt;30,IF(D17&gt;100,70,D17-30),0))</f>
        <v>-70</v>
      </c>
      <c r="E61" s="268">
        <f>K61/(1-$N$25-$N$26)/(1-$I$60)</f>
        <v>0.18502611105190236</v>
      </c>
      <c r="F61" s="269">
        <f>ROUND(D61*E61,2)</f>
        <v>-12.95</v>
      </c>
      <c r="G61" s="269">
        <f>ROUND(((D61*K61)/(1-$N$25-$N$26))*($N$25+$N$26),2)</f>
        <v>-0.8</v>
      </c>
      <c r="H61" s="270">
        <f>ROUND((D61*K61)/(1-$N$25-$N$26)/(1-$I$24),2)</f>
        <v>-15.6</v>
      </c>
      <c r="I61" s="265"/>
      <c r="J61" s="270">
        <f>H61*$I$24</f>
        <v>-2.6520000000000001</v>
      </c>
      <c r="K61" s="268">
        <f>K63*(1-A61)</f>
        <v>0.17360999999999999</v>
      </c>
      <c r="L61" s="47" t="s">
        <v>231</v>
      </c>
      <c r="M61" s="269">
        <f>M60</f>
        <v>-103.53831397207715</v>
      </c>
      <c r="N61" s="272">
        <f>N26</f>
        <v>5.0700000000000002E-2</v>
      </c>
      <c r="O61" s="273">
        <f>ROUND(M61*N61,2)</f>
        <v>-5.25</v>
      </c>
      <c r="P61"/>
      <c r="Q61"/>
      <c r="R61"/>
      <c r="S61"/>
      <c r="T61"/>
      <c r="U61"/>
      <c r="V61"/>
      <c r="W61"/>
    </row>
    <row r="62" spans="1:23" s="244" customFormat="1" x14ac:dyDescent="0.25">
      <c r="A62" s="299">
        <v>0.1</v>
      </c>
      <c r="B62" s="265" t="s">
        <v>273</v>
      </c>
      <c r="C62" s="266" t="s">
        <v>2</v>
      </c>
      <c r="D62" s="269">
        <f>-(IF(D17&gt;100,IF(D17&gt;220,220-100,D17-100),0))</f>
        <v>-120</v>
      </c>
      <c r="E62" s="268">
        <f>K62/(1-$N$25-$N$26)/(1-$I$60)</f>
        <v>0.27753916657785355</v>
      </c>
      <c r="F62" s="269">
        <f>ROUND(D62*E62,2)</f>
        <v>-33.299999999999997</v>
      </c>
      <c r="G62" s="269">
        <f>ROUND(((D62*K62)/(1-$N$25-$N$26))*($N$25+$N$26),2)</f>
        <v>-2.0499999999999998</v>
      </c>
      <c r="H62" s="270">
        <f>ROUND((D62*K62)/(1-$N$25-$N$26)/(1-$I$24),2)</f>
        <v>-40.130000000000003</v>
      </c>
      <c r="I62" s="265"/>
      <c r="J62" s="270">
        <f>H62*$I$24</f>
        <v>-6.8221000000000007</v>
      </c>
      <c r="K62" s="268">
        <f>K63*(1-A62)</f>
        <v>0.26041500000000001</v>
      </c>
      <c r="L62" s="19"/>
      <c r="M62" s="19"/>
      <c r="N62" s="19"/>
      <c r="O62" s="264"/>
      <c r="P62"/>
      <c r="Q62"/>
      <c r="R62"/>
      <c r="S62"/>
      <c r="T62"/>
      <c r="U62"/>
      <c r="V62"/>
      <c r="W62"/>
    </row>
    <row r="63" spans="1:23" s="244" customFormat="1" x14ac:dyDescent="0.25">
      <c r="A63" s="299">
        <v>0</v>
      </c>
      <c r="B63" s="265" t="s">
        <v>273</v>
      </c>
      <c r="C63" s="266" t="s">
        <v>2</v>
      </c>
      <c r="D63" s="269">
        <f>-(IF(D17&gt;220,D17-220,0))</f>
        <v>-1</v>
      </c>
      <c r="E63" s="268">
        <f>K63/(1-$N$25-$N$26)/(1-$I$60)</f>
        <v>0.30837685175317059</v>
      </c>
      <c r="F63" s="269">
        <f>ROUND(D63*E63,2)</f>
        <v>-0.31</v>
      </c>
      <c r="G63" s="269">
        <f>ROUND(((D63*K63)/(1-$N$25-$N$26))*($N$25+$N$26),2)</f>
        <v>-0.02</v>
      </c>
      <c r="H63" s="270">
        <f>ROUND((D63*K63)/(1-$N$25-$N$26)/(1-$I$24),2)</f>
        <v>-0.37</v>
      </c>
      <c r="I63" s="265"/>
      <c r="J63" s="270">
        <f>H63*$I$24</f>
        <v>-6.2899999999999998E-2</v>
      </c>
      <c r="K63" s="268">
        <f>IF(AND($B$14&lt;$F$2,$E$14&lt;$F$2),C6,IF($B$14&lt;$F$2,I6,F6))</f>
        <v>0.28935</v>
      </c>
      <c r="L63" s="19"/>
      <c r="M63" s="19"/>
      <c r="N63" s="19"/>
      <c r="O63" s="264"/>
      <c r="P63"/>
      <c r="Q63"/>
      <c r="R63"/>
      <c r="S63"/>
      <c r="T63"/>
      <c r="U63"/>
      <c r="V63"/>
      <c r="W63"/>
    </row>
    <row r="64" spans="1:23" s="244" customFormat="1" x14ac:dyDescent="0.25">
      <c r="A64" s="311"/>
      <c r="B64" s="265"/>
      <c r="C64" s="266"/>
      <c r="D64" s="269"/>
      <c r="E64" s="268"/>
      <c r="F64" s="269"/>
      <c r="G64" s="269"/>
      <c r="H64" s="270"/>
      <c r="I64" s="265"/>
      <c r="J64" s="270"/>
      <c r="K64" s="268"/>
      <c r="L64" s="19"/>
      <c r="M64" s="19"/>
      <c r="N64" s="19"/>
      <c r="O64" s="264"/>
      <c r="P64"/>
      <c r="Q64"/>
      <c r="R64"/>
      <c r="S64"/>
      <c r="T64"/>
      <c r="U64"/>
      <c r="V64"/>
      <c r="W64"/>
    </row>
    <row r="65" spans="2:23" s="244" customFormat="1" x14ac:dyDescent="0.25">
      <c r="B65" s="265" t="s">
        <v>274</v>
      </c>
      <c r="C65" s="266" t="s">
        <v>2</v>
      </c>
      <c r="D65" s="269">
        <f>D60</f>
        <v>-30</v>
      </c>
      <c r="E65" s="268">
        <f>K65/(1-$N$25-$N$26)/(1-$I$24)</f>
        <v>0.13183160008680142</v>
      </c>
      <c r="F65" s="269">
        <f>ROUND(D65*E65,2)</f>
        <v>-3.95</v>
      </c>
      <c r="G65" s="269">
        <f>ROUND(((D65*K65)/(1-$N$25-$N$26))*($N$25+$N$26),2)</f>
        <v>-0.2</v>
      </c>
      <c r="H65" s="270">
        <f>ROUND((D65*K65)/(1-$N$25-$N$26)/(1-$I$24),2)</f>
        <v>-3.95</v>
      </c>
      <c r="I65" s="265"/>
      <c r="J65" s="270">
        <f>H65*$I$24</f>
        <v>-0.6715000000000001</v>
      </c>
      <c r="K65" s="268">
        <f>$K$68*(1-A60)</f>
        <v>0.102669</v>
      </c>
      <c r="L65"/>
      <c r="M65"/>
      <c r="N65"/>
      <c r="O65" s="264"/>
      <c r="P65"/>
      <c r="Q65"/>
      <c r="R65"/>
      <c r="S65"/>
      <c r="T65"/>
      <c r="U65"/>
      <c r="V65"/>
      <c r="W65"/>
    </row>
    <row r="66" spans="2:23" s="244" customFormat="1" x14ac:dyDescent="0.25">
      <c r="B66" s="265" t="s">
        <v>274</v>
      </c>
      <c r="C66" s="266" t="s">
        <v>2</v>
      </c>
      <c r="D66" s="269">
        <f>D61</f>
        <v>-70</v>
      </c>
      <c r="E66" s="268">
        <f>K66/(1-$N$25-$N$26)/(1-$I$24)</f>
        <v>0.22599702872023103</v>
      </c>
      <c r="F66" s="269">
        <f>ROUND(D66*E66,2)</f>
        <v>-15.82</v>
      </c>
      <c r="G66" s="269">
        <f>ROUND(((D66*K66)/(1-$N$25-$N$26))*($N$25+$N$26),2)</f>
        <v>-0.81</v>
      </c>
      <c r="H66" s="270">
        <f>ROUND((D66*K66)/(1-$N$25-$N$26)/(1-$I$24),2)</f>
        <v>-15.82</v>
      </c>
      <c r="I66" s="265"/>
      <c r="J66" s="270">
        <f>H66*$I$24</f>
        <v>-2.6894000000000005</v>
      </c>
      <c r="K66" s="268">
        <f>$K$68*(1-A61)</f>
        <v>0.17600399999999999</v>
      </c>
      <c r="L66"/>
      <c r="M66"/>
      <c r="N66"/>
      <c r="O66" s="264"/>
      <c r="P66"/>
      <c r="Q66"/>
      <c r="R66"/>
      <c r="S66"/>
      <c r="T66"/>
      <c r="U66"/>
      <c r="V66"/>
      <c r="W66"/>
    </row>
    <row r="67" spans="2:23" s="244" customFormat="1" x14ac:dyDescent="0.25">
      <c r="B67" s="265" t="s">
        <v>274</v>
      </c>
      <c r="C67" s="266" t="s">
        <v>2</v>
      </c>
      <c r="D67" s="269">
        <f>D62</f>
        <v>-120</v>
      </c>
      <c r="E67" s="268">
        <f>K67/(1-$N$25-$N$26)/(1-$I$24)</f>
        <v>0.33899554308034652</v>
      </c>
      <c r="F67" s="269">
        <f>ROUND(D67*E67,2)</f>
        <v>-40.68</v>
      </c>
      <c r="G67" s="269">
        <f>ROUND(((D67*K67)/(1-$N$25-$N$26))*($N$25+$N$26),2)</f>
        <v>-2.08</v>
      </c>
      <c r="H67" s="270">
        <f>ROUND((D67*K67)/(1-$N$25-$N$26)/(1-$I$24),2)</f>
        <v>-40.68</v>
      </c>
      <c r="I67" s="265"/>
      <c r="J67" s="270">
        <f>H67*$I$24</f>
        <v>-6.9156000000000004</v>
      </c>
      <c r="K67" s="268">
        <f>$K$68*(1-A62)</f>
        <v>0.26400600000000002</v>
      </c>
      <c r="L67"/>
      <c r="M67"/>
      <c r="N67"/>
      <c r="O67" s="264"/>
      <c r="P67"/>
      <c r="Q67"/>
      <c r="R67"/>
      <c r="S67"/>
      <c r="T67"/>
      <c r="U67"/>
      <c r="V67"/>
      <c r="W67"/>
    </row>
    <row r="68" spans="2:23" s="244" customFormat="1" x14ac:dyDescent="0.25">
      <c r="B68" s="265" t="s">
        <v>274</v>
      </c>
      <c r="C68" s="266" t="s">
        <v>2</v>
      </c>
      <c r="D68" s="269">
        <f>D63</f>
        <v>-1</v>
      </c>
      <c r="E68" s="268">
        <f>K68/(1-$N$25-$N$26)/(1-$I$24)</f>
        <v>0.37666171453371838</v>
      </c>
      <c r="F68" s="269">
        <f>ROUND(D68*E68,2)</f>
        <v>-0.38</v>
      </c>
      <c r="G68" s="269">
        <f>ROUND(((D68*K68)/(1-$N$25-$N$26))*($N$25+$N$26),2)</f>
        <v>-0.02</v>
      </c>
      <c r="H68" s="270">
        <f>ROUND((D68*K68)/(1-$N$25-$N$26)/(1-$I$24),2)</f>
        <v>-0.38</v>
      </c>
      <c r="I68" s="265"/>
      <c r="J68" s="270">
        <f>H68*$I$24</f>
        <v>-6.4600000000000005E-2</v>
      </c>
      <c r="K68" s="268">
        <f>IF(AND($B$14&lt;$F$2,$E$14&lt;$F$2),D6,IF($B$14&lt;$F$2,J6,G6))</f>
        <v>0.29333999999999999</v>
      </c>
      <c r="L68"/>
      <c r="M68"/>
      <c r="N68"/>
      <c r="O68" s="264"/>
      <c r="P68"/>
      <c r="Q68"/>
      <c r="R68"/>
      <c r="S68"/>
      <c r="T68"/>
      <c r="U68"/>
      <c r="V68"/>
      <c r="W68"/>
    </row>
    <row r="69" spans="2:23" s="244" customFormat="1" x14ac:dyDescent="0.25">
      <c r="B69" s="265"/>
      <c r="C69" s="266"/>
      <c r="D69" s="269"/>
      <c r="E69" s="268"/>
      <c r="F69" s="269"/>
      <c r="G69" s="269"/>
      <c r="H69" s="270"/>
      <c r="I69" s="265"/>
      <c r="J69" s="270"/>
      <c r="K69" s="268"/>
      <c r="L69"/>
      <c r="M69"/>
      <c r="N69"/>
      <c r="O69" s="264"/>
      <c r="P69"/>
      <c r="Q69"/>
      <c r="R69"/>
      <c r="S69"/>
      <c r="T69"/>
      <c r="U69"/>
      <c r="V69"/>
      <c r="W69"/>
    </row>
    <row r="70" spans="2:23" s="244" customFormat="1" x14ac:dyDescent="0.25">
      <c r="B70" s="265" t="s">
        <v>206</v>
      </c>
      <c r="C70" s="266"/>
      <c r="D70" s="269">
        <f>C251</f>
        <v>-30</v>
      </c>
      <c r="E70" s="268"/>
      <c r="F70" s="269">
        <f>O251/(1-$N$25-$N$26)/(1-$I$24)</f>
        <v>-0.25680896879642628</v>
      </c>
      <c r="G70" s="269">
        <f t="shared" ref="G70:G85" si="14">ROUND(((D70*K70)/(1-$N$25-$N$26))*($N$25+$N$26),2)</f>
        <v>-0.01</v>
      </c>
      <c r="H70" s="270">
        <f t="shared" ref="H70:H85" si="15">F70</f>
        <v>-0.25680896879642628</v>
      </c>
      <c r="I70" s="265"/>
      <c r="J70" s="270">
        <f t="shared" ref="J70:J85" si="16">H70*$I$24</f>
        <v>-4.3657524695392469E-2</v>
      </c>
      <c r="K70" s="268">
        <f t="shared" ref="K70:K85" si="17">K43</f>
        <v>6.5974999999999992E-3</v>
      </c>
      <c r="O70" s="264"/>
      <c r="P70"/>
      <c r="Q70"/>
      <c r="R70"/>
      <c r="S70"/>
      <c r="T70"/>
      <c r="U70"/>
      <c r="V70"/>
      <c r="W70"/>
    </row>
    <row r="71" spans="2:23" s="244" customFormat="1" x14ac:dyDescent="0.25">
      <c r="B71" s="265" t="s">
        <v>206</v>
      </c>
      <c r="C71" s="266"/>
      <c r="D71" s="269">
        <f>C252</f>
        <v>-70</v>
      </c>
      <c r="E71" s="268"/>
      <c r="F71" s="269">
        <f>O252/(1-$N$25-$N$26)/(1-$I$24)</f>
        <v>-1.0143954267458837</v>
      </c>
      <c r="G71" s="269">
        <f t="shared" si="14"/>
        <v>-0.05</v>
      </c>
      <c r="H71" s="270">
        <f t="shared" si="15"/>
        <v>-1.0143954267458837</v>
      </c>
      <c r="I71" s="265"/>
      <c r="J71" s="270">
        <f t="shared" si="16"/>
        <v>-0.17244722254680023</v>
      </c>
      <c r="K71" s="268">
        <f t="shared" si="17"/>
        <v>1.1309999999999999E-2</v>
      </c>
      <c r="L71" s="19"/>
      <c r="M71" s="19"/>
      <c r="N71" s="19"/>
      <c r="O71" s="264"/>
      <c r="P71"/>
      <c r="Q71" s="300"/>
      <c r="R71"/>
      <c r="S71"/>
      <c r="T71"/>
      <c r="U71"/>
      <c r="V71"/>
      <c r="W71"/>
    </row>
    <row r="72" spans="2:23" s="244" customFormat="1" x14ac:dyDescent="0.25">
      <c r="B72" s="265" t="s">
        <v>206</v>
      </c>
      <c r="C72" s="266"/>
      <c r="D72" s="269">
        <f>C253</f>
        <v>-120</v>
      </c>
      <c r="E72" s="268"/>
      <c r="F72" s="269">
        <f>O253/(1-$N$25-$N$26)/(1-$I$24)</f>
        <v>-2.6194514817235479</v>
      </c>
      <c r="G72" s="269">
        <f t="shared" si="14"/>
        <v>-0.13</v>
      </c>
      <c r="H72" s="270">
        <f t="shared" si="15"/>
        <v>-2.6194514817235479</v>
      </c>
      <c r="I72" s="265"/>
      <c r="J72" s="270">
        <f t="shared" si="16"/>
        <v>-0.44530675189300317</v>
      </c>
      <c r="K72" s="268">
        <f t="shared" si="17"/>
        <v>1.6965000000000001E-2</v>
      </c>
      <c r="L72" s="19"/>
      <c r="M72" s="19"/>
      <c r="N72" s="19"/>
      <c r="O72" s="264"/>
      <c r="P72" s="301"/>
      <c r="Q72" s="300"/>
      <c r="R72"/>
      <c r="S72"/>
      <c r="T72"/>
      <c r="U72"/>
      <c r="V72"/>
      <c r="W72"/>
    </row>
    <row r="73" spans="2:23" s="244" customFormat="1" x14ac:dyDescent="0.25">
      <c r="B73" s="265" t="s">
        <v>206</v>
      </c>
      <c r="C73" s="266"/>
      <c r="D73" s="269">
        <f>C254</f>
        <v>-1</v>
      </c>
      <c r="E73" s="268"/>
      <c r="F73" s="269">
        <f>O254/(1-$N$25-$N$26)/(1-$I$24)</f>
        <v>-2.5680896879642628E-2</v>
      </c>
      <c r="G73" s="269">
        <f t="shared" si="14"/>
        <v>0</v>
      </c>
      <c r="H73" s="270">
        <f t="shared" si="15"/>
        <v>-2.5680896879642628E-2</v>
      </c>
      <c r="I73" s="265"/>
      <c r="J73" s="270">
        <f t="shared" si="16"/>
        <v>-4.3657524695392474E-3</v>
      </c>
      <c r="K73" s="268">
        <f t="shared" si="17"/>
        <v>1.8849999999999999E-2</v>
      </c>
      <c r="L73" s="19"/>
      <c r="M73" s="19"/>
      <c r="N73" s="19"/>
      <c r="O73" s="264"/>
      <c r="P73"/>
      <c r="Q73" s="302"/>
      <c r="R73"/>
      <c r="S73"/>
      <c r="T73"/>
      <c r="U73"/>
      <c r="V73"/>
      <c r="W73"/>
    </row>
    <row r="74" spans="2:23" s="244" customFormat="1" x14ac:dyDescent="0.25">
      <c r="B74" s="265" t="s">
        <v>275</v>
      </c>
      <c r="C74" s="266"/>
      <c r="D74" s="269">
        <f>C260</f>
        <v>0</v>
      </c>
      <c r="E74" s="268"/>
      <c r="F74" s="269">
        <f>O260/(1-$N$25-$N$26)/(1-$I$24)</f>
        <v>0</v>
      </c>
      <c r="G74" s="269">
        <f t="shared" si="14"/>
        <v>0</v>
      </c>
      <c r="H74" s="270">
        <f t="shared" si="15"/>
        <v>0</v>
      </c>
      <c r="I74" s="265"/>
      <c r="J74" s="270">
        <f t="shared" si="16"/>
        <v>0</v>
      </c>
      <c r="K74" s="268">
        <f t="shared" si="17"/>
        <v>1.5620500000000001E-2</v>
      </c>
      <c r="O74" s="264"/>
      <c r="P74"/>
      <c r="Q74"/>
      <c r="R74"/>
      <c r="S74"/>
      <c r="T74"/>
      <c r="U74"/>
      <c r="V74"/>
      <c r="W74"/>
    </row>
    <row r="75" spans="2:23" s="244" customFormat="1" x14ac:dyDescent="0.25">
      <c r="B75" s="265" t="s">
        <v>275</v>
      </c>
      <c r="C75" s="266"/>
      <c r="D75" s="269">
        <f>C261</f>
        <v>0</v>
      </c>
      <c r="E75" s="268"/>
      <c r="F75" s="269">
        <f>O261/(1-$N$25-$N$26)/(1-$I$24)</f>
        <v>0</v>
      </c>
      <c r="G75" s="269">
        <f t="shared" si="14"/>
        <v>0</v>
      </c>
      <c r="H75" s="270">
        <f t="shared" si="15"/>
        <v>0</v>
      </c>
      <c r="I75" s="265"/>
      <c r="J75" s="270">
        <f t="shared" si="16"/>
        <v>0</v>
      </c>
      <c r="K75" s="268">
        <f t="shared" si="17"/>
        <v>2.6778E-2</v>
      </c>
      <c r="L75" s="19"/>
      <c r="M75" s="19"/>
      <c r="N75" s="19"/>
      <c r="O75" s="264"/>
      <c r="P75"/>
      <c r="Q75" s="300"/>
      <c r="R75"/>
      <c r="S75"/>
      <c r="T75"/>
      <c r="U75"/>
      <c r="V75"/>
      <c r="W75"/>
    </row>
    <row r="76" spans="2:23" s="244" customFormat="1" x14ac:dyDescent="0.25">
      <c r="B76" s="265" t="s">
        <v>275</v>
      </c>
      <c r="C76" s="266"/>
      <c r="D76" s="269">
        <f>C262</f>
        <v>0</v>
      </c>
      <c r="E76" s="268"/>
      <c r="F76" s="269">
        <f>O262/(1-$N$25-$N$26)/(1-$I$24)</f>
        <v>0</v>
      </c>
      <c r="G76" s="269">
        <f t="shared" si="14"/>
        <v>0</v>
      </c>
      <c r="H76" s="270">
        <f t="shared" si="15"/>
        <v>0</v>
      </c>
      <c r="I76" s="265"/>
      <c r="J76" s="270">
        <f t="shared" si="16"/>
        <v>0</v>
      </c>
      <c r="K76" s="268">
        <f t="shared" si="17"/>
        <v>4.0167000000000001E-2</v>
      </c>
      <c r="L76" s="19"/>
      <c r="M76" s="19"/>
      <c r="N76" s="19"/>
      <c r="O76" s="264"/>
      <c r="P76" s="301"/>
      <c r="Q76" s="300"/>
      <c r="R76"/>
      <c r="S76"/>
      <c r="T76"/>
      <c r="U76"/>
      <c r="V76"/>
      <c r="W76"/>
    </row>
    <row r="77" spans="2:23" s="244" customFormat="1" x14ac:dyDescent="0.25">
      <c r="B77" s="265" t="s">
        <v>275</v>
      </c>
      <c r="C77" s="266"/>
      <c r="D77" s="269">
        <f>C263</f>
        <v>0</v>
      </c>
      <c r="E77" s="268"/>
      <c r="F77" s="269">
        <f>O263/(1-$N$25-$N$26)/(1-$I$24)</f>
        <v>0</v>
      </c>
      <c r="G77" s="269">
        <f t="shared" si="14"/>
        <v>0</v>
      </c>
      <c r="H77" s="270">
        <f t="shared" si="15"/>
        <v>0</v>
      </c>
      <c r="I77" s="265"/>
      <c r="J77" s="270">
        <f t="shared" si="16"/>
        <v>0</v>
      </c>
      <c r="K77" s="268">
        <f t="shared" si="17"/>
        <v>4.4630000000000003E-2</v>
      </c>
      <c r="L77" s="19"/>
      <c r="M77" s="19"/>
      <c r="N77" s="19"/>
      <c r="O77" s="264"/>
      <c r="P77"/>
      <c r="Q77" s="302"/>
      <c r="R77"/>
      <c r="S77"/>
      <c r="T77"/>
      <c r="U77"/>
      <c r="V77"/>
      <c r="W77"/>
    </row>
    <row r="78" spans="2:23" s="244" customFormat="1" x14ac:dyDescent="0.25">
      <c r="B78" s="265" t="s">
        <v>276</v>
      </c>
      <c r="C78" s="266"/>
      <c r="D78" s="269">
        <f>C269</f>
        <v>0</v>
      </c>
      <c r="E78" s="268"/>
      <c r="F78" s="269">
        <f>O269/(1-$N$25-$N$26)/(1-$I$24)</f>
        <v>0</v>
      </c>
      <c r="G78" s="269">
        <f t="shared" si="14"/>
        <v>0</v>
      </c>
      <c r="H78" s="270">
        <f t="shared" si="15"/>
        <v>0</v>
      </c>
      <c r="I78" s="265"/>
      <c r="J78" s="270">
        <f t="shared" si="16"/>
        <v>0</v>
      </c>
      <c r="K78" s="268">
        <f t="shared" si="17"/>
        <v>2.75695E-2</v>
      </c>
      <c r="O78" s="264"/>
      <c r="P78"/>
      <c r="Q78"/>
      <c r="R78"/>
      <c r="S78"/>
      <c r="T78"/>
      <c r="U78"/>
      <c r="V78"/>
      <c r="W78"/>
    </row>
    <row r="79" spans="2:23" s="244" customFormat="1" x14ac:dyDescent="0.25">
      <c r="B79" s="265" t="s">
        <v>276</v>
      </c>
      <c r="C79" s="266"/>
      <c r="D79" s="269">
        <f>C270</f>
        <v>0</v>
      </c>
      <c r="E79" s="268"/>
      <c r="F79" s="269">
        <f>O270/(1-$N$25-$N$26)/(1-$I$24)</f>
        <v>0</v>
      </c>
      <c r="G79" s="269">
        <f t="shared" si="14"/>
        <v>0</v>
      </c>
      <c r="H79" s="270">
        <f t="shared" si="15"/>
        <v>0</v>
      </c>
      <c r="I79" s="265"/>
      <c r="J79" s="270">
        <f t="shared" si="16"/>
        <v>0</v>
      </c>
      <c r="K79" s="268">
        <f t="shared" si="17"/>
        <v>4.7262000000000005E-2</v>
      </c>
      <c r="L79" s="19"/>
      <c r="M79" s="19"/>
      <c r="N79" s="19"/>
      <c r="O79" s="264"/>
      <c r="P79"/>
      <c r="Q79" s="300"/>
      <c r="R79"/>
      <c r="S79"/>
      <c r="T79"/>
      <c r="U79"/>
      <c r="V79"/>
      <c r="W79"/>
    </row>
    <row r="80" spans="2:23" s="244" customFormat="1" x14ac:dyDescent="0.25">
      <c r="B80" s="265" t="s">
        <v>276</v>
      </c>
      <c r="C80" s="266"/>
      <c r="D80" s="269">
        <f>C271</f>
        <v>0</v>
      </c>
      <c r="E80" s="268"/>
      <c r="F80" s="269">
        <f>O271/(1-$N$25-$N$26)/(1-$I$24)</f>
        <v>0</v>
      </c>
      <c r="G80" s="269">
        <f t="shared" si="14"/>
        <v>0</v>
      </c>
      <c r="H80" s="270">
        <f t="shared" si="15"/>
        <v>0</v>
      </c>
      <c r="I80" s="265"/>
      <c r="J80" s="270">
        <f t="shared" si="16"/>
        <v>0</v>
      </c>
      <c r="K80" s="268">
        <f t="shared" si="17"/>
        <v>7.0893000000000012E-2</v>
      </c>
      <c r="L80" s="19"/>
      <c r="M80" s="19"/>
      <c r="N80" s="19"/>
      <c r="O80" s="264"/>
      <c r="P80" s="301"/>
      <c r="Q80" s="300"/>
      <c r="R80"/>
      <c r="S80"/>
      <c r="T80"/>
      <c r="U80"/>
      <c r="V80"/>
      <c r="W80"/>
    </row>
    <row r="81" spans="2:23" s="244" customFormat="1" x14ac:dyDescent="0.25">
      <c r="B81" s="265" t="s">
        <v>276</v>
      </c>
      <c r="C81" s="266"/>
      <c r="D81" s="269">
        <f>C272</f>
        <v>0</v>
      </c>
      <c r="E81" s="268"/>
      <c r="F81" s="269">
        <f>O272/(1-$N$25-$N$26)/(1-$I$24)</f>
        <v>0</v>
      </c>
      <c r="G81" s="269">
        <f t="shared" si="14"/>
        <v>0</v>
      </c>
      <c r="H81" s="270">
        <f t="shared" si="15"/>
        <v>0</v>
      </c>
      <c r="I81" s="265"/>
      <c r="J81" s="270">
        <f t="shared" si="16"/>
        <v>0</v>
      </c>
      <c r="K81" s="268">
        <f t="shared" si="17"/>
        <v>7.8770000000000007E-2</v>
      </c>
      <c r="L81" s="19"/>
      <c r="M81" s="19"/>
      <c r="N81" s="19"/>
      <c r="O81" s="264"/>
      <c r="P81"/>
      <c r="Q81" s="302"/>
      <c r="R81"/>
      <c r="S81"/>
      <c r="T81"/>
      <c r="U81"/>
      <c r="V81"/>
      <c r="W81"/>
    </row>
    <row r="82" spans="2:23" s="244" customFormat="1" x14ac:dyDescent="0.25">
      <c r="B82" s="265" t="s">
        <v>277</v>
      </c>
      <c r="C82" s="266"/>
      <c r="D82" s="269">
        <f>C278</f>
        <v>0</v>
      </c>
      <c r="E82" s="268"/>
      <c r="F82" s="269">
        <f>O278/(1-$N$25-$N$26)/(1-$I$24)</f>
        <v>0</v>
      </c>
      <c r="G82" s="269">
        <f t="shared" si="14"/>
        <v>0</v>
      </c>
      <c r="H82" s="270">
        <f t="shared" si="15"/>
        <v>0</v>
      </c>
      <c r="I82" s="265"/>
      <c r="J82" s="270">
        <f t="shared" si="16"/>
        <v>0</v>
      </c>
      <c r="K82" s="268">
        <f t="shared" si="17"/>
        <v>4.9699999999999994E-2</v>
      </c>
      <c r="O82" s="264"/>
      <c r="P82"/>
      <c r="Q82"/>
      <c r="R82"/>
      <c r="S82"/>
      <c r="T82"/>
      <c r="U82"/>
      <c r="V82"/>
      <c r="W82"/>
    </row>
    <row r="83" spans="2:23" s="244" customFormat="1" x14ac:dyDescent="0.25">
      <c r="B83" s="265" t="s">
        <v>277</v>
      </c>
      <c r="C83" s="266"/>
      <c r="D83" s="269">
        <f>C279</f>
        <v>0</v>
      </c>
      <c r="E83" s="268"/>
      <c r="F83" s="269">
        <f>O279/(1-$N$25-$N$26)/(1-$I$24)</f>
        <v>0</v>
      </c>
      <c r="G83" s="269">
        <f t="shared" si="14"/>
        <v>0</v>
      </c>
      <c r="H83" s="270">
        <f t="shared" si="15"/>
        <v>0</v>
      </c>
      <c r="I83" s="265"/>
      <c r="J83" s="270">
        <f t="shared" si="16"/>
        <v>0</v>
      </c>
      <c r="K83" s="268">
        <f t="shared" si="17"/>
        <v>8.5199999999999984E-2</v>
      </c>
      <c r="L83" s="19"/>
      <c r="M83" s="19"/>
      <c r="N83" s="19"/>
      <c r="O83" s="264"/>
      <c r="P83"/>
      <c r="Q83" s="300"/>
      <c r="R83"/>
      <c r="S83"/>
      <c r="T83"/>
      <c r="U83"/>
      <c r="V83"/>
      <c r="W83"/>
    </row>
    <row r="84" spans="2:23" s="244" customFormat="1" x14ac:dyDescent="0.25">
      <c r="B84" s="265" t="s">
        <v>277</v>
      </c>
      <c r="C84" s="266"/>
      <c r="D84" s="269">
        <f>C280</f>
        <v>0</v>
      </c>
      <c r="E84" s="268"/>
      <c r="F84" s="269">
        <f>O280/(1-$N$25-$N$26)/(1-$I$24)</f>
        <v>0</v>
      </c>
      <c r="G84" s="269">
        <f t="shared" si="14"/>
        <v>0</v>
      </c>
      <c r="H84" s="270">
        <f t="shared" si="15"/>
        <v>0</v>
      </c>
      <c r="I84" s="265"/>
      <c r="J84" s="270">
        <f t="shared" si="16"/>
        <v>0</v>
      </c>
      <c r="K84" s="268">
        <f t="shared" si="17"/>
        <v>0.1278</v>
      </c>
      <c r="L84" s="19"/>
      <c r="M84" s="19"/>
      <c r="N84" s="19"/>
      <c r="O84" s="264"/>
      <c r="P84" s="301"/>
      <c r="Q84" s="300"/>
      <c r="R84"/>
      <c r="S84"/>
      <c r="T84"/>
      <c r="U84"/>
      <c r="V84"/>
      <c r="W84"/>
    </row>
    <row r="85" spans="2:23" s="244" customFormat="1" x14ac:dyDescent="0.25">
      <c r="B85" s="265" t="s">
        <v>277</v>
      </c>
      <c r="C85" s="266"/>
      <c r="D85" s="269">
        <f>C281</f>
        <v>0</v>
      </c>
      <c r="E85" s="268"/>
      <c r="F85" s="269">
        <f>O281/(1-$N$25-$N$26)/(1-$I$24)</f>
        <v>0</v>
      </c>
      <c r="G85" s="269">
        <f t="shared" si="14"/>
        <v>0</v>
      </c>
      <c r="H85" s="270">
        <f t="shared" si="15"/>
        <v>0</v>
      </c>
      <c r="I85" s="265"/>
      <c r="J85" s="270">
        <f t="shared" si="16"/>
        <v>0</v>
      </c>
      <c r="K85" s="268">
        <f t="shared" si="17"/>
        <v>0.14199999999999999</v>
      </c>
      <c r="L85" s="19"/>
      <c r="M85" s="19"/>
      <c r="N85" s="19"/>
      <c r="O85" s="264"/>
      <c r="P85"/>
      <c r="Q85" s="302"/>
      <c r="R85"/>
      <c r="S85"/>
      <c r="T85"/>
      <c r="U85"/>
      <c r="V85"/>
      <c r="W85"/>
    </row>
    <row r="86" spans="2:23" s="244" customFormat="1" x14ac:dyDescent="0.25">
      <c r="B86" s="303"/>
      <c r="C86" s="304"/>
      <c r="D86" s="305"/>
      <c r="E86" s="306"/>
      <c r="F86" s="305"/>
      <c r="G86" s="305"/>
      <c r="H86" s="307"/>
      <c r="I86" s="303"/>
      <c r="J86" s="305"/>
      <c r="K86" s="306"/>
      <c r="L86" s="19"/>
      <c r="M86" s="19"/>
      <c r="N86" s="19"/>
      <c r="O86" s="264"/>
      <c r="P86"/>
      <c r="Q86"/>
      <c r="R86"/>
      <c r="S86"/>
      <c r="T86"/>
      <c r="U86"/>
      <c r="V86"/>
      <c r="W86"/>
    </row>
    <row r="87" spans="2:23" s="244" customFormat="1" x14ac:dyDescent="0.25">
      <c r="B87" s="265" t="s">
        <v>223</v>
      </c>
      <c r="C87" s="265"/>
      <c r="D87" s="265"/>
      <c r="E87" s="265"/>
      <c r="F87" s="278">
        <v>0.46</v>
      </c>
      <c r="G87" s="265"/>
      <c r="H87" s="265"/>
      <c r="I87" s="265"/>
      <c r="J87" s="265"/>
      <c r="K87" s="265"/>
      <c r="L87" s="19"/>
      <c r="M87" s="19"/>
      <c r="N87" s="19"/>
      <c r="O87" s="264"/>
      <c r="P87" s="308"/>
      <c r="Q87"/>
      <c r="R87"/>
      <c r="S87"/>
      <c r="T87"/>
      <c r="U87"/>
      <c r="V87"/>
      <c r="W87"/>
    </row>
    <row r="88" spans="2:23" s="244" customFormat="1" x14ac:dyDescent="0.25">
      <c r="B88" s="265" t="s">
        <v>224</v>
      </c>
      <c r="C88" s="265"/>
      <c r="D88" s="265"/>
      <c r="E88" s="265"/>
      <c r="F88" s="278">
        <v>4.55</v>
      </c>
      <c r="G88" s="265"/>
      <c r="H88" s="265"/>
      <c r="I88" s="265"/>
      <c r="J88" s="265"/>
      <c r="K88" s="265"/>
      <c r="L88" s="19"/>
      <c r="M88" s="19"/>
      <c r="N88" s="19"/>
      <c r="O88" s="264"/>
      <c r="P88"/>
      <c r="Q88"/>
      <c r="R88"/>
      <c r="S88"/>
      <c r="T88"/>
      <c r="U88"/>
      <c r="V88"/>
      <c r="W88"/>
    </row>
    <row r="89" spans="2:23" s="244" customFormat="1" x14ac:dyDescent="0.25">
      <c r="B89" s="265" t="s">
        <v>225</v>
      </c>
      <c r="C89" s="265"/>
      <c r="D89" s="265"/>
      <c r="E89" s="265"/>
      <c r="F89" s="278"/>
      <c r="G89" s="265"/>
      <c r="H89" s="265"/>
      <c r="I89" s="265"/>
      <c r="J89" s="265"/>
      <c r="K89" s="265"/>
      <c r="L89" s="19"/>
      <c r="M89" s="19"/>
      <c r="N89" s="19"/>
      <c r="O89" s="264"/>
      <c r="P89"/>
      <c r="Q89" s="309"/>
      <c r="R89"/>
      <c r="S89"/>
      <c r="T89"/>
      <c r="U89"/>
      <c r="V89"/>
      <c r="W89"/>
    </row>
    <row r="90" spans="2:23" s="244" customFormat="1" x14ac:dyDescent="0.25"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19"/>
      <c r="M90" s="19"/>
      <c r="N90" s="19"/>
      <c r="O90" s="264"/>
      <c r="P90"/>
      <c r="Q90"/>
      <c r="R90"/>
      <c r="S90"/>
      <c r="T90"/>
      <c r="U90"/>
      <c r="V90"/>
      <c r="W90"/>
    </row>
    <row r="91" spans="2:23" s="244" customFormat="1" x14ac:dyDescent="0.25">
      <c r="B91" s="265"/>
      <c r="C91" s="265"/>
      <c r="D91" s="265"/>
      <c r="E91" s="265"/>
      <c r="F91" s="265"/>
      <c r="G91" s="265"/>
      <c r="H91" s="265"/>
      <c r="I91" s="265"/>
      <c r="J91" s="265"/>
      <c r="K91" s="265"/>
      <c r="L91" s="19"/>
      <c r="M91" s="19"/>
      <c r="N91" s="19"/>
      <c r="O91" s="264"/>
      <c r="P91"/>
      <c r="Q91" s="309"/>
      <c r="R91"/>
      <c r="S91"/>
      <c r="T91"/>
      <c r="U91"/>
      <c r="V91"/>
      <c r="W91"/>
    </row>
    <row r="92" spans="2:23" s="244" customFormat="1" x14ac:dyDescent="0.25">
      <c r="B92" s="265"/>
      <c r="C92" s="265"/>
      <c r="D92" s="265"/>
      <c r="E92" s="265"/>
      <c r="F92" s="265"/>
      <c r="G92" s="265"/>
      <c r="H92" s="265"/>
      <c r="I92" s="265"/>
      <c r="J92" s="265"/>
      <c r="K92" s="265"/>
      <c r="L92" s="19"/>
      <c r="M92" s="19"/>
      <c r="N92" s="19"/>
      <c r="O92" s="264"/>
      <c r="P92"/>
      <c r="Q92"/>
      <c r="R92"/>
      <c r="S92"/>
      <c r="T92"/>
      <c r="U92"/>
      <c r="V92"/>
      <c r="W92"/>
    </row>
    <row r="93" spans="2:23" s="244" customFormat="1" x14ac:dyDescent="0.25">
      <c r="B93" s="279" t="s">
        <v>162</v>
      </c>
      <c r="C93" s="275"/>
      <c r="D93" s="275"/>
      <c r="E93" s="275"/>
      <c r="F93" s="281">
        <f>SUM(F23:F92)</f>
        <v>221.14627704487359</v>
      </c>
      <c r="G93" s="282">
        <f>SUM(G25:G92)</f>
        <v>10.150000000000002</v>
      </c>
      <c r="H93" s="283">
        <f>SUM(H23:H92)</f>
        <v>244.07477704487349</v>
      </c>
      <c r="I93" s="275"/>
      <c r="J93" s="283">
        <f>SUM(J23:J92)</f>
        <v>41.492712097628505</v>
      </c>
      <c r="K93" s="275"/>
      <c r="L93" s="75"/>
      <c r="M93" s="75"/>
      <c r="N93" s="75"/>
      <c r="O93" s="255"/>
      <c r="P93"/>
      <c r="Q93"/>
      <c r="R93"/>
      <c r="S93"/>
      <c r="T93"/>
      <c r="U93"/>
      <c r="V93"/>
      <c r="W93"/>
    </row>
    <row r="94" spans="2:23" s="244" customFormat="1" x14ac:dyDescent="0.25"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/>
      <c r="Q94"/>
      <c r="R94"/>
      <c r="S94"/>
      <c r="T94"/>
      <c r="U94"/>
      <c r="V94"/>
      <c r="W94"/>
    </row>
    <row r="95" spans="2:23" s="244" customFormat="1" x14ac:dyDescent="0.25">
      <c r="B95" s="284" t="s">
        <v>226</v>
      </c>
      <c r="C95" s="285"/>
      <c r="D95" s="286"/>
      <c r="E95" s="286"/>
      <c r="F95" s="284">
        <f>(D25*AK12)+(D26*AK13)+(D27*AK14)+(D28*AK15)</f>
        <v>0</v>
      </c>
      <c r="G95" s="19"/>
      <c r="H95" s="19"/>
      <c r="I95" s="19"/>
      <c r="J95" s="19"/>
      <c r="K95" s="19"/>
      <c r="L95" s="19"/>
      <c r="M95" s="19"/>
      <c r="N95" s="19"/>
      <c r="O95" s="19"/>
      <c r="P95"/>
      <c r="Q95"/>
      <c r="R95"/>
      <c r="S95"/>
      <c r="T95"/>
      <c r="U95"/>
      <c r="V95"/>
      <c r="W95"/>
    </row>
    <row r="96" spans="2:23" x14ac:dyDescent="0.25">
      <c r="B96" s="5"/>
    </row>
    <row r="97" spans="1:32" x14ac:dyDescent="0.25">
      <c r="B97" s="88" t="s">
        <v>1</v>
      </c>
      <c r="C97" s="88"/>
      <c r="D97" s="88"/>
      <c r="E97" s="88"/>
      <c r="F97" s="88"/>
      <c r="G97" s="89">
        <f>D16</f>
        <v>537</v>
      </c>
      <c r="H97" s="3" t="s">
        <v>2</v>
      </c>
    </row>
    <row r="98" spans="1:32" ht="16.3" x14ac:dyDescent="0.25">
      <c r="B98" s="88" t="s">
        <v>3</v>
      </c>
      <c r="C98" s="88"/>
      <c r="D98" s="88"/>
      <c r="E98" s="88"/>
      <c r="F98" s="88"/>
      <c r="G98" s="89">
        <f>D17</f>
        <v>221</v>
      </c>
      <c r="H98" s="3" t="s">
        <v>2</v>
      </c>
      <c r="I98" s="91"/>
      <c r="J98" s="317" t="s">
        <v>236</v>
      </c>
      <c r="K98" s="407">
        <f>O19</f>
        <v>241002228329</v>
      </c>
    </row>
    <row r="99" spans="1:32" x14ac:dyDescent="0.25">
      <c r="B99" s="1"/>
      <c r="F99" s="253"/>
      <c r="G99" s="243">
        <f>G98</f>
        <v>221</v>
      </c>
      <c r="H99" s="188">
        <f>G97-G99</f>
        <v>316</v>
      </c>
    </row>
    <row r="100" spans="1:32" x14ac:dyDescent="0.25">
      <c r="B100" s="5" t="s">
        <v>55</v>
      </c>
      <c r="E100" s="26" t="s">
        <v>10</v>
      </c>
      <c r="F100" s="85">
        <v>1</v>
      </c>
      <c r="G100" s="86" t="s">
        <v>9</v>
      </c>
      <c r="H100" s="85">
        <v>1</v>
      </c>
    </row>
    <row r="102" spans="1:32" x14ac:dyDescent="0.25">
      <c r="B102" s="461" t="s">
        <v>137</v>
      </c>
      <c r="C102" s="462"/>
      <c r="D102" s="462"/>
      <c r="E102" s="462"/>
      <c r="F102" s="462"/>
      <c r="G102" s="462"/>
      <c r="H102" s="463"/>
      <c r="I102" s="1"/>
      <c r="J102" s="1"/>
      <c r="K102" s="1"/>
      <c r="L102" s="1"/>
      <c r="M102" s="1"/>
      <c r="N102" s="1"/>
      <c r="O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2" x14ac:dyDescent="0.25">
      <c r="B103" s="41"/>
      <c r="D103" s="46" t="s">
        <v>40</v>
      </c>
      <c r="E103" s="46" t="s">
        <v>10</v>
      </c>
      <c r="F103" s="46" t="s">
        <v>9</v>
      </c>
      <c r="G103" s="46" t="s">
        <v>34</v>
      </c>
      <c r="H103" s="47" t="s">
        <v>7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2" x14ac:dyDescent="0.25">
      <c r="A104" s="19" t="s">
        <v>8</v>
      </c>
      <c r="B104" s="48" t="s">
        <v>41</v>
      </c>
      <c r="C104" s="49"/>
      <c r="D104" s="50"/>
      <c r="E104" s="50"/>
      <c r="F104" s="50"/>
      <c r="G104" s="50"/>
      <c r="H104" s="51">
        <f>SUM(H106:H135)+SUM(H138:H143)</f>
        <v>198.12811942644282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x14ac:dyDescent="0.25">
      <c r="A105" s="19" t="s">
        <v>8</v>
      </c>
      <c r="B105" s="41"/>
      <c r="D105" s="46"/>
      <c r="E105" s="46"/>
      <c r="F105" s="46"/>
      <c r="G105" s="46"/>
      <c r="H105" s="52"/>
      <c r="I105" s="1"/>
      <c r="J105" s="259" t="s">
        <v>352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x14ac:dyDescent="0.25">
      <c r="A106" s="165">
        <v>0.65</v>
      </c>
      <c r="B106" s="41" t="s">
        <v>184</v>
      </c>
      <c r="D106" s="93">
        <f>D25</f>
        <v>30</v>
      </c>
      <c r="E106" s="53">
        <f>$E$119*(1-A106)</f>
        <v>0.10127249999999999</v>
      </c>
      <c r="F106" s="53">
        <f>$F$119*(1-A106)</f>
        <v>0.102669</v>
      </c>
      <c r="G106" s="53">
        <f>E106+F106</f>
        <v>0.2039415</v>
      </c>
      <c r="H106" s="54">
        <f>ROUND((D106*E106),2)+ROUND((D106*F106),2)</f>
        <v>6.12</v>
      </c>
      <c r="I106" s="1"/>
      <c r="J106" s="330">
        <f>IF(D16&gt;0,30,0)</f>
        <v>30</v>
      </c>
      <c r="K106" s="1"/>
      <c r="L106" s="1"/>
      <c r="M106" s="90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x14ac:dyDescent="0.25">
      <c r="A107" s="165">
        <v>0.4</v>
      </c>
      <c r="B107" s="41" t="s">
        <v>185</v>
      </c>
      <c r="D107" s="93">
        <f>D26</f>
        <v>70</v>
      </c>
      <c r="E107" s="53">
        <f>$E$119*(1-A107)</f>
        <v>0.17360999999999999</v>
      </c>
      <c r="F107" s="53">
        <f>$F$119*(1-A107)</f>
        <v>0.17600399999999999</v>
      </c>
      <c r="G107" s="53">
        <f>E107+F107</f>
        <v>0.34961399999999998</v>
      </c>
      <c r="H107" s="54">
        <f>ROUND((D107*E107),2)+ROUND((D107*F107),2)</f>
        <v>24.47</v>
      </c>
      <c r="I107" s="1"/>
      <c r="J107" s="330">
        <f>IF(D16&gt;30,IF(D16&gt;100,70,D16-30),0)</f>
        <v>70</v>
      </c>
      <c r="K107" s="1"/>
      <c r="L107" s="1"/>
      <c r="M107" s="90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x14ac:dyDescent="0.25">
      <c r="A108" s="165">
        <v>0.1</v>
      </c>
      <c r="B108" s="41" t="s">
        <v>186</v>
      </c>
      <c r="D108" s="93">
        <f>D27</f>
        <v>120</v>
      </c>
      <c r="E108" s="53">
        <f>$E$119*(1-A108)</f>
        <v>0.26041500000000001</v>
      </c>
      <c r="F108" s="53">
        <f>$F$119*(1-A108)</f>
        <v>0.26400600000000002</v>
      </c>
      <c r="G108" s="53">
        <f>E108+F108</f>
        <v>0.52442100000000003</v>
      </c>
      <c r="H108" s="54">
        <f>ROUND((D108*E108),2)+ROUND((D108*F108),2)</f>
        <v>62.93</v>
      </c>
      <c r="I108" s="1"/>
      <c r="J108" s="330">
        <f>IF(D16&gt;100,IF(D16&gt;220,220-100,D16-100),0)</f>
        <v>120</v>
      </c>
      <c r="K108" s="1"/>
      <c r="L108" s="1"/>
      <c r="M108" s="90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x14ac:dyDescent="0.25">
      <c r="A109" s="165">
        <v>0</v>
      </c>
      <c r="B109" s="41" t="s">
        <v>187</v>
      </c>
      <c r="D109" s="93">
        <f>D28</f>
        <v>1</v>
      </c>
      <c r="E109" s="53">
        <f>$E$119*(1-A109)</f>
        <v>0.28935</v>
      </c>
      <c r="F109" s="53">
        <f>$F$119*(1-A109)</f>
        <v>0.29333999999999999</v>
      </c>
      <c r="G109" s="53">
        <f>E109+F109</f>
        <v>0.58268999999999993</v>
      </c>
      <c r="H109" s="54">
        <f>ROUND((D109*E109),2)+ROUND((D109*F109),2)</f>
        <v>0.57999999999999996</v>
      </c>
      <c r="I109" s="1"/>
      <c r="J109" s="330">
        <f>IF(D16&gt;220,D16-220,0)</f>
        <v>317</v>
      </c>
      <c r="K109" s="1"/>
      <c r="L109" s="1"/>
      <c r="M109" s="90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x14ac:dyDescent="0.25">
      <c r="B110" s="41"/>
      <c r="D110" s="55"/>
      <c r="E110" s="56"/>
      <c r="F110" s="57"/>
      <c r="G110" s="57"/>
      <c r="H110" s="5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x14ac:dyDescent="0.25">
      <c r="B111" s="41" t="s">
        <v>43</v>
      </c>
      <c r="D111" s="58"/>
      <c r="F111" s="59"/>
      <c r="G111" s="59"/>
      <c r="H111" s="54">
        <f>O179</f>
        <v>3.0500000000000003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x14ac:dyDescent="0.25">
      <c r="B112" s="41" t="s">
        <v>44</v>
      </c>
      <c r="D112" s="58"/>
      <c r="F112" s="59"/>
      <c r="G112" s="59"/>
      <c r="H112" s="54">
        <f>O188</f>
        <v>0</v>
      </c>
      <c r="I112" s="1"/>
      <c r="J112" s="1"/>
      <c r="K112" s="1"/>
      <c r="L112" s="408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x14ac:dyDescent="0.25">
      <c r="B113" s="41" t="s">
        <v>45</v>
      </c>
      <c r="D113" s="58"/>
      <c r="F113" s="59"/>
      <c r="G113" s="59"/>
      <c r="H113" s="54">
        <f>O197</f>
        <v>0</v>
      </c>
      <c r="I113" s="1"/>
      <c r="J113" s="1"/>
      <c r="K113" s="1"/>
      <c r="L113" s="1"/>
      <c r="M113" s="1"/>
      <c r="N113" s="1"/>
      <c r="O113" s="1"/>
      <c r="AF113" s="1"/>
    </row>
    <row r="114" spans="1:32" x14ac:dyDescent="0.25">
      <c r="B114" s="41" t="s">
        <v>46</v>
      </c>
      <c r="D114" s="58"/>
      <c r="F114" s="59"/>
      <c r="G114" s="59"/>
      <c r="H114" s="54">
        <f>O206</f>
        <v>0</v>
      </c>
      <c r="I114" s="1"/>
      <c r="J114" s="1"/>
      <c r="K114" s="1"/>
      <c r="L114" s="1"/>
      <c r="M114" s="1"/>
      <c r="N114" s="1"/>
      <c r="O114" s="1"/>
      <c r="AF114" s="1"/>
    </row>
    <row r="115" spans="1:32" ht="14.3" customHeight="1" x14ac:dyDescent="0.25">
      <c r="B115" s="41"/>
      <c r="D115" s="60"/>
      <c r="H115" s="54"/>
      <c r="I115" s="1"/>
      <c r="J115" s="1" t="s">
        <v>8</v>
      </c>
      <c r="K115" s="90"/>
      <c r="L115" s="1"/>
      <c r="M115" s="1"/>
      <c r="N115" s="1"/>
      <c r="O115" s="1"/>
      <c r="AF115" s="1"/>
    </row>
    <row r="116" spans="1:32" x14ac:dyDescent="0.25">
      <c r="A116" s="165">
        <v>0.65</v>
      </c>
      <c r="B116" s="41" t="s">
        <v>148</v>
      </c>
      <c r="D116" s="93">
        <f>D29</f>
        <v>30</v>
      </c>
      <c r="E116" s="53">
        <f>$E$119*(1-A116)</f>
        <v>0.10127249999999999</v>
      </c>
      <c r="F116" s="53">
        <f>$F$119*(1-A116)</f>
        <v>0.102669</v>
      </c>
      <c r="G116" s="53">
        <f>E116+F116</f>
        <v>0.2039415</v>
      </c>
      <c r="H116" s="54">
        <f>ROUND((D116*E116),2)+ROUND((D116*F116),2)</f>
        <v>6.12</v>
      </c>
      <c r="I116" s="1"/>
      <c r="J116" s="1"/>
      <c r="K116" s="1"/>
      <c r="L116" s="1"/>
      <c r="M116" s="90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x14ac:dyDescent="0.25">
      <c r="A117" s="165">
        <v>0.4</v>
      </c>
      <c r="B117" s="41" t="s">
        <v>149</v>
      </c>
      <c r="D117" s="93">
        <f>D30</f>
        <v>70</v>
      </c>
      <c r="E117" s="53">
        <f>$E$119*(1-A117)</f>
        <v>0.17360999999999999</v>
      </c>
      <c r="F117" s="53">
        <f>$F$119*(1-A117)</f>
        <v>0.17600399999999999</v>
      </c>
      <c r="G117" s="53">
        <f>E117+F117</f>
        <v>0.34961399999999998</v>
      </c>
      <c r="H117" s="54">
        <f>ROUND((D117*E117),2)+ROUND((D117*F117),2)</f>
        <v>24.47</v>
      </c>
      <c r="I117" s="1"/>
      <c r="J117" s="1"/>
      <c r="K117" s="1"/>
      <c r="L117" s="1"/>
      <c r="M117" s="90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x14ac:dyDescent="0.25">
      <c r="A118" s="165">
        <v>0.1</v>
      </c>
      <c r="B118" s="41" t="s">
        <v>151</v>
      </c>
      <c r="D118" s="93">
        <f>D31</f>
        <v>120</v>
      </c>
      <c r="E118" s="53">
        <f>$E$119*(1-A118)</f>
        <v>0.26041500000000001</v>
      </c>
      <c r="F118" s="53">
        <f>$F$119*(1-A118)</f>
        <v>0.26400600000000002</v>
      </c>
      <c r="G118" s="53">
        <f>E118+F118</f>
        <v>0.52442100000000003</v>
      </c>
      <c r="H118" s="54">
        <f>ROUND((D118*E118),2)+ROUND((D118*F118),2)</f>
        <v>62.93</v>
      </c>
      <c r="I118" s="1"/>
      <c r="J118" s="1"/>
      <c r="K118" s="1"/>
      <c r="L118" s="1"/>
      <c r="M118" s="90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x14ac:dyDescent="0.25">
      <c r="A119" s="165">
        <v>0</v>
      </c>
      <c r="B119" s="41" t="s">
        <v>150</v>
      </c>
      <c r="D119" s="93">
        <f>D32</f>
        <v>96</v>
      </c>
      <c r="E119" s="53">
        <f>IF(AND($B$14&lt;$F$2,$E$14&lt;$F$2),C6,IF($B$14&lt;$F$2,I6,F6))</f>
        <v>0.28935</v>
      </c>
      <c r="F119" s="53">
        <f>IF(AND($B$14&lt;$F$2,$E$14&lt;$F$2),D6,IF($B$14&lt;$F$2,J6,G6))</f>
        <v>0.29333999999999999</v>
      </c>
      <c r="G119" s="53">
        <f>E119+F119</f>
        <v>0.58268999999999993</v>
      </c>
      <c r="H119" s="54">
        <f>ROUND((D119*E119),2)+ROUND((D119*F119),2)</f>
        <v>55.94</v>
      </c>
      <c r="I119" s="1"/>
      <c r="J119" s="1"/>
      <c r="K119" s="1"/>
      <c r="L119" s="1"/>
      <c r="M119" s="90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x14ac:dyDescent="0.25">
      <c r="B120" s="41"/>
      <c r="D120" s="55"/>
      <c r="E120" s="56"/>
      <c r="F120" s="57"/>
      <c r="G120" s="57"/>
      <c r="H120" s="5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x14ac:dyDescent="0.25">
      <c r="B121" s="41" t="s">
        <v>43</v>
      </c>
      <c r="D121" s="58"/>
      <c r="F121" s="59"/>
      <c r="G121" s="59"/>
      <c r="H121" s="54">
        <f>O216</f>
        <v>4.84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x14ac:dyDescent="0.25">
      <c r="B122" s="41" t="s">
        <v>44</v>
      </c>
      <c r="D122" s="58"/>
      <c r="F122" s="59"/>
      <c r="G122" s="59"/>
      <c r="H122" s="54">
        <f>O225</f>
        <v>0</v>
      </c>
      <c r="I122" s="1"/>
      <c r="J122" s="1"/>
      <c r="K122" s="1"/>
      <c r="L122" s="408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x14ac:dyDescent="0.25">
      <c r="B123" s="41" t="s">
        <v>45</v>
      </c>
      <c r="D123" s="58"/>
      <c r="F123" s="59"/>
      <c r="G123" s="59"/>
      <c r="H123" s="54">
        <f>O234</f>
        <v>0</v>
      </c>
      <c r="I123" s="1"/>
      <c r="J123" s="1"/>
      <c r="K123" s="1"/>
      <c r="L123" s="1"/>
      <c r="M123" s="1"/>
      <c r="N123" s="1"/>
      <c r="O123" s="1"/>
      <c r="AF123" s="1"/>
    </row>
    <row r="124" spans="1:32" x14ac:dyDescent="0.25">
      <c r="B124" s="41" t="s">
        <v>46</v>
      </c>
      <c r="D124" s="58"/>
      <c r="F124" s="59"/>
      <c r="G124" s="59"/>
      <c r="H124" s="54">
        <f>O243</f>
        <v>0</v>
      </c>
      <c r="I124" s="1"/>
      <c r="J124" s="1"/>
      <c r="K124" s="1"/>
      <c r="L124" s="1"/>
      <c r="M124" s="1"/>
      <c r="N124" s="1"/>
      <c r="O124" s="1"/>
      <c r="AF124" s="1"/>
    </row>
    <row r="125" spans="1:32" ht="14.3" customHeight="1" x14ac:dyDescent="0.25">
      <c r="B125" s="41"/>
      <c r="D125" s="60"/>
      <c r="H125" s="54"/>
      <c r="I125" s="1"/>
      <c r="J125" s="1"/>
      <c r="K125" s="90"/>
      <c r="L125" s="1"/>
      <c r="M125" s="1"/>
      <c r="N125" s="1"/>
      <c r="O125" s="1"/>
      <c r="AF125" s="1"/>
    </row>
    <row r="126" spans="1:32" x14ac:dyDescent="0.25">
      <c r="A126" s="165">
        <v>0.65</v>
      </c>
      <c r="B126" s="41" t="s">
        <v>163</v>
      </c>
      <c r="D126" s="92">
        <f>D60</f>
        <v>-30</v>
      </c>
      <c r="E126" s="53">
        <f>$E$129*(1-A126)</f>
        <v>0.10127249999999999</v>
      </c>
      <c r="F126" s="53">
        <f>F116</f>
        <v>0.102669</v>
      </c>
      <c r="G126" s="53">
        <f>E126+F126</f>
        <v>0.2039415</v>
      </c>
      <c r="H126" s="54">
        <f>ROUND((D126*E126),2)+ROUND((D126*F126),2)</f>
        <v>-6.12</v>
      </c>
      <c r="J126" s="93">
        <f>-(IF(D17&gt;0,30,0))</f>
        <v>-30</v>
      </c>
      <c r="K126" s="90"/>
      <c r="L126" s="1"/>
      <c r="M126" s="90"/>
      <c r="N126" s="1"/>
      <c r="O126" s="1"/>
      <c r="AF126" s="1"/>
    </row>
    <row r="127" spans="1:32" x14ac:dyDescent="0.25">
      <c r="A127" s="165">
        <v>0.4</v>
      </c>
      <c r="B127" s="41" t="s">
        <v>164</v>
      </c>
      <c r="D127" s="92">
        <f>D61</f>
        <v>-70</v>
      </c>
      <c r="E127" s="53">
        <f>$E$129*(1-A127)</f>
        <v>0.17360999999999999</v>
      </c>
      <c r="F127" s="53">
        <f>F117</f>
        <v>0.17600399999999999</v>
      </c>
      <c r="G127" s="53">
        <f>E127+F127</f>
        <v>0.34961399999999998</v>
      </c>
      <c r="H127" s="54">
        <f>ROUND((D127*E127),2)+ROUND((D127*F127),2)</f>
        <v>-24.47</v>
      </c>
      <c r="J127" s="93">
        <f>-(IF(D17&gt;30,IF(D17&gt;100,70,D17-30),0))</f>
        <v>-70</v>
      </c>
      <c r="K127" s="90"/>
      <c r="L127" s="1"/>
      <c r="M127" s="1"/>
      <c r="N127" s="1"/>
      <c r="O127" s="1"/>
      <c r="AF127" s="1"/>
    </row>
    <row r="128" spans="1:32" x14ac:dyDescent="0.25">
      <c r="A128" s="165">
        <v>0.1</v>
      </c>
      <c r="B128" s="41" t="s">
        <v>165</v>
      </c>
      <c r="D128" s="92">
        <f>D62</f>
        <v>-120</v>
      </c>
      <c r="E128" s="53">
        <f>$E$129*(1-A128)</f>
        <v>0.26041500000000001</v>
      </c>
      <c r="F128" s="53">
        <f>F118</f>
        <v>0.26400600000000002</v>
      </c>
      <c r="G128" s="53">
        <f>E128+F128</f>
        <v>0.52442100000000003</v>
      </c>
      <c r="H128" s="54">
        <f>ROUND((D128*E128),2)+ROUND((D128*F128),2)</f>
        <v>-62.93</v>
      </c>
      <c r="J128" s="93">
        <f>-(IF(D17&gt;100,IF(D17&gt;220,220-100,D17-100),0))</f>
        <v>-120</v>
      </c>
      <c r="K128" s="1"/>
      <c r="L128" s="1"/>
      <c r="M128" s="1"/>
      <c r="N128" s="1"/>
      <c r="O128" s="1"/>
      <c r="AF128" s="1"/>
    </row>
    <row r="129" spans="1:32" x14ac:dyDescent="0.25">
      <c r="A129" s="165">
        <v>0</v>
      </c>
      <c r="B129" s="41" t="s">
        <v>166</v>
      </c>
      <c r="D129" s="92">
        <f>D63</f>
        <v>-1</v>
      </c>
      <c r="E129" s="53">
        <f>IF(AND($B$14&lt;$F$2,$E$14&lt;$F$2),C6,IF($B$14&lt;$F$2,I6,F6))*F100</f>
        <v>0.28935</v>
      </c>
      <c r="F129" s="53">
        <f>F119</f>
        <v>0.29333999999999999</v>
      </c>
      <c r="G129" s="53">
        <f>E129+F129</f>
        <v>0.58268999999999993</v>
      </c>
      <c r="H129" s="54">
        <f>ROUND((D129*E129),2)+ROUND((D129*F129),2)</f>
        <v>-0.57999999999999996</v>
      </c>
      <c r="J129" s="93">
        <f>-(IF(D17&gt;220,D17-220,0))</f>
        <v>-1</v>
      </c>
      <c r="K129" s="1"/>
      <c r="L129" s="1"/>
      <c r="M129" s="1"/>
      <c r="N129" s="1"/>
      <c r="O129" s="1"/>
      <c r="AF129" s="1"/>
    </row>
    <row r="130" spans="1:32" x14ac:dyDescent="0.25">
      <c r="B130" s="41"/>
      <c r="D130" s="55"/>
      <c r="E130" s="56"/>
      <c r="F130" s="57"/>
      <c r="G130" s="57"/>
      <c r="H130" s="54"/>
      <c r="J130" s="1"/>
      <c r="K130" s="1"/>
      <c r="L130" s="1"/>
      <c r="M130" s="1"/>
      <c r="N130" s="1"/>
      <c r="O130" s="1"/>
      <c r="AF130" s="1"/>
    </row>
    <row r="131" spans="1:32" x14ac:dyDescent="0.25">
      <c r="B131" s="41" t="s">
        <v>43</v>
      </c>
      <c r="D131" s="58"/>
      <c r="F131" s="59"/>
      <c r="G131" s="59"/>
      <c r="H131" s="54">
        <f>O255</f>
        <v>-3.0500000000000003</v>
      </c>
      <c r="J131" s="1"/>
      <c r="K131" s="1"/>
      <c r="L131" s="1"/>
      <c r="M131" s="1"/>
      <c r="N131" s="1"/>
      <c r="O131" s="1"/>
      <c r="AF131" s="1"/>
    </row>
    <row r="132" spans="1:32" x14ac:dyDescent="0.25">
      <c r="B132" s="41" t="s">
        <v>44</v>
      </c>
      <c r="D132" s="58"/>
      <c r="F132" s="59"/>
      <c r="G132" s="59"/>
      <c r="H132" s="54">
        <f>O264</f>
        <v>0</v>
      </c>
      <c r="I132" s="1"/>
      <c r="J132" s="1"/>
      <c r="K132" s="1"/>
      <c r="L132" s="1"/>
      <c r="M132" s="1"/>
      <c r="N132" s="1"/>
      <c r="O132" s="1"/>
      <c r="AF132" s="1"/>
    </row>
    <row r="133" spans="1:32" x14ac:dyDescent="0.25">
      <c r="B133" s="41" t="s">
        <v>45</v>
      </c>
      <c r="D133" s="58"/>
      <c r="F133" s="59"/>
      <c r="G133" s="59"/>
      <c r="H133" s="54">
        <f>O273</f>
        <v>0</v>
      </c>
      <c r="I133" s="1"/>
      <c r="J133" s="1"/>
      <c r="K133" s="1"/>
      <c r="L133" s="1"/>
      <c r="M133" s="1"/>
      <c r="N133" s="1"/>
      <c r="O133" s="1"/>
      <c r="AF133" s="1"/>
    </row>
    <row r="134" spans="1:32" x14ac:dyDescent="0.25">
      <c r="B134" s="41" t="s">
        <v>46</v>
      </c>
      <c r="D134" s="58"/>
      <c r="F134" s="59"/>
      <c r="G134" s="59"/>
      <c r="H134" s="54">
        <f>O282</f>
        <v>0</v>
      </c>
      <c r="I134" s="97"/>
      <c r="J134" s="1"/>
      <c r="K134" s="1"/>
      <c r="L134" s="1"/>
      <c r="M134" s="1"/>
      <c r="N134" s="1"/>
      <c r="O134" s="1"/>
      <c r="AF134" s="1"/>
    </row>
    <row r="135" spans="1:32" x14ac:dyDescent="0.25">
      <c r="B135" s="61"/>
      <c r="C135" s="24"/>
      <c r="D135" s="24"/>
      <c r="E135" s="24"/>
      <c r="F135" s="24"/>
      <c r="G135" s="24"/>
      <c r="H135" s="62"/>
      <c r="I135" s="1"/>
      <c r="J135" s="1"/>
      <c r="K135" s="1"/>
      <c r="L135" s="1"/>
      <c r="M135" s="1"/>
      <c r="N135" s="1"/>
      <c r="O135" s="1"/>
      <c r="AF135" s="1"/>
    </row>
    <row r="136" spans="1:32" x14ac:dyDescent="0.25">
      <c r="B136" s="34"/>
      <c r="C136" s="35"/>
      <c r="D136" s="35"/>
      <c r="E136" s="35"/>
      <c r="F136" s="35"/>
      <c r="G136" s="35"/>
      <c r="H136" s="65"/>
      <c r="I136" s="67"/>
      <c r="L136" s="1"/>
      <c r="M136" s="1"/>
      <c r="N136" s="1"/>
      <c r="O136" s="1"/>
      <c r="AF136" s="1"/>
    </row>
    <row r="137" spans="1:32" x14ac:dyDescent="0.25">
      <c r="B137" s="41"/>
      <c r="D137" s="63" t="s">
        <v>48</v>
      </c>
      <c r="E137" s="64"/>
      <c r="F137" s="64"/>
      <c r="G137" s="64"/>
      <c r="H137" s="65"/>
      <c r="I137" s="67"/>
      <c r="L137" s="1"/>
      <c r="M137" s="1"/>
      <c r="N137" s="1"/>
      <c r="O137" s="1"/>
      <c r="AF137" s="1"/>
    </row>
    <row r="138" spans="1:32" x14ac:dyDescent="0.25">
      <c r="B138" s="41" t="s">
        <v>49</v>
      </c>
      <c r="D138" s="68">
        <f>SUM(H106:H124)/(1-E138-E140)</f>
        <v>267.98465309602472</v>
      </c>
      <c r="E138" s="69">
        <f>N25</f>
        <v>1.0999999999999999E-2</v>
      </c>
      <c r="H138" s="70">
        <f t="shared" ref="H138:H144" si="18">D138*E138</f>
        <v>2.9478311840562719</v>
      </c>
      <c r="I138" s="67"/>
      <c r="L138" s="1"/>
      <c r="M138" s="1"/>
      <c r="N138" s="1"/>
      <c r="O138" s="1"/>
      <c r="AF138" s="1"/>
    </row>
    <row r="139" spans="1:32" x14ac:dyDescent="0.25">
      <c r="B139" s="41" t="s">
        <v>50</v>
      </c>
      <c r="D139" s="68">
        <f>SUM(H126:H134)/(1-E138-E140)</f>
        <v>-103.53831397207715</v>
      </c>
      <c r="E139" s="71">
        <f>E138</f>
        <v>1.0999999999999999E-2</v>
      </c>
      <c r="H139" s="70">
        <f t="shared" si="18"/>
        <v>-1.1389214536928485</v>
      </c>
      <c r="L139" s="1"/>
      <c r="M139" s="1"/>
      <c r="N139" s="1"/>
      <c r="O139" s="1"/>
      <c r="AF139" s="1"/>
    </row>
    <row r="140" spans="1:32" x14ac:dyDescent="0.25">
      <c r="B140" s="41" t="s">
        <v>51</v>
      </c>
      <c r="D140" s="68">
        <f>D138</f>
        <v>267.98465309602472</v>
      </c>
      <c r="E140" s="69">
        <f>N26</f>
        <v>5.0700000000000002E-2</v>
      </c>
      <c r="H140" s="70">
        <f t="shared" si="18"/>
        <v>13.586821911968453</v>
      </c>
      <c r="L140" s="1"/>
      <c r="M140" s="1"/>
      <c r="N140" s="1"/>
      <c r="O140" s="1"/>
      <c r="AF140" s="1"/>
    </row>
    <row r="141" spans="1:32" x14ac:dyDescent="0.25">
      <c r="B141" s="41" t="s">
        <v>52</v>
      </c>
      <c r="D141" s="68">
        <f>D139</f>
        <v>-103.53831397207715</v>
      </c>
      <c r="E141" s="71">
        <f>E140</f>
        <v>5.0700000000000002E-2</v>
      </c>
      <c r="H141" s="70">
        <f t="shared" si="18"/>
        <v>-5.2493925183843118</v>
      </c>
      <c r="L141" s="1"/>
      <c r="M141" s="1"/>
      <c r="N141" s="1"/>
      <c r="O141" s="1"/>
      <c r="AF141" s="1"/>
    </row>
    <row r="142" spans="1:32" x14ac:dyDescent="0.25">
      <c r="B142" s="41" t="s">
        <v>11</v>
      </c>
      <c r="D142" s="72">
        <f>D138/(1-E142)</f>
        <v>322.87307601930689</v>
      </c>
      <c r="E142" s="73">
        <v>0.17</v>
      </c>
      <c r="H142" s="70">
        <f t="shared" si="18"/>
        <v>54.888422923282178</v>
      </c>
      <c r="AF142" s="1"/>
    </row>
    <row r="143" spans="1:32" x14ac:dyDescent="0.25">
      <c r="B143" s="74" t="s">
        <v>53</v>
      </c>
      <c r="C143" s="75"/>
      <c r="D143" s="76">
        <f>D139/(1-E143)</f>
        <v>-124.74495659286404</v>
      </c>
      <c r="E143" s="77">
        <f>E142</f>
        <v>0.17</v>
      </c>
      <c r="F143" s="75"/>
      <c r="G143" s="75"/>
      <c r="H143" s="78">
        <f t="shared" si="18"/>
        <v>-21.206642620786887</v>
      </c>
      <c r="AF143" s="1"/>
    </row>
    <row r="144" spans="1:32" x14ac:dyDescent="0.25">
      <c r="B144" s="217" t="s">
        <v>183</v>
      </c>
      <c r="C144" s="218"/>
      <c r="D144" s="318">
        <f>K169</f>
        <v>47.380105522805302</v>
      </c>
      <c r="E144" s="319">
        <f>E143</f>
        <v>0.17</v>
      </c>
      <c r="F144" s="320"/>
      <c r="G144" s="320"/>
      <c r="H144" s="321">
        <f t="shared" si="18"/>
        <v>8.0546179388769019</v>
      </c>
      <c r="I144" s="315" t="s">
        <v>244</v>
      </c>
      <c r="J144" s="27"/>
      <c r="K144" s="27"/>
      <c r="L144" s="27"/>
      <c r="AF144" s="1"/>
    </row>
    <row r="145" spans="1:32" x14ac:dyDescent="0.25">
      <c r="B145" s="223" t="s">
        <v>193</v>
      </c>
      <c r="C145" s="133"/>
      <c r="D145" s="224"/>
      <c r="E145" s="225"/>
      <c r="F145" s="225"/>
      <c r="G145" s="133"/>
      <c r="H145" s="223">
        <f>IF(AND($B$14&lt;$F$2,$E$14&lt;$F$2),(D106*U12)+(D107*U13)+(D108*U14)+(D109*U15)+(D116*U12)+(D117*U13)+(D118*U14)+(D119*U15)+(D126*U12)+(D127*U13)+(D128*U14)+(D129*U15),(D106*W12)+(D107*W13)+(D108*W14)+(D109*W15)+(D116*W12)+(D117*W13)+(D118*W14)+(D119*W15)+(D126*W12)+(D127*W13)+(D128*W14)+(D129*W15))</f>
        <v>1.0311300000000001</v>
      </c>
      <c r="AF145" s="1"/>
    </row>
    <row r="146" spans="1:32" x14ac:dyDescent="0.25">
      <c r="AF146" s="1"/>
    </row>
    <row r="147" spans="1:32" x14ac:dyDescent="0.25">
      <c r="B147" s="170" t="s">
        <v>167</v>
      </c>
      <c r="C147" s="171"/>
      <c r="D147" s="171"/>
      <c r="E147" s="171"/>
      <c r="F147" s="171"/>
      <c r="G147" s="171"/>
      <c r="H147" s="172">
        <f>K168</f>
        <v>35.786655000000025</v>
      </c>
      <c r="I147" s="173" t="s">
        <v>168</v>
      </c>
      <c r="J147" s="174"/>
      <c r="K147" s="175"/>
      <c r="L147" s="176"/>
      <c r="M147" s="176"/>
      <c r="N147" s="176"/>
      <c r="O147" s="176"/>
      <c r="AF147" s="1"/>
    </row>
    <row r="148" spans="1:32" x14ac:dyDescent="0.25">
      <c r="L148" s="1"/>
      <c r="M148" s="1"/>
      <c r="N148" s="177"/>
      <c r="O148" s="1"/>
      <c r="AF148" s="1"/>
    </row>
    <row r="149" spans="1:32" x14ac:dyDescent="0.25">
      <c r="F149" s="130" t="s">
        <v>191</v>
      </c>
      <c r="G149" s="1"/>
      <c r="H149" s="1"/>
      <c r="L149" s="1"/>
      <c r="M149" s="1"/>
      <c r="N149" s="177"/>
      <c r="O149" s="1"/>
      <c r="AF149" s="1"/>
    </row>
    <row r="150" spans="1:32" x14ac:dyDescent="0.25">
      <c r="G150" s="1"/>
      <c r="H150" s="1"/>
      <c r="I150" s="178" t="s">
        <v>169</v>
      </c>
      <c r="J150" s="178" t="s">
        <v>170</v>
      </c>
      <c r="K150" s="118"/>
      <c r="L150" s="1"/>
      <c r="N150" s="19" t="s">
        <v>359</v>
      </c>
      <c r="O150" s="1"/>
      <c r="AF150" s="1"/>
    </row>
    <row r="151" spans="1:32" x14ac:dyDescent="0.25">
      <c r="A151" s="1"/>
      <c r="B151" s="209" t="s">
        <v>353</v>
      </c>
      <c r="C151" s="330" t="s">
        <v>14</v>
      </c>
      <c r="D151" s="331">
        <f>O179</f>
        <v>3.0500000000000003</v>
      </c>
      <c r="F151" s="19" t="s">
        <v>354</v>
      </c>
      <c r="G151" s="190" t="s">
        <v>171</v>
      </c>
      <c r="H151" s="191">
        <f>D16</f>
        <v>537</v>
      </c>
      <c r="I151" s="192">
        <f>E109</f>
        <v>0.28935</v>
      </c>
      <c r="J151" s="192">
        <f>F109</f>
        <v>0.29333999999999999</v>
      </c>
      <c r="K151" s="193">
        <f>H151*(I151+J151)</f>
        <v>312.90452999999997</v>
      </c>
      <c r="N151" s="333">
        <f>D60</f>
        <v>-30</v>
      </c>
      <c r="O151" s="334">
        <f t="shared" ref="O151:P154" si="19">E126</f>
        <v>0.10127249999999999</v>
      </c>
      <c r="P151" s="334">
        <f t="shared" si="19"/>
        <v>0.102669</v>
      </c>
      <c r="Q151" s="335">
        <f>N151*(O151+P151)</f>
        <v>-6.1182449999999999</v>
      </c>
      <c r="R151" s="332">
        <f>K166+Q155</f>
        <v>149.45998499999996</v>
      </c>
      <c r="AE151" s="1"/>
    </row>
    <row r="152" spans="1:32" x14ac:dyDescent="0.25">
      <c r="B152" s="277"/>
      <c r="C152" s="316" t="s">
        <v>15</v>
      </c>
      <c r="D152" s="336">
        <f>O188</f>
        <v>0</v>
      </c>
      <c r="G152" s="194" t="s">
        <v>14</v>
      </c>
      <c r="H152" s="191">
        <f>IF($K$12=M4,($H$151*($K$14)/($K$14+$L$14)),0)+IF($L$12=M4,($H$151*($L$14)/($K$14+$L$14)),0)</f>
        <v>537</v>
      </c>
      <c r="I152" s="1"/>
      <c r="J152" s="192">
        <f>N4</f>
        <v>1.8849999999999999E-2</v>
      </c>
      <c r="K152" s="195">
        <f>H152*(I152+J152)</f>
        <v>10.122449999999999</v>
      </c>
      <c r="N152" s="333">
        <f>D61</f>
        <v>-70</v>
      </c>
      <c r="O152" s="334">
        <f t="shared" si="19"/>
        <v>0.17360999999999999</v>
      </c>
      <c r="P152" s="334">
        <f t="shared" si="19"/>
        <v>0.17600399999999999</v>
      </c>
      <c r="Q152" s="335">
        <f>N152*(O152+P152)</f>
        <v>-24.47298</v>
      </c>
      <c r="R152" s="209">
        <f>D151+D161+D156</f>
        <v>4.84</v>
      </c>
    </row>
    <row r="153" spans="1:32" x14ac:dyDescent="0.25">
      <c r="B153" s="277"/>
      <c r="C153" s="316" t="s">
        <v>16</v>
      </c>
      <c r="D153" s="336">
        <f>O197</f>
        <v>0</v>
      </c>
      <c r="G153" s="194" t="s">
        <v>15</v>
      </c>
      <c r="H153" s="191">
        <f>IF($K$12=M5,($H$151*($K$14)/($K$14+$L$14)),0)+IF($L$12=M5,($H$151*($L$14)/($K$14+$L$14)),0)</f>
        <v>0</v>
      </c>
      <c r="I153" s="1"/>
      <c r="J153" s="192">
        <f>N5</f>
        <v>4.4630000000000003E-2</v>
      </c>
      <c r="K153" s="195">
        <f>H153*(I153+J153)</f>
        <v>0</v>
      </c>
      <c r="N153" s="333">
        <f>D62</f>
        <v>-120</v>
      </c>
      <c r="O153" s="334">
        <f t="shared" si="19"/>
        <v>0.26041500000000001</v>
      </c>
      <c r="P153" s="334">
        <f t="shared" si="19"/>
        <v>0.26400600000000002</v>
      </c>
      <c r="Q153" s="335">
        <f>N153*(O153+P153)</f>
        <v>-62.930520000000001</v>
      </c>
      <c r="R153" s="209">
        <f>D152+D162+D157</f>
        <v>0</v>
      </c>
    </row>
    <row r="154" spans="1:32" x14ac:dyDescent="0.25">
      <c r="B154" s="277"/>
      <c r="C154" s="316" t="s">
        <v>278</v>
      </c>
      <c r="D154" s="336">
        <f>O206</f>
        <v>0</v>
      </c>
      <c r="G154" s="194" t="s">
        <v>16</v>
      </c>
      <c r="H154" s="191">
        <f>IF($K$12=M6,($H$151*($K$14)/($K$14+$L$14)),0)+IF($L$12=M6,($H$151*($L$14)/($K$14+$L$14)),0)</f>
        <v>0</v>
      </c>
      <c r="J154" s="192">
        <f>N6</f>
        <v>7.8770000000000007E-2</v>
      </c>
      <c r="K154" s="195">
        <f>H154*(I154+J154)</f>
        <v>0</v>
      </c>
      <c r="N154" s="333">
        <f>D63</f>
        <v>-1</v>
      </c>
      <c r="O154" s="334">
        <f t="shared" si="19"/>
        <v>0.28935</v>
      </c>
      <c r="P154" s="334">
        <f t="shared" si="19"/>
        <v>0.29333999999999999</v>
      </c>
      <c r="Q154" s="335">
        <f>N154*(O154+P154)</f>
        <v>-0.58268999999999993</v>
      </c>
      <c r="R154" s="209">
        <f>D153+D163+D158</f>
        <v>0</v>
      </c>
    </row>
    <row r="155" spans="1:32" x14ac:dyDescent="0.25">
      <c r="G155" s="194" t="s">
        <v>17</v>
      </c>
      <c r="H155" s="191">
        <f>IF($K$12=M8,($H$151*($K$14)/($K$14+$L$14)),0)+IF($L$12=M8,($H$151*($L$14)/($K$14+$L$14)),0)</f>
        <v>0</v>
      </c>
      <c r="J155" s="192">
        <f>N8</f>
        <v>0.14199999999999999</v>
      </c>
      <c r="K155" s="195">
        <f>H155*(I155+J155)</f>
        <v>0</v>
      </c>
      <c r="N155" s="1"/>
      <c r="O155" s="1"/>
      <c r="Q155" s="335">
        <f>SUM(Q151:Q154)</f>
        <v>-94.104435000000009</v>
      </c>
      <c r="R155" s="209">
        <f>D154+D164+D159</f>
        <v>0</v>
      </c>
    </row>
    <row r="156" spans="1:32" s="1" customFormat="1" x14ac:dyDescent="0.25">
      <c r="B156" s="1" t="s">
        <v>355</v>
      </c>
      <c r="C156" s="330" t="s">
        <v>14</v>
      </c>
      <c r="D156" s="336">
        <f>O216</f>
        <v>4.84</v>
      </c>
      <c r="K156" s="409">
        <f>SUM(K151:K155)</f>
        <v>323.02697999999998</v>
      </c>
      <c r="L156" s="209"/>
      <c r="Q156" s="409">
        <f>Q155+SUM(D161:D164)</f>
        <v>-97.154435000000007</v>
      </c>
      <c r="R156" s="209">
        <f>SUM(R151:R155)</f>
        <v>154.29998499999996</v>
      </c>
    </row>
    <row r="157" spans="1:32" s="1" customFormat="1" x14ac:dyDescent="0.25">
      <c r="C157" s="316" t="s">
        <v>15</v>
      </c>
      <c r="D157" s="336">
        <f>O225</f>
        <v>0</v>
      </c>
      <c r="F157" s="1" t="s">
        <v>360</v>
      </c>
      <c r="G157" s="410">
        <v>0.65</v>
      </c>
      <c r="H157" s="191">
        <f>D25</f>
        <v>30</v>
      </c>
      <c r="I157" s="192">
        <f>E106</f>
        <v>0.10127249999999999</v>
      </c>
      <c r="J157" s="192">
        <f>F106</f>
        <v>0.102669</v>
      </c>
      <c r="K157" s="193">
        <f>H157*(I157+J157)</f>
        <v>6.1182449999999999</v>
      </c>
      <c r="L157" s="209"/>
      <c r="N157" s="1" t="s">
        <v>361</v>
      </c>
    </row>
    <row r="158" spans="1:32" s="1" customFormat="1" x14ac:dyDescent="0.25">
      <c r="C158" s="316" t="s">
        <v>16</v>
      </c>
      <c r="D158" s="336">
        <f>O234</f>
        <v>0</v>
      </c>
      <c r="G158" s="410">
        <v>0.4</v>
      </c>
      <c r="H158" s="191">
        <f t="shared" ref="H158:H160" si="20">D26</f>
        <v>70</v>
      </c>
      <c r="I158" s="192">
        <f t="shared" ref="I158:J160" si="21">E107</f>
        <v>0.17360999999999999</v>
      </c>
      <c r="J158" s="192">
        <f t="shared" si="21"/>
        <v>0.17600399999999999</v>
      </c>
      <c r="K158" s="193">
        <f t="shared" ref="K158:K160" si="22">H158*(I158+J158)</f>
        <v>24.47298</v>
      </c>
      <c r="L158" s="209"/>
      <c r="M158" s="410"/>
      <c r="N158" s="191">
        <f>-D17</f>
        <v>-221</v>
      </c>
      <c r="O158" s="192">
        <f>I151</f>
        <v>0.28935</v>
      </c>
      <c r="P158" s="192">
        <f>J151</f>
        <v>0.29333999999999999</v>
      </c>
      <c r="Q158" s="193">
        <f>N158*(O158+P158)</f>
        <v>-128.77448999999999</v>
      </c>
    </row>
    <row r="159" spans="1:32" s="1" customFormat="1" x14ac:dyDescent="0.25">
      <c r="C159" s="316" t="s">
        <v>278</v>
      </c>
      <c r="D159" s="336">
        <f>O243</f>
        <v>0</v>
      </c>
      <c r="G159" s="410">
        <v>0.1</v>
      </c>
      <c r="H159" s="191">
        <f t="shared" si="20"/>
        <v>120</v>
      </c>
      <c r="I159" s="192">
        <f t="shared" si="21"/>
        <v>0.26041500000000001</v>
      </c>
      <c r="J159" s="192">
        <f t="shared" si="21"/>
        <v>0.26400600000000002</v>
      </c>
      <c r="K159" s="193">
        <f t="shared" si="22"/>
        <v>62.930520000000001</v>
      </c>
      <c r="L159" s="209"/>
      <c r="M159" s="194" t="s">
        <v>14</v>
      </c>
      <c r="N159" s="191">
        <f>IF($K$12=M4,($N$158*($K$14)/($K$14+$L$14)),0)+IF($L$12=M4,($N$158*($L$14)/($K$14+$L$14)),0)</f>
        <v>-221</v>
      </c>
      <c r="P159" s="192">
        <v>1.8849999999999999E-2</v>
      </c>
      <c r="Q159" s="195">
        <f>N159*(O159+P159)</f>
        <v>-4.1658499999999998</v>
      </c>
    </row>
    <row r="160" spans="1:32" s="1" customFormat="1" x14ac:dyDescent="0.25">
      <c r="G160" s="410">
        <v>0</v>
      </c>
      <c r="H160" s="191">
        <f t="shared" si="20"/>
        <v>1</v>
      </c>
      <c r="I160" s="192">
        <f t="shared" si="21"/>
        <v>0.28935</v>
      </c>
      <c r="J160" s="192">
        <f t="shared" si="21"/>
        <v>0.29333999999999999</v>
      </c>
      <c r="K160" s="193">
        <f t="shared" si="22"/>
        <v>0.58268999999999993</v>
      </c>
      <c r="L160" s="209"/>
      <c r="M160" s="194" t="s">
        <v>15</v>
      </c>
      <c r="N160" s="191">
        <f>IF($K$12=M5,($N$158*($K$14)/($K$14+$L$14)),0)+IF($L$12=M5,($N$158*($L$14)/($K$14+$L$14)),0)</f>
        <v>0</v>
      </c>
      <c r="P160" s="192">
        <v>4.4630000000000003E-2</v>
      </c>
      <c r="Q160" s="195">
        <f>N160*(O160+P160)</f>
        <v>0</v>
      </c>
    </row>
    <row r="161" spans="2:34" s="1" customFormat="1" x14ac:dyDescent="0.25">
      <c r="B161" s="1" t="s">
        <v>47</v>
      </c>
      <c r="C161" s="330" t="s">
        <v>14</v>
      </c>
      <c r="D161" s="336">
        <f>O255</f>
        <v>-3.0500000000000003</v>
      </c>
      <c r="L161" s="209"/>
      <c r="M161" s="194" t="s">
        <v>16</v>
      </c>
      <c r="N161" s="191">
        <f t="shared" ref="N161" si="23">IF($K$12=M6,($N$158*($K$14)/($K$14+$L$14)),0)+IF($L$12=M6,($N$158*($L$14)/($K$14+$L$14)),0)</f>
        <v>0</v>
      </c>
      <c r="O161" s="19"/>
      <c r="P161" s="192">
        <v>7.8770000000000007E-2</v>
      </c>
      <c r="Q161" s="195">
        <f>N161*(O161+P161)</f>
        <v>0</v>
      </c>
    </row>
    <row r="162" spans="2:34" x14ac:dyDescent="0.25">
      <c r="C162" s="316" t="s">
        <v>15</v>
      </c>
      <c r="D162" s="336">
        <f>O264</f>
        <v>0</v>
      </c>
      <c r="F162" s="130" t="s">
        <v>356</v>
      </c>
      <c r="G162" s="410">
        <v>0.65</v>
      </c>
      <c r="H162" s="191">
        <f>D29</f>
        <v>30</v>
      </c>
      <c r="I162" s="192">
        <f>E116</f>
        <v>0.10127249999999999</v>
      </c>
      <c r="J162" s="192">
        <f>F116</f>
        <v>0.102669</v>
      </c>
      <c r="K162" s="193">
        <f>H162*(I162+J162)</f>
        <v>6.1182449999999999</v>
      </c>
      <c r="L162" s="209"/>
      <c r="M162" s="194" t="s">
        <v>17</v>
      </c>
      <c r="N162" s="191">
        <f>IF($K$12=M8,($N$158*($K$14)/($K$14+$L$14)),0)+IF($L$12=M8,($N$158*($L$14)/($K$14+$L$14)),0)</f>
        <v>0</v>
      </c>
      <c r="P162" s="192">
        <v>0.14199999999999999</v>
      </c>
      <c r="Q162" s="195">
        <f>N162*(O162+P162)</f>
        <v>0</v>
      </c>
    </row>
    <row r="163" spans="2:34" x14ac:dyDescent="0.25">
      <c r="C163" s="316" t="s">
        <v>16</v>
      </c>
      <c r="D163" s="336">
        <f>O273</f>
        <v>0</v>
      </c>
      <c r="G163" s="410">
        <v>0.4</v>
      </c>
      <c r="H163" s="191">
        <f t="shared" ref="H163:H165" si="24">D30</f>
        <v>70</v>
      </c>
      <c r="I163" s="192">
        <f t="shared" ref="I163:J165" si="25">E117</f>
        <v>0.17360999999999999</v>
      </c>
      <c r="J163" s="192">
        <f t="shared" si="25"/>
        <v>0.17600399999999999</v>
      </c>
      <c r="K163" s="193">
        <f t="shared" ref="K163:K165" si="26">H163*(I163+J163)</f>
        <v>24.47298</v>
      </c>
      <c r="L163" s="209"/>
      <c r="M163" s="1"/>
      <c r="Q163" s="409">
        <f>SUM(Q158:Q160)</f>
        <v>-132.94033999999999</v>
      </c>
    </row>
    <row r="164" spans="2:34" x14ac:dyDescent="0.25">
      <c r="C164" s="316" t="s">
        <v>278</v>
      </c>
      <c r="D164" s="336">
        <f>O282</f>
        <v>0</v>
      </c>
      <c r="G164" s="410">
        <v>0.1</v>
      </c>
      <c r="H164" s="191">
        <f t="shared" si="24"/>
        <v>120</v>
      </c>
      <c r="I164" s="192">
        <f t="shared" si="25"/>
        <v>0.26041500000000001</v>
      </c>
      <c r="J164" s="192">
        <f t="shared" si="25"/>
        <v>0.26400600000000002</v>
      </c>
      <c r="K164" s="193">
        <f t="shared" si="26"/>
        <v>62.930520000000001</v>
      </c>
      <c r="L164" s="209"/>
      <c r="M164" s="1"/>
    </row>
    <row r="165" spans="2:34" x14ac:dyDescent="0.25">
      <c r="G165" s="410">
        <v>0</v>
      </c>
      <c r="H165" s="191">
        <f t="shared" si="24"/>
        <v>96</v>
      </c>
      <c r="I165" s="192">
        <f t="shared" si="25"/>
        <v>0.28935</v>
      </c>
      <c r="J165" s="192">
        <f t="shared" si="25"/>
        <v>0.29333999999999999</v>
      </c>
      <c r="K165" s="193">
        <f t="shared" si="26"/>
        <v>55.938239999999993</v>
      </c>
      <c r="L165" s="209"/>
      <c r="M165" s="1"/>
      <c r="N165" s="277"/>
    </row>
    <row r="166" spans="2:34" x14ac:dyDescent="0.25">
      <c r="B166" s="19" t="s">
        <v>357</v>
      </c>
      <c r="C166" s="330" t="s">
        <v>14</v>
      </c>
      <c r="D166" s="336">
        <f>AF179</f>
        <v>9.0100000000000016</v>
      </c>
      <c r="G166" s="194"/>
      <c r="K166" s="193">
        <f>SUM(K157:K165)</f>
        <v>243.56441999999998</v>
      </c>
      <c r="L166" s="409">
        <f>K166+SUM(D151:D159)</f>
        <v>251.45441999999997</v>
      </c>
      <c r="M166" s="1"/>
    </row>
    <row r="167" spans="2:34" x14ac:dyDescent="0.25">
      <c r="C167" s="316" t="s">
        <v>15</v>
      </c>
      <c r="D167" s="336">
        <f>AF188</f>
        <v>0</v>
      </c>
      <c r="G167" s="194"/>
      <c r="L167" s="1"/>
      <c r="M167" s="1"/>
      <c r="N167" s="1"/>
    </row>
    <row r="168" spans="2:34" x14ac:dyDescent="0.25">
      <c r="C168" s="316" t="s">
        <v>16</v>
      </c>
      <c r="D168" s="336">
        <f>AF197</f>
        <v>0</v>
      </c>
      <c r="G168" s="19" t="s">
        <v>92</v>
      </c>
      <c r="H168" s="68">
        <f>(K168+K152+K153+K154+K155-D166-D167-D168-D169)/(1-E138-E140)</f>
        <v>39.3254875839284</v>
      </c>
      <c r="J168" s="201" t="s">
        <v>167</v>
      </c>
      <c r="K168" s="193">
        <f>(K156-L166)+(Q163-Q156)</f>
        <v>35.786655000000025</v>
      </c>
      <c r="L168" s="180" t="s">
        <v>172</v>
      </c>
      <c r="M168" s="1"/>
      <c r="N168" s="1"/>
      <c r="O168" s="1"/>
    </row>
    <row r="169" spans="2:34" x14ac:dyDescent="0.25">
      <c r="C169" s="316" t="s">
        <v>278</v>
      </c>
      <c r="D169" s="336">
        <f>AF206</f>
        <v>0</v>
      </c>
      <c r="G169" s="19" t="s">
        <v>51</v>
      </c>
      <c r="H169" s="68">
        <f>H168</f>
        <v>39.3254875839284</v>
      </c>
      <c r="J169" s="202" t="s">
        <v>91</v>
      </c>
      <c r="K169" s="216">
        <f>H170</f>
        <v>47.380105522805302</v>
      </c>
      <c r="L169" s="180" t="s">
        <v>173</v>
      </c>
      <c r="M169" s="1"/>
      <c r="N169" s="1"/>
      <c r="O169" s="1"/>
    </row>
    <row r="170" spans="2:34" x14ac:dyDescent="0.25">
      <c r="G170" s="19" t="s">
        <v>11</v>
      </c>
      <c r="H170" s="68">
        <f>H168/(1-E142)</f>
        <v>47.380105522805302</v>
      </c>
    </row>
    <row r="171" spans="2:34" x14ac:dyDescent="0.25">
      <c r="B171" s="1" t="s">
        <v>155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S171" s="1" t="s">
        <v>279</v>
      </c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spans="2:34" x14ac:dyDescent="0.25">
      <c r="B172" s="105" t="s">
        <v>14</v>
      </c>
      <c r="C172" s="105"/>
      <c r="D172" s="105"/>
      <c r="E172" s="105"/>
      <c r="F172" s="105"/>
      <c r="G172" s="105"/>
      <c r="H172" s="116"/>
      <c r="I172" s="116"/>
      <c r="J172" s="117"/>
      <c r="K172" s="203">
        <f>N4</f>
        <v>1.8849999999999999E-2</v>
      </c>
      <c r="L172" s="204"/>
      <c r="M172" s="106"/>
      <c r="N172" s="106"/>
      <c r="O172" s="118"/>
      <c r="P172" s="1"/>
      <c r="Q172" s="1"/>
      <c r="S172" s="105" t="s">
        <v>14</v>
      </c>
      <c r="T172" s="105"/>
      <c r="U172" s="105"/>
      <c r="V172" s="105"/>
      <c r="W172" s="105"/>
      <c r="X172" s="105"/>
      <c r="Y172" s="116"/>
      <c r="Z172" s="116"/>
      <c r="AA172" s="117"/>
      <c r="AB172" s="203">
        <f>K172</f>
        <v>1.8849999999999999E-2</v>
      </c>
      <c r="AC172" s="204"/>
      <c r="AD172" s="106"/>
      <c r="AE172" s="106"/>
      <c r="AF172" s="118"/>
      <c r="AG172" s="1"/>
      <c r="AH172" s="1"/>
    </row>
    <row r="173" spans="2:34" ht="27.2" x14ac:dyDescent="0.25">
      <c r="B173" s="1"/>
      <c r="C173" s="337" t="s">
        <v>156</v>
      </c>
      <c r="D173" s="516"/>
      <c r="E173" s="517"/>
      <c r="F173" s="338"/>
      <c r="G173" s="516"/>
      <c r="H173" s="517"/>
      <c r="I173" s="338"/>
      <c r="J173" s="516" t="s">
        <v>157</v>
      </c>
      <c r="K173" s="517"/>
      <c r="L173" s="338"/>
      <c r="M173" s="516" t="s">
        <v>158</v>
      </c>
      <c r="N173" s="517"/>
      <c r="O173" s="339" t="s">
        <v>159</v>
      </c>
      <c r="P173" s="1"/>
      <c r="Q173" s="46"/>
      <c r="S173" s="1"/>
      <c r="T173" s="340" t="s">
        <v>156</v>
      </c>
      <c r="U173" s="514"/>
      <c r="V173" s="515"/>
      <c r="W173" s="341"/>
      <c r="X173" s="514"/>
      <c r="Y173" s="515"/>
      <c r="Z173" s="341"/>
      <c r="AA173" s="514" t="s">
        <v>157</v>
      </c>
      <c r="AB173" s="515"/>
      <c r="AC173" s="341"/>
      <c r="AD173" s="514" t="s">
        <v>158</v>
      </c>
      <c r="AE173" s="515"/>
      <c r="AF173" s="342" t="s">
        <v>159</v>
      </c>
      <c r="AG173" s="1"/>
      <c r="AH173" s="46"/>
    </row>
    <row r="174" spans="2:34" x14ac:dyDescent="0.25">
      <c r="B174" s="1"/>
      <c r="C174" s="343" t="s">
        <v>160</v>
      </c>
      <c r="D174" s="343"/>
      <c r="E174" s="343"/>
      <c r="F174" s="343"/>
      <c r="G174" s="343"/>
      <c r="H174" s="343"/>
      <c r="I174" s="343"/>
      <c r="J174" s="343"/>
      <c r="K174" s="343" t="s">
        <v>9</v>
      </c>
      <c r="L174" s="343"/>
      <c r="M174" s="343" t="s">
        <v>33</v>
      </c>
      <c r="N174" s="343" t="s">
        <v>9</v>
      </c>
      <c r="O174" s="343" t="s">
        <v>161</v>
      </c>
      <c r="P174" s="1"/>
      <c r="S174" s="1"/>
      <c r="T174" s="344" t="s">
        <v>160</v>
      </c>
      <c r="U174" s="344"/>
      <c r="V174" s="344"/>
      <c r="W174" s="344"/>
      <c r="X174" s="344"/>
      <c r="Y174" s="344"/>
      <c r="Z174" s="344"/>
      <c r="AA174" s="344"/>
      <c r="AB174" s="344" t="s">
        <v>9</v>
      </c>
      <c r="AC174" s="344"/>
      <c r="AD174" s="344" t="s">
        <v>33</v>
      </c>
      <c r="AE174" s="344" t="s">
        <v>9</v>
      </c>
      <c r="AF174" s="344" t="s">
        <v>161</v>
      </c>
      <c r="AG174" s="1"/>
    </row>
    <row r="175" spans="2:34" x14ac:dyDescent="0.25">
      <c r="B175" s="1"/>
      <c r="C175" s="206">
        <f>IF($K$12=$B$172,(D106*($K$14)/($K$14+$L$14)),0)+IF($L$12=$B$172,(D106*($L$14)/($K$14+$L$14)),0)</f>
        <v>30</v>
      </c>
      <c r="D175" s="207"/>
      <c r="E175" s="207"/>
      <c r="F175" s="207"/>
      <c r="G175" s="192"/>
      <c r="H175" s="192"/>
      <c r="I175" s="192"/>
      <c r="J175" s="192"/>
      <c r="K175" s="192">
        <f>$K$209*(1-Q175)</f>
        <v>6.5974999999999992E-3</v>
      </c>
      <c r="L175" s="192"/>
      <c r="M175" s="208"/>
      <c r="N175" s="208">
        <f>ROUND((C175*K175),2)</f>
        <v>0.2</v>
      </c>
      <c r="O175" s="193">
        <f>M175+N175</f>
        <v>0.2</v>
      </c>
      <c r="P175" s="209"/>
      <c r="Q175" s="169">
        <v>0.65</v>
      </c>
      <c r="S175" s="1"/>
      <c r="T175" s="206">
        <f>IF($K$12=$B$172,(J106*($K$14)/($K$14+$L$14)),0)+IF($L$12=$B$172,(J106*($L$14)/($K$14+$L$14)),0)</f>
        <v>30</v>
      </c>
      <c r="U175" s="207"/>
      <c r="V175" s="207"/>
      <c r="W175" s="207"/>
      <c r="X175" s="192"/>
      <c r="Y175" s="192"/>
      <c r="Z175" s="192"/>
      <c r="AA175" s="192"/>
      <c r="AB175" s="192">
        <f>$K$209*(1-AH175)</f>
        <v>6.5974999999999992E-3</v>
      </c>
      <c r="AC175" s="192"/>
      <c r="AD175" s="208"/>
      <c r="AE175" s="208">
        <f>ROUND((T175*AB175),2)</f>
        <v>0.2</v>
      </c>
      <c r="AF175" s="193">
        <f>AD175+AE175</f>
        <v>0.2</v>
      </c>
      <c r="AG175" s="209"/>
      <c r="AH175" s="169">
        <v>0.65</v>
      </c>
    </row>
    <row r="176" spans="2:34" x14ac:dyDescent="0.25">
      <c r="B176" s="1"/>
      <c r="C176" s="206">
        <f>IF($K$12=$B$172,(D107*($K$14)/($K$14+$L$14)),0)+IF($L$12=$B$172,(D107*($L$14)/($K$14+$L$14)),0)</f>
        <v>70</v>
      </c>
      <c r="D176" s="207"/>
      <c r="E176" s="207"/>
      <c r="F176" s="207"/>
      <c r="G176" s="192"/>
      <c r="H176" s="192"/>
      <c r="I176" s="192"/>
      <c r="J176" s="192"/>
      <c r="K176" s="192">
        <f>$K$209*(1-Q176)</f>
        <v>1.1309999999999999E-2</v>
      </c>
      <c r="L176" s="192"/>
      <c r="M176" s="208"/>
      <c r="N176" s="208">
        <f>ROUND((C176*K176),2)</f>
        <v>0.79</v>
      </c>
      <c r="O176" s="193">
        <f>M176+N176</f>
        <v>0.79</v>
      </c>
      <c r="P176" s="209"/>
      <c r="Q176" s="169">
        <v>0.4</v>
      </c>
      <c r="S176" s="1"/>
      <c r="T176" s="206">
        <f>IF($K$12=$B$172,(J107*($K$14)/($K$14+$L$14)),0)+IF($L$12=$B$172,(J107*($L$14)/($K$14+$L$14)),0)</f>
        <v>70</v>
      </c>
      <c r="U176" s="207"/>
      <c r="V176" s="207"/>
      <c r="W176" s="207"/>
      <c r="X176" s="192"/>
      <c r="Y176" s="192"/>
      <c r="Z176" s="192"/>
      <c r="AA176" s="192"/>
      <c r="AB176" s="192">
        <f>$K$209*(1-AH176)</f>
        <v>1.1309999999999999E-2</v>
      </c>
      <c r="AC176" s="192"/>
      <c r="AD176" s="208"/>
      <c r="AE176" s="208">
        <f>ROUND((T176*AB176),2)</f>
        <v>0.79</v>
      </c>
      <c r="AF176" s="193">
        <f>AD176+AE176</f>
        <v>0.79</v>
      </c>
      <c r="AG176" s="209"/>
      <c r="AH176" s="169">
        <v>0.4</v>
      </c>
    </row>
    <row r="177" spans="2:34" x14ac:dyDescent="0.25">
      <c r="B177" s="1"/>
      <c r="C177" s="206">
        <f>IF($K$12=$B$172,(D108*($K$14)/($K$14+$L$14)),0)+IF($L$12=$B$172,(D108*($L$14)/($K$14+$L$14)),0)</f>
        <v>120</v>
      </c>
      <c r="D177" s="207"/>
      <c r="E177" s="207"/>
      <c r="F177" s="207"/>
      <c r="G177" s="192"/>
      <c r="H177" s="192"/>
      <c r="I177" s="192"/>
      <c r="J177" s="192"/>
      <c r="K177" s="192">
        <f>$K$209*(1-Q177)</f>
        <v>1.6965000000000001E-2</v>
      </c>
      <c r="L177" s="192"/>
      <c r="M177" s="208"/>
      <c r="N177" s="208">
        <f>ROUND((C177*K177),2)</f>
        <v>2.04</v>
      </c>
      <c r="O177" s="193">
        <f>M177+N177</f>
        <v>2.04</v>
      </c>
      <c r="P177" s="209"/>
      <c r="Q177" s="169">
        <v>0.1</v>
      </c>
      <c r="S177" s="1"/>
      <c r="T177" s="206">
        <f>IF($K$12=$B$172,(J108*($K$14)/($K$14+$L$14)),0)+IF($L$12=$B$172,(J108*($L$14)/($K$14+$L$14)),0)</f>
        <v>120</v>
      </c>
      <c r="U177" s="207"/>
      <c r="V177" s="207"/>
      <c r="W177" s="207"/>
      <c r="X177" s="192"/>
      <c r="Y177" s="192"/>
      <c r="Z177" s="192"/>
      <c r="AA177" s="192"/>
      <c r="AB177" s="192">
        <f>$K$209*(1-AH177)</f>
        <v>1.6965000000000001E-2</v>
      </c>
      <c r="AC177" s="192"/>
      <c r="AD177" s="208"/>
      <c r="AE177" s="208">
        <f>ROUND((T177*AB177),2)</f>
        <v>2.04</v>
      </c>
      <c r="AF177" s="193">
        <f>AD177+AE177</f>
        <v>2.04</v>
      </c>
      <c r="AG177" s="209"/>
      <c r="AH177" s="169">
        <v>0.1</v>
      </c>
    </row>
    <row r="178" spans="2:34" x14ac:dyDescent="0.25">
      <c r="B178" s="1"/>
      <c r="C178" s="206">
        <f>IF($K$12=$B$172,(D109*($K$14)/($K$14+$L$14)),0)+IF($L$12=$B$172,(D109*($L$14)/($K$14+$L$14)),0)</f>
        <v>1</v>
      </c>
      <c r="D178" s="207"/>
      <c r="E178" s="207"/>
      <c r="F178" s="207"/>
      <c r="G178" s="192"/>
      <c r="H178" s="192"/>
      <c r="I178" s="192"/>
      <c r="J178" s="192"/>
      <c r="K178" s="192">
        <f>$K$209*(1-Q178)</f>
        <v>1.8849999999999999E-2</v>
      </c>
      <c r="L178" s="192"/>
      <c r="M178" s="208"/>
      <c r="N178" s="208">
        <f>ROUND((C178*K178),2)</f>
        <v>0.02</v>
      </c>
      <c r="O178" s="193">
        <f>M178+N178</f>
        <v>0.02</v>
      </c>
      <c r="P178" s="209"/>
      <c r="Q178" s="169">
        <v>0</v>
      </c>
      <c r="S178" s="1"/>
      <c r="T178" s="206">
        <f>IF($K$12=$B$172,(J109*($K$14)/($K$14+$L$14)),0)+IF($L$12=$B$172,(J109*($L$14)/($K$14+$L$14)),0)</f>
        <v>317</v>
      </c>
      <c r="U178" s="207"/>
      <c r="V178" s="207"/>
      <c r="W178" s="207"/>
      <c r="X178" s="192"/>
      <c r="Y178" s="192"/>
      <c r="Z178" s="192"/>
      <c r="AA178" s="192"/>
      <c r="AB178" s="192">
        <f>$K$209*(1-AH178)</f>
        <v>1.8849999999999999E-2</v>
      </c>
      <c r="AC178" s="192"/>
      <c r="AD178" s="208"/>
      <c r="AE178" s="208">
        <f>ROUND((T178*AB178),2)</f>
        <v>5.98</v>
      </c>
      <c r="AF178" s="193">
        <f>AD178+AE178</f>
        <v>5.98</v>
      </c>
      <c r="AG178" s="209"/>
      <c r="AH178" s="169">
        <v>0</v>
      </c>
    </row>
    <row r="179" spans="2:34" x14ac:dyDescent="0.25">
      <c r="B179" s="1"/>
      <c r="C179" s="210" t="s">
        <v>162</v>
      </c>
      <c r="D179" s="211"/>
      <c r="E179" s="211"/>
      <c r="F179" s="211"/>
      <c r="G179" s="211"/>
      <c r="H179" s="211"/>
      <c r="I179" s="211"/>
      <c r="J179" s="211"/>
      <c r="K179" s="211"/>
      <c r="L179" s="211"/>
      <c r="M179" s="211"/>
      <c r="N179" s="212"/>
      <c r="O179" s="213">
        <f>SUM(O175:O178)</f>
        <v>3.0500000000000003</v>
      </c>
      <c r="P179" s="1"/>
      <c r="Q179" s="1"/>
      <c r="S179" s="1"/>
      <c r="T179" s="210" t="s">
        <v>162</v>
      </c>
      <c r="U179" s="211"/>
      <c r="V179" s="211"/>
      <c r="W179" s="211"/>
      <c r="X179" s="211"/>
      <c r="Y179" s="211"/>
      <c r="Z179" s="211"/>
      <c r="AA179" s="211"/>
      <c r="AB179" s="211"/>
      <c r="AC179" s="211"/>
      <c r="AD179" s="211"/>
      <c r="AE179" s="212"/>
      <c r="AF179" s="213">
        <f>SUM(AF175:AF178)</f>
        <v>9.0100000000000016</v>
      </c>
      <c r="AG179" s="1"/>
      <c r="AH179" s="1"/>
    </row>
    <row r="180" spans="2:34" x14ac:dyDescent="0.25">
      <c r="B180" s="105"/>
      <c r="C180" s="105"/>
      <c r="D180" s="105"/>
      <c r="E180" s="105"/>
      <c r="F180" s="105"/>
      <c r="G180" s="105"/>
      <c r="H180" s="116"/>
      <c r="I180" s="116"/>
      <c r="J180" s="117"/>
      <c r="K180" s="117"/>
      <c r="L180" s="117"/>
      <c r="M180" s="106"/>
      <c r="N180" s="106"/>
      <c r="O180" s="214"/>
      <c r="P180" s="1"/>
      <c r="Q180" s="1"/>
      <c r="S180" s="105"/>
      <c r="T180" s="105"/>
      <c r="U180" s="105"/>
      <c r="V180" s="105"/>
      <c r="W180" s="105"/>
      <c r="X180" s="105"/>
      <c r="Y180" s="116"/>
      <c r="Z180" s="116"/>
      <c r="AA180" s="117"/>
      <c r="AB180" s="117"/>
      <c r="AC180" s="117"/>
      <c r="AD180" s="106"/>
      <c r="AE180" s="106"/>
      <c r="AF180" s="214"/>
      <c r="AG180" s="1"/>
      <c r="AH180" s="1"/>
    </row>
    <row r="181" spans="2:34" x14ac:dyDescent="0.25">
      <c r="B181" s="105" t="s">
        <v>15</v>
      </c>
      <c r="C181" s="105"/>
      <c r="D181" s="105"/>
      <c r="E181" s="105"/>
      <c r="F181" s="105"/>
      <c r="G181" s="105"/>
      <c r="H181" s="116"/>
      <c r="I181" s="116"/>
      <c r="J181" s="117"/>
      <c r="K181" s="203">
        <f>N5</f>
        <v>4.4630000000000003E-2</v>
      </c>
      <c r="L181" s="204"/>
      <c r="M181" s="106"/>
      <c r="N181" s="106"/>
      <c r="O181" s="118"/>
      <c r="P181" s="1"/>
      <c r="Q181" s="1"/>
      <c r="S181" s="105" t="s">
        <v>15</v>
      </c>
      <c r="T181" s="105"/>
      <c r="U181" s="105"/>
      <c r="V181" s="105"/>
      <c r="W181" s="105"/>
      <c r="X181" s="105"/>
      <c r="Y181" s="116"/>
      <c r="Z181" s="116"/>
      <c r="AA181" s="117"/>
      <c r="AB181" s="203">
        <f>K181</f>
        <v>4.4630000000000003E-2</v>
      </c>
      <c r="AC181" s="204"/>
      <c r="AD181" s="106"/>
      <c r="AE181" s="106"/>
      <c r="AF181" s="118"/>
      <c r="AG181" s="1"/>
      <c r="AH181" s="1"/>
    </row>
    <row r="182" spans="2:34" ht="27.2" x14ac:dyDescent="0.25">
      <c r="B182" s="1"/>
      <c r="C182" s="337" t="s">
        <v>156</v>
      </c>
      <c r="D182" s="516"/>
      <c r="E182" s="517"/>
      <c r="F182" s="338"/>
      <c r="G182" s="516"/>
      <c r="H182" s="517"/>
      <c r="I182" s="338"/>
      <c r="J182" s="516" t="s">
        <v>32</v>
      </c>
      <c r="K182" s="517"/>
      <c r="L182" s="338"/>
      <c r="M182" s="516" t="s">
        <v>158</v>
      </c>
      <c r="N182" s="517"/>
      <c r="O182" s="339" t="s">
        <v>159</v>
      </c>
      <c r="P182" s="1"/>
      <c r="Q182" s="46"/>
      <c r="S182" s="1"/>
      <c r="T182" s="340" t="s">
        <v>156</v>
      </c>
      <c r="U182" s="514"/>
      <c r="V182" s="515"/>
      <c r="W182" s="341"/>
      <c r="X182" s="514"/>
      <c r="Y182" s="515"/>
      <c r="Z182" s="341"/>
      <c r="AA182" s="514" t="s">
        <v>32</v>
      </c>
      <c r="AB182" s="515"/>
      <c r="AC182" s="341"/>
      <c r="AD182" s="514" t="s">
        <v>158</v>
      </c>
      <c r="AE182" s="515"/>
      <c r="AF182" s="342" t="s">
        <v>159</v>
      </c>
      <c r="AG182" s="1"/>
      <c r="AH182" s="46"/>
    </row>
    <row r="183" spans="2:34" x14ac:dyDescent="0.25">
      <c r="B183" s="1"/>
      <c r="C183" s="343" t="s">
        <v>160</v>
      </c>
      <c r="D183" s="343"/>
      <c r="E183" s="343"/>
      <c r="F183" s="343"/>
      <c r="G183" s="343" t="s">
        <v>33</v>
      </c>
      <c r="H183" s="343" t="s">
        <v>9</v>
      </c>
      <c r="I183" s="343"/>
      <c r="J183" s="343" t="s">
        <v>33</v>
      </c>
      <c r="K183" s="343" t="s">
        <v>9</v>
      </c>
      <c r="L183" s="343"/>
      <c r="M183" s="343" t="s">
        <v>33</v>
      </c>
      <c r="N183" s="343" t="s">
        <v>9</v>
      </c>
      <c r="O183" s="343" t="s">
        <v>161</v>
      </c>
      <c r="P183" s="1"/>
      <c r="S183" s="1"/>
      <c r="T183" s="344" t="s">
        <v>160</v>
      </c>
      <c r="U183" s="344"/>
      <c r="V183" s="344"/>
      <c r="W183" s="344"/>
      <c r="X183" s="344" t="s">
        <v>33</v>
      </c>
      <c r="Y183" s="344" t="s">
        <v>9</v>
      </c>
      <c r="Z183" s="344"/>
      <c r="AA183" s="344" t="s">
        <v>33</v>
      </c>
      <c r="AB183" s="344" t="s">
        <v>9</v>
      </c>
      <c r="AC183" s="344"/>
      <c r="AD183" s="344" t="s">
        <v>33</v>
      </c>
      <c r="AE183" s="344" t="s">
        <v>9</v>
      </c>
      <c r="AF183" s="344" t="s">
        <v>161</v>
      </c>
      <c r="AG183" s="1"/>
    </row>
    <row r="184" spans="2:34" x14ac:dyDescent="0.25">
      <c r="B184" s="1"/>
      <c r="C184" s="206">
        <f>IF($K$12=$B$181,(D106*($K$14)/($K$14+$L$14)),0)+IF($L$12=$B$181,(D106*($L$14)/($K$14+$L$14)),0)</f>
        <v>0</v>
      </c>
      <c r="D184" s="207"/>
      <c r="E184" s="207"/>
      <c r="F184" s="207"/>
      <c r="G184" s="192"/>
      <c r="H184" s="192"/>
      <c r="I184" s="192"/>
      <c r="J184" s="192"/>
      <c r="K184" s="192">
        <f>$K$218*(1-Q184)</f>
        <v>1.5620500000000001E-2</v>
      </c>
      <c r="L184" s="192"/>
      <c r="M184" s="208"/>
      <c r="N184" s="208">
        <f>ROUND((C184*K184),2)</f>
        <v>0</v>
      </c>
      <c r="O184" s="193">
        <f>M184+N184</f>
        <v>0</v>
      </c>
      <c r="P184" s="209"/>
      <c r="Q184" s="169">
        <v>0.65</v>
      </c>
      <c r="S184" s="1"/>
      <c r="T184" s="206">
        <f>IF($K$12=$B$181,(J106*($K$14)/($K$14+$L$14)),0)+IF($L$12=$B$181,(J106*($L$14)/($K$14+$L$14)),0)</f>
        <v>0</v>
      </c>
      <c r="U184" s="207"/>
      <c r="V184" s="207"/>
      <c r="W184" s="207"/>
      <c r="X184" s="192"/>
      <c r="Y184" s="192"/>
      <c r="Z184" s="192"/>
      <c r="AA184" s="192"/>
      <c r="AB184" s="192">
        <f>$K$218*(1-AH184)</f>
        <v>1.5620500000000001E-2</v>
      </c>
      <c r="AC184" s="192"/>
      <c r="AD184" s="208"/>
      <c r="AE184" s="208">
        <f>ROUND((T184*AB184),2)</f>
        <v>0</v>
      </c>
      <c r="AF184" s="193">
        <f>AD184+AE184</f>
        <v>0</v>
      </c>
      <c r="AG184" s="209"/>
      <c r="AH184" s="169">
        <v>0.65</v>
      </c>
    </row>
    <row r="185" spans="2:34" x14ac:dyDescent="0.25">
      <c r="B185" s="1"/>
      <c r="C185" s="206">
        <f>IF($K$12=$B$181,(D107*($K$14)/($K$14+$L$14)),0)+IF($L$12=$B$181,(D107*($L$14)/($K$14+$L$14)),0)</f>
        <v>0</v>
      </c>
      <c r="D185" s="207"/>
      <c r="E185" s="207"/>
      <c r="F185" s="207"/>
      <c r="G185" s="192"/>
      <c r="H185" s="192"/>
      <c r="I185" s="192"/>
      <c r="J185" s="192"/>
      <c r="K185" s="192">
        <f>$K$218*(1-Q185)</f>
        <v>2.6778E-2</v>
      </c>
      <c r="L185" s="192"/>
      <c r="M185" s="208"/>
      <c r="N185" s="208">
        <f>ROUND((C185*K185),2)</f>
        <v>0</v>
      </c>
      <c r="O185" s="193">
        <f>M185+N185</f>
        <v>0</v>
      </c>
      <c r="P185" s="209"/>
      <c r="Q185" s="169">
        <v>0.4</v>
      </c>
      <c r="S185" s="1"/>
      <c r="T185" s="206">
        <f>IF($K$12=$B$181,(J107*($K$14)/($K$14+$L$14)),0)+IF($L$12=$B$181,(J107*($L$14)/($K$14+$L$14)),0)</f>
        <v>0</v>
      </c>
      <c r="U185" s="207"/>
      <c r="V185" s="207"/>
      <c r="W185" s="207"/>
      <c r="X185" s="192"/>
      <c r="Y185" s="192"/>
      <c r="Z185" s="192"/>
      <c r="AA185" s="192"/>
      <c r="AB185" s="192">
        <f>$K$218*(1-AH185)</f>
        <v>2.6778E-2</v>
      </c>
      <c r="AC185" s="192"/>
      <c r="AD185" s="208"/>
      <c r="AE185" s="208">
        <f>ROUND((T185*AB185),2)</f>
        <v>0</v>
      </c>
      <c r="AF185" s="193">
        <f>AD185+AE185</f>
        <v>0</v>
      </c>
      <c r="AG185" s="209"/>
      <c r="AH185" s="169">
        <v>0.4</v>
      </c>
    </row>
    <row r="186" spans="2:34" x14ac:dyDescent="0.25">
      <c r="B186" s="1"/>
      <c r="C186" s="206">
        <f>IF($K$12=$B$181,(D108*($K$14)/($K$14+$L$14)),0)+IF($L$12=$B$181,(D108*($L$14)/($K$14+$L$14)),0)</f>
        <v>0</v>
      </c>
      <c r="D186" s="207"/>
      <c r="E186" s="207"/>
      <c r="F186" s="207"/>
      <c r="G186" s="192"/>
      <c r="H186" s="192"/>
      <c r="I186" s="192"/>
      <c r="J186" s="192"/>
      <c r="K186" s="192">
        <f>$K$218*(1-Q186)</f>
        <v>4.0167000000000001E-2</v>
      </c>
      <c r="L186" s="192"/>
      <c r="M186" s="208"/>
      <c r="N186" s="208">
        <f>ROUND((C186*K186),2)</f>
        <v>0</v>
      </c>
      <c r="O186" s="193">
        <f>M186+N186</f>
        <v>0</v>
      </c>
      <c r="P186" s="209"/>
      <c r="Q186" s="169">
        <v>0.1</v>
      </c>
      <c r="S186" s="1"/>
      <c r="T186" s="206">
        <f>IF($K$12=$B$181,(J108*($K$14)/($K$14+$L$14)),0)+IF($L$12=$B$181,(J108*($L$14)/($K$14+$L$14)),0)</f>
        <v>0</v>
      </c>
      <c r="U186" s="207"/>
      <c r="V186" s="207"/>
      <c r="W186" s="207"/>
      <c r="X186" s="192"/>
      <c r="Y186" s="192"/>
      <c r="Z186" s="192"/>
      <c r="AA186" s="192"/>
      <c r="AB186" s="192">
        <f>$K$218*(1-AH186)</f>
        <v>4.0167000000000001E-2</v>
      </c>
      <c r="AC186" s="192"/>
      <c r="AD186" s="208"/>
      <c r="AE186" s="208">
        <f>ROUND((T186*AB186),2)</f>
        <v>0</v>
      </c>
      <c r="AF186" s="193">
        <f>AD186+AE186</f>
        <v>0</v>
      </c>
      <c r="AG186" s="209"/>
      <c r="AH186" s="169">
        <v>0.1</v>
      </c>
    </row>
    <row r="187" spans="2:34" x14ac:dyDescent="0.25">
      <c r="B187" s="1"/>
      <c r="C187" s="206">
        <f>IF($K$12=$B$181,(D109*($K$14)/($K$14+$L$14)),0)+IF($L$12=$B$181,(D109*($L$14)/($K$14+$L$14)),0)</f>
        <v>0</v>
      </c>
      <c r="D187" s="207"/>
      <c r="E187" s="207"/>
      <c r="F187" s="207"/>
      <c r="G187" s="192"/>
      <c r="H187" s="192"/>
      <c r="I187" s="192"/>
      <c r="J187" s="192"/>
      <c r="K187" s="192">
        <f>$K$218*(1-Q187)</f>
        <v>4.4630000000000003E-2</v>
      </c>
      <c r="L187" s="192"/>
      <c r="M187" s="208"/>
      <c r="N187" s="208">
        <f>ROUND((C187*K187),2)</f>
        <v>0</v>
      </c>
      <c r="O187" s="193">
        <f>M187+N187</f>
        <v>0</v>
      </c>
      <c r="P187" s="209"/>
      <c r="Q187" s="169">
        <v>0</v>
      </c>
      <c r="S187" s="1"/>
      <c r="T187" s="206">
        <f>IF($K$12=$B$181,(J109*($K$14)/($K$14+$L$14)),0)+IF($L$12=$B$181,(J109*($L$14)/($K$14+$L$14)),0)</f>
        <v>0</v>
      </c>
      <c r="U187" s="207"/>
      <c r="V187" s="207"/>
      <c r="W187" s="207"/>
      <c r="X187" s="192"/>
      <c r="Y187" s="192"/>
      <c r="Z187" s="192"/>
      <c r="AA187" s="192"/>
      <c r="AB187" s="192">
        <f>$K$218*(1-AH187)</f>
        <v>4.4630000000000003E-2</v>
      </c>
      <c r="AC187" s="192"/>
      <c r="AD187" s="208"/>
      <c r="AE187" s="208">
        <f>ROUND((T187*AB187),2)</f>
        <v>0</v>
      </c>
      <c r="AF187" s="193">
        <f>AD187+AE187</f>
        <v>0</v>
      </c>
      <c r="AG187" s="209"/>
      <c r="AH187" s="169">
        <v>0</v>
      </c>
    </row>
    <row r="188" spans="2:34" x14ac:dyDescent="0.25">
      <c r="B188" s="1"/>
      <c r="C188" s="210" t="s">
        <v>162</v>
      </c>
      <c r="D188" s="211"/>
      <c r="E188" s="211"/>
      <c r="F188" s="211"/>
      <c r="G188" s="211"/>
      <c r="H188" s="211"/>
      <c r="I188" s="211"/>
      <c r="J188" s="211"/>
      <c r="K188" s="211"/>
      <c r="L188" s="211"/>
      <c r="M188" s="211"/>
      <c r="N188" s="212"/>
      <c r="O188" s="213">
        <f>SUM(O184:O187)</f>
        <v>0</v>
      </c>
      <c r="P188" s="1"/>
      <c r="Q188" s="1"/>
      <c r="S188" s="1"/>
      <c r="T188" s="210" t="s">
        <v>162</v>
      </c>
      <c r="U188" s="211"/>
      <c r="V188" s="211"/>
      <c r="W188" s="211"/>
      <c r="X188" s="211"/>
      <c r="Y188" s="211"/>
      <c r="Z188" s="211"/>
      <c r="AA188" s="211"/>
      <c r="AB188" s="211"/>
      <c r="AC188" s="211"/>
      <c r="AD188" s="211"/>
      <c r="AE188" s="212"/>
      <c r="AF188" s="213">
        <f>SUM(AF184:AF187)</f>
        <v>0</v>
      </c>
      <c r="AG188" s="1"/>
      <c r="AH188" s="1"/>
    </row>
    <row r="189" spans="2:34" x14ac:dyDescent="0.25">
      <c r="B189" s="105"/>
      <c r="C189" s="105"/>
      <c r="D189" s="105"/>
      <c r="E189" s="105"/>
      <c r="F189" s="105"/>
      <c r="G189" s="105"/>
      <c r="H189" s="116"/>
      <c r="I189" s="116"/>
      <c r="J189" s="117"/>
      <c r="K189" s="117"/>
      <c r="L189" s="117"/>
      <c r="M189" s="106"/>
      <c r="N189" s="106"/>
      <c r="O189" s="118"/>
      <c r="P189" s="1"/>
      <c r="Q189" s="1"/>
      <c r="S189" s="105"/>
      <c r="T189" s="105"/>
      <c r="U189" s="105"/>
      <c r="V189" s="105"/>
      <c r="W189" s="105"/>
      <c r="X189" s="105"/>
      <c r="Y189" s="116"/>
      <c r="Z189" s="116"/>
      <c r="AA189" s="117"/>
      <c r="AB189" s="117"/>
      <c r="AC189" s="117"/>
      <c r="AD189" s="106"/>
      <c r="AE189" s="106"/>
      <c r="AF189" s="118"/>
      <c r="AG189" s="1"/>
      <c r="AH189" s="1"/>
    </row>
    <row r="190" spans="2:34" x14ac:dyDescent="0.25">
      <c r="B190" s="105" t="s">
        <v>16</v>
      </c>
      <c r="C190" s="105"/>
      <c r="D190" s="105"/>
      <c r="E190" s="105"/>
      <c r="F190" s="105"/>
      <c r="G190" s="105"/>
      <c r="H190" s="116"/>
      <c r="I190" s="116"/>
      <c r="J190" s="117"/>
      <c r="K190" s="203">
        <f>N6</f>
        <v>7.8770000000000007E-2</v>
      </c>
      <c r="L190" s="204"/>
      <c r="M190" s="106"/>
      <c r="N190" s="106"/>
      <c r="O190" s="118"/>
      <c r="P190" s="1"/>
      <c r="Q190" s="1"/>
      <c r="S190" s="105" t="s">
        <v>16</v>
      </c>
      <c r="T190" s="105"/>
      <c r="U190" s="105"/>
      <c r="V190" s="105"/>
      <c r="W190" s="105"/>
      <c r="X190" s="105"/>
      <c r="Y190" s="116"/>
      <c r="Z190" s="116"/>
      <c r="AA190" s="117"/>
      <c r="AB190" s="203">
        <f>K190</f>
        <v>7.8770000000000007E-2</v>
      </c>
      <c r="AC190" s="204"/>
      <c r="AD190" s="106"/>
      <c r="AE190" s="106"/>
      <c r="AF190" s="118"/>
      <c r="AG190" s="1"/>
      <c r="AH190" s="1"/>
    </row>
    <row r="191" spans="2:34" ht="27.2" x14ac:dyDescent="0.25">
      <c r="B191" s="1"/>
      <c r="C191" s="337" t="s">
        <v>156</v>
      </c>
      <c r="D191" s="516"/>
      <c r="E191" s="517"/>
      <c r="F191" s="338"/>
      <c r="G191" s="516"/>
      <c r="H191" s="517"/>
      <c r="I191" s="338"/>
      <c r="J191" s="516" t="s">
        <v>32</v>
      </c>
      <c r="K191" s="517"/>
      <c r="L191" s="338"/>
      <c r="M191" s="516" t="s">
        <v>158</v>
      </c>
      <c r="N191" s="517"/>
      <c r="O191" s="339" t="s">
        <v>159</v>
      </c>
      <c r="P191" s="1"/>
      <c r="Q191" s="46"/>
      <c r="S191" s="1"/>
      <c r="T191" s="340" t="s">
        <v>156</v>
      </c>
      <c r="U191" s="514"/>
      <c r="V191" s="515"/>
      <c r="W191" s="341"/>
      <c r="X191" s="514"/>
      <c r="Y191" s="515"/>
      <c r="Z191" s="341"/>
      <c r="AA191" s="514" t="s">
        <v>32</v>
      </c>
      <c r="AB191" s="515"/>
      <c r="AC191" s="341"/>
      <c r="AD191" s="514" t="s">
        <v>158</v>
      </c>
      <c r="AE191" s="515"/>
      <c r="AF191" s="342" t="s">
        <v>159</v>
      </c>
      <c r="AG191" s="1"/>
      <c r="AH191" s="46"/>
    </row>
    <row r="192" spans="2:34" x14ac:dyDescent="0.25">
      <c r="B192" s="1"/>
      <c r="C192" s="343" t="s">
        <v>160</v>
      </c>
      <c r="D192" s="343"/>
      <c r="E192" s="343"/>
      <c r="F192" s="343"/>
      <c r="G192" s="343" t="s">
        <v>33</v>
      </c>
      <c r="H192" s="343" t="s">
        <v>9</v>
      </c>
      <c r="I192" s="343"/>
      <c r="J192" s="343" t="s">
        <v>33</v>
      </c>
      <c r="K192" s="343" t="s">
        <v>9</v>
      </c>
      <c r="L192" s="343"/>
      <c r="M192" s="343" t="s">
        <v>33</v>
      </c>
      <c r="N192" s="343" t="s">
        <v>9</v>
      </c>
      <c r="O192" s="343" t="s">
        <v>161</v>
      </c>
      <c r="P192" s="1"/>
      <c r="S192" s="1"/>
      <c r="T192" s="344" t="s">
        <v>160</v>
      </c>
      <c r="U192" s="344"/>
      <c r="V192" s="344"/>
      <c r="W192" s="344"/>
      <c r="X192" s="344" t="s">
        <v>33</v>
      </c>
      <c r="Y192" s="344" t="s">
        <v>9</v>
      </c>
      <c r="Z192" s="344"/>
      <c r="AA192" s="344" t="s">
        <v>33</v>
      </c>
      <c r="AB192" s="344" t="s">
        <v>9</v>
      </c>
      <c r="AC192" s="344"/>
      <c r="AD192" s="344" t="s">
        <v>33</v>
      </c>
      <c r="AE192" s="344" t="s">
        <v>9</v>
      </c>
      <c r="AF192" s="344" t="s">
        <v>161</v>
      </c>
      <c r="AG192" s="1"/>
    </row>
    <row r="193" spans="2:34" x14ac:dyDescent="0.25">
      <c r="B193" s="1"/>
      <c r="C193" s="206">
        <f>IF($K$12=$B$190,(D106*($K$14)/($K$14+$L$14)),0)+IF($L$12=$B$190,(D106*($L$14)/($K$14+$L$14)),0)</f>
        <v>0</v>
      </c>
      <c r="D193" s="207"/>
      <c r="E193" s="207"/>
      <c r="F193" s="207"/>
      <c r="G193" s="192"/>
      <c r="H193" s="192"/>
      <c r="I193" s="192"/>
      <c r="J193" s="192"/>
      <c r="K193" s="192">
        <f>$K$227*(1-Q193)</f>
        <v>2.75695E-2</v>
      </c>
      <c r="L193" s="192"/>
      <c r="M193" s="208"/>
      <c r="N193" s="208">
        <f>ROUND((C193*K193),2)</f>
        <v>0</v>
      </c>
      <c r="O193" s="193">
        <f>M193+N193</f>
        <v>0</v>
      </c>
      <c r="P193" s="209"/>
      <c r="Q193" s="169">
        <v>0.65</v>
      </c>
      <c r="S193" s="1"/>
      <c r="T193" s="206">
        <f>IF($K$12=$B$190,(J106*($K$14)/($K$14+$L$14)),0)+IF($L$12=$B$190,(J106*($L$14)/($K$14+$L$14)),0)</f>
        <v>0</v>
      </c>
      <c r="U193" s="207"/>
      <c r="V193" s="207"/>
      <c r="W193" s="207"/>
      <c r="X193" s="192"/>
      <c r="Y193" s="192"/>
      <c r="Z193" s="192"/>
      <c r="AA193" s="192"/>
      <c r="AB193" s="192">
        <f>$K$227*(1-AH193)</f>
        <v>2.75695E-2</v>
      </c>
      <c r="AC193" s="192"/>
      <c r="AD193" s="208"/>
      <c r="AE193" s="208">
        <f>ROUND((T193*AB193),2)</f>
        <v>0</v>
      </c>
      <c r="AF193" s="193">
        <f>AD193+AE193</f>
        <v>0</v>
      </c>
      <c r="AG193" s="209"/>
      <c r="AH193" s="169">
        <v>0.65</v>
      </c>
    </row>
    <row r="194" spans="2:34" x14ac:dyDescent="0.25">
      <c r="B194" s="1"/>
      <c r="C194" s="206">
        <f>IF($K$12=$B$190,(D107*($K$14)/($K$14+$L$14)),0)+IF($L$12=$B$190,(D107*($L$14)/($K$14+$L$14)),0)</f>
        <v>0</v>
      </c>
      <c r="D194" s="207"/>
      <c r="E194" s="207"/>
      <c r="F194" s="207"/>
      <c r="G194" s="192"/>
      <c r="H194" s="192"/>
      <c r="I194" s="192"/>
      <c r="J194" s="192"/>
      <c r="K194" s="192">
        <f>$K$227*(1-Q194)</f>
        <v>4.7262000000000005E-2</v>
      </c>
      <c r="L194" s="192"/>
      <c r="M194" s="208"/>
      <c r="N194" s="208">
        <f>ROUND((C194*K194),2)</f>
        <v>0</v>
      </c>
      <c r="O194" s="193">
        <f>M194+N194</f>
        <v>0</v>
      </c>
      <c r="P194" s="209"/>
      <c r="Q194" s="169">
        <v>0.4</v>
      </c>
      <c r="S194" s="1"/>
      <c r="T194" s="206">
        <f>IF($K$12=$B$190,(J107*($K$14)/($K$14+$L$14)),0)+IF($L$12=$B$190,(J107*($L$14)/($K$14+$L$14)),0)</f>
        <v>0</v>
      </c>
      <c r="U194" s="207"/>
      <c r="V194" s="207"/>
      <c r="W194" s="207"/>
      <c r="X194" s="192"/>
      <c r="Y194" s="192"/>
      <c r="Z194" s="192"/>
      <c r="AA194" s="192"/>
      <c r="AB194" s="192">
        <f>$K$227*(1-AH194)</f>
        <v>4.7262000000000005E-2</v>
      </c>
      <c r="AC194" s="192"/>
      <c r="AD194" s="208"/>
      <c r="AE194" s="208">
        <f>ROUND((T194*AB194),2)</f>
        <v>0</v>
      </c>
      <c r="AF194" s="193">
        <f>AD194+AE194</f>
        <v>0</v>
      </c>
      <c r="AG194" s="209"/>
      <c r="AH194" s="169">
        <v>0.4</v>
      </c>
    </row>
    <row r="195" spans="2:34" x14ac:dyDescent="0.25">
      <c r="B195" s="1"/>
      <c r="C195" s="206">
        <f>IF($K$12=$B$190,(D108*($K$14)/($K$14+$L$14)),0)+IF($L$12=$B$190,(D108*($L$14)/($K$14+$L$14)),0)</f>
        <v>0</v>
      </c>
      <c r="D195" s="207"/>
      <c r="E195" s="207"/>
      <c r="F195" s="207"/>
      <c r="G195" s="192"/>
      <c r="H195" s="192"/>
      <c r="I195" s="192"/>
      <c r="J195" s="192"/>
      <c r="K195" s="192">
        <f>$K$227*(1-Q195)</f>
        <v>7.0893000000000012E-2</v>
      </c>
      <c r="L195" s="192"/>
      <c r="M195" s="208"/>
      <c r="N195" s="208">
        <f>ROUND((C195*K195),2)</f>
        <v>0</v>
      </c>
      <c r="O195" s="193">
        <f>M195+N195</f>
        <v>0</v>
      </c>
      <c r="P195" s="209"/>
      <c r="Q195" s="169">
        <v>0.1</v>
      </c>
      <c r="S195" s="1"/>
      <c r="T195" s="206">
        <f>IF($K$12=$B$190,(J108*($K$14)/($K$14+$L$14)),0)+IF($L$12=$B$190,(J108*($L$14)/($K$14+$L$14)),0)</f>
        <v>0</v>
      </c>
      <c r="U195" s="207"/>
      <c r="V195" s="207"/>
      <c r="W195" s="207"/>
      <c r="X195" s="192"/>
      <c r="Y195" s="192"/>
      <c r="Z195" s="192"/>
      <c r="AA195" s="192"/>
      <c r="AB195" s="192">
        <f>$K$227*(1-AH195)</f>
        <v>7.0893000000000012E-2</v>
      </c>
      <c r="AC195" s="192"/>
      <c r="AD195" s="208"/>
      <c r="AE195" s="208">
        <f>ROUND((T195*AB195),2)</f>
        <v>0</v>
      </c>
      <c r="AF195" s="193">
        <f>AD195+AE195</f>
        <v>0</v>
      </c>
      <c r="AG195" s="209"/>
      <c r="AH195" s="169">
        <v>0.1</v>
      </c>
    </row>
    <row r="196" spans="2:34" x14ac:dyDescent="0.25">
      <c r="B196" s="1"/>
      <c r="C196" s="206">
        <f>IF($K$12=$B$190,(D109*($K$14)/($K$14+$L$14)),0)+IF($L$12=$B$190,(D109*($L$14)/($K$14+$L$14)),0)</f>
        <v>0</v>
      </c>
      <c r="D196" s="207"/>
      <c r="E196" s="207"/>
      <c r="F196" s="207"/>
      <c r="G196" s="192"/>
      <c r="H196" s="192"/>
      <c r="I196" s="192"/>
      <c r="J196" s="192"/>
      <c r="K196" s="192">
        <f>$K$227*(1-Q196)</f>
        <v>7.8770000000000007E-2</v>
      </c>
      <c r="L196" s="192"/>
      <c r="M196" s="208"/>
      <c r="N196" s="208">
        <f>ROUND((C196*K196),2)</f>
        <v>0</v>
      </c>
      <c r="O196" s="193">
        <f>M196+N196</f>
        <v>0</v>
      </c>
      <c r="P196" s="209"/>
      <c r="Q196" s="169">
        <v>0</v>
      </c>
      <c r="S196" s="1"/>
      <c r="T196" s="206">
        <f>IF($K$12=$B$190,(J109*($K$14)/($K$14+$L$14)),0)+IF($L$12=$B$190,(J109*($L$14)/($K$14+$L$14)),0)</f>
        <v>0</v>
      </c>
      <c r="U196" s="207"/>
      <c r="V196" s="207"/>
      <c r="W196" s="207"/>
      <c r="X196" s="192"/>
      <c r="Y196" s="192"/>
      <c r="Z196" s="192"/>
      <c r="AA196" s="192"/>
      <c r="AB196" s="192">
        <f>$K$227*(1-AH196)</f>
        <v>7.8770000000000007E-2</v>
      </c>
      <c r="AC196" s="192"/>
      <c r="AD196" s="208"/>
      <c r="AE196" s="208">
        <f>ROUND((T196*AB196),2)</f>
        <v>0</v>
      </c>
      <c r="AF196" s="193">
        <f>AD196+AE196</f>
        <v>0</v>
      </c>
      <c r="AG196" s="209"/>
      <c r="AH196" s="169">
        <v>0</v>
      </c>
    </row>
    <row r="197" spans="2:34" x14ac:dyDescent="0.25">
      <c r="B197" s="1"/>
      <c r="C197" s="210" t="s">
        <v>162</v>
      </c>
      <c r="D197" s="211"/>
      <c r="E197" s="211"/>
      <c r="F197" s="211"/>
      <c r="G197" s="211"/>
      <c r="H197" s="211"/>
      <c r="I197" s="211"/>
      <c r="J197" s="211"/>
      <c r="K197" s="211"/>
      <c r="L197" s="211"/>
      <c r="M197" s="211"/>
      <c r="N197" s="212"/>
      <c r="O197" s="213">
        <f>SUM(O193:O196)</f>
        <v>0</v>
      </c>
      <c r="P197" s="1"/>
      <c r="Q197" s="1"/>
      <c r="S197" s="1"/>
      <c r="T197" s="210" t="s">
        <v>162</v>
      </c>
      <c r="U197" s="211"/>
      <c r="V197" s="211"/>
      <c r="W197" s="211"/>
      <c r="X197" s="211"/>
      <c r="Y197" s="211"/>
      <c r="Z197" s="211"/>
      <c r="AA197" s="211"/>
      <c r="AB197" s="211"/>
      <c r="AC197" s="211"/>
      <c r="AD197" s="211"/>
      <c r="AE197" s="212"/>
      <c r="AF197" s="213">
        <f>SUM(AF193:AF196)</f>
        <v>0</v>
      </c>
      <c r="AG197" s="1"/>
      <c r="AH197" s="1"/>
    </row>
    <row r="198" spans="2:34" x14ac:dyDescent="0.2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2:34" x14ac:dyDescent="0.25">
      <c r="B199" s="1" t="s">
        <v>17</v>
      </c>
      <c r="C199" s="105"/>
      <c r="D199" s="105"/>
      <c r="E199" s="105"/>
      <c r="F199" s="105"/>
      <c r="G199" s="105"/>
      <c r="H199" s="116"/>
      <c r="I199" s="116"/>
      <c r="J199" s="117"/>
      <c r="K199" s="203">
        <f>N8</f>
        <v>0.14199999999999999</v>
      </c>
      <c r="L199" s="204"/>
      <c r="M199" s="106"/>
      <c r="N199" s="106"/>
      <c r="O199" s="118"/>
      <c r="P199" s="1"/>
      <c r="Q199" s="1"/>
      <c r="S199" s="1" t="s">
        <v>17</v>
      </c>
      <c r="T199" s="105"/>
      <c r="U199" s="105"/>
      <c r="V199" s="105"/>
      <c r="W199" s="105"/>
      <c r="X199" s="105"/>
      <c r="Y199" s="116"/>
      <c r="Z199" s="116"/>
      <c r="AA199" s="117"/>
      <c r="AB199" s="203">
        <f>K199</f>
        <v>0.14199999999999999</v>
      </c>
      <c r="AC199" s="204"/>
      <c r="AD199" s="106"/>
      <c r="AE199" s="106"/>
      <c r="AF199" s="118"/>
      <c r="AG199" s="1"/>
      <c r="AH199" s="1"/>
    </row>
    <row r="200" spans="2:34" ht="25.5" customHeight="1" x14ac:dyDescent="0.25">
      <c r="B200" s="1"/>
      <c r="C200" s="337" t="s">
        <v>156</v>
      </c>
      <c r="D200" s="516"/>
      <c r="E200" s="517"/>
      <c r="F200" s="338"/>
      <c r="G200" s="516"/>
      <c r="H200" s="517"/>
      <c r="I200" s="338"/>
      <c r="J200" s="516" t="s">
        <v>32</v>
      </c>
      <c r="K200" s="517"/>
      <c r="L200" s="338"/>
      <c r="M200" s="516" t="s">
        <v>158</v>
      </c>
      <c r="N200" s="517"/>
      <c r="O200" s="339" t="s">
        <v>159</v>
      </c>
      <c r="P200" s="1"/>
      <c r="Q200" s="46"/>
      <c r="S200" s="1"/>
      <c r="T200" s="340" t="s">
        <v>156</v>
      </c>
      <c r="U200" s="514"/>
      <c r="V200" s="515"/>
      <c r="W200" s="341"/>
      <c r="X200" s="514"/>
      <c r="Y200" s="515"/>
      <c r="Z200" s="341"/>
      <c r="AA200" s="514" t="s">
        <v>32</v>
      </c>
      <c r="AB200" s="515"/>
      <c r="AC200" s="341"/>
      <c r="AD200" s="514" t="s">
        <v>158</v>
      </c>
      <c r="AE200" s="515"/>
      <c r="AF200" s="342" t="s">
        <v>159</v>
      </c>
      <c r="AG200" s="1"/>
      <c r="AH200" s="46"/>
    </row>
    <row r="201" spans="2:34" x14ac:dyDescent="0.25">
      <c r="B201" s="1"/>
      <c r="C201" s="343" t="s">
        <v>160</v>
      </c>
      <c r="D201" s="343"/>
      <c r="E201" s="343"/>
      <c r="F201" s="343"/>
      <c r="G201" s="343" t="s">
        <v>33</v>
      </c>
      <c r="H201" s="343" t="s">
        <v>9</v>
      </c>
      <c r="I201" s="343"/>
      <c r="J201" s="343" t="s">
        <v>33</v>
      </c>
      <c r="K201" s="343" t="s">
        <v>9</v>
      </c>
      <c r="L201" s="343"/>
      <c r="M201" s="343" t="s">
        <v>33</v>
      </c>
      <c r="N201" s="343" t="s">
        <v>9</v>
      </c>
      <c r="O201" s="343" t="s">
        <v>161</v>
      </c>
      <c r="P201" s="1"/>
      <c r="S201" s="1"/>
      <c r="T201" s="344" t="s">
        <v>160</v>
      </c>
      <c r="U201" s="344"/>
      <c r="V201" s="344"/>
      <c r="W201" s="344"/>
      <c r="X201" s="344" t="s">
        <v>33</v>
      </c>
      <c r="Y201" s="344" t="s">
        <v>9</v>
      </c>
      <c r="Z201" s="344"/>
      <c r="AA201" s="344" t="s">
        <v>33</v>
      </c>
      <c r="AB201" s="344" t="s">
        <v>9</v>
      </c>
      <c r="AC201" s="344"/>
      <c r="AD201" s="344" t="s">
        <v>33</v>
      </c>
      <c r="AE201" s="344" t="s">
        <v>9</v>
      </c>
      <c r="AF201" s="344" t="s">
        <v>161</v>
      </c>
      <c r="AG201" s="1"/>
    </row>
    <row r="202" spans="2:34" x14ac:dyDescent="0.25">
      <c r="B202" s="1"/>
      <c r="C202" s="206">
        <f>IF($K$12=$B$199,(D106*($K$14)/($K$14+$L$14)),0)+IF($L$12=$B$199,(D106*($L$14)/($K$14+$L$14)),0)</f>
        <v>0</v>
      </c>
      <c r="D202" s="207"/>
      <c r="E202" s="207"/>
      <c r="F202" s="207"/>
      <c r="G202" s="192"/>
      <c r="H202" s="192"/>
      <c r="I202" s="192"/>
      <c r="J202" s="192"/>
      <c r="K202" s="192">
        <f>$K$236*(1-Q202)</f>
        <v>4.9699999999999994E-2</v>
      </c>
      <c r="L202" s="192"/>
      <c r="M202" s="208"/>
      <c r="N202" s="208">
        <f>ROUND((C202*K202),2)</f>
        <v>0</v>
      </c>
      <c r="O202" s="193">
        <f>M202+N202</f>
        <v>0</v>
      </c>
      <c r="P202" s="209"/>
      <c r="Q202" s="169">
        <v>0.65</v>
      </c>
      <c r="S202" s="1"/>
      <c r="T202" s="206">
        <f>IF($K$12=$B$199,(J106*($K$14)/($K$14+$L$14)),0)+IF($L$12=$B$199,(J106*($L$14)/($K$14+$L$14)),0)</f>
        <v>0</v>
      </c>
      <c r="U202" s="207"/>
      <c r="V202" s="207"/>
      <c r="W202" s="207"/>
      <c r="X202" s="192"/>
      <c r="Y202" s="192"/>
      <c r="Z202" s="192"/>
      <c r="AA202" s="192"/>
      <c r="AB202" s="192">
        <f>$K$236*(1-AH202)</f>
        <v>4.9699999999999994E-2</v>
      </c>
      <c r="AC202" s="192"/>
      <c r="AD202" s="208"/>
      <c r="AE202" s="208">
        <f>ROUND((T202*AB202),2)</f>
        <v>0</v>
      </c>
      <c r="AF202" s="193">
        <f>AD202+AE202</f>
        <v>0</v>
      </c>
      <c r="AG202" s="209"/>
      <c r="AH202" s="169">
        <v>0.65</v>
      </c>
    </row>
    <row r="203" spans="2:34" x14ac:dyDescent="0.25">
      <c r="B203" s="1"/>
      <c r="C203" s="206">
        <f>IF($K$12=$B$199,(D107*($K$14)/($K$14+$L$14)),0)+IF($L$12=$B$199,(D107*($L$14)/($K$14+$L$14)),0)</f>
        <v>0</v>
      </c>
      <c r="D203" s="207"/>
      <c r="E203" s="207"/>
      <c r="F203" s="207"/>
      <c r="G203" s="192"/>
      <c r="H203" s="192"/>
      <c r="I203" s="192"/>
      <c r="J203" s="192"/>
      <c r="K203" s="192">
        <f>$K$236*(1-Q203)</f>
        <v>8.5199999999999984E-2</v>
      </c>
      <c r="L203" s="192"/>
      <c r="M203" s="208"/>
      <c r="N203" s="208">
        <f>ROUND((C203*K203),2)</f>
        <v>0</v>
      </c>
      <c r="O203" s="193">
        <f>M203+N203</f>
        <v>0</v>
      </c>
      <c r="P203" s="209"/>
      <c r="Q203" s="169">
        <v>0.4</v>
      </c>
      <c r="S203" s="1"/>
      <c r="T203" s="206">
        <f>IF($K$12=$B$199,(J107*($K$14)/($K$14+$L$14)),0)+IF($L$12=$B$199,(J107*($L$14)/($K$14+$L$14)),0)</f>
        <v>0</v>
      </c>
      <c r="U203" s="207"/>
      <c r="V203" s="207"/>
      <c r="W203" s="207"/>
      <c r="X203" s="192"/>
      <c r="Y203" s="192"/>
      <c r="Z203" s="192"/>
      <c r="AA203" s="192"/>
      <c r="AB203" s="192">
        <f>$K$236*(1-AH203)</f>
        <v>8.5199999999999984E-2</v>
      </c>
      <c r="AC203" s="192"/>
      <c r="AD203" s="208"/>
      <c r="AE203" s="208">
        <f>ROUND((T203*AB203),2)</f>
        <v>0</v>
      </c>
      <c r="AF203" s="193">
        <f>AD203+AE203</f>
        <v>0</v>
      </c>
      <c r="AG203" s="209"/>
      <c r="AH203" s="169">
        <v>0.4</v>
      </c>
    </row>
    <row r="204" spans="2:34" x14ac:dyDescent="0.25">
      <c r="B204" s="1"/>
      <c r="C204" s="206">
        <f>IF($K$12=$B$199,(D108*($K$14)/($K$14+$L$14)),0)+IF($L$12=$B$199,(D108*($L$14)/($K$14+$L$14)),0)</f>
        <v>0</v>
      </c>
      <c r="D204" s="207"/>
      <c r="E204" s="207"/>
      <c r="F204" s="207"/>
      <c r="G204" s="192"/>
      <c r="H204" s="192"/>
      <c r="I204" s="192"/>
      <c r="J204" s="192"/>
      <c r="K204" s="192">
        <f>$K$236*(1-Q204)</f>
        <v>0.1278</v>
      </c>
      <c r="L204" s="192"/>
      <c r="M204" s="208"/>
      <c r="N204" s="208">
        <f>ROUND((C204*K204),2)</f>
        <v>0</v>
      </c>
      <c r="O204" s="193">
        <f>M204+N204</f>
        <v>0</v>
      </c>
      <c r="P204" s="209"/>
      <c r="Q204" s="169">
        <v>0.1</v>
      </c>
      <c r="S204" s="1"/>
      <c r="T204" s="206">
        <f>IF($K$12=$B$199,(J108*($K$14)/($K$14+$L$14)),0)+IF($L$12=$B$199,(J108*($L$14)/($K$14+$L$14)),0)</f>
        <v>0</v>
      </c>
      <c r="U204" s="207"/>
      <c r="V204" s="207"/>
      <c r="W204" s="207"/>
      <c r="X204" s="192"/>
      <c r="Y204" s="192"/>
      <c r="Z204" s="192"/>
      <c r="AA204" s="192"/>
      <c r="AB204" s="192">
        <f>$K$236*(1-AH204)</f>
        <v>0.1278</v>
      </c>
      <c r="AC204" s="192"/>
      <c r="AD204" s="208"/>
      <c r="AE204" s="208">
        <f>ROUND((T204*AB204),2)</f>
        <v>0</v>
      </c>
      <c r="AF204" s="193">
        <f>AD204+AE204</f>
        <v>0</v>
      </c>
      <c r="AG204" s="209"/>
      <c r="AH204" s="169">
        <v>0.1</v>
      </c>
    </row>
    <row r="205" spans="2:34" x14ac:dyDescent="0.25">
      <c r="B205" s="1"/>
      <c r="C205" s="206">
        <f>IF($K$12=$B$199,(D109*($K$14)/($K$14+$L$14)),0)+IF($L$12=$B$199,(D109*($L$14)/($K$14+$L$14)),0)</f>
        <v>0</v>
      </c>
      <c r="D205" s="207"/>
      <c r="E205" s="207"/>
      <c r="F205" s="207"/>
      <c r="G205" s="192"/>
      <c r="H205" s="192"/>
      <c r="I205" s="192"/>
      <c r="J205" s="192"/>
      <c r="K205" s="192">
        <f>$K$236*(1-Q205)</f>
        <v>0.14199999999999999</v>
      </c>
      <c r="L205" s="192"/>
      <c r="M205" s="208"/>
      <c r="N205" s="208">
        <f>ROUND((C205*K205),2)</f>
        <v>0</v>
      </c>
      <c r="O205" s="193">
        <f>M205+N205</f>
        <v>0</v>
      </c>
      <c r="P205" s="209"/>
      <c r="Q205" s="169">
        <v>0</v>
      </c>
      <c r="S205" s="1"/>
      <c r="T205" s="206">
        <f>IF($K$12=$B$199,(J109*($K$14)/($K$14+$L$14)),0)+IF($L$12=$B$199,(J109*($L$14)/($K$14+$L$14)),0)</f>
        <v>0</v>
      </c>
      <c r="U205" s="207"/>
      <c r="V205" s="207"/>
      <c r="W205" s="207"/>
      <c r="X205" s="192"/>
      <c r="Y205" s="192"/>
      <c r="Z205" s="192"/>
      <c r="AA205" s="192"/>
      <c r="AB205" s="192">
        <f>$K$236*(1-AH205)</f>
        <v>0.14199999999999999</v>
      </c>
      <c r="AC205" s="192"/>
      <c r="AD205" s="208"/>
      <c r="AE205" s="208">
        <f>ROUND((T205*AB205),2)</f>
        <v>0</v>
      </c>
      <c r="AF205" s="193">
        <f>AD205+AE205</f>
        <v>0</v>
      </c>
      <c r="AG205" s="209"/>
      <c r="AH205" s="169">
        <v>0</v>
      </c>
    </row>
    <row r="206" spans="2:34" x14ac:dyDescent="0.25">
      <c r="B206" s="1"/>
      <c r="C206" s="210" t="s">
        <v>162</v>
      </c>
      <c r="D206" s="211"/>
      <c r="E206" s="211"/>
      <c r="F206" s="211"/>
      <c r="G206" s="211"/>
      <c r="H206" s="211"/>
      <c r="I206" s="211"/>
      <c r="J206" s="211"/>
      <c r="K206" s="211"/>
      <c r="L206" s="211"/>
      <c r="M206" s="211"/>
      <c r="N206" s="212"/>
      <c r="O206" s="213">
        <f>SUM(O202:O205)</f>
        <v>0</v>
      </c>
      <c r="P206" s="1"/>
      <c r="Q206" s="1"/>
      <c r="S206" s="1"/>
      <c r="T206" s="210" t="s">
        <v>162</v>
      </c>
      <c r="U206" s="211"/>
      <c r="V206" s="211"/>
      <c r="W206" s="211"/>
      <c r="X206" s="211"/>
      <c r="Y206" s="211"/>
      <c r="Z206" s="211"/>
      <c r="AA206" s="211"/>
      <c r="AB206" s="211"/>
      <c r="AC206" s="211"/>
      <c r="AD206" s="211"/>
      <c r="AE206" s="212"/>
      <c r="AF206" s="213">
        <f>SUM(AF202:AF205)</f>
        <v>0</v>
      </c>
      <c r="AG206" s="1"/>
      <c r="AH206" s="1"/>
    </row>
    <row r="208" spans="2:34" x14ac:dyDescent="0.25">
      <c r="B208" s="1" t="s">
        <v>155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S208" s="1" t="s">
        <v>358</v>
      </c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spans="2:34" x14ac:dyDescent="0.25">
      <c r="B209" s="105" t="s">
        <v>14</v>
      </c>
      <c r="C209" s="105"/>
      <c r="D209" s="105"/>
      <c r="E209" s="105"/>
      <c r="F209" s="105"/>
      <c r="G209" s="105"/>
      <c r="H209" s="116"/>
      <c r="I209" s="116"/>
      <c r="J209" s="117"/>
      <c r="K209" s="203">
        <f>N4</f>
        <v>1.8849999999999999E-2</v>
      </c>
      <c r="L209" s="204"/>
      <c r="M209" s="106"/>
      <c r="N209" s="106"/>
      <c r="O209" s="118"/>
      <c r="P209" s="1"/>
      <c r="Q209" s="1"/>
      <c r="S209" s="105" t="s">
        <v>14</v>
      </c>
      <c r="T209" s="105"/>
      <c r="U209" s="105"/>
      <c r="V209" s="105"/>
      <c r="W209" s="105"/>
      <c r="X209" s="105"/>
      <c r="Y209" s="116"/>
      <c r="Z209" s="116"/>
      <c r="AA209" s="117"/>
      <c r="AB209" s="203">
        <f>K209</f>
        <v>1.8849999999999999E-2</v>
      </c>
      <c r="AC209" s="204"/>
      <c r="AD209" s="106"/>
      <c r="AE209" s="106"/>
      <c r="AF209" s="118"/>
      <c r="AG209" s="1"/>
      <c r="AH209" s="1"/>
    </row>
    <row r="210" spans="2:34" ht="27.2" x14ac:dyDescent="0.25">
      <c r="B210" s="1"/>
      <c r="C210" s="345" t="s">
        <v>156</v>
      </c>
      <c r="D210" s="512"/>
      <c r="E210" s="513"/>
      <c r="F210" s="346"/>
      <c r="G210" s="512"/>
      <c r="H210" s="513"/>
      <c r="I210" s="346"/>
      <c r="J210" s="512" t="s">
        <v>157</v>
      </c>
      <c r="K210" s="513"/>
      <c r="L210" s="346"/>
      <c r="M210" s="512" t="s">
        <v>158</v>
      </c>
      <c r="N210" s="513"/>
      <c r="O210" s="347" t="s">
        <v>159</v>
      </c>
      <c r="P210" s="1"/>
      <c r="Q210" s="46"/>
      <c r="S210" s="1"/>
      <c r="T210" s="353" t="s">
        <v>156</v>
      </c>
      <c r="U210" s="510"/>
      <c r="V210" s="511"/>
      <c r="W210" s="354"/>
      <c r="X210" s="510"/>
      <c r="Y210" s="511"/>
      <c r="Z210" s="354"/>
      <c r="AA210" s="510" t="s">
        <v>157</v>
      </c>
      <c r="AB210" s="511"/>
      <c r="AC210" s="354"/>
      <c r="AD210" s="510" t="s">
        <v>158</v>
      </c>
      <c r="AE210" s="511"/>
      <c r="AF210" s="355" t="s">
        <v>159</v>
      </c>
      <c r="AG210" s="1"/>
      <c r="AH210" s="46"/>
    </row>
    <row r="211" spans="2:34" x14ac:dyDescent="0.25">
      <c r="B211" s="1"/>
      <c r="C211" s="348" t="s">
        <v>160</v>
      </c>
      <c r="D211" s="348"/>
      <c r="E211" s="348"/>
      <c r="F211" s="348"/>
      <c r="G211" s="348"/>
      <c r="H211" s="348"/>
      <c r="I211" s="348"/>
      <c r="J211" s="348"/>
      <c r="K211" s="348" t="s">
        <v>9</v>
      </c>
      <c r="L211" s="348"/>
      <c r="M211" s="348" t="s">
        <v>33</v>
      </c>
      <c r="N211" s="348" t="s">
        <v>9</v>
      </c>
      <c r="O211" s="348" t="s">
        <v>161</v>
      </c>
      <c r="P211" s="1"/>
      <c r="S211" s="1"/>
      <c r="T211" s="356" t="s">
        <v>160</v>
      </c>
      <c r="U211" s="356"/>
      <c r="V211" s="356"/>
      <c r="W211" s="356"/>
      <c r="X211" s="356"/>
      <c r="Y211" s="356"/>
      <c r="Z211" s="356"/>
      <c r="AA211" s="356"/>
      <c r="AB211" s="356" t="s">
        <v>9</v>
      </c>
      <c r="AC211" s="356"/>
      <c r="AD211" s="356" t="s">
        <v>33</v>
      </c>
      <c r="AE211" s="356" t="s">
        <v>9</v>
      </c>
      <c r="AF211" s="356" t="s">
        <v>161</v>
      </c>
      <c r="AG211" s="1"/>
    </row>
    <row r="212" spans="2:34" x14ac:dyDescent="0.25">
      <c r="B212" s="1"/>
      <c r="C212" s="206">
        <f>IF($K$12=$B$209,(D116*($K$14)/($K$14+$L$14)),0)+IF($L$12=$B$209,(D116*($L$14)/($K$14+$L$14)),0)</f>
        <v>30</v>
      </c>
      <c r="D212" s="207"/>
      <c r="E212" s="207"/>
      <c r="F212" s="207"/>
      <c r="G212" s="192"/>
      <c r="H212" s="192"/>
      <c r="I212" s="192"/>
      <c r="J212" s="192"/>
      <c r="K212" s="192">
        <f>$K$209*(1-Q212)</f>
        <v>6.5974999999999992E-3</v>
      </c>
      <c r="L212" s="192"/>
      <c r="M212" s="208"/>
      <c r="N212" s="208">
        <f>ROUND((C212*K212),2)</f>
        <v>0.2</v>
      </c>
      <c r="O212" s="193">
        <f>M212+N212</f>
        <v>0.2</v>
      </c>
      <c r="P212" s="209"/>
      <c r="Q212" s="169">
        <v>0.65</v>
      </c>
      <c r="S212" s="1"/>
      <c r="T212" s="206">
        <f>IF($K$12=$B$248,(63*($K$14)/($K$14+$L$14)),0)+IF($L$12=$B$248,(63*($L$14)/($K$14+$L$14)),0)</f>
        <v>63</v>
      </c>
      <c r="U212" s="207"/>
      <c r="V212" s="207"/>
      <c r="W212" s="207"/>
      <c r="X212" s="192"/>
      <c r="Y212" s="192"/>
      <c r="Z212" s="192"/>
      <c r="AA212" s="192"/>
      <c r="AB212" s="192">
        <f>$K$209*(1-AH212)</f>
        <v>6.5974999999999992E-3</v>
      </c>
      <c r="AC212" s="192"/>
      <c r="AD212" s="208"/>
      <c r="AE212" s="208">
        <f>ROUND((T212*AB212),2)</f>
        <v>0.42</v>
      </c>
      <c r="AF212" s="193">
        <f>AD212+AE212</f>
        <v>0.42</v>
      </c>
      <c r="AG212" s="209"/>
      <c r="AH212" s="169">
        <v>0.65</v>
      </c>
    </row>
    <row r="213" spans="2:34" x14ac:dyDescent="0.25">
      <c r="B213" s="1"/>
      <c r="C213" s="206">
        <f>IF($K$12=$B$209,(D117*($K$14)/($K$14+$L$14)),0)+IF($L$12=$B$209,(D117*($L$14)/($K$14+$L$14)),0)</f>
        <v>70</v>
      </c>
      <c r="D213" s="207"/>
      <c r="E213" s="207"/>
      <c r="F213" s="207"/>
      <c r="G213" s="192"/>
      <c r="H213" s="192"/>
      <c r="I213" s="192"/>
      <c r="J213" s="192"/>
      <c r="K213" s="192">
        <f>$K$209*(1-Q213)</f>
        <v>1.1309999999999999E-2</v>
      </c>
      <c r="L213" s="192"/>
      <c r="M213" s="208"/>
      <c r="N213" s="208">
        <f>ROUND((C213*K213),2)</f>
        <v>0.79</v>
      </c>
      <c r="O213" s="193">
        <f>M213+N213</f>
        <v>0.79</v>
      </c>
      <c r="P213" s="209"/>
      <c r="Q213" s="169">
        <v>0.4</v>
      </c>
      <c r="S213" s="1"/>
      <c r="T213" s="206">
        <f>IF($K$12=$B$248,(J127*($K$14)/($K$14+$L$14)),0)+IF($L$12=$B$248,(J127*($L$14)/($K$14+$L$14)),0)</f>
        <v>-70</v>
      </c>
      <c r="U213" s="207"/>
      <c r="V213" s="207"/>
      <c r="W213" s="207"/>
      <c r="X213" s="192"/>
      <c r="Y213" s="192"/>
      <c r="Z213" s="192"/>
      <c r="AA213" s="192"/>
      <c r="AB213" s="192">
        <f>$K$209*(1-AH213)</f>
        <v>1.1309999999999999E-2</v>
      </c>
      <c r="AC213" s="192"/>
      <c r="AD213" s="208"/>
      <c r="AE213" s="208">
        <f>ROUND((T213*AB213),2)</f>
        <v>-0.79</v>
      </c>
      <c r="AF213" s="193">
        <f>AD213+AE213</f>
        <v>-0.79</v>
      </c>
      <c r="AG213" s="209"/>
      <c r="AH213" s="169">
        <v>0.4</v>
      </c>
    </row>
    <row r="214" spans="2:34" x14ac:dyDescent="0.25">
      <c r="B214" s="1"/>
      <c r="C214" s="206">
        <f>IF($K$12=$B$209,(D118*($K$14)/($K$14+$L$14)),0)+IF($L$12=$B$209,(D118*($L$14)/($K$14+$L$14)),0)</f>
        <v>120</v>
      </c>
      <c r="D214" s="207"/>
      <c r="E214" s="207"/>
      <c r="F214" s="207"/>
      <c r="G214" s="192"/>
      <c r="H214" s="192"/>
      <c r="I214" s="192"/>
      <c r="J214" s="192"/>
      <c r="K214" s="192">
        <f>$K$209*(1-Q214)</f>
        <v>1.6965000000000001E-2</v>
      </c>
      <c r="L214" s="192"/>
      <c r="M214" s="208"/>
      <c r="N214" s="208">
        <f>ROUND((C214*K214),2)</f>
        <v>2.04</v>
      </c>
      <c r="O214" s="193">
        <f>M214+N214</f>
        <v>2.04</v>
      </c>
      <c r="P214" s="209"/>
      <c r="Q214" s="169">
        <v>0.1</v>
      </c>
      <c r="S214" s="1"/>
      <c r="T214" s="206">
        <f>IF($K$12=$B$248,(J128*($K$14)/($K$14+$L$14)),0)+IF($L$12=$B$248,(J128*($L$14)/($K$14+$L$14)),0)</f>
        <v>-120</v>
      </c>
      <c r="U214" s="207"/>
      <c r="V214" s="207"/>
      <c r="W214" s="207"/>
      <c r="X214" s="192"/>
      <c r="Y214" s="192"/>
      <c r="Z214" s="192"/>
      <c r="AA214" s="192"/>
      <c r="AB214" s="192">
        <f>$K$209*(1-AH214)</f>
        <v>1.6965000000000001E-2</v>
      </c>
      <c r="AC214" s="192"/>
      <c r="AD214" s="208"/>
      <c r="AE214" s="208">
        <f>ROUND((T214*AB214),2)</f>
        <v>-2.04</v>
      </c>
      <c r="AF214" s="193">
        <f>AD214+AE214</f>
        <v>-2.04</v>
      </c>
      <c r="AG214" s="209"/>
      <c r="AH214" s="169">
        <v>0.1</v>
      </c>
    </row>
    <row r="215" spans="2:34" x14ac:dyDescent="0.25">
      <c r="B215" s="1"/>
      <c r="C215" s="206">
        <f>IF($K$12=$B$209,(D119*($K$14)/($K$14+$L$14)),0)+IF($L$12=$B$209,(D119*($L$14)/($K$14+$L$14)),0)</f>
        <v>96</v>
      </c>
      <c r="D215" s="207"/>
      <c r="E215" s="207"/>
      <c r="F215" s="207"/>
      <c r="G215" s="192"/>
      <c r="H215" s="192"/>
      <c r="I215" s="192"/>
      <c r="J215" s="192"/>
      <c r="K215" s="192">
        <f>$K$209*(1-Q215)</f>
        <v>1.8849999999999999E-2</v>
      </c>
      <c r="L215" s="192"/>
      <c r="M215" s="208"/>
      <c r="N215" s="208">
        <f>ROUND((C215*K215),2)</f>
        <v>1.81</v>
      </c>
      <c r="O215" s="193">
        <f>M215+N215</f>
        <v>1.81</v>
      </c>
      <c r="P215" s="209"/>
      <c r="Q215" s="169">
        <v>0</v>
      </c>
      <c r="S215" s="1"/>
      <c r="T215" s="206">
        <f>IF($K$12=$B$248,(J129*($K$14)/($K$14+$L$14)),0)+IF($L$12=$B$248,(J129*($L$14)/($K$14+$L$14)),0)</f>
        <v>-1</v>
      </c>
      <c r="U215" s="207"/>
      <c r="V215" s="207"/>
      <c r="W215" s="207"/>
      <c r="X215" s="192"/>
      <c r="Y215" s="192"/>
      <c r="Z215" s="192"/>
      <c r="AA215" s="192"/>
      <c r="AB215" s="192">
        <f>$K$209*(1-AH215)</f>
        <v>1.8849999999999999E-2</v>
      </c>
      <c r="AC215" s="192"/>
      <c r="AD215" s="208"/>
      <c r="AE215" s="208">
        <f>ROUND((T215*AB215),2)</f>
        <v>-0.02</v>
      </c>
      <c r="AF215" s="193">
        <f>AD215+AE215</f>
        <v>-0.02</v>
      </c>
      <c r="AG215" s="209"/>
      <c r="AH215" s="169">
        <v>0</v>
      </c>
    </row>
    <row r="216" spans="2:34" x14ac:dyDescent="0.25">
      <c r="B216" s="1"/>
      <c r="C216" s="210" t="s">
        <v>162</v>
      </c>
      <c r="D216" s="211"/>
      <c r="E216" s="211"/>
      <c r="F216" s="211"/>
      <c r="G216" s="211"/>
      <c r="H216" s="211"/>
      <c r="I216" s="211"/>
      <c r="J216" s="211"/>
      <c r="K216" s="211"/>
      <c r="L216" s="211"/>
      <c r="M216" s="211"/>
      <c r="N216" s="212"/>
      <c r="O216" s="213">
        <f>SUM(O212:O215)</f>
        <v>4.84</v>
      </c>
      <c r="P216" s="1"/>
      <c r="Q216" s="1"/>
      <c r="S216" s="1"/>
      <c r="T216" s="210" t="s">
        <v>162</v>
      </c>
      <c r="U216" s="211"/>
      <c r="V216" s="211"/>
      <c r="W216" s="211"/>
      <c r="X216" s="211"/>
      <c r="Y216" s="211"/>
      <c r="Z216" s="211"/>
      <c r="AA216" s="211"/>
      <c r="AB216" s="211"/>
      <c r="AC216" s="211"/>
      <c r="AD216" s="211"/>
      <c r="AE216" s="212"/>
      <c r="AF216" s="213">
        <f>SUM(AF212:AF215)</f>
        <v>-2.4300000000000002</v>
      </c>
      <c r="AG216" s="1"/>
      <c r="AH216" s="1"/>
    </row>
    <row r="217" spans="2:34" x14ac:dyDescent="0.25">
      <c r="B217" s="105"/>
      <c r="C217" s="105"/>
      <c r="D217" s="105"/>
      <c r="E217" s="105"/>
      <c r="F217" s="105"/>
      <c r="G217" s="105"/>
      <c r="H217" s="116"/>
      <c r="I217" s="116"/>
      <c r="J217" s="117"/>
      <c r="K217" s="117"/>
      <c r="L217" s="117"/>
      <c r="M217" s="106"/>
      <c r="N217" s="106"/>
      <c r="O217" s="214"/>
      <c r="P217" s="1"/>
      <c r="Q217" s="1"/>
      <c r="S217" s="105"/>
      <c r="T217" s="105"/>
      <c r="U217" s="105"/>
      <c r="V217" s="105"/>
      <c r="W217" s="105"/>
      <c r="X217" s="105"/>
      <c r="Y217" s="116"/>
      <c r="Z217" s="116"/>
      <c r="AA217" s="117"/>
      <c r="AB217" s="117"/>
      <c r="AC217" s="117"/>
      <c r="AD217" s="106"/>
      <c r="AE217" s="106"/>
      <c r="AF217" s="214"/>
      <c r="AG217" s="1"/>
      <c r="AH217" s="1"/>
    </row>
    <row r="218" spans="2:34" x14ac:dyDescent="0.25">
      <c r="B218" s="105" t="s">
        <v>15</v>
      </c>
      <c r="C218" s="105"/>
      <c r="D218" s="105"/>
      <c r="E218" s="105"/>
      <c r="F218" s="105"/>
      <c r="G218" s="105"/>
      <c r="H218" s="116"/>
      <c r="I218" s="116"/>
      <c r="J218" s="117"/>
      <c r="K218" s="203">
        <f>N5</f>
        <v>4.4630000000000003E-2</v>
      </c>
      <c r="L218" s="204"/>
      <c r="M218" s="106"/>
      <c r="N218" s="106"/>
      <c r="O218" s="118"/>
      <c r="P218" s="1"/>
      <c r="Q218" s="1"/>
      <c r="S218" s="105" t="s">
        <v>15</v>
      </c>
      <c r="T218" s="105"/>
      <c r="U218" s="105"/>
      <c r="V218" s="105"/>
      <c r="W218" s="105"/>
      <c r="X218" s="105"/>
      <c r="Y218" s="116"/>
      <c r="Z218" s="116"/>
      <c r="AA218" s="117"/>
      <c r="AB218" s="203">
        <f>K218</f>
        <v>4.4630000000000003E-2</v>
      </c>
      <c r="AC218" s="204"/>
      <c r="AD218" s="106"/>
      <c r="AE218" s="106"/>
      <c r="AF218" s="118"/>
      <c r="AG218" s="1"/>
      <c r="AH218" s="1"/>
    </row>
    <row r="219" spans="2:34" ht="27.2" x14ac:dyDescent="0.25">
      <c r="B219" s="1"/>
      <c r="C219" s="345" t="s">
        <v>156</v>
      </c>
      <c r="D219" s="512"/>
      <c r="E219" s="513"/>
      <c r="F219" s="346"/>
      <c r="G219" s="512"/>
      <c r="H219" s="513"/>
      <c r="I219" s="346"/>
      <c r="J219" s="512" t="s">
        <v>32</v>
      </c>
      <c r="K219" s="513"/>
      <c r="L219" s="346"/>
      <c r="M219" s="512" t="s">
        <v>158</v>
      </c>
      <c r="N219" s="513"/>
      <c r="O219" s="347" t="s">
        <v>159</v>
      </c>
      <c r="P219" s="1"/>
      <c r="Q219" s="46"/>
      <c r="S219" s="1"/>
      <c r="T219" s="353" t="s">
        <v>156</v>
      </c>
      <c r="U219" s="510"/>
      <c r="V219" s="511"/>
      <c r="W219" s="354"/>
      <c r="X219" s="510"/>
      <c r="Y219" s="511"/>
      <c r="Z219" s="354"/>
      <c r="AA219" s="510" t="s">
        <v>32</v>
      </c>
      <c r="AB219" s="511"/>
      <c r="AC219" s="354"/>
      <c r="AD219" s="510" t="s">
        <v>158</v>
      </c>
      <c r="AE219" s="511"/>
      <c r="AF219" s="355" t="s">
        <v>159</v>
      </c>
      <c r="AG219" s="1"/>
      <c r="AH219" s="46"/>
    </row>
    <row r="220" spans="2:34" x14ac:dyDescent="0.25">
      <c r="B220" s="1"/>
      <c r="C220" s="348" t="s">
        <v>160</v>
      </c>
      <c r="D220" s="348"/>
      <c r="E220" s="348"/>
      <c r="F220" s="348"/>
      <c r="G220" s="348" t="s">
        <v>33</v>
      </c>
      <c r="H220" s="348" t="s">
        <v>9</v>
      </c>
      <c r="I220" s="348"/>
      <c r="J220" s="348" t="s">
        <v>33</v>
      </c>
      <c r="K220" s="348" t="s">
        <v>9</v>
      </c>
      <c r="L220" s="348"/>
      <c r="M220" s="348" t="s">
        <v>33</v>
      </c>
      <c r="N220" s="348" t="s">
        <v>9</v>
      </c>
      <c r="O220" s="348" t="s">
        <v>161</v>
      </c>
      <c r="P220" s="1"/>
      <c r="S220" s="1"/>
      <c r="T220" s="356" t="s">
        <v>160</v>
      </c>
      <c r="U220" s="356"/>
      <c r="V220" s="356"/>
      <c r="W220" s="356"/>
      <c r="X220" s="356" t="s">
        <v>33</v>
      </c>
      <c r="Y220" s="356" t="s">
        <v>9</v>
      </c>
      <c r="Z220" s="356"/>
      <c r="AA220" s="356" t="s">
        <v>33</v>
      </c>
      <c r="AB220" s="356" t="s">
        <v>9</v>
      </c>
      <c r="AC220" s="356"/>
      <c r="AD220" s="356" t="s">
        <v>33</v>
      </c>
      <c r="AE220" s="356" t="s">
        <v>9</v>
      </c>
      <c r="AF220" s="356" t="s">
        <v>161</v>
      </c>
      <c r="AG220" s="1"/>
    </row>
    <row r="221" spans="2:34" x14ac:dyDescent="0.25">
      <c r="B221" s="1"/>
      <c r="C221" s="206">
        <f>IF($K$12=$B$218,(D116*($K$14)/($K$14+$L$14)),0)+IF($L$12=$B$218,(D116*($L$14)/($K$14+$L$14)),0)</f>
        <v>0</v>
      </c>
      <c r="D221" s="207"/>
      <c r="E221" s="207"/>
      <c r="F221" s="207"/>
      <c r="G221" s="192"/>
      <c r="H221" s="192"/>
      <c r="I221" s="192"/>
      <c r="J221" s="192"/>
      <c r="K221" s="192">
        <f>$K$218*(1-Q221)</f>
        <v>1.5620500000000001E-2</v>
      </c>
      <c r="L221" s="192"/>
      <c r="M221" s="208"/>
      <c r="N221" s="208">
        <f>ROUND((C221*K221),2)</f>
        <v>0</v>
      </c>
      <c r="O221" s="193">
        <f>M221+N221</f>
        <v>0</v>
      </c>
      <c r="P221" s="209"/>
      <c r="Q221" s="169">
        <v>0.65</v>
      </c>
      <c r="S221" s="1"/>
      <c r="T221" s="206">
        <f>IF($K$12=$B$257,(J126*($K$14)/($K$14+$L$14)),0)+IF($L$12=$B$257,(J126*($L$14)/($K$14+$L$14)),0)</f>
        <v>0</v>
      </c>
      <c r="U221" s="207"/>
      <c r="V221" s="207"/>
      <c r="W221" s="207"/>
      <c r="X221" s="192"/>
      <c r="Y221" s="192"/>
      <c r="Z221" s="192"/>
      <c r="AA221" s="192"/>
      <c r="AB221" s="192">
        <f>$K$218*(1-AH221)</f>
        <v>1.5620500000000001E-2</v>
      </c>
      <c r="AC221" s="192"/>
      <c r="AD221" s="208"/>
      <c r="AE221" s="208">
        <f>ROUND((T221*AB221),2)</f>
        <v>0</v>
      </c>
      <c r="AF221" s="193">
        <f>AD221+AE221</f>
        <v>0</v>
      </c>
      <c r="AG221" s="209"/>
      <c r="AH221" s="169">
        <v>0.65</v>
      </c>
    </row>
    <row r="222" spans="2:34" x14ac:dyDescent="0.25">
      <c r="B222" s="1"/>
      <c r="C222" s="206">
        <f>IF($K$12=$B$218,(D117*($K$14)/($K$14+$L$14)),0)+IF($L$12=$B$218,(D117*($L$14)/($K$14+$L$14)),0)</f>
        <v>0</v>
      </c>
      <c r="D222" s="207"/>
      <c r="E222" s="207"/>
      <c r="F222" s="207"/>
      <c r="G222" s="192"/>
      <c r="H222" s="192"/>
      <c r="I222" s="192"/>
      <c r="J222" s="192"/>
      <c r="K222" s="192">
        <f>$K$218*(1-Q222)</f>
        <v>2.6778E-2</v>
      </c>
      <c r="L222" s="192"/>
      <c r="M222" s="208"/>
      <c r="N222" s="208">
        <f>ROUND((C222*K222),2)</f>
        <v>0</v>
      </c>
      <c r="O222" s="193">
        <f>M222+N222</f>
        <v>0</v>
      </c>
      <c r="P222" s="209"/>
      <c r="Q222" s="169">
        <v>0.4</v>
      </c>
      <c r="S222" s="1"/>
      <c r="T222" s="206">
        <f>IF($K$12=$B$257,(J127*($K$14)/($K$14+$L$14)),0)+IF($L$12=$B$257,(J127*($L$14)/($K$14+$L$14)),0)</f>
        <v>0</v>
      </c>
      <c r="U222" s="207"/>
      <c r="V222" s="207"/>
      <c r="W222" s="207"/>
      <c r="X222" s="192"/>
      <c r="Y222" s="192"/>
      <c r="Z222" s="192"/>
      <c r="AA222" s="192"/>
      <c r="AB222" s="192">
        <f>$K$218*(1-AH222)</f>
        <v>2.6778E-2</v>
      </c>
      <c r="AC222" s="192"/>
      <c r="AD222" s="208"/>
      <c r="AE222" s="208">
        <f>ROUND((T222*AB222),2)</f>
        <v>0</v>
      </c>
      <c r="AF222" s="193">
        <f>AD222+AE222</f>
        <v>0</v>
      </c>
      <c r="AG222" s="209"/>
      <c r="AH222" s="169">
        <v>0.4</v>
      </c>
    </row>
    <row r="223" spans="2:34" x14ac:dyDescent="0.25">
      <c r="B223" s="1"/>
      <c r="C223" s="206">
        <f>IF($K$12=$B$218,(D118*($K$14)/($K$14+$L$14)),0)+IF($L$12=$B$218,(D118*($L$14)/($K$14+$L$14)),0)</f>
        <v>0</v>
      </c>
      <c r="D223" s="207"/>
      <c r="E223" s="207"/>
      <c r="F223" s="207"/>
      <c r="G223" s="192"/>
      <c r="H223" s="192"/>
      <c r="I223" s="192"/>
      <c r="J223" s="192"/>
      <c r="K223" s="192">
        <f>$K$218*(1-Q223)</f>
        <v>4.0167000000000001E-2</v>
      </c>
      <c r="L223" s="192"/>
      <c r="M223" s="208"/>
      <c r="N223" s="208">
        <f>ROUND((C223*K223),2)</f>
        <v>0</v>
      </c>
      <c r="O223" s="193">
        <f>M223+N223</f>
        <v>0</v>
      </c>
      <c r="P223" s="209"/>
      <c r="Q223" s="169">
        <v>0.1</v>
      </c>
      <c r="S223" s="1"/>
      <c r="T223" s="206">
        <f>IF($K$12=$B$257,(J128*($K$14)/($K$14+$L$14)),0)+IF($L$12=$B$257,(J128*($L$14)/($K$14+$L$14)),0)</f>
        <v>0</v>
      </c>
      <c r="U223" s="207"/>
      <c r="V223" s="207"/>
      <c r="W223" s="207"/>
      <c r="X223" s="192"/>
      <c r="Y223" s="192"/>
      <c r="Z223" s="192"/>
      <c r="AA223" s="192"/>
      <c r="AB223" s="192">
        <f>$K$218*(1-AH223)</f>
        <v>4.0167000000000001E-2</v>
      </c>
      <c r="AC223" s="192"/>
      <c r="AD223" s="208"/>
      <c r="AE223" s="208">
        <f>ROUND((T223*AB223),2)</f>
        <v>0</v>
      </c>
      <c r="AF223" s="193">
        <f>AD223+AE223</f>
        <v>0</v>
      </c>
      <c r="AG223" s="209"/>
      <c r="AH223" s="169">
        <v>0.1</v>
      </c>
    </row>
    <row r="224" spans="2:34" x14ac:dyDescent="0.25">
      <c r="B224" s="1"/>
      <c r="C224" s="206">
        <f>IF($K$12=$B$218,(D119*($K$14)/($K$14+$L$14)),0)+IF($L$12=$B$218,(D119*($L$14)/($K$14+$L$14)),0)</f>
        <v>0</v>
      </c>
      <c r="D224" s="207"/>
      <c r="E224" s="207"/>
      <c r="F224" s="207"/>
      <c r="G224" s="192"/>
      <c r="H224" s="192"/>
      <c r="I224" s="192"/>
      <c r="J224" s="192"/>
      <c r="K224" s="192">
        <f>$K$218*(1-Q224)</f>
        <v>4.4630000000000003E-2</v>
      </c>
      <c r="L224" s="192"/>
      <c r="M224" s="208"/>
      <c r="N224" s="208">
        <f>ROUND((C224*K224),2)</f>
        <v>0</v>
      </c>
      <c r="O224" s="193">
        <f>M224+N224</f>
        <v>0</v>
      </c>
      <c r="P224" s="209"/>
      <c r="Q224" s="169">
        <v>0</v>
      </c>
      <c r="S224" s="1"/>
      <c r="T224" s="206">
        <f>IF($K$12=$B$257,(J129*($K$14)/($K$14+$L$14)),0)+IF($L$12=$B$257,(J129*($L$14)/($K$14+$L$14)),0)</f>
        <v>0</v>
      </c>
      <c r="U224" s="207"/>
      <c r="V224" s="207"/>
      <c r="W224" s="207"/>
      <c r="X224" s="192"/>
      <c r="Y224" s="192"/>
      <c r="Z224" s="192"/>
      <c r="AA224" s="192"/>
      <c r="AB224" s="192">
        <f>$K$218*(1-AH224)</f>
        <v>4.4630000000000003E-2</v>
      </c>
      <c r="AC224" s="192"/>
      <c r="AD224" s="208"/>
      <c r="AE224" s="208">
        <f>ROUND((T224*AB224),2)</f>
        <v>0</v>
      </c>
      <c r="AF224" s="193">
        <f>AD224+AE224</f>
        <v>0</v>
      </c>
      <c r="AG224" s="209"/>
      <c r="AH224" s="169">
        <v>0</v>
      </c>
    </row>
    <row r="225" spans="2:34" x14ac:dyDescent="0.25">
      <c r="B225" s="1"/>
      <c r="C225" s="210" t="s">
        <v>162</v>
      </c>
      <c r="D225" s="211"/>
      <c r="E225" s="211"/>
      <c r="F225" s="211"/>
      <c r="G225" s="211"/>
      <c r="H225" s="211"/>
      <c r="I225" s="211"/>
      <c r="J225" s="211"/>
      <c r="K225" s="211"/>
      <c r="L225" s="211"/>
      <c r="M225" s="211"/>
      <c r="N225" s="212"/>
      <c r="O225" s="213">
        <f>SUM(O221:O224)</f>
        <v>0</v>
      </c>
      <c r="P225" s="1"/>
      <c r="Q225" s="1"/>
      <c r="S225" s="1"/>
      <c r="T225" s="210" t="s">
        <v>162</v>
      </c>
      <c r="U225" s="211"/>
      <c r="V225" s="211"/>
      <c r="W225" s="211"/>
      <c r="X225" s="211"/>
      <c r="Y225" s="211"/>
      <c r="Z225" s="211"/>
      <c r="AA225" s="211"/>
      <c r="AB225" s="211"/>
      <c r="AC225" s="211"/>
      <c r="AD225" s="211"/>
      <c r="AE225" s="212"/>
      <c r="AF225" s="213">
        <f>SUM(AF221:AF224)</f>
        <v>0</v>
      </c>
      <c r="AG225" s="1"/>
      <c r="AH225" s="1"/>
    </row>
    <row r="226" spans="2:34" x14ac:dyDescent="0.25">
      <c r="B226" s="105"/>
      <c r="C226" s="105"/>
      <c r="D226" s="105"/>
      <c r="E226" s="105"/>
      <c r="F226" s="105"/>
      <c r="G226" s="105"/>
      <c r="H226" s="116"/>
      <c r="I226" s="116"/>
      <c r="J226" s="117"/>
      <c r="K226" s="117"/>
      <c r="L226" s="117"/>
      <c r="M226" s="106"/>
      <c r="N226" s="106"/>
      <c r="O226" s="118"/>
      <c r="P226" s="1"/>
      <c r="Q226" s="1"/>
      <c r="S226" s="105"/>
      <c r="T226" s="105"/>
      <c r="U226" s="105"/>
      <c r="V226" s="105"/>
      <c r="W226" s="105"/>
      <c r="X226" s="105"/>
      <c r="Y226" s="116"/>
      <c r="Z226" s="116"/>
      <c r="AA226" s="117"/>
      <c r="AB226" s="117"/>
      <c r="AC226" s="117"/>
      <c r="AD226" s="106"/>
      <c r="AE226" s="106"/>
      <c r="AF226" s="118"/>
      <c r="AG226" s="1"/>
      <c r="AH226" s="1"/>
    </row>
    <row r="227" spans="2:34" x14ac:dyDescent="0.25">
      <c r="B227" s="105" t="s">
        <v>16</v>
      </c>
      <c r="C227" s="105"/>
      <c r="D227" s="105"/>
      <c r="E227" s="105"/>
      <c r="F227" s="105"/>
      <c r="G227" s="105"/>
      <c r="H227" s="116"/>
      <c r="I227" s="116"/>
      <c r="J227" s="117"/>
      <c r="K227" s="203">
        <f>N6</f>
        <v>7.8770000000000007E-2</v>
      </c>
      <c r="L227" s="204"/>
      <c r="M227" s="106"/>
      <c r="N227" s="106"/>
      <c r="O227" s="118"/>
      <c r="P227" s="1"/>
      <c r="Q227" s="1"/>
      <c r="S227" s="105" t="s">
        <v>16</v>
      </c>
      <c r="T227" s="105"/>
      <c r="U227" s="105"/>
      <c r="V227" s="105"/>
      <c r="W227" s="105"/>
      <c r="X227" s="105"/>
      <c r="Y227" s="116"/>
      <c r="Z227" s="116"/>
      <c r="AA227" s="117"/>
      <c r="AB227" s="203">
        <f>K227</f>
        <v>7.8770000000000007E-2</v>
      </c>
      <c r="AC227" s="204"/>
      <c r="AD227" s="106"/>
      <c r="AE227" s="106"/>
      <c r="AF227" s="118"/>
      <c r="AG227" s="1"/>
      <c r="AH227" s="1"/>
    </row>
    <row r="228" spans="2:34" ht="27.2" x14ac:dyDescent="0.25">
      <c r="B228" s="1"/>
      <c r="C228" s="345" t="s">
        <v>156</v>
      </c>
      <c r="D228" s="512"/>
      <c r="E228" s="513"/>
      <c r="F228" s="346"/>
      <c r="G228" s="512"/>
      <c r="H228" s="513"/>
      <c r="I228" s="346"/>
      <c r="J228" s="512" t="s">
        <v>32</v>
      </c>
      <c r="K228" s="513"/>
      <c r="L228" s="346"/>
      <c r="M228" s="512" t="s">
        <v>158</v>
      </c>
      <c r="N228" s="513"/>
      <c r="O228" s="347" t="s">
        <v>159</v>
      </c>
      <c r="P228" s="1"/>
      <c r="Q228" s="46"/>
      <c r="S228" s="1"/>
      <c r="T228" s="353" t="s">
        <v>156</v>
      </c>
      <c r="U228" s="510"/>
      <c r="V228" s="511"/>
      <c r="W228" s="354"/>
      <c r="X228" s="510"/>
      <c r="Y228" s="511"/>
      <c r="Z228" s="354"/>
      <c r="AA228" s="510" t="s">
        <v>32</v>
      </c>
      <c r="AB228" s="511"/>
      <c r="AC228" s="354"/>
      <c r="AD228" s="510" t="s">
        <v>158</v>
      </c>
      <c r="AE228" s="511"/>
      <c r="AF228" s="355" t="s">
        <v>159</v>
      </c>
      <c r="AG228" s="1"/>
      <c r="AH228" s="46"/>
    </row>
    <row r="229" spans="2:34" x14ac:dyDescent="0.25">
      <c r="B229" s="1"/>
      <c r="C229" s="348" t="s">
        <v>160</v>
      </c>
      <c r="D229" s="348"/>
      <c r="E229" s="348"/>
      <c r="F229" s="348"/>
      <c r="G229" s="348" t="s">
        <v>33</v>
      </c>
      <c r="H229" s="348" t="s">
        <v>9</v>
      </c>
      <c r="I229" s="348"/>
      <c r="J229" s="348" t="s">
        <v>33</v>
      </c>
      <c r="K229" s="348" t="s">
        <v>9</v>
      </c>
      <c r="L229" s="348"/>
      <c r="M229" s="348" t="s">
        <v>33</v>
      </c>
      <c r="N229" s="348" t="s">
        <v>9</v>
      </c>
      <c r="O229" s="348" t="s">
        <v>161</v>
      </c>
      <c r="P229" s="1"/>
      <c r="S229" s="1"/>
      <c r="T229" s="356" t="s">
        <v>160</v>
      </c>
      <c r="U229" s="356"/>
      <c r="V229" s="356"/>
      <c r="W229" s="356"/>
      <c r="X229" s="356" t="s">
        <v>33</v>
      </c>
      <c r="Y229" s="356" t="s">
        <v>9</v>
      </c>
      <c r="Z229" s="356"/>
      <c r="AA229" s="356" t="s">
        <v>33</v>
      </c>
      <c r="AB229" s="356" t="s">
        <v>9</v>
      </c>
      <c r="AC229" s="356"/>
      <c r="AD229" s="356" t="s">
        <v>33</v>
      </c>
      <c r="AE229" s="356" t="s">
        <v>9</v>
      </c>
      <c r="AF229" s="356" t="s">
        <v>161</v>
      </c>
      <c r="AG229" s="1"/>
    </row>
    <row r="230" spans="2:34" x14ac:dyDescent="0.25">
      <c r="B230" s="1"/>
      <c r="C230" s="206">
        <f>IF($K$12=$B$227,(D116*($K$14)/($K$14+$L$14)),0)+IF($L$12=$B$227,(D116*($L$14)/($K$14+$L$14)),0)</f>
        <v>0</v>
      </c>
      <c r="D230" s="207"/>
      <c r="E230" s="207"/>
      <c r="F230" s="207"/>
      <c r="G230" s="192"/>
      <c r="H230" s="192"/>
      <c r="I230" s="192"/>
      <c r="J230" s="192"/>
      <c r="K230" s="192">
        <f>$K$227*(1-Q230)</f>
        <v>2.75695E-2</v>
      </c>
      <c r="L230" s="192"/>
      <c r="M230" s="208"/>
      <c r="N230" s="208">
        <f>ROUND((C230*K230),2)</f>
        <v>0</v>
      </c>
      <c r="O230" s="193">
        <f>M230+N230</f>
        <v>0</v>
      </c>
      <c r="P230" s="209"/>
      <c r="Q230" s="169">
        <v>0.65</v>
      </c>
      <c r="S230" s="1"/>
      <c r="T230" s="206">
        <f>IF($K$12=$B$266,(J126*($K$14)/($K$14+$L$14)),0)+IF($L$12=$B$266,(J126*($L$14)/($K$14+$L$14)),0)</f>
        <v>0</v>
      </c>
      <c r="U230" s="207"/>
      <c r="V230" s="207"/>
      <c r="W230" s="207"/>
      <c r="X230" s="192"/>
      <c r="Y230" s="192"/>
      <c r="Z230" s="192"/>
      <c r="AA230" s="192"/>
      <c r="AB230" s="192">
        <f>$K$227*(1-AH230)</f>
        <v>2.75695E-2</v>
      </c>
      <c r="AC230" s="192"/>
      <c r="AD230" s="208"/>
      <c r="AE230" s="208">
        <f>ROUND((T230*AB230),2)</f>
        <v>0</v>
      </c>
      <c r="AF230" s="193">
        <f>AD230+AE230</f>
        <v>0</v>
      </c>
      <c r="AG230" s="209"/>
      <c r="AH230" s="169">
        <v>0.65</v>
      </c>
    </row>
    <row r="231" spans="2:34" x14ac:dyDescent="0.25">
      <c r="B231" s="1"/>
      <c r="C231" s="206">
        <f>IF($K$12=$B$227,(D117*($K$14)/($K$14+$L$14)),0)+IF($L$12=$B$227,(D117*($L$14)/($K$14+$L$14)),0)</f>
        <v>0</v>
      </c>
      <c r="D231" s="207"/>
      <c r="E231" s="207"/>
      <c r="F231" s="207"/>
      <c r="G231" s="192"/>
      <c r="H231" s="192"/>
      <c r="I231" s="192"/>
      <c r="J231" s="192"/>
      <c r="K231" s="192">
        <f>$K$227*(1-Q231)</f>
        <v>4.7262000000000005E-2</v>
      </c>
      <c r="L231" s="192"/>
      <c r="M231" s="208"/>
      <c r="N231" s="208">
        <f>ROUND((C231*K231),2)</f>
        <v>0</v>
      </c>
      <c r="O231" s="193">
        <f>M231+N231</f>
        <v>0</v>
      </c>
      <c r="P231" s="209"/>
      <c r="Q231" s="169">
        <v>0.4</v>
      </c>
      <c r="S231" s="1"/>
      <c r="T231" s="206">
        <f>IF($K$12=$B$266,(J127*($K$14)/($K$14+$L$14)),0)+IF($L$12=$B$266,(J127*($L$14)/($K$14+$L$14)),0)</f>
        <v>0</v>
      </c>
      <c r="U231" s="207"/>
      <c r="V231" s="207"/>
      <c r="W231" s="207"/>
      <c r="X231" s="192"/>
      <c r="Y231" s="192"/>
      <c r="Z231" s="192"/>
      <c r="AA231" s="192"/>
      <c r="AB231" s="192">
        <f>$K$227*(1-AH231)</f>
        <v>4.7262000000000005E-2</v>
      </c>
      <c r="AC231" s="192"/>
      <c r="AD231" s="208"/>
      <c r="AE231" s="208">
        <f>ROUND((T231*AB231),2)</f>
        <v>0</v>
      </c>
      <c r="AF231" s="193">
        <f>AD231+AE231</f>
        <v>0</v>
      </c>
      <c r="AG231" s="209"/>
      <c r="AH231" s="169">
        <v>0.4</v>
      </c>
    </row>
    <row r="232" spans="2:34" x14ac:dyDescent="0.25">
      <c r="B232" s="1"/>
      <c r="C232" s="206">
        <f>IF($K$12=$B$227,(D118*($K$14)/($K$14+$L$14)),0)+IF($L$12=$B$227,(D118*($L$14)/($K$14+$L$14)),0)</f>
        <v>0</v>
      </c>
      <c r="D232" s="207"/>
      <c r="E232" s="207"/>
      <c r="F232" s="207"/>
      <c r="G232" s="192"/>
      <c r="H232" s="192"/>
      <c r="I232" s="192"/>
      <c r="J232" s="192"/>
      <c r="K232" s="192">
        <f>$K$227*(1-Q232)</f>
        <v>7.0893000000000012E-2</v>
      </c>
      <c r="L232" s="192"/>
      <c r="M232" s="208"/>
      <c r="N232" s="208">
        <f>ROUND((C232*K232),2)</f>
        <v>0</v>
      </c>
      <c r="O232" s="193">
        <f>M232+N232</f>
        <v>0</v>
      </c>
      <c r="P232" s="209"/>
      <c r="Q232" s="169">
        <v>0.1</v>
      </c>
      <c r="S232" s="1"/>
      <c r="T232" s="206">
        <f>IF($K$12=$B$266,(J128*($K$14)/($K$14+$L$14)),0)+IF($L$12=$B$266,(J128*($L$14)/($K$14+$L$14)),0)</f>
        <v>0</v>
      </c>
      <c r="U232" s="207"/>
      <c r="V232" s="207"/>
      <c r="W232" s="207"/>
      <c r="X232" s="192"/>
      <c r="Y232" s="192"/>
      <c r="Z232" s="192"/>
      <c r="AA232" s="192"/>
      <c r="AB232" s="192">
        <f>$K$227*(1-AH232)</f>
        <v>7.0893000000000012E-2</v>
      </c>
      <c r="AC232" s="192"/>
      <c r="AD232" s="208"/>
      <c r="AE232" s="208">
        <f>ROUND((T232*AB232),2)</f>
        <v>0</v>
      </c>
      <c r="AF232" s="193">
        <f>AD232+AE232</f>
        <v>0</v>
      </c>
      <c r="AG232" s="209"/>
      <c r="AH232" s="169">
        <v>0.1</v>
      </c>
    </row>
    <row r="233" spans="2:34" x14ac:dyDescent="0.25">
      <c r="B233" s="1"/>
      <c r="C233" s="206">
        <f>IF($K$12=$B$227,(D119*($K$14)/($K$14+$L$14)),0)+IF($L$12=$B$227,(D119*($L$14)/($K$14+$L$14)),0)</f>
        <v>0</v>
      </c>
      <c r="D233" s="207"/>
      <c r="E233" s="207"/>
      <c r="F233" s="207"/>
      <c r="G233" s="192"/>
      <c r="H233" s="192"/>
      <c r="I233" s="192"/>
      <c r="J233" s="192"/>
      <c r="K233" s="192">
        <f>$K$227*(1-Q233)</f>
        <v>7.8770000000000007E-2</v>
      </c>
      <c r="L233" s="192"/>
      <c r="M233" s="208"/>
      <c r="N233" s="208">
        <f>ROUND((C233*K233),2)</f>
        <v>0</v>
      </c>
      <c r="O233" s="193">
        <f>M233+N233</f>
        <v>0</v>
      </c>
      <c r="P233" s="209"/>
      <c r="Q233" s="169">
        <v>0</v>
      </c>
      <c r="S233" s="1"/>
      <c r="T233" s="206">
        <f>IF($K$12=$B$266,(J129*($K$14)/($K$14+$L$14)),0)+IF($L$12=$B$266,(J129*($L$14)/($K$14+$L$14)),0)</f>
        <v>0</v>
      </c>
      <c r="U233" s="207"/>
      <c r="V233" s="207"/>
      <c r="W233" s="207"/>
      <c r="X233" s="192"/>
      <c r="Y233" s="192"/>
      <c r="Z233" s="192"/>
      <c r="AA233" s="192"/>
      <c r="AB233" s="192">
        <f>$K$227*(1-AH233)</f>
        <v>7.8770000000000007E-2</v>
      </c>
      <c r="AC233" s="192"/>
      <c r="AD233" s="208"/>
      <c r="AE233" s="208">
        <f>ROUND((T233*AB233),2)</f>
        <v>0</v>
      </c>
      <c r="AF233" s="193">
        <f>AD233+AE233</f>
        <v>0</v>
      </c>
      <c r="AG233" s="209"/>
      <c r="AH233" s="169">
        <v>0</v>
      </c>
    </row>
    <row r="234" spans="2:34" x14ac:dyDescent="0.25">
      <c r="B234" s="1"/>
      <c r="C234" s="210" t="s">
        <v>162</v>
      </c>
      <c r="D234" s="211"/>
      <c r="E234" s="211"/>
      <c r="F234" s="211"/>
      <c r="G234" s="211"/>
      <c r="H234" s="211"/>
      <c r="I234" s="211"/>
      <c r="J234" s="211"/>
      <c r="K234" s="211"/>
      <c r="L234" s="211"/>
      <c r="M234" s="211"/>
      <c r="N234" s="212"/>
      <c r="O234" s="213">
        <f>SUM(O230:O233)</f>
        <v>0</v>
      </c>
      <c r="P234" s="1"/>
      <c r="Q234" s="1"/>
      <c r="S234" s="1"/>
      <c r="T234" s="210" t="s">
        <v>162</v>
      </c>
      <c r="U234" s="211"/>
      <c r="V234" s="211"/>
      <c r="W234" s="211"/>
      <c r="X234" s="211"/>
      <c r="Y234" s="211"/>
      <c r="Z234" s="211"/>
      <c r="AA234" s="211"/>
      <c r="AB234" s="211"/>
      <c r="AC234" s="211"/>
      <c r="AD234" s="211"/>
      <c r="AE234" s="212"/>
      <c r="AF234" s="213">
        <f>SUM(AF230:AF233)</f>
        <v>0</v>
      </c>
      <c r="AG234" s="1"/>
      <c r="AH234" s="1"/>
    </row>
    <row r="235" spans="2:34" x14ac:dyDescent="0.2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2:34" x14ac:dyDescent="0.25">
      <c r="B236" s="1" t="s">
        <v>17</v>
      </c>
      <c r="C236" s="105"/>
      <c r="D236" s="105"/>
      <c r="E236" s="105"/>
      <c r="F236" s="105"/>
      <c r="G236" s="105"/>
      <c r="H236" s="116"/>
      <c r="I236" s="116"/>
      <c r="J236" s="117"/>
      <c r="K236" s="203">
        <f>N8</f>
        <v>0.14199999999999999</v>
      </c>
      <c r="L236" s="204"/>
      <c r="M236" s="106"/>
      <c r="N236" s="106"/>
      <c r="O236" s="118"/>
      <c r="P236" s="1"/>
      <c r="Q236" s="1"/>
      <c r="S236" s="1" t="s">
        <v>17</v>
      </c>
      <c r="T236" s="105"/>
      <c r="U236" s="105"/>
      <c r="V236" s="105"/>
      <c r="W236" s="105"/>
      <c r="X236" s="105"/>
      <c r="Y236" s="116"/>
      <c r="Z236" s="116"/>
      <c r="AA236" s="117"/>
      <c r="AB236" s="203">
        <f>K236</f>
        <v>0.14199999999999999</v>
      </c>
      <c r="AC236" s="204"/>
      <c r="AD236" s="106"/>
      <c r="AE236" s="106"/>
      <c r="AF236" s="118"/>
      <c r="AG236" s="1"/>
      <c r="AH236" s="1"/>
    </row>
    <row r="237" spans="2:34" ht="27.2" x14ac:dyDescent="0.25">
      <c r="B237" s="1"/>
      <c r="C237" s="345" t="s">
        <v>156</v>
      </c>
      <c r="D237" s="512"/>
      <c r="E237" s="513"/>
      <c r="F237" s="346"/>
      <c r="G237" s="512"/>
      <c r="H237" s="513"/>
      <c r="I237" s="346"/>
      <c r="J237" s="512" t="s">
        <v>32</v>
      </c>
      <c r="K237" s="513"/>
      <c r="L237" s="346"/>
      <c r="M237" s="512" t="s">
        <v>158</v>
      </c>
      <c r="N237" s="513"/>
      <c r="O237" s="347" t="s">
        <v>159</v>
      </c>
      <c r="P237" s="1"/>
      <c r="Q237" s="46"/>
      <c r="S237" s="1"/>
      <c r="T237" s="353" t="s">
        <v>156</v>
      </c>
      <c r="U237" s="510"/>
      <c r="V237" s="511"/>
      <c r="W237" s="354"/>
      <c r="X237" s="510"/>
      <c r="Y237" s="511"/>
      <c r="Z237" s="354"/>
      <c r="AA237" s="510" t="s">
        <v>32</v>
      </c>
      <c r="AB237" s="511"/>
      <c r="AC237" s="354"/>
      <c r="AD237" s="510" t="s">
        <v>158</v>
      </c>
      <c r="AE237" s="511"/>
      <c r="AF237" s="355" t="s">
        <v>159</v>
      </c>
      <c r="AG237" s="1"/>
      <c r="AH237" s="46"/>
    </row>
    <row r="238" spans="2:34" x14ac:dyDescent="0.25">
      <c r="B238" s="1"/>
      <c r="C238" s="348" t="s">
        <v>160</v>
      </c>
      <c r="D238" s="348"/>
      <c r="E238" s="348"/>
      <c r="F238" s="348"/>
      <c r="G238" s="348" t="s">
        <v>33</v>
      </c>
      <c r="H238" s="348" t="s">
        <v>9</v>
      </c>
      <c r="I238" s="348"/>
      <c r="J238" s="348" t="s">
        <v>33</v>
      </c>
      <c r="K238" s="348" t="s">
        <v>9</v>
      </c>
      <c r="L238" s="348"/>
      <c r="M238" s="348" t="s">
        <v>33</v>
      </c>
      <c r="N238" s="348" t="s">
        <v>9</v>
      </c>
      <c r="O238" s="348" t="s">
        <v>161</v>
      </c>
      <c r="P238" s="1"/>
      <c r="S238" s="1"/>
      <c r="T238" s="356" t="s">
        <v>160</v>
      </c>
      <c r="U238" s="356"/>
      <c r="V238" s="356"/>
      <c r="W238" s="356"/>
      <c r="X238" s="356" t="s">
        <v>33</v>
      </c>
      <c r="Y238" s="356" t="s">
        <v>9</v>
      </c>
      <c r="Z238" s="356"/>
      <c r="AA238" s="356" t="s">
        <v>33</v>
      </c>
      <c r="AB238" s="356" t="s">
        <v>9</v>
      </c>
      <c r="AC238" s="356"/>
      <c r="AD238" s="356" t="s">
        <v>33</v>
      </c>
      <c r="AE238" s="356" t="s">
        <v>9</v>
      </c>
      <c r="AF238" s="356" t="s">
        <v>161</v>
      </c>
      <c r="AG238" s="1"/>
    </row>
    <row r="239" spans="2:34" x14ac:dyDescent="0.25">
      <c r="B239" s="1"/>
      <c r="C239" s="206">
        <f>IF($K$12=$B$236,(D116*($K$14)/($K$14+$L$14)),0)+IF($L$12=$B$236,(D116*($L$14)/($K$14+$L$14)),0)</f>
        <v>0</v>
      </c>
      <c r="D239" s="207"/>
      <c r="E239" s="207"/>
      <c r="F239" s="207"/>
      <c r="G239" s="192"/>
      <c r="H239" s="192"/>
      <c r="I239" s="192"/>
      <c r="J239" s="192"/>
      <c r="K239" s="192">
        <f>$K$236*(1-Q239)</f>
        <v>4.9699999999999994E-2</v>
      </c>
      <c r="L239" s="192"/>
      <c r="M239" s="208"/>
      <c r="N239" s="208">
        <f>ROUND((C239*K239),2)</f>
        <v>0</v>
      </c>
      <c r="O239" s="193">
        <f>M239+N239</f>
        <v>0</v>
      </c>
      <c r="P239" s="209"/>
      <c r="Q239" s="169">
        <v>0.65</v>
      </c>
      <c r="S239" s="1"/>
      <c r="T239" s="206">
        <f>IF($K$12=$B$275,(J126*($K$14)/($K$14+$L$14)),0)+IF($L$12=$B$275,(J126*($L$14)/($K$14+$L$14)),0)</f>
        <v>0</v>
      </c>
      <c r="U239" s="207"/>
      <c r="V239" s="207"/>
      <c r="W239" s="207"/>
      <c r="X239" s="192"/>
      <c r="Y239" s="192"/>
      <c r="Z239" s="192"/>
      <c r="AA239" s="192"/>
      <c r="AB239" s="192">
        <f>$K$236*(1-AH239)</f>
        <v>4.9699999999999994E-2</v>
      </c>
      <c r="AC239" s="192"/>
      <c r="AD239" s="208"/>
      <c r="AE239" s="208">
        <f>ROUND((T239*AB239),2)</f>
        <v>0</v>
      </c>
      <c r="AF239" s="193">
        <f>AD239+AE239</f>
        <v>0</v>
      </c>
      <c r="AG239" s="209"/>
      <c r="AH239" s="169">
        <v>0.65</v>
      </c>
    </row>
    <row r="240" spans="2:34" x14ac:dyDescent="0.25">
      <c r="B240" s="1"/>
      <c r="C240" s="206">
        <f>IF($K$12=$B$236,(D117*($K$14)/($K$14+$L$14)),0)+IF($L$12=$B$236,(D117*($L$14)/($K$14+$L$14)),0)</f>
        <v>0</v>
      </c>
      <c r="D240" s="207"/>
      <c r="E240" s="207"/>
      <c r="F240" s="207"/>
      <c r="G240" s="192"/>
      <c r="H240" s="192"/>
      <c r="I240" s="192"/>
      <c r="J240" s="192"/>
      <c r="K240" s="192">
        <f>$K$236*(1-Q240)</f>
        <v>8.5199999999999984E-2</v>
      </c>
      <c r="L240" s="192"/>
      <c r="M240" s="208"/>
      <c r="N240" s="208">
        <f>ROUND((C240*K240),2)</f>
        <v>0</v>
      </c>
      <c r="O240" s="193">
        <f>M240+N240</f>
        <v>0</v>
      </c>
      <c r="P240" s="209"/>
      <c r="Q240" s="169">
        <v>0.4</v>
      </c>
      <c r="S240" s="1"/>
      <c r="T240" s="206">
        <f>IF($K$12=$B$275,(J127*($K$14)/($K$14+$L$14)),0)+IF($L$12=$B$275,(J127*($L$14)/($K$14+$L$14)),0)</f>
        <v>0</v>
      </c>
      <c r="U240" s="207"/>
      <c r="V240" s="207"/>
      <c r="W240" s="207"/>
      <c r="X240" s="192"/>
      <c r="Y240" s="192"/>
      <c r="Z240" s="192"/>
      <c r="AA240" s="192"/>
      <c r="AB240" s="192">
        <f>$K$236*(1-AH240)</f>
        <v>8.5199999999999984E-2</v>
      </c>
      <c r="AC240" s="192"/>
      <c r="AD240" s="208"/>
      <c r="AE240" s="208">
        <f>ROUND((T240*AB240),2)</f>
        <v>0</v>
      </c>
      <c r="AF240" s="193">
        <f>AD240+AE240</f>
        <v>0</v>
      </c>
      <c r="AG240" s="209"/>
      <c r="AH240" s="169">
        <v>0.4</v>
      </c>
    </row>
    <row r="241" spans="2:34" x14ac:dyDescent="0.25">
      <c r="B241" s="1"/>
      <c r="C241" s="206">
        <f>IF($K$12=$B$236,(D118*($K$14)/($K$14+$L$14)),0)+IF($L$12=$B$236,(D118*($L$14)/($K$14+$L$14)),0)</f>
        <v>0</v>
      </c>
      <c r="D241" s="207"/>
      <c r="E241" s="207"/>
      <c r="F241" s="207"/>
      <c r="G241" s="192"/>
      <c r="H241" s="192"/>
      <c r="I241" s="192"/>
      <c r="J241" s="192"/>
      <c r="K241" s="192">
        <f>$K$236*(1-Q241)</f>
        <v>0.1278</v>
      </c>
      <c r="L241" s="192"/>
      <c r="M241" s="208"/>
      <c r="N241" s="208">
        <f>ROUND((C241*K241),2)</f>
        <v>0</v>
      </c>
      <c r="O241" s="193">
        <f>M241+N241</f>
        <v>0</v>
      </c>
      <c r="P241" s="209"/>
      <c r="Q241" s="169">
        <v>0.1</v>
      </c>
      <c r="S241" s="1"/>
      <c r="T241" s="206">
        <f>IF($K$12=$B$275,(J128*($K$14)/($K$14+$L$14)),0)+IF($L$12=$B$275,(J128*($L$14)/($K$14+$L$14)),0)</f>
        <v>0</v>
      </c>
      <c r="U241" s="207"/>
      <c r="V241" s="207"/>
      <c r="W241" s="207"/>
      <c r="X241" s="192"/>
      <c r="Y241" s="192"/>
      <c r="Z241" s="192"/>
      <c r="AA241" s="192"/>
      <c r="AB241" s="192">
        <f>$K$236*(1-AH241)</f>
        <v>0.1278</v>
      </c>
      <c r="AC241" s="192"/>
      <c r="AD241" s="208"/>
      <c r="AE241" s="208">
        <f>ROUND((T241*AB241),2)</f>
        <v>0</v>
      </c>
      <c r="AF241" s="193">
        <f>AD241+AE241</f>
        <v>0</v>
      </c>
      <c r="AG241" s="209"/>
      <c r="AH241" s="169">
        <v>0.1</v>
      </c>
    </row>
    <row r="242" spans="2:34" x14ac:dyDescent="0.25">
      <c r="B242" s="1"/>
      <c r="C242" s="206">
        <f>IF($K$12=$B$236,(D119*($K$14)/($K$14+$L$14)),0)+IF($L$12=$B$236,(D119*($L$14)/($K$14+$L$14)),0)</f>
        <v>0</v>
      </c>
      <c r="D242" s="207"/>
      <c r="E242" s="207"/>
      <c r="F242" s="207"/>
      <c r="G242" s="192"/>
      <c r="H242" s="192"/>
      <c r="I242" s="192"/>
      <c r="J242" s="192"/>
      <c r="K242" s="192">
        <f>$K$236*(1-Q242)</f>
        <v>0.14199999999999999</v>
      </c>
      <c r="L242" s="192"/>
      <c r="M242" s="208"/>
      <c r="N242" s="208">
        <f>ROUND((C242*K242),2)</f>
        <v>0</v>
      </c>
      <c r="O242" s="193">
        <f>M242+N242</f>
        <v>0</v>
      </c>
      <c r="P242" s="209"/>
      <c r="Q242" s="169">
        <v>0</v>
      </c>
      <c r="S242" s="1"/>
      <c r="T242" s="206">
        <f>IF($K$12=$B$275,(J129*($K$14)/($K$14+$L$14)),0)+IF($L$12=$B$275,(J129*($L$14)/($K$14+$L$14)),0)</f>
        <v>0</v>
      </c>
      <c r="U242" s="207"/>
      <c r="V242" s="207"/>
      <c r="W242" s="207"/>
      <c r="X242" s="192"/>
      <c r="Y242" s="192"/>
      <c r="Z242" s="192"/>
      <c r="AA242" s="192"/>
      <c r="AB242" s="192">
        <f>$K$236*(1-AH242)</f>
        <v>0.14199999999999999</v>
      </c>
      <c r="AC242" s="192"/>
      <c r="AD242" s="208"/>
      <c r="AE242" s="208">
        <f>ROUND((T242*AB242),2)</f>
        <v>0</v>
      </c>
      <c r="AF242" s="193">
        <f>AD242+AE242</f>
        <v>0</v>
      </c>
      <c r="AG242" s="209"/>
      <c r="AH242" s="169">
        <v>0</v>
      </c>
    </row>
    <row r="243" spans="2:34" x14ac:dyDescent="0.25">
      <c r="B243" s="1"/>
      <c r="C243" s="210" t="s">
        <v>162</v>
      </c>
      <c r="D243" s="211"/>
      <c r="E243" s="211"/>
      <c r="F243" s="211"/>
      <c r="G243" s="211"/>
      <c r="H243" s="211"/>
      <c r="I243" s="211"/>
      <c r="J243" s="211"/>
      <c r="K243" s="211"/>
      <c r="L243" s="211"/>
      <c r="M243" s="211"/>
      <c r="N243" s="212"/>
      <c r="O243" s="213">
        <f>SUM(O239:O242)</f>
        <v>0</v>
      </c>
      <c r="P243" s="1"/>
      <c r="Q243" s="1"/>
      <c r="S243" s="1"/>
      <c r="T243" s="210" t="s">
        <v>162</v>
      </c>
      <c r="U243" s="211"/>
      <c r="V243" s="211"/>
      <c r="W243" s="211"/>
      <c r="X243" s="211"/>
      <c r="Y243" s="211"/>
      <c r="Z243" s="211"/>
      <c r="AA243" s="211"/>
      <c r="AB243" s="211"/>
      <c r="AC243" s="211"/>
      <c r="AD243" s="211"/>
      <c r="AE243" s="212"/>
      <c r="AF243" s="213">
        <f>SUM(AF239:AF242)</f>
        <v>0</v>
      </c>
      <c r="AG243" s="1"/>
      <c r="AH243" s="1"/>
    </row>
    <row r="247" spans="2:34" x14ac:dyDescent="0.25">
      <c r="B247" s="1" t="s">
        <v>174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2:34" x14ac:dyDescent="0.25">
      <c r="B248" s="105" t="s">
        <v>14</v>
      </c>
      <c r="C248" s="105"/>
      <c r="D248" s="105"/>
      <c r="E248" s="105"/>
      <c r="F248" s="105"/>
      <c r="G248" s="105"/>
      <c r="H248" s="116"/>
      <c r="I248" s="116"/>
      <c r="J248" s="117"/>
      <c r="K248" s="203">
        <f>K209</f>
        <v>1.8849999999999999E-2</v>
      </c>
      <c r="L248" s="204"/>
      <c r="M248" s="106"/>
      <c r="N248" s="106"/>
      <c r="O248" s="118"/>
      <c r="P248" s="1"/>
      <c r="Q248" s="1"/>
    </row>
    <row r="249" spans="2:34" x14ac:dyDescent="0.25">
      <c r="B249" s="1"/>
      <c r="C249" s="349" t="s">
        <v>156</v>
      </c>
      <c r="D249" s="508"/>
      <c r="E249" s="509"/>
      <c r="F249" s="350"/>
      <c r="G249" s="508"/>
      <c r="H249" s="509"/>
      <c r="I249" s="350"/>
      <c r="J249" s="508" t="s">
        <v>157</v>
      </c>
      <c r="K249" s="509"/>
      <c r="L249" s="350"/>
      <c r="M249" s="508" t="s">
        <v>158</v>
      </c>
      <c r="N249" s="509"/>
      <c r="O249" s="351" t="s">
        <v>159</v>
      </c>
      <c r="P249" s="1"/>
      <c r="Q249" s="46"/>
    </row>
    <row r="250" spans="2:34" x14ac:dyDescent="0.25">
      <c r="B250" s="1"/>
      <c r="C250" s="352" t="s">
        <v>160</v>
      </c>
      <c r="D250" s="352"/>
      <c r="E250" s="352"/>
      <c r="F250" s="352"/>
      <c r="G250" s="352"/>
      <c r="H250" s="352"/>
      <c r="I250" s="352"/>
      <c r="J250" s="352"/>
      <c r="K250" s="352" t="s">
        <v>9</v>
      </c>
      <c r="L250" s="352"/>
      <c r="M250" s="352" t="s">
        <v>33</v>
      </c>
      <c r="N250" s="352" t="s">
        <v>9</v>
      </c>
      <c r="O250" s="352" t="s">
        <v>161</v>
      </c>
      <c r="P250" s="1"/>
    </row>
    <row r="251" spans="2:34" x14ac:dyDescent="0.25">
      <c r="B251" s="1"/>
      <c r="C251" s="206">
        <f>IF($K$12=$B$248,(D126*($K$14)/($K$14+$L$14)),0)+IF($L$12=$B$248,(D126*($L$14)/($K$14+$L$14)),0)</f>
        <v>-30</v>
      </c>
      <c r="D251" s="207"/>
      <c r="E251" s="207"/>
      <c r="F251" s="207"/>
      <c r="G251" s="192"/>
      <c r="H251" s="192"/>
      <c r="I251" s="192"/>
      <c r="J251" s="192"/>
      <c r="K251" s="192">
        <f>$K$248*(1-Q251)</f>
        <v>6.5974999999999992E-3</v>
      </c>
      <c r="L251" s="192"/>
      <c r="M251" s="208"/>
      <c r="N251" s="208">
        <f>ROUND((C251*K251),2)</f>
        <v>-0.2</v>
      </c>
      <c r="O251" s="193">
        <f>M251+N251</f>
        <v>-0.2</v>
      </c>
      <c r="P251" s="209"/>
      <c r="Q251" s="169">
        <v>0.65</v>
      </c>
    </row>
    <row r="252" spans="2:34" x14ac:dyDescent="0.25">
      <c r="B252" s="1"/>
      <c r="C252" s="206">
        <f>IF($K$12=$B$248,(D127*($K$14)/($K$14+$L$14)),0)+IF($L$12=$B$248,(D127*($L$14)/($K$14+$L$14)),0)</f>
        <v>-70</v>
      </c>
      <c r="D252" s="207"/>
      <c r="E252" s="207"/>
      <c r="F252" s="207"/>
      <c r="G252" s="192"/>
      <c r="H252" s="192"/>
      <c r="I252" s="192"/>
      <c r="J252" s="192"/>
      <c r="K252" s="192">
        <f>$K$248*(1-Q252)</f>
        <v>1.1309999999999999E-2</v>
      </c>
      <c r="L252" s="192"/>
      <c r="M252" s="208"/>
      <c r="N252" s="208">
        <f>ROUND((C252*K252),2)</f>
        <v>-0.79</v>
      </c>
      <c r="O252" s="193">
        <f>M252+N252</f>
        <v>-0.79</v>
      </c>
      <c r="P252" s="209"/>
      <c r="Q252" s="169">
        <v>0.4</v>
      </c>
    </row>
    <row r="253" spans="2:34" x14ac:dyDescent="0.25">
      <c r="B253" s="1"/>
      <c r="C253" s="206">
        <f>IF($K$12=$B$248,(D128*($K$14)/($K$14+$L$14)),0)+IF($L$12=$B$248,(D128*($L$14)/($K$14+$L$14)),0)</f>
        <v>-120</v>
      </c>
      <c r="D253" s="207"/>
      <c r="E253" s="207"/>
      <c r="F253" s="207"/>
      <c r="G253" s="192"/>
      <c r="H253" s="192"/>
      <c r="I253" s="192"/>
      <c r="J253" s="192"/>
      <c r="K253" s="192">
        <f>$K$248*(1-Q253)</f>
        <v>1.6965000000000001E-2</v>
      </c>
      <c r="L253" s="192"/>
      <c r="M253" s="208"/>
      <c r="N253" s="208">
        <f>ROUND((C253*K253),2)</f>
        <v>-2.04</v>
      </c>
      <c r="O253" s="193">
        <f>M253+N253</f>
        <v>-2.04</v>
      </c>
      <c r="P253" s="209"/>
      <c r="Q253" s="169">
        <v>0.1</v>
      </c>
    </row>
    <row r="254" spans="2:34" x14ac:dyDescent="0.25">
      <c r="B254" s="1"/>
      <c r="C254" s="206">
        <f>IF($K$12=$B$248,(D129*($K$14)/($K$14+$L$14)),0)+IF($L$12=$B$248,(D129*($L$14)/($K$14+$L$14)),0)</f>
        <v>-1</v>
      </c>
      <c r="D254" s="207"/>
      <c r="E254" s="207"/>
      <c r="F254" s="207"/>
      <c r="G254" s="192"/>
      <c r="H254" s="192"/>
      <c r="I254" s="192"/>
      <c r="J254" s="192"/>
      <c r="K254" s="192">
        <f>$K$248*(1-Q254)</f>
        <v>1.8849999999999999E-2</v>
      </c>
      <c r="L254" s="192"/>
      <c r="M254" s="208"/>
      <c r="N254" s="208">
        <f>ROUND((C254*K254),2)</f>
        <v>-0.02</v>
      </c>
      <c r="O254" s="193">
        <f>M254+N254</f>
        <v>-0.02</v>
      </c>
      <c r="P254" s="209"/>
      <c r="Q254" s="169">
        <v>0</v>
      </c>
    </row>
    <row r="255" spans="2:34" x14ac:dyDescent="0.25">
      <c r="B255" s="1"/>
      <c r="C255" s="210" t="s">
        <v>162</v>
      </c>
      <c r="D255" s="211"/>
      <c r="E255" s="211"/>
      <c r="F255" s="211"/>
      <c r="G255" s="211"/>
      <c r="H255" s="211"/>
      <c r="I255" s="211"/>
      <c r="J255" s="211"/>
      <c r="K255" s="211"/>
      <c r="L255" s="211"/>
      <c r="M255" s="211"/>
      <c r="N255" s="212"/>
      <c r="O255" s="213">
        <f>SUM(O251:O254)</f>
        <v>-3.0500000000000003</v>
      </c>
      <c r="P255" s="1"/>
      <c r="Q255" s="1"/>
    </row>
    <row r="256" spans="2:34" x14ac:dyDescent="0.25">
      <c r="B256" s="105"/>
      <c r="C256" s="105"/>
      <c r="D256" s="105"/>
      <c r="E256" s="105"/>
      <c r="F256" s="105"/>
      <c r="G256" s="105"/>
      <c r="H256" s="116"/>
      <c r="I256" s="116"/>
      <c r="J256" s="117"/>
      <c r="K256" s="117"/>
      <c r="L256" s="117"/>
      <c r="M256" s="106"/>
      <c r="N256" s="106"/>
      <c r="O256" s="214"/>
      <c r="P256" s="1"/>
      <c r="Q256" s="1"/>
    </row>
    <row r="257" spans="2:17" x14ac:dyDescent="0.25">
      <c r="B257" s="105" t="s">
        <v>15</v>
      </c>
      <c r="C257" s="105"/>
      <c r="D257" s="105"/>
      <c r="E257" s="105"/>
      <c r="F257" s="105"/>
      <c r="G257" s="105"/>
      <c r="H257" s="116"/>
      <c r="I257" s="116"/>
      <c r="J257" s="117"/>
      <c r="K257" s="203">
        <f>K218</f>
        <v>4.4630000000000003E-2</v>
      </c>
      <c r="L257" s="204"/>
      <c r="M257" s="106"/>
      <c r="N257" s="106"/>
      <c r="O257" s="118"/>
      <c r="P257" s="1"/>
      <c r="Q257" s="1"/>
    </row>
    <row r="258" spans="2:17" x14ac:dyDescent="0.25">
      <c r="B258" s="1"/>
      <c r="C258" s="349" t="s">
        <v>156</v>
      </c>
      <c r="D258" s="508"/>
      <c r="E258" s="509"/>
      <c r="F258" s="350"/>
      <c r="G258" s="508"/>
      <c r="H258" s="509"/>
      <c r="I258" s="350"/>
      <c r="J258" s="508" t="s">
        <v>32</v>
      </c>
      <c r="K258" s="509"/>
      <c r="L258" s="350"/>
      <c r="M258" s="508" t="s">
        <v>158</v>
      </c>
      <c r="N258" s="509"/>
      <c r="O258" s="351" t="s">
        <v>159</v>
      </c>
      <c r="P258" s="1"/>
      <c r="Q258" s="46"/>
    </row>
    <row r="259" spans="2:17" x14ac:dyDescent="0.25">
      <c r="B259" s="1"/>
      <c r="C259" s="352" t="s">
        <v>160</v>
      </c>
      <c r="D259" s="352"/>
      <c r="E259" s="352"/>
      <c r="F259" s="352"/>
      <c r="G259" s="352" t="s">
        <v>33</v>
      </c>
      <c r="H259" s="352" t="s">
        <v>9</v>
      </c>
      <c r="I259" s="352"/>
      <c r="J259" s="352" t="s">
        <v>33</v>
      </c>
      <c r="K259" s="352" t="s">
        <v>9</v>
      </c>
      <c r="L259" s="352"/>
      <c r="M259" s="352" t="s">
        <v>33</v>
      </c>
      <c r="N259" s="352" t="s">
        <v>9</v>
      </c>
      <c r="O259" s="352" t="s">
        <v>161</v>
      </c>
      <c r="P259" s="1"/>
    </row>
    <row r="260" spans="2:17" x14ac:dyDescent="0.25">
      <c r="B260" s="1"/>
      <c r="C260" s="206">
        <f>IF($K$12=$B$257,(D126*($K$14)/($K$14+$L$14)),0)+IF($L$12=$B$257,(D126*($L$14)/($K$14+$L$14)),0)</f>
        <v>0</v>
      </c>
      <c r="D260" s="207"/>
      <c r="E260" s="207"/>
      <c r="F260" s="207"/>
      <c r="G260" s="192"/>
      <c r="H260" s="192"/>
      <c r="I260" s="192"/>
      <c r="J260" s="192"/>
      <c r="K260" s="192">
        <f>$K$257*(1-Q260)</f>
        <v>1.5620500000000001E-2</v>
      </c>
      <c r="L260" s="192"/>
      <c r="M260" s="208"/>
      <c r="N260" s="208">
        <f>ROUND((C260*K260),2)</f>
        <v>0</v>
      </c>
      <c r="O260" s="193">
        <f>M260+N260</f>
        <v>0</v>
      </c>
      <c r="P260" s="209"/>
      <c r="Q260" s="169">
        <v>0.65</v>
      </c>
    </row>
    <row r="261" spans="2:17" x14ac:dyDescent="0.25">
      <c r="B261" s="1"/>
      <c r="C261" s="206">
        <f>IF($K$12=$B$257,(D127*($K$14)/($K$14+$L$14)),0)+IF($L$12=$B$257,(D127*($L$14)/($K$14+$L$14)),0)</f>
        <v>0</v>
      </c>
      <c r="D261" s="207"/>
      <c r="E261" s="207"/>
      <c r="F261" s="207"/>
      <c r="G261" s="192"/>
      <c r="H261" s="192"/>
      <c r="I261" s="192"/>
      <c r="J261" s="192"/>
      <c r="K261" s="192">
        <f>$K$257*(1-Q261)</f>
        <v>2.6778E-2</v>
      </c>
      <c r="L261" s="192"/>
      <c r="M261" s="208"/>
      <c r="N261" s="208">
        <f>ROUND((C261*K261),2)</f>
        <v>0</v>
      </c>
      <c r="O261" s="193">
        <f>M261+N261</f>
        <v>0</v>
      </c>
      <c r="P261" s="209"/>
      <c r="Q261" s="169">
        <v>0.4</v>
      </c>
    </row>
    <row r="262" spans="2:17" x14ac:dyDescent="0.25">
      <c r="B262" s="1"/>
      <c r="C262" s="206">
        <f>IF($K$12=$B$257,(D128*($K$14)/($K$14+$L$14)),0)+IF($L$12=$B$257,(D128*($L$14)/($K$14+$L$14)),0)</f>
        <v>0</v>
      </c>
      <c r="D262" s="207"/>
      <c r="E262" s="207"/>
      <c r="F262" s="207"/>
      <c r="G262" s="192"/>
      <c r="H262" s="192"/>
      <c r="I262" s="192"/>
      <c r="J262" s="192"/>
      <c r="K262" s="192">
        <f>$K$257*(1-Q262)</f>
        <v>4.0167000000000001E-2</v>
      </c>
      <c r="L262" s="192"/>
      <c r="M262" s="208"/>
      <c r="N262" s="208">
        <f>ROUND((C262*K262),2)</f>
        <v>0</v>
      </c>
      <c r="O262" s="193">
        <f>M262+N262</f>
        <v>0</v>
      </c>
      <c r="P262" s="209"/>
      <c r="Q262" s="169">
        <v>0.1</v>
      </c>
    </row>
    <row r="263" spans="2:17" x14ac:dyDescent="0.25">
      <c r="B263" s="1"/>
      <c r="C263" s="206">
        <f>IF($K$12=$B$257,(D129*($K$14)/($K$14+$L$14)),0)+IF($L$12=$B$257,(D129*($L$14)/($K$14+$L$14)),0)</f>
        <v>0</v>
      </c>
      <c r="D263" s="207"/>
      <c r="E263" s="207"/>
      <c r="F263" s="207"/>
      <c r="G263" s="192"/>
      <c r="H263" s="192"/>
      <c r="I263" s="192"/>
      <c r="J263" s="192"/>
      <c r="K263" s="192">
        <f>$K$257*(1-Q263)</f>
        <v>4.4630000000000003E-2</v>
      </c>
      <c r="L263" s="192"/>
      <c r="M263" s="208"/>
      <c r="N263" s="208">
        <f>ROUND((C263*K263),2)</f>
        <v>0</v>
      </c>
      <c r="O263" s="193">
        <f>M263+N263</f>
        <v>0</v>
      </c>
      <c r="P263" s="209"/>
      <c r="Q263" s="169">
        <v>0</v>
      </c>
    </row>
    <row r="264" spans="2:17" x14ac:dyDescent="0.25">
      <c r="B264" s="1"/>
      <c r="C264" s="210" t="s">
        <v>162</v>
      </c>
      <c r="D264" s="211"/>
      <c r="E264" s="211"/>
      <c r="F264" s="211"/>
      <c r="G264" s="211"/>
      <c r="H264" s="211"/>
      <c r="I264" s="211"/>
      <c r="J264" s="211"/>
      <c r="K264" s="211"/>
      <c r="L264" s="211"/>
      <c r="M264" s="211"/>
      <c r="N264" s="212"/>
      <c r="O264" s="213">
        <f>SUM(O260:O263)</f>
        <v>0</v>
      </c>
      <c r="P264" s="1"/>
      <c r="Q264" s="1"/>
    </row>
    <row r="265" spans="2:17" x14ac:dyDescent="0.25">
      <c r="B265" s="105"/>
      <c r="C265" s="105"/>
      <c r="D265" s="105"/>
      <c r="E265" s="105"/>
      <c r="F265" s="105"/>
      <c r="G265" s="105"/>
      <c r="H265" s="116"/>
      <c r="I265" s="116"/>
      <c r="J265" s="117"/>
      <c r="K265" s="117"/>
      <c r="L265" s="117"/>
      <c r="M265" s="106"/>
      <c r="N265" s="106"/>
      <c r="O265" s="118"/>
      <c r="P265" s="1"/>
      <c r="Q265" s="1"/>
    </row>
    <row r="266" spans="2:17" x14ac:dyDescent="0.25">
      <c r="B266" s="105" t="s">
        <v>16</v>
      </c>
      <c r="C266" s="105"/>
      <c r="D266" s="105"/>
      <c r="E266" s="105"/>
      <c r="F266" s="105"/>
      <c r="G266" s="105"/>
      <c r="H266" s="116"/>
      <c r="I266" s="116"/>
      <c r="J266" s="117"/>
      <c r="K266" s="203">
        <f>K227</f>
        <v>7.8770000000000007E-2</v>
      </c>
      <c r="L266" s="204"/>
      <c r="M266" s="106"/>
      <c r="N266" s="106"/>
      <c r="O266" s="118"/>
      <c r="P266" s="1"/>
      <c r="Q266" s="1"/>
    </row>
    <row r="267" spans="2:17" x14ac:dyDescent="0.25">
      <c r="B267" s="1"/>
      <c r="C267" s="349" t="s">
        <v>156</v>
      </c>
      <c r="D267" s="508"/>
      <c r="E267" s="509"/>
      <c r="F267" s="350"/>
      <c r="G267" s="508"/>
      <c r="H267" s="509"/>
      <c r="I267" s="350"/>
      <c r="J267" s="508" t="s">
        <v>32</v>
      </c>
      <c r="K267" s="509"/>
      <c r="L267" s="350"/>
      <c r="M267" s="508" t="s">
        <v>158</v>
      </c>
      <c r="N267" s="509"/>
      <c r="O267" s="351" t="s">
        <v>159</v>
      </c>
      <c r="P267" s="1"/>
      <c r="Q267" s="46"/>
    </row>
    <row r="268" spans="2:17" x14ac:dyDescent="0.25">
      <c r="B268" s="1"/>
      <c r="C268" s="352" t="s">
        <v>160</v>
      </c>
      <c r="D268" s="352"/>
      <c r="E268" s="352"/>
      <c r="F268" s="352"/>
      <c r="G268" s="352" t="s">
        <v>33</v>
      </c>
      <c r="H268" s="352" t="s">
        <v>9</v>
      </c>
      <c r="I268" s="352"/>
      <c r="J268" s="352" t="s">
        <v>33</v>
      </c>
      <c r="K268" s="352" t="s">
        <v>9</v>
      </c>
      <c r="L268" s="352"/>
      <c r="M268" s="352" t="s">
        <v>33</v>
      </c>
      <c r="N268" s="352" t="s">
        <v>9</v>
      </c>
      <c r="O268" s="352" t="s">
        <v>161</v>
      </c>
      <c r="P268" s="1"/>
    </row>
    <row r="269" spans="2:17" x14ac:dyDescent="0.25">
      <c r="B269" s="1"/>
      <c r="C269" s="206">
        <f>IF($K$12=$B$266,(D126*($K$14)/($K$14+$L$14)),0)+IF($L$12=$B$266,(D126*($L$14)/($K$14+$L$14)),0)</f>
        <v>0</v>
      </c>
      <c r="D269" s="207"/>
      <c r="E269" s="207"/>
      <c r="F269" s="207"/>
      <c r="G269" s="192"/>
      <c r="H269" s="192"/>
      <c r="I269" s="192"/>
      <c r="J269" s="192"/>
      <c r="K269" s="192">
        <f>$K$266*(1-Q269)</f>
        <v>2.75695E-2</v>
      </c>
      <c r="L269" s="192"/>
      <c r="M269" s="208"/>
      <c r="N269" s="208">
        <f>ROUND((C269*K269),2)</f>
        <v>0</v>
      </c>
      <c r="O269" s="193">
        <f>M269+N269</f>
        <v>0</v>
      </c>
      <c r="P269" s="209"/>
      <c r="Q269" s="169">
        <v>0.65</v>
      </c>
    </row>
    <row r="270" spans="2:17" x14ac:dyDescent="0.25">
      <c r="B270" s="1"/>
      <c r="C270" s="206">
        <f>IF($K$12=$B$266,(D127*($K$14)/($K$14+$L$14)),0)+IF($L$12=$B$266,(D127*($L$14)/($K$14+$L$14)),0)</f>
        <v>0</v>
      </c>
      <c r="D270" s="207"/>
      <c r="E270" s="207"/>
      <c r="F270" s="207"/>
      <c r="G270" s="192"/>
      <c r="H270" s="192"/>
      <c r="I270" s="192"/>
      <c r="J270" s="192"/>
      <c r="K270" s="192">
        <f>$K$266*(1-Q270)</f>
        <v>4.7262000000000005E-2</v>
      </c>
      <c r="L270" s="192"/>
      <c r="M270" s="208"/>
      <c r="N270" s="208">
        <f>ROUND((C270*K270),2)</f>
        <v>0</v>
      </c>
      <c r="O270" s="193">
        <f>M270+N270</f>
        <v>0</v>
      </c>
      <c r="P270" s="209"/>
      <c r="Q270" s="169">
        <v>0.4</v>
      </c>
    </row>
    <row r="271" spans="2:17" x14ac:dyDescent="0.25">
      <c r="B271" s="1"/>
      <c r="C271" s="206">
        <f>IF($K$12=$B$266,(D128*($K$14)/($K$14+$L$14)),0)+IF($L$12=$B$266,(D128*($L$14)/($K$14+$L$14)),0)</f>
        <v>0</v>
      </c>
      <c r="D271" s="207"/>
      <c r="E271" s="207"/>
      <c r="F271" s="207"/>
      <c r="G271" s="192"/>
      <c r="H271" s="192"/>
      <c r="I271" s="192"/>
      <c r="J271" s="192"/>
      <c r="K271" s="192">
        <f>$K$266*(1-Q271)</f>
        <v>7.0893000000000012E-2</v>
      </c>
      <c r="L271" s="192"/>
      <c r="M271" s="208"/>
      <c r="N271" s="208">
        <f>ROUND((C271*K271),2)</f>
        <v>0</v>
      </c>
      <c r="O271" s="193">
        <f>M271+N271</f>
        <v>0</v>
      </c>
      <c r="P271" s="209"/>
      <c r="Q271" s="169">
        <v>0.1</v>
      </c>
    </row>
    <row r="272" spans="2:17" x14ac:dyDescent="0.25">
      <c r="B272" s="1"/>
      <c r="C272" s="206">
        <f>IF($K$12=$B$266,(D129*($K$14)/($K$14+$L$14)),0)+IF($L$12=$B$266,(D129*($L$14)/($K$14+$L$14)),0)</f>
        <v>0</v>
      </c>
      <c r="D272" s="207"/>
      <c r="E272" s="207"/>
      <c r="F272" s="207"/>
      <c r="G272" s="192"/>
      <c r="H272" s="192"/>
      <c r="I272" s="192"/>
      <c r="J272" s="192"/>
      <c r="K272" s="192">
        <f>$K$266*(1-Q272)</f>
        <v>7.8770000000000007E-2</v>
      </c>
      <c r="L272" s="192"/>
      <c r="M272" s="208"/>
      <c r="N272" s="208">
        <f>ROUND((C272*K272),2)</f>
        <v>0</v>
      </c>
      <c r="O272" s="193">
        <f>M272+N272</f>
        <v>0</v>
      </c>
      <c r="P272" s="209"/>
      <c r="Q272" s="169">
        <v>0</v>
      </c>
    </row>
    <row r="273" spans="2:17" x14ac:dyDescent="0.25">
      <c r="B273" s="1"/>
      <c r="C273" s="210" t="s">
        <v>162</v>
      </c>
      <c r="D273" s="211"/>
      <c r="E273" s="211"/>
      <c r="F273" s="211"/>
      <c r="G273" s="211"/>
      <c r="H273" s="211"/>
      <c r="I273" s="211"/>
      <c r="J273" s="211"/>
      <c r="K273" s="211"/>
      <c r="L273" s="211"/>
      <c r="M273" s="211"/>
      <c r="N273" s="212"/>
      <c r="O273" s="213">
        <f>SUM(O269:O272)</f>
        <v>0</v>
      </c>
      <c r="P273" s="1"/>
      <c r="Q273" s="1"/>
    </row>
    <row r="274" spans="2:17" x14ac:dyDescent="0.2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2:17" x14ac:dyDescent="0.25">
      <c r="B275" s="1" t="s">
        <v>17</v>
      </c>
      <c r="C275" s="105"/>
      <c r="D275" s="105"/>
      <c r="E275" s="105"/>
      <c r="F275" s="105"/>
      <c r="G275" s="105"/>
      <c r="H275" s="116"/>
      <c r="I275" s="116"/>
      <c r="J275" s="117"/>
      <c r="K275" s="203">
        <f>K236</f>
        <v>0.14199999999999999</v>
      </c>
      <c r="L275" s="204"/>
      <c r="M275" s="106"/>
      <c r="N275" s="106"/>
      <c r="O275" s="118"/>
      <c r="P275" s="1"/>
      <c r="Q275" s="1"/>
    </row>
    <row r="276" spans="2:17" x14ac:dyDescent="0.25">
      <c r="B276" s="1"/>
      <c r="C276" s="349" t="s">
        <v>156</v>
      </c>
      <c r="D276" s="508"/>
      <c r="E276" s="509"/>
      <c r="F276" s="350"/>
      <c r="G276" s="508"/>
      <c r="H276" s="509"/>
      <c r="I276" s="350"/>
      <c r="J276" s="508" t="s">
        <v>32</v>
      </c>
      <c r="K276" s="509"/>
      <c r="L276" s="350"/>
      <c r="M276" s="508" t="s">
        <v>158</v>
      </c>
      <c r="N276" s="509"/>
      <c r="O276" s="351" t="s">
        <v>159</v>
      </c>
      <c r="P276" s="1"/>
      <c r="Q276" s="46"/>
    </row>
    <row r="277" spans="2:17" x14ac:dyDescent="0.25">
      <c r="B277" s="1"/>
      <c r="C277" s="352" t="s">
        <v>160</v>
      </c>
      <c r="D277" s="352"/>
      <c r="E277" s="352"/>
      <c r="F277" s="352"/>
      <c r="G277" s="352" t="s">
        <v>33</v>
      </c>
      <c r="H277" s="352" t="s">
        <v>9</v>
      </c>
      <c r="I277" s="352"/>
      <c r="J277" s="352" t="s">
        <v>33</v>
      </c>
      <c r="K277" s="352" t="s">
        <v>9</v>
      </c>
      <c r="L277" s="352"/>
      <c r="M277" s="352" t="s">
        <v>33</v>
      </c>
      <c r="N277" s="352" t="s">
        <v>9</v>
      </c>
      <c r="O277" s="352" t="s">
        <v>161</v>
      </c>
      <c r="P277" s="1"/>
    </row>
    <row r="278" spans="2:17" x14ac:dyDescent="0.25">
      <c r="B278" s="1"/>
      <c r="C278" s="206">
        <f>IF($K$12=$B$275,(D126*($K$14)/($K$14+$L$14)),0)+IF($L$12=$B$275,(D126*($L$14)/($K$14+$L$14)),0)</f>
        <v>0</v>
      </c>
      <c r="D278" s="207"/>
      <c r="E278" s="207"/>
      <c r="F278" s="207"/>
      <c r="G278" s="192"/>
      <c r="H278" s="192"/>
      <c r="I278" s="192"/>
      <c r="J278" s="192"/>
      <c r="K278" s="192">
        <f>$K$275*(1-Q278)</f>
        <v>4.9699999999999994E-2</v>
      </c>
      <c r="L278" s="192"/>
      <c r="M278" s="208"/>
      <c r="N278" s="208">
        <f>ROUND((C278*K278),2)</f>
        <v>0</v>
      </c>
      <c r="O278" s="193">
        <f>M278+N278</f>
        <v>0</v>
      </c>
      <c r="P278" s="209"/>
      <c r="Q278" s="169">
        <v>0.65</v>
      </c>
    </row>
    <row r="279" spans="2:17" x14ac:dyDescent="0.25">
      <c r="B279" s="1"/>
      <c r="C279" s="206">
        <f>IF($K$12=$B$275,(D127*($K$14)/($K$14+$L$14)),0)+IF($L$12=$B$275,(D127*($L$14)/($K$14+$L$14)),0)</f>
        <v>0</v>
      </c>
      <c r="D279" s="207"/>
      <c r="E279" s="207"/>
      <c r="F279" s="207"/>
      <c r="G279" s="192"/>
      <c r="H279" s="192"/>
      <c r="I279" s="192"/>
      <c r="J279" s="192"/>
      <c r="K279" s="192">
        <f>$K$275*(1-Q279)</f>
        <v>8.5199999999999984E-2</v>
      </c>
      <c r="L279" s="192"/>
      <c r="M279" s="208"/>
      <c r="N279" s="208">
        <f>ROUND((C279*K279),2)</f>
        <v>0</v>
      </c>
      <c r="O279" s="193">
        <f>M279+N279</f>
        <v>0</v>
      </c>
      <c r="P279" s="209"/>
      <c r="Q279" s="169">
        <v>0.4</v>
      </c>
    </row>
    <row r="280" spans="2:17" x14ac:dyDescent="0.25">
      <c r="B280" s="1"/>
      <c r="C280" s="206">
        <f>IF($K$12=$B$275,(D128*($K$14)/($K$14+$L$14)),0)+IF($L$12=$B$275,(D128*($L$14)/($K$14+$L$14)),0)</f>
        <v>0</v>
      </c>
      <c r="D280" s="207"/>
      <c r="E280" s="207"/>
      <c r="F280" s="207"/>
      <c r="G280" s="192"/>
      <c r="H280" s="192"/>
      <c r="I280" s="192"/>
      <c r="J280" s="192"/>
      <c r="K280" s="192">
        <f>$K$275*(1-Q280)</f>
        <v>0.1278</v>
      </c>
      <c r="L280" s="192"/>
      <c r="M280" s="208"/>
      <c r="N280" s="208">
        <f>ROUND((C280*K280),2)</f>
        <v>0</v>
      </c>
      <c r="O280" s="193">
        <f>M280+N280</f>
        <v>0</v>
      </c>
      <c r="P280" s="209"/>
      <c r="Q280" s="169">
        <v>0.1</v>
      </c>
    </row>
    <row r="281" spans="2:17" x14ac:dyDescent="0.25">
      <c r="B281" s="1"/>
      <c r="C281" s="206">
        <f>IF($K$12=$B$275,(D129*($K$14)/($K$14+$L$14)),0)+IF($L$12=$B$275,(D129*($L$14)/($K$14+$L$14)),0)</f>
        <v>0</v>
      </c>
      <c r="D281" s="207"/>
      <c r="E281" s="207"/>
      <c r="F281" s="207"/>
      <c r="G281" s="192"/>
      <c r="H281" s="192"/>
      <c r="I281" s="192"/>
      <c r="J281" s="192"/>
      <c r="K281" s="192">
        <f>$K$275*(1-Q281)</f>
        <v>0.14199999999999999</v>
      </c>
      <c r="L281" s="192"/>
      <c r="M281" s="208"/>
      <c r="N281" s="208">
        <f>ROUND((C281*K281),2)</f>
        <v>0</v>
      </c>
      <c r="O281" s="193">
        <f>M281+N281</f>
        <v>0</v>
      </c>
      <c r="P281" s="209"/>
      <c r="Q281" s="169">
        <v>0</v>
      </c>
    </row>
    <row r="282" spans="2:17" x14ac:dyDescent="0.25">
      <c r="B282" s="1"/>
      <c r="C282" s="210" t="s">
        <v>162</v>
      </c>
      <c r="D282" s="211"/>
      <c r="E282" s="211"/>
      <c r="F282" s="211"/>
      <c r="G282" s="211"/>
      <c r="H282" s="211"/>
      <c r="I282" s="211"/>
      <c r="J282" s="211"/>
      <c r="K282" s="211"/>
      <c r="L282" s="211"/>
      <c r="M282" s="211"/>
      <c r="N282" s="212"/>
      <c r="O282" s="213">
        <f>SUM(O278:O281)</f>
        <v>0</v>
      </c>
      <c r="P282" s="1"/>
      <c r="Q282" s="1"/>
    </row>
  </sheetData>
  <mergeCells count="90">
    <mergeCell ref="U4:W4"/>
    <mergeCell ref="X4:Z4"/>
    <mergeCell ref="K11:L11"/>
    <mergeCell ref="B102:H102"/>
    <mergeCell ref="D173:E173"/>
    <mergeCell ref="G173:H173"/>
    <mergeCell ref="J173:K173"/>
    <mergeCell ref="M173:N173"/>
    <mergeCell ref="U173:V173"/>
    <mergeCell ref="X173:Y173"/>
    <mergeCell ref="B4:B5"/>
    <mergeCell ref="C4:E4"/>
    <mergeCell ref="F4:H4"/>
    <mergeCell ref="I4:K4"/>
    <mergeCell ref="Q4:Q5"/>
    <mergeCell ref="R4:T4"/>
    <mergeCell ref="AA173:AB173"/>
    <mergeCell ref="AD173:AE173"/>
    <mergeCell ref="D182:E182"/>
    <mergeCell ref="G182:H182"/>
    <mergeCell ref="J182:K182"/>
    <mergeCell ref="M182:N182"/>
    <mergeCell ref="U182:V182"/>
    <mergeCell ref="X182:Y182"/>
    <mergeCell ref="AA182:AB182"/>
    <mergeCell ref="AD182:AE182"/>
    <mergeCell ref="AA191:AB191"/>
    <mergeCell ref="AD191:AE191"/>
    <mergeCell ref="D200:E200"/>
    <mergeCell ref="G200:H200"/>
    <mergeCell ref="J200:K200"/>
    <mergeCell ref="M200:N200"/>
    <mergeCell ref="U200:V200"/>
    <mergeCell ref="X200:Y200"/>
    <mergeCell ref="AA200:AB200"/>
    <mergeCell ref="AD200:AE200"/>
    <mergeCell ref="D191:E191"/>
    <mergeCell ref="G191:H191"/>
    <mergeCell ref="J191:K191"/>
    <mergeCell ref="M191:N191"/>
    <mergeCell ref="U191:V191"/>
    <mergeCell ref="X191:Y191"/>
    <mergeCell ref="AA210:AB210"/>
    <mergeCell ref="AD210:AE210"/>
    <mergeCell ref="D219:E219"/>
    <mergeCell ref="G219:H219"/>
    <mergeCell ref="J219:K219"/>
    <mergeCell ref="M219:N219"/>
    <mergeCell ref="U219:V219"/>
    <mergeCell ref="X219:Y219"/>
    <mergeCell ref="AA219:AB219"/>
    <mergeCell ref="AD219:AE219"/>
    <mergeCell ref="D210:E210"/>
    <mergeCell ref="G210:H210"/>
    <mergeCell ref="J210:K210"/>
    <mergeCell ref="M210:N210"/>
    <mergeCell ref="U210:V210"/>
    <mergeCell ref="X210:Y210"/>
    <mergeCell ref="AA228:AB228"/>
    <mergeCell ref="AD228:AE228"/>
    <mergeCell ref="D237:E237"/>
    <mergeCell ref="G237:H237"/>
    <mergeCell ref="J237:K237"/>
    <mergeCell ref="M237:N237"/>
    <mergeCell ref="U237:V237"/>
    <mergeCell ref="X237:Y237"/>
    <mergeCell ref="AA237:AB237"/>
    <mergeCell ref="AD237:AE237"/>
    <mergeCell ref="D228:E228"/>
    <mergeCell ref="G228:H228"/>
    <mergeCell ref="J228:K228"/>
    <mergeCell ref="M228:N228"/>
    <mergeCell ref="U228:V228"/>
    <mergeCell ref="X228:Y228"/>
    <mergeCell ref="D249:E249"/>
    <mergeCell ref="G249:H249"/>
    <mergeCell ref="J249:K249"/>
    <mergeCell ref="M249:N249"/>
    <mergeCell ref="D258:E258"/>
    <mergeCell ref="G258:H258"/>
    <mergeCell ref="J258:K258"/>
    <mergeCell ref="M258:N258"/>
    <mergeCell ref="D267:E267"/>
    <mergeCell ref="G267:H267"/>
    <mergeCell ref="J267:K267"/>
    <mergeCell ref="M267:N267"/>
    <mergeCell ref="D276:E276"/>
    <mergeCell ref="G276:H276"/>
    <mergeCell ref="J276:K276"/>
    <mergeCell ref="M276:N276"/>
  </mergeCells>
  <conditionalFormatting sqref="K12:L12">
    <cfRule type="cellIs" dxfId="69" priority="1" operator="equal">
      <formula>"Escassez Hídrica"</formula>
    </cfRule>
    <cfRule type="cellIs" dxfId="68" priority="2" operator="equal">
      <formula>"VERDE"</formula>
    </cfRule>
    <cfRule type="cellIs" dxfId="67" priority="3" operator="equal">
      <formula>"BVM2"</formula>
    </cfRule>
    <cfRule type="cellIs" dxfId="66" priority="4" operator="equal">
      <formula>"BVM1"</formula>
    </cfRule>
    <cfRule type="cellIs" dxfId="65" priority="5" operator="equal">
      <formula>"BAM"</formula>
    </cfRule>
  </conditionalFormatting>
  <conditionalFormatting sqref="M3">
    <cfRule type="cellIs" dxfId="64" priority="11" operator="equal">
      <formula>"VERDE"</formula>
    </cfRule>
    <cfRule type="cellIs" dxfId="63" priority="12" operator="equal">
      <formula>"BVM2"</formula>
    </cfRule>
    <cfRule type="cellIs" dxfId="62" priority="13" operator="equal">
      <formula>"BVM1"</formula>
    </cfRule>
    <cfRule type="cellIs" dxfId="61" priority="14" operator="equal">
      <formula>"BAM"</formula>
    </cfRule>
  </conditionalFormatting>
  <conditionalFormatting sqref="M8">
    <cfRule type="containsText" dxfId="60" priority="6" operator="containsText" text="Escassez Hídrica">
      <formula>NOT(ISERROR(SEARCH("Escassez Hídrica",M8)))</formula>
    </cfRule>
    <cfRule type="cellIs" dxfId="59" priority="7" operator="equal">
      <formula>"VERDE"</formula>
    </cfRule>
    <cfRule type="cellIs" dxfId="58" priority="8" operator="equal">
      <formula>"BVM2"</formula>
    </cfRule>
    <cfRule type="cellIs" dxfId="57" priority="9" operator="equal">
      <formula>"BVM1"</formula>
    </cfRule>
    <cfRule type="cellIs" dxfId="56" priority="10" operator="equal">
      <formula>"BAM"</formula>
    </cfRule>
  </conditionalFormatting>
  <dataValidations count="1">
    <dataValidation type="list" allowBlank="1" showInputMessage="1" showErrorMessage="1" sqref="K12:L12" xr:uid="{DA6E6CAB-ED60-44FF-8911-DACCD6EE7249}">
      <formula1>$M$3:$M$8</formula1>
    </dataValidation>
  </dataValidations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558F6-FE64-40D6-A738-A69932DD5879}">
  <sheetPr>
    <tabColor rgb="FF00B050"/>
  </sheetPr>
  <dimension ref="A1:AK164"/>
  <sheetViews>
    <sheetView showGridLines="0" topLeftCell="A12" zoomScale="80" zoomScaleNormal="80" workbookViewId="0">
      <selection activeCell="Q36" sqref="Q36"/>
    </sheetView>
  </sheetViews>
  <sheetFormatPr defaultColWidth="9.125" defaultRowHeight="14.3" x14ac:dyDescent="0.25"/>
  <cols>
    <col min="1" max="1" width="6" style="19" bestFit="1" customWidth="1"/>
    <col min="2" max="2" width="27.125" style="19" customWidth="1"/>
    <col min="3" max="3" width="15.75" style="19" customWidth="1"/>
    <col min="4" max="10" width="12.75" style="19" customWidth="1"/>
    <col min="11" max="11" width="15.875" style="19" customWidth="1"/>
    <col min="12" max="12" width="13.875" style="19" customWidth="1"/>
    <col min="13" max="14" width="12.75" style="19" customWidth="1"/>
    <col min="15" max="15" width="14" style="19" customWidth="1"/>
    <col min="16" max="16" width="12.75" style="19" customWidth="1"/>
    <col min="17" max="17" width="13.375" style="19" customWidth="1"/>
    <col min="18" max="18" width="12.125" style="19" bestFit="1" customWidth="1"/>
    <col min="19" max="19" width="14.125" style="19" customWidth="1"/>
    <col min="20" max="20" width="11.25" style="19" bestFit="1" customWidth="1"/>
    <col min="21" max="21" width="12.125" style="19" bestFit="1" customWidth="1"/>
    <col min="22" max="22" width="13.125" style="19" bestFit="1" customWidth="1"/>
    <col min="23" max="23" width="11.25" style="19" bestFit="1" customWidth="1"/>
    <col min="24" max="24" width="12.125" style="19" bestFit="1" customWidth="1"/>
    <col min="25" max="25" width="13.125" style="19" bestFit="1" customWidth="1"/>
    <col min="26" max="26" width="11.25" style="19" bestFit="1" customWidth="1"/>
    <col min="27" max="36" width="9.125" style="19"/>
    <col min="37" max="37" width="11.125" style="19" bestFit="1" customWidth="1"/>
    <col min="38" max="16384" width="9.125" style="19"/>
  </cols>
  <sheetData>
    <row r="1" spans="1:37" x14ac:dyDescent="0.25">
      <c r="A1" s="19" t="s">
        <v>8</v>
      </c>
      <c r="B1" s="19" t="s">
        <v>8</v>
      </c>
      <c r="F1" s="24"/>
      <c r="G1" s="1"/>
      <c r="H1" s="1" t="s">
        <v>8</v>
      </c>
      <c r="I1" s="1"/>
      <c r="J1" s="1"/>
      <c r="K1" s="1"/>
      <c r="L1" s="19" t="s">
        <v>8</v>
      </c>
    </row>
    <row r="2" spans="1:37" ht="19.05" x14ac:dyDescent="0.25">
      <c r="A2" s="19" t="s">
        <v>8</v>
      </c>
      <c r="B2" s="25" t="s">
        <v>154</v>
      </c>
      <c r="E2" s="20" t="s">
        <v>28</v>
      </c>
      <c r="F2" s="21">
        <f>'Fatura B1 (GD) OK'!F2</f>
        <v>46241</v>
      </c>
      <c r="G2" s="1" t="s">
        <v>8</v>
      </c>
      <c r="I2" s="101"/>
      <c r="J2" s="1"/>
      <c r="K2" s="1"/>
      <c r="M2" s="6" t="s">
        <v>12</v>
      </c>
      <c r="N2" s="6" t="s">
        <v>6</v>
      </c>
      <c r="O2" s="19" t="s">
        <v>29</v>
      </c>
      <c r="Q2" s="26" t="s">
        <v>30</v>
      </c>
      <c r="R2" s="27"/>
    </row>
    <row r="3" spans="1:37" x14ac:dyDescent="0.25">
      <c r="M3" s="7" t="s">
        <v>13</v>
      </c>
      <c r="N3" s="8">
        <v>0</v>
      </c>
    </row>
    <row r="4" spans="1:37" ht="14.95" customHeight="1" x14ac:dyDescent="0.25">
      <c r="B4" s="518" t="s">
        <v>152</v>
      </c>
      <c r="C4" s="466" t="str">
        <f>'Fatura B1 (GD) OK'!C4:E4</f>
        <v>TARIFA ANTIGA - REH 3508/2025</v>
      </c>
      <c r="D4" s="466"/>
      <c r="E4" s="466"/>
      <c r="F4" s="466" t="str">
        <f>'Fatura B1 (GD) OK'!F4</f>
        <v>TARIFA NOVA - REH xxxx/2026</v>
      </c>
      <c r="G4" s="466"/>
      <c r="H4" s="466"/>
      <c r="I4" s="467" t="s">
        <v>32</v>
      </c>
      <c r="J4" s="467"/>
      <c r="K4" s="467"/>
      <c r="M4" s="9" t="s">
        <v>14</v>
      </c>
      <c r="N4" s="10">
        <v>1.8849999999999999E-2</v>
      </c>
      <c r="Q4" s="464" t="s">
        <v>31</v>
      </c>
      <c r="R4" s="457" t="str">
        <f>C4</f>
        <v>TARIFA ANTIGA - REH 3508/2025</v>
      </c>
      <c r="S4" s="458"/>
      <c r="T4" s="459"/>
      <c r="U4" s="457" t="str">
        <f>F4</f>
        <v>TARIFA NOVA - REH xxxx/2026</v>
      </c>
      <c r="V4" s="458"/>
      <c r="W4" s="459"/>
      <c r="X4" s="457" t="s">
        <v>32</v>
      </c>
      <c r="Y4" s="458"/>
      <c r="Z4" s="459"/>
    </row>
    <row r="5" spans="1:37" x14ac:dyDescent="0.25">
      <c r="B5" s="519"/>
      <c r="C5" s="28" t="s">
        <v>33</v>
      </c>
      <c r="D5" s="28" t="s">
        <v>9</v>
      </c>
      <c r="E5" s="28" t="s">
        <v>34</v>
      </c>
      <c r="F5" s="28" t="s">
        <v>33</v>
      </c>
      <c r="G5" s="28" t="s">
        <v>9</v>
      </c>
      <c r="H5" s="28" t="s">
        <v>34</v>
      </c>
      <c r="I5" s="29" t="s">
        <v>33</v>
      </c>
      <c r="J5" s="29" t="s">
        <v>9</v>
      </c>
      <c r="K5" s="29" t="s">
        <v>34</v>
      </c>
      <c r="M5" s="11" t="s">
        <v>15</v>
      </c>
      <c r="N5" s="12">
        <v>4.4630000000000003E-2</v>
      </c>
      <c r="Q5" s="465"/>
      <c r="R5" s="28" t="s">
        <v>35</v>
      </c>
      <c r="S5" s="1"/>
      <c r="T5" s="1"/>
      <c r="U5" s="28" t="s">
        <v>35</v>
      </c>
      <c r="V5" s="1"/>
      <c r="W5" s="1"/>
      <c r="X5" s="28" t="s">
        <v>35</v>
      </c>
      <c r="Y5" s="1"/>
      <c r="Z5" s="1"/>
    </row>
    <row r="6" spans="1:37" x14ac:dyDescent="0.25">
      <c r="B6" s="30" t="s">
        <v>153</v>
      </c>
      <c r="C6" s="310">
        <f>'TABELA DE TARIFAS ANTIGAS'!G72/1000</f>
        <v>0.32543</v>
      </c>
      <c r="D6" s="310">
        <f>'TABELA DE TARIFAS ANTIGAS'!H72/1000</f>
        <v>0.28244999999999998</v>
      </c>
      <c r="E6" s="310">
        <f>C6+D6</f>
        <v>0.60787999999999998</v>
      </c>
      <c r="F6" s="310">
        <f>'TABELA DE TARIFAS NOVAS'!G74/1000</f>
        <v>0.34894999999999998</v>
      </c>
      <c r="G6" s="310">
        <f>'TABELA DE TARIFAS NOVAS'!H74/1000</f>
        <v>0.32532</v>
      </c>
      <c r="H6" s="310">
        <f>F6+G6</f>
        <v>0.67426999999999992</v>
      </c>
      <c r="I6" s="31">
        <f>((C6*$C$14)+(F6*$D$14))/($D$14+$C$14)</f>
        <v>0.33640599999999998</v>
      </c>
      <c r="J6" s="31">
        <f>((D6*$C$14)+(G6*$D$14))/($D$14+$C$14)</f>
        <v>0.302456</v>
      </c>
      <c r="K6" s="32">
        <f>I6+J6</f>
        <v>0.63886200000000004</v>
      </c>
      <c r="M6" s="13" t="s">
        <v>16</v>
      </c>
      <c r="N6" s="14">
        <v>7.8770000000000007E-2</v>
      </c>
      <c r="P6" s="33"/>
      <c r="Q6" s="30" t="str">
        <f>B6</f>
        <v>Baixa renda</v>
      </c>
      <c r="R6" s="31">
        <f>'FIO B'!H13/1000</f>
        <v>0.20383072193179136</v>
      </c>
      <c r="S6"/>
      <c r="T6"/>
      <c r="U6" s="31">
        <f>'FIO B'!K13/1000</f>
        <v>0.20915159219558199</v>
      </c>
      <c r="V6"/>
      <c r="W6"/>
      <c r="X6" s="31">
        <f>((R6*$C$14)+(U6*$D$14))/($D$14+$C$14)</f>
        <v>0.20631379472156031</v>
      </c>
      <c r="Y6" s="1"/>
      <c r="Z6" s="1"/>
    </row>
    <row r="7" spans="1:37" x14ac:dyDescent="0.25">
      <c r="B7" s="242" t="s">
        <v>200</v>
      </c>
      <c r="C7" s="257">
        <v>0</v>
      </c>
      <c r="D7" s="256">
        <v>-4.4031307414479802E-3</v>
      </c>
      <c r="E7" s="32">
        <v>3.6054083865702689E-3</v>
      </c>
      <c r="F7" s="32">
        <f>T11</f>
        <v>0</v>
      </c>
      <c r="G7" s="32">
        <f>U11</f>
        <v>-5.3182974871251499E-4</v>
      </c>
      <c r="H7" s="32">
        <f t="shared" ref="H7" si="0">F7+G7</f>
        <v>-5.3182974871251499E-4</v>
      </c>
      <c r="I7" s="31">
        <f>((C7*$C$14)+(F7*$D$14))/($D$14+$C$14)</f>
        <v>0</v>
      </c>
      <c r="J7" s="31">
        <f>((D7*$C$14)+(G7*$D$14))/($D$14+$C$14)</f>
        <v>-2.5965236115047629E-3</v>
      </c>
      <c r="K7" s="32">
        <f>I7+J7</f>
        <v>-2.5965236115047629E-3</v>
      </c>
      <c r="M7" s="226"/>
      <c r="N7" s="14"/>
      <c r="P7" s="33"/>
      <c r="Q7" s="82"/>
      <c r="R7" s="83"/>
      <c r="S7" s="1"/>
      <c r="T7" s="1"/>
      <c r="U7" s="83"/>
      <c r="V7" s="1"/>
      <c r="W7" s="1"/>
      <c r="X7" s="83"/>
      <c r="Y7" s="1"/>
      <c r="Z7" s="1"/>
    </row>
    <row r="8" spans="1:37" x14ac:dyDescent="0.25">
      <c r="B8" s="94" t="s">
        <v>57</v>
      </c>
      <c r="C8" s="83"/>
      <c r="D8" s="83"/>
      <c r="E8" s="83"/>
      <c r="F8" s="83"/>
      <c r="G8" s="81">
        <f>G6*15%</f>
        <v>4.8798000000000001E-2</v>
      </c>
      <c r="H8" s="83"/>
      <c r="I8" s="83"/>
      <c r="J8" s="31">
        <f>((D8*$C$14)+(G8*$D$14))/($D$14+$C$14)</f>
        <v>2.2772400000000002E-2</v>
      </c>
      <c r="K8" s="84"/>
      <c r="M8" s="7" t="s">
        <v>17</v>
      </c>
      <c r="N8" s="15">
        <v>0.14199999999999999</v>
      </c>
      <c r="P8"/>
      <c r="Q8"/>
      <c r="R8"/>
      <c r="S8"/>
      <c r="T8"/>
      <c r="U8"/>
      <c r="V8"/>
      <c r="W8"/>
      <c r="X8" s="83"/>
      <c r="Y8" s="1"/>
      <c r="Z8" s="1"/>
    </row>
    <row r="9" spans="1:37" x14ac:dyDescent="0.25">
      <c r="A9" s="19" t="s">
        <v>8</v>
      </c>
      <c r="G9" s="1"/>
      <c r="H9" s="1"/>
      <c r="I9" s="1"/>
      <c r="J9" s="1"/>
      <c r="K9" s="1"/>
      <c r="O9" s="20"/>
      <c r="P9" t="s">
        <v>383</v>
      </c>
      <c r="Q9"/>
      <c r="R9"/>
      <c r="S9"/>
      <c r="T9"/>
      <c r="U9"/>
      <c r="V9"/>
      <c r="W9"/>
      <c r="X9" t="s">
        <v>384</v>
      </c>
      <c r="Y9"/>
      <c r="Z9"/>
      <c r="AA9"/>
      <c r="AB9"/>
      <c r="AC9"/>
      <c r="AD9"/>
      <c r="AE9"/>
      <c r="AF9" t="s">
        <v>385</v>
      </c>
      <c r="AG9"/>
      <c r="AH9"/>
      <c r="AI9"/>
      <c r="AJ9"/>
      <c r="AK9"/>
    </row>
    <row r="10" spans="1:37" x14ac:dyDescent="0.25">
      <c r="B10" s="34"/>
      <c r="C10" s="35"/>
      <c r="D10" s="36"/>
      <c r="E10" s="35"/>
      <c r="F10" s="35"/>
      <c r="G10" s="35"/>
      <c r="H10" s="37" t="s">
        <v>37</v>
      </c>
      <c r="I10" s="1"/>
      <c r="L10" s="20" t="s">
        <v>25</v>
      </c>
      <c r="M10" s="21">
        <f>EOMONTH(B14,0)+1</f>
        <v>46235</v>
      </c>
      <c r="P10" s="227" t="s">
        <v>194</v>
      </c>
      <c r="Q10" s="228"/>
      <c r="R10" s="229" t="s">
        <v>195</v>
      </c>
      <c r="S10" s="229" t="s">
        <v>196</v>
      </c>
      <c r="T10" s="229" t="s">
        <v>35</v>
      </c>
      <c r="U10" s="229" t="s">
        <v>100</v>
      </c>
      <c r="V10" s="244"/>
      <c r="W10" s="244"/>
      <c r="X10" s="227" t="s">
        <v>194</v>
      </c>
      <c r="Y10" s="228"/>
      <c r="Z10" s="229" t="s">
        <v>195</v>
      </c>
      <c r="AA10" s="229" t="s">
        <v>196</v>
      </c>
      <c r="AB10" s="229" t="s">
        <v>35</v>
      </c>
      <c r="AC10" s="229" t="s">
        <v>100</v>
      </c>
      <c r="AD10" s="244"/>
      <c r="AE10" s="244"/>
      <c r="AF10" s="227" t="s">
        <v>194</v>
      </c>
      <c r="AG10" s="228"/>
      <c r="AH10" s="229" t="s">
        <v>195</v>
      </c>
      <c r="AI10" s="229" t="s">
        <v>196</v>
      </c>
      <c r="AJ10" s="229" t="s">
        <v>35</v>
      </c>
      <c r="AK10" s="229" t="s">
        <v>100</v>
      </c>
    </row>
    <row r="11" spans="1:37" x14ac:dyDescent="0.25">
      <c r="B11" s="38" t="s">
        <v>38</v>
      </c>
      <c r="C11" s="411">
        <v>191127</v>
      </c>
      <c r="E11" s="1"/>
      <c r="F11" s="1"/>
      <c r="G11" s="1"/>
      <c r="H11" s="40">
        <f>E14</f>
        <v>46254</v>
      </c>
      <c r="K11" s="460" t="s">
        <v>26</v>
      </c>
      <c r="L11" s="460"/>
      <c r="P11" s="238" t="s">
        <v>199</v>
      </c>
      <c r="Q11" s="239"/>
      <c r="R11" s="240"/>
      <c r="S11" s="240"/>
      <c r="T11" s="257">
        <v>0</v>
      </c>
      <c r="U11" s="256">
        <f>-0.531829748712515/1000</f>
        <v>-5.3182974871251499E-4</v>
      </c>
      <c r="V11" s="244"/>
      <c r="W11" s="244"/>
      <c r="X11" s="238" t="s">
        <v>199</v>
      </c>
      <c r="Y11" s="239"/>
      <c r="Z11" s="240"/>
      <c r="AA11" s="240"/>
      <c r="AB11" s="257">
        <v>0</v>
      </c>
      <c r="AC11" s="256">
        <v>1.2004100000000001E-3</v>
      </c>
      <c r="AD11" s="244"/>
      <c r="AE11" s="244"/>
      <c r="AF11" s="238" t="s">
        <v>199</v>
      </c>
      <c r="AG11" s="239"/>
      <c r="AH11" s="240"/>
      <c r="AI11" s="240"/>
      <c r="AJ11" s="257">
        <f>((T11*$C$14)+(AB11*$D$14))/($D$14+$C$14)</f>
        <v>0</v>
      </c>
      <c r="AK11" s="256">
        <f>((U11*$D$14)+(AC11*$C$14))/($D$14+$C$14)</f>
        <v>3.9203145060082639E-4</v>
      </c>
    </row>
    <row r="12" spans="1:37" x14ac:dyDescent="0.25">
      <c r="A12" s="19" t="s">
        <v>8</v>
      </c>
      <c r="B12" s="41"/>
      <c r="H12" s="43"/>
      <c r="K12" s="7" t="s">
        <v>14</v>
      </c>
      <c r="L12" s="7" t="s">
        <v>14</v>
      </c>
      <c r="P12" s="245" t="s">
        <v>362</v>
      </c>
      <c r="Q12" s="246">
        <v>1</v>
      </c>
      <c r="R12" s="244"/>
      <c r="S12" s="244"/>
      <c r="T12" s="244"/>
      <c r="U12" s="428">
        <f>$U$11*(1-Q12)</f>
        <v>0</v>
      </c>
      <c r="V12" s="244"/>
      <c r="W12" s="433">
        <f>((T12*$C$14)+(U12*$D$14))/($D$14+$C$14)</f>
        <v>0</v>
      </c>
      <c r="X12" s="245" t="s">
        <v>201</v>
      </c>
      <c r="Y12" s="246">
        <v>0.65</v>
      </c>
      <c r="Z12" s="244"/>
      <c r="AA12" s="244"/>
      <c r="AB12" s="244"/>
      <c r="AC12" s="237">
        <f>$AC$11*(1-Y12)</f>
        <v>4.201435E-4</v>
      </c>
      <c r="AD12" s="244"/>
      <c r="AE12" s="429" t="e">
        <f>((AB12*$C$13)+(AC12*$D$13))/($D$13+$C$13)</f>
        <v>#VALUE!</v>
      </c>
      <c r="AF12" s="245" t="s">
        <v>362</v>
      </c>
      <c r="AG12" s="246">
        <v>1</v>
      </c>
      <c r="AH12" s="244"/>
      <c r="AI12" s="244"/>
      <c r="AJ12" s="244"/>
      <c r="AK12" s="428">
        <f>$AK$11*(1-AG12)</f>
        <v>0</v>
      </c>
    </row>
    <row r="13" spans="1:37" ht="27.2" x14ac:dyDescent="0.25">
      <c r="B13" s="16" t="s">
        <v>21</v>
      </c>
      <c r="C13" s="16" t="s">
        <v>22</v>
      </c>
      <c r="D13" s="16" t="s">
        <v>23</v>
      </c>
      <c r="E13" s="16" t="s">
        <v>24</v>
      </c>
      <c r="F13" s="1"/>
      <c r="G13" s="1"/>
      <c r="H13" s="43"/>
      <c r="J13" s="16" t="s">
        <v>21</v>
      </c>
      <c r="K13" s="16" t="s">
        <v>22</v>
      </c>
      <c r="L13" s="16" t="s">
        <v>23</v>
      </c>
      <c r="M13" s="16" t="s">
        <v>24</v>
      </c>
      <c r="P13" s="251" t="s">
        <v>363</v>
      </c>
      <c r="Q13" s="252">
        <v>0</v>
      </c>
      <c r="R13" s="244"/>
      <c r="S13" s="244"/>
      <c r="T13" s="244"/>
      <c r="U13" s="428">
        <f>$U$11*(1-Q13)</f>
        <v>-5.3182974871251499E-4</v>
      </c>
      <c r="V13" s="244"/>
      <c r="W13" s="429" t="e">
        <f>((#REF!*$C$14)+(#REF!*$D$14))/($D$14+$C$14)</f>
        <v>#REF!</v>
      </c>
      <c r="X13" s="247" t="s">
        <v>202</v>
      </c>
      <c r="Y13" s="248">
        <v>0.4</v>
      </c>
      <c r="Z13" s="244"/>
      <c r="AA13" s="244"/>
      <c r="AB13" s="244"/>
      <c r="AC13" s="237">
        <f t="shared" ref="AC13:AC15" si="1">$AC$11*(1-Y13)</f>
        <v>7.2024600000000002E-4</v>
      </c>
      <c r="AD13" s="244"/>
      <c r="AE13" s="429" t="e">
        <f>((AB15*$C$13)+(AC15*$D$13))/($D$13+$C$13)</f>
        <v>#VALUE!</v>
      </c>
      <c r="AF13" s="251" t="s">
        <v>363</v>
      </c>
      <c r="AG13" s="252">
        <v>0</v>
      </c>
      <c r="AH13" s="244"/>
      <c r="AI13"/>
      <c r="AJ13" s="250"/>
      <c r="AK13" s="428">
        <f>$AK$11*(1-AG13)</f>
        <v>3.9203145060082639E-4</v>
      </c>
    </row>
    <row r="14" spans="1:37" x14ac:dyDescent="0.25">
      <c r="B14" s="17">
        <v>46224</v>
      </c>
      <c r="C14" s="18">
        <f>IF((F2-B14-1)&lt;0,0,(F2-B14-1))</f>
        <v>16</v>
      </c>
      <c r="D14" s="18">
        <f>E14-F2+1</f>
        <v>14</v>
      </c>
      <c r="E14" s="17">
        <v>46254</v>
      </c>
      <c r="F14" s="44"/>
      <c r="G14" s="44"/>
      <c r="H14" s="45"/>
      <c r="J14" s="22">
        <f>B14</f>
        <v>46224</v>
      </c>
      <c r="K14" s="23">
        <f>IF((M10-J14-1)&lt;0,0,(M10-J14-1))</f>
        <v>10</v>
      </c>
      <c r="L14" s="23">
        <f>M14-M10+1</f>
        <v>20</v>
      </c>
      <c r="M14" s="22">
        <f>E14</f>
        <v>46254</v>
      </c>
      <c r="P14" s="244"/>
      <c r="Q14" s="244"/>
      <c r="R14" s="244"/>
      <c r="S14" s="244"/>
      <c r="T14" s="244"/>
      <c r="U14" s="244"/>
      <c r="V14" s="244"/>
      <c r="W14" s="429" t="e">
        <f>((#REF!*$C$14)+(#REF!*$D$14))/($D$14+$C$14)</f>
        <v>#REF!</v>
      </c>
      <c r="X14" s="249" t="s">
        <v>203</v>
      </c>
      <c r="Y14" s="248">
        <v>0.1</v>
      </c>
      <c r="Z14" s="244"/>
      <c r="AA14"/>
      <c r="AB14" s="250"/>
      <c r="AC14" s="237">
        <f t="shared" si="1"/>
        <v>1.0803690000000001E-3</v>
      </c>
      <c r="AD14" s="244"/>
      <c r="AE14" s="244"/>
      <c r="AF14" s="244"/>
      <c r="AG14" s="244"/>
      <c r="AH14" s="244"/>
      <c r="AI14" s="244"/>
      <c r="AJ14" s="244"/>
      <c r="AK14" s="244"/>
    </row>
    <row r="15" spans="1:37" x14ac:dyDescent="0.25">
      <c r="P15" s="244"/>
      <c r="Q15" s="244"/>
      <c r="R15" s="244"/>
      <c r="S15" s="244"/>
      <c r="T15" s="244"/>
      <c r="U15" s="244"/>
      <c r="V15" s="1"/>
      <c r="W15" s="429" t="e">
        <f>((T13*$C$13)+(U13*$D$13))/($D$13+$C$13)</f>
        <v>#VALUE!</v>
      </c>
      <c r="X15" s="251" t="s">
        <v>204</v>
      </c>
      <c r="Y15" s="252">
        <v>0</v>
      </c>
      <c r="Z15" s="244"/>
      <c r="AA15"/>
      <c r="AB15" s="250"/>
      <c r="AC15" s="237">
        <f t="shared" si="1"/>
        <v>1.2004100000000001E-3</v>
      </c>
      <c r="AD15" s="1"/>
      <c r="AE15" s="244"/>
      <c r="AF15" s="244"/>
      <c r="AG15" s="244"/>
      <c r="AH15" s="244"/>
      <c r="AI15" s="244"/>
      <c r="AJ15" s="244"/>
      <c r="AK15" s="244"/>
    </row>
    <row r="16" spans="1:37" s="244" customFormat="1" x14ac:dyDescent="0.25">
      <c r="B16" s="287" t="s">
        <v>237</v>
      </c>
      <c r="D16" s="288">
        <v>444</v>
      </c>
      <c r="E16" s="289"/>
      <c r="G16"/>
      <c r="H16"/>
      <c r="I16"/>
      <c r="J16"/>
      <c r="K16"/>
      <c r="N16" s="290"/>
      <c r="O16" s="291"/>
      <c r="P16"/>
      <c r="Q16"/>
      <c r="S16"/>
      <c r="T16" s="250"/>
      <c r="U16"/>
      <c r="V16"/>
      <c r="W16"/>
    </row>
    <row r="17" spans="1:29" s="244" customFormat="1" x14ac:dyDescent="0.25">
      <c r="B17" s="287" t="s">
        <v>254</v>
      </c>
      <c r="D17" s="288">
        <v>364</v>
      </c>
      <c r="E17" s="289"/>
      <c r="G17"/>
      <c r="H17"/>
      <c r="I17"/>
      <c r="J17"/>
      <c r="K17"/>
      <c r="N17" s="290"/>
      <c r="O17" s="291"/>
      <c r="P17"/>
      <c r="Q17"/>
      <c r="S17"/>
      <c r="T17" s="250"/>
      <c r="U17"/>
      <c r="V17"/>
      <c r="W17"/>
    </row>
    <row r="18" spans="1:29" s="244" customFormat="1" x14ac:dyDescent="0.25">
      <c r="E18" s="289"/>
      <c r="G18"/>
      <c r="H18"/>
      <c r="I18"/>
      <c r="J18"/>
      <c r="K18"/>
      <c r="M18" s="357" t="s">
        <v>104</v>
      </c>
      <c r="N18" s="358"/>
      <c r="O18" s="359">
        <v>1025311206</v>
      </c>
      <c r="P18"/>
      <c r="Q18"/>
      <c r="S18"/>
      <c r="T18" s="250"/>
      <c r="U18"/>
      <c r="V18"/>
      <c r="W18"/>
    </row>
    <row r="19" spans="1:29" s="244" customFormat="1" x14ac:dyDescent="0.25">
      <c r="B19" s="292"/>
      <c r="C19" s="289"/>
      <c r="D19" s="289"/>
      <c r="E19" s="292"/>
      <c r="G19"/>
      <c r="H19"/>
      <c r="I19"/>
      <c r="J19"/>
      <c r="K19"/>
      <c r="N19" s="290"/>
      <c r="O19" s="291"/>
      <c r="P19"/>
      <c r="Q19"/>
      <c r="S19"/>
      <c r="T19" s="250"/>
      <c r="U19"/>
      <c r="V19"/>
      <c r="W19"/>
    </row>
    <row r="20" spans="1:29" s="244" customFormat="1" ht="40.75" x14ac:dyDescent="0.25">
      <c r="B20" s="260" t="s">
        <v>207</v>
      </c>
      <c r="C20" s="260" t="s">
        <v>208</v>
      </c>
      <c r="D20" s="260" t="s">
        <v>209</v>
      </c>
      <c r="E20" s="261" t="s">
        <v>210</v>
      </c>
      <c r="F20" s="261" t="s">
        <v>211</v>
      </c>
      <c r="G20" s="261" t="s">
        <v>212</v>
      </c>
      <c r="H20" s="261" t="s">
        <v>213</v>
      </c>
      <c r="I20" s="261" t="s">
        <v>214</v>
      </c>
      <c r="J20" s="261" t="s">
        <v>215</v>
      </c>
      <c r="K20" s="262" t="s">
        <v>216</v>
      </c>
      <c r="L20" s="260" t="s">
        <v>217</v>
      </c>
      <c r="M20" s="261" t="s">
        <v>218</v>
      </c>
      <c r="N20" s="261" t="s">
        <v>219</v>
      </c>
      <c r="O20" s="261" t="s">
        <v>220</v>
      </c>
      <c r="Q20" s="26" t="s">
        <v>105</v>
      </c>
      <c r="R20" s="26" t="s">
        <v>106</v>
      </c>
      <c r="S20" s="1"/>
      <c r="T20" s="1"/>
      <c r="Y20"/>
      <c r="Z20"/>
      <c r="AA20"/>
      <c r="AB20"/>
      <c r="AC20"/>
    </row>
    <row r="21" spans="1:29" s="244" customFormat="1" x14ac:dyDescent="0.25">
      <c r="B21" s="263"/>
      <c r="C21" s="263"/>
      <c r="D21" s="263"/>
      <c r="E21" s="263"/>
      <c r="F21" s="263"/>
      <c r="G21" s="263"/>
      <c r="H21" s="263"/>
      <c r="I21" s="263"/>
      <c r="J21" s="263"/>
      <c r="K21" s="263"/>
      <c r="L21" s="264"/>
      <c r="M21" s="265"/>
      <c r="N21" s="265"/>
      <c r="O21" s="265"/>
      <c r="P21"/>
      <c r="Q21" s="1"/>
      <c r="R21" s="1"/>
      <c r="T21"/>
      <c r="U21"/>
      <c r="V21"/>
      <c r="W21"/>
    </row>
    <row r="22" spans="1:29" s="244" customFormat="1" x14ac:dyDescent="0.25">
      <c r="B22" s="293" t="s">
        <v>238</v>
      </c>
      <c r="C22" s="293"/>
      <c r="D22" s="294">
        <f>-K109</f>
        <v>-52.618359999999996</v>
      </c>
      <c r="E22" s="295">
        <v>1</v>
      </c>
      <c r="F22" s="296">
        <f>D22*E22</f>
        <v>-52.618359999999996</v>
      </c>
      <c r="G22" s="297">
        <v>0</v>
      </c>
      <c r="H22" s="297">
        <v>0</v>
      </c>
      <c r="I22" s="297">
        <v>0</v>
      </c>
      <c r="J22" s="297">
        <v>0</v>
      </c>
      <c r="K22" s="268">
        <v>1</v>
      </c>
      <c r="L22" s="47" t="s">
        <v>92</v>
      </c>
      <c r="M22" s="269">
        <f>D82</f>
        <v>255.14227858893747</v>
      </c>
      <c r="N22" s="272">
        <f>'Fatura B1 (GD) OK'!N21</f>
        <v>1.0999999999999999E-2</v>
      </c>
      <c r="O22" s="273">
        <f>ROUND(M22*N22,2)</f>
        <v>2.81</v>
      </c>
      <c r="P22"/>
      <c r="Q22" s="430">
        <f>IF(AND($B$14&lt;$F$2,$E$14&lt;$F$2),R6,IF($B$14&lt;$F$2,X6,U6))</f>
        <v>0.20631379472156031</v>
      </c>
      <c r="R22" s="431">
        <f>D65*Q22</f>
        <v>75.098221278647955</v>
      </c>
      <c r="S22" s="315" t="s">
        <v>392</v>
      </c>
      <c r="T22"/>
      <c r="U22"/>
      <c r="V22"/>
      <c r="W22"/>
    </row>
    <row r="23" spans="1:29" s="244" customFormat="1" x14ac:dyDescent="0.25">
      <c r="B23" s="293" t="s">
        <v>239</v>
      </c>
      <c r="C23" s="293"/>
      <c r="D23" s="297">
        <f>D22</f>
        <v>-52.618359999999996</v>
      </c>
      <c r="E23" s="268">
        <f>K23/(1-$N$22-$N$23)/(1-$I$23)</f>
        <v>1.2840448439821313</v>
      </c>
      <c r="F23" s="296">
        <f>-1*(F22-J23)</f>
        <v>64.103560000000002</v>
      </c>
      <c r="G23" s="297">
        <v>0</v>
      </c>
      <c r="H23" s="296">
        <f>ROUND((K109*K23)/(1-$N$22-$N$23)/(1-$I$23),2)</f>
        <v>67.56</v>
      </c>
      <c r="I23" s="271">
        <v>0.17</v>
      </c>
      <c r="J23" s="296">
        <f>H23*$I$23</f>
        <v>11.485200000000001</v>
      </c>
      <c r="K23" s="268">
        <v>1</v>
      </c>
      <c r="L23" s="47" t="s">
        <v>51</v>
      </c>
      <c r="M23" s="269">
        <f>M22</f>
        <v>255.14227858893747</v>
      </c>
      <c r="N23" s="272">
        <f>'Fatura B1 (GD) OK'!N23</f>
        <v>5.0700000000000002E-2</v>
      </c>
      <c r="O23" s="273">
        <f>ROUND(M23*N23,2)</f>
        <v>12.94</v>
      </c>
      <c r="P23"/>
      <c r="Q23" s="430">
        <f>IF(AND($B$14&lt;$F$2,$E$14&lt;$F$2),R6,IF($B$14&lt;$F$2,X6,U6))*(1-A65)</f>
        <v>0.20631379472156031</v>
      </c>
      <c r="R23" s="431">
        <f>D66*Q23</f>
        <v>16.505103577724825</v>
      </c>
      <c r="S23" s="298"/>
      <c r="T23"/>
      <c r="U23"/>
      <c r="V23"/>
      <c r="W23"/>
    </row>
    <row r="24" spans="1:29" s="244" customFormat="1" x14ac:dyDescent="0.25">
      <c r="A24" s="299">
        <v>1</v>
      </c>
      <c r="B24" s="265" t="s">
        <v>364</v>
      </c>
      <c r="C24" s="266" t="s">
        <v>2</v>
      </c>
      <c r="D24" s="269">
        <f>IF(D16&gt;0,80,0)</f>
        <v>80</v>
      </c>
      <c r="E24" s="268">
        <f>K24/(1-$N$22-$N$23)/(1-$I$23)</f>
        <v>0</v>
      </c>
      <c r="F24" s="269">
        <f t="shared" ref="F24:F25" si="2">ROUND(D24*E24,2)</f>
        <v>0</v>
      </c>
      <c r="G24" s="269">
        <f>ROUND(((D24*K24)/(1-$N$22-$N$23))*($N$22+$N$23),2)</f>
        <v>0</v>
      </c>
      <c r="H24" s="270">
        <f>ROUND((D24*K24)/(1-$N$22-$N$23)/(1-$I$23),2)</f>
        <v>0</v>
      </c>
      <c r="J24" s="270">
        <f>H24*$I$23</f>
        <v>0</v>
      </c>
      <c r="K24" s="268">
        <f>K25*(1-A24)</f>
        <v>0</v>
      </c>
      <c r="L24" s="255"/>
      <c r="M24" s="275"/>
      <c r="N24" s="275"/>
      <c r="O24" s="275"/>
      <c r="P24"/>
      <c r="Q24" s="430"/>
      <c r="R24" s="437">
        <f>SUM(R22:R23)</f>
        <v>91.60332485637278</v>
      </c>
      <c r="S24" s="1"/>
      <c r="T24"/>
      <c r="U24"/>
      <c r="V24"/>
      <c r="W24"/>
    </row>
    <row r="25" spans="1:29" s="244" customFormat="1" x14ac:dyDescent="0.25">
      <c r="A25" s="299">
        <v>0</v>
      </c>
      <c r="B25" s="265" t="s">
        <v>365</v>
      </c>
      <c r="C25" s="266" t="s">
        <v>2</v>
      </c>
      <c r="D25" s="269">
        <f>IF(D16&gt;80,D16-80,0)</f>
        <v>364</v>
      </c>
      <c r="E25" s="268">
        <f>K25/(1-$N$22-$N$23)/(1-$I$23)</f>
        <v>0.43196038978465279</v>
      </c>
      <c r="F25" s="269">
        <f t="shared" si="2"/>
        <v>157.22999999999999</v>
      </c>
      <c r="G25" s="269">
        <f>ROUND(((D25*K25)/(1-$N$22-$N$23))*($N$22+$N$23),2)</f>
        <v>8.0500000000000007</v>
      </c>
      <c r="H25" s="270">
        <f>ROUND((D25*K25)/(1-$N$22-$N$23)/(1-$I$23),2)</f>
        <v>157.22999999999999</v>
      </c>
      <c r="I25" s="265"/>
      <c r="J25" s="270">
        <f>H25*$I$23</f>
        <v>26.729099999999999</v>
      </c>
      <c r="K25" s="268">
        <f>IF(AND($B$14&lt;$F$2,$E$14&lt;$F$2),C6,IF($B$14&lt;$F$2,I6,F6))</f>
        <v>0.33640599999999998</v>
      </c>
      <c r="O25" s="264"/>
      <c r="P25"/>
      <c r="Q25" s="430"/>
      <c r="R25" s="431"/>
      <c r="S25"/>
      <c r="T25"/>
      <c r="U25"/>
      <c r="V25"/>
      <c r="W25"/>
    </row>
    <row r="26" spans="1:29" s="244" customFormat="1" x14ac:dyDescent="0.25">
      <c r="B26" s="265" t="s">
        <v>366</v>
      </c>
      <c r="C26" s="266" t="s">
        <v>2</v>
      </c>
      <c r="D26" s="269">
        <f>D24</f>
        <v>80</v>
      </c>
      <c r="E26" s="268">
        <f>K26/(1-$N$22-$N$23)/(1-$I$23)</f>
        <v>0</v>
      </c>
      <c r="F26" s="269">
        <f t="shared" ref="F26:F27" si="3">ROUND(D26*E26,2)</f>
        <v>0</v>
      </c>
      <c r="G26" s="269">
        <f>ROUND(((D26*K26)/(1-$N$22-$N$23))*($N$22+$N$23),2)</f>
        <v>0</v>
      </c>
      <c r="H26" s="270">
        <f>ROUND((D26*K26)/(1-$N$22-$N$23)/(1-$I$23),2)</f>
        <v>0</v>
      </c>
      <c r="I26" s="265"/>
      <c r="J26" s="270">
        <f>H26*$I$23</f>
        <v>0</v>
      </c>
      <c r="K26" s="268">
        <f>K27*(1-A24)</f>
        <v>0</v>
      </c>
      <c r="L26"/>
      <c r="M26"/>
      <c r="N26"/>
      <c r="O26" s="264"/>
      <c r="P26"/>
      <c r="Q26" s="254"/>
      <c r="R26" s="431"/>
      <c r="S26"/>
      <c r="T26"/>
      <c r="U26"/>
      <c r="V26"/>
      <c r="W26"/>
    </row>
    <row r="27" spans="1:29" s="244" customFormat="1" x14ac:dyDescent="0.25">
      <c r="B27" s="265" t="s">
        <v>367</v>
      </c>
      <c r="C27" s="266" t="s">
        <v>2</v>
      </c>
      <c r="D27" s="269">
        <f>D25</f>
        <v>364</v>
      </c>
      <c r="E27" s="268">
        <f>K27/(1-$N$22-$N$23)/(1-$I$23)</f>
        <v>0.38836706733145948</v>
      </c>
      <c r="F27" s="269">
        <f t="shared" si="3"/>
        <v>141.37</v>
      </c>
      <c r="G27" s="269">
        <f>ROUND(((D27*K27)/(1-$N$22-$N$23))*($N$22+$N$23),2)</f>
        <v>7.24</v>
      </c>
      <c r="H27" s="270">
        <f>ROUND((D27*K27)/(1-$N$22-$N$23)/(1-$I$23),2)</f>
        <v>141.37</v>
      </c>
      <c r="I27" s="265"/>
      <c r="J27" s="270">
        <f>H27*$I$23</f>
        <v>24.032900000000001</v>
      </c>
      <c r="K27" s="268">
        <f>IF(AND($B$14&lt;$F$2,$E$14&lt;$F$2),D6,IF($B$14&lt;$F$2,J6,G6))</f>
        <v>0.302456</v>
      </c>
      <c r="L27"/>
      <c r="M27"/>
      <c r="N27"/>
      <c r="O27" s="264"/>
      <c r="P27"/>
      <c r="Q27" s="254"/>
      <c r="R27" s="431"/>
      <c r="S27"/>
      <c r="T27"/>
      <c r="U27"/>
      <c r="V27"/>
      <c r="W27"/>
    </row>
    <row r="28" spans="1:29" s="244" customFormat="1" x14ac:dyDescent="0.25">
      <c r="B28" s="265"/>
      <c r="C28" s="266"/>
      <c r="D28" s="269"/>
      <c r="E28" s="268"/>
      <c r="F28" s="269"/>
      <c r="G28" s="269"/>
      <c r="H28" s="270"/>
      <c r="I28" s="265"/>
      <c r="J28" s="270"/>
      <c r="K28" s="268"/>
      <c r="L28"/>
      <c r="M28"/>
      <c r="N28"/>
      <c r="O28" s="264"/>
      <c r="P28"/>
      <c r="Q28"/>
      <c r="R28"/>
      <c r="S28"/>
      <c r="T28"/>
      <c r="U28"/>
      <c r="V28"/>
      <c r="W28"/>
    </row>
    <row r="29" spans="1:29" s="244" customFormat="1" x14ac:dyDescent="0.25">
      <c r="B29" s="265" t="s">
        <v>43</v>
      </c>
      <c r="C29" s="266"/>
      <c r="D29" s="269">
        <f>C115</f>
        <v>80</v>
      </c>
      <c r="E29" s="268">
        <f>K29/(1-$N$22-$N$23)/(1-$I$23)</f>
        <v>0</v>
      </c>
      <c r="F29" s="269">
        <f>ROUND(D29*E29,2)</f>
        <v>0</v>
      </c>
      <c r="G29" s="269">
        <f t="shared" ref="G29:G36" si="4">ROUND(((D29*K29)/(1-$N$22-$N$23))*($N$22+$N$23),2)</f>
        <v>0</v>
      </c>
      <c r="H29" s="270">
        <f t="shared" ref="H29:H36" si="5">F29</f>
        <v>0</v>
      </c>
      <c r="I29" s="265"/>
      <c r="J29" s="270">
        <f t="shared" ref="J29:J36" si="6">H29*$I$23</f>
        <v>0</v>
      </c>
      <c r="K29" s="268">
        <f>K115</f>
        <v>0</v>
      </c>
      <c r="O29" s="264"/>
      <c r="P29"/>
      <c r="Q29" s="446"/>
      <c r="R29"/>
      <c r="S29"/>
      <c r="T29"/>
      <c r="U29"/>
      <c r="V29"/>
      <c r="W29"/>
    </row>
    <row r="30" spans="1:29" s="244" customFormat="1" x14ac:dyDescent="0.25">
      <c r="B30" s="265" t="s">
        <v>43</v>
      </c>
      <c r="C30" s="266"/>
      <c r="D30" s="269">
        <f>C116</f>
        <v>364</v>
      </c>
      <c r="E30" s="268">
        <f t="shared" ref="E30:E36" si="7">K30/(1-$N$22-$N$23)/(1-$I$23)</f>
        <v>2.420424530906317E-2</v>
      </c>
      <c r="F30" s="269">
        <f t="shared" ref="F30:F36" si="8">ROUND(D30*E30,2)</f>
        <v>8.81</v>
      </c>
      <c r="G30" s="269">
        <f t="shared" si="4"/>
        <v>0.45</v>
      </c>
      <c r="H30" s="270">
        <f t="shared" si="5"/>
        <v>8.81</v>
      </c>
      <c r="I30" s="265"/>
      <c r="J30" s="270">
        <f t="shared" si="6"/>
        <v>1.4977000000000003</v>
      </c>
      <c r="K30" s="268">
        <f>K116</f>
        <v>1.8849999999999999E-2</v>
      </c>
      <c r="L30" s="19"/>
      <c r="M30" s="19"/>
      <c r="N30" s="19"/>
      <c r="O30" s="264"/>
      <c r="P30"/>
      <c r="Q30" s="447"/>
      <c r="R30"/>
      <c r="S30"/>
      <c r="T30"/>
      <c r="U30"/>
      <c r="V30"/>
      <c r="W30"/>
    </row>
    <row r="31" spans="1:29" s="244" customFormat="1" x14ac:dyDescent="0.25">
      <c r="B31" s="265" t="s">
        <v>245</v>
      </c>
      <c r="C31" s="266"/>
      <c r="D31" s="269">
        <f>C122</f>
        <v>0</v>
      </c>
      <c r="E31" s="268">
        <f t="shared" si="7"/>
        <v>0</v>
      </c>
      <c r="F31" s="269">
        <f t="shared" si="8"/>
        <v>0</v>
      </c>
      <c r="G31" s="269">
        <f t="shared" si="4"/>
        <v>0</v>
      </c>
      <c r="H31" s="270">
        <f t="shared" si="5"/>
        <v>0</v>
      </c>
      <c r="I31" s="265"/>
      <c r="J31" s="270">
        <f t="shared" si="6"/>
        <v>0</v>
      </c>
      <c r="K31" s="268">
        <f>K122</f>
        <v>0</v>
      </c>
      <c r="O31" s="264"/>
      <c r="P31"/>
      <c r="Q31" s="446"/>
      <c r="R31"/>
      <c r="S31"/>
      <c r="T31"/>
      <c r="U31"/>
      <c r="V31"/>
      <c r="W31"/>
    </row>
    <row r="32" spans="1:29" s="244" customFormat="1" x14ac:dyDescent="0.25">
      <c r="B32" s="265" t="s">
        <v>245</v>
      </c>
      <c r="C32" s="266"/>
      <c r="D32" s="269">
        <f>C123</f>
        <v>0</v>
      </c>
      <c r="E32" s="268">
        <f t="shared" si="7"/>
        <v>5.7306921386922526E-2</v>
      </c>
      <c r="F32" s="269">
        <f t="shared" si="8"/>
        <v>0</v>
      </c>
      <c r="G32" s="269">
        <f t="shared" si="4"/>
        <v>0</v>
      </c>
      <c r="H32" s="270">
        <f t="shared" si="5"/>
        <v>0</v>
      </c>
      <c r="I32" s="265"/>
      <c r="J32" s="270">
        <f t="shared" si="6"/>
        <v>0</v>
      </c>
      <c r="K32" s="268">
        <f>K123</f>
        <v>4.4630000000000003E-2</v>
      </c>
      <c r="L32" s="19"/>
      <c r="M32" s="19"/>
      <c r="N32" s="19"/>
      <c r="O32" s="264"/>
      <c r="P32"/>
      <c r="Q32" s="447"/>
      <c r="R32"/>
      <c r="S32"/>
      <c r="T32"/>
      <c r="U32"/>
      <c r="V32"/>
      <c r="W32"/>
    </row>
    <row r="33" spans="1:23" s="244" customFormat="1" x14ac:dyDescent="0.25">
      <c r="B33" s="265" t="s">
        <v>246</v>
      </c>
      <c r="C33" s="266"/>
      <c r="D33" s="269">
        <f>C129</f>
        <v>0</v>
      </c>
      <c r="E33" s="268">
        <f t="shared" si="7"/>
        <v>0</v>
      </c>
      <c r="F33" s="269">
        <f t="shared" si="8"/>
        <v>0</v>
      </c>
      <c r="G33" s="269">
        <f t="shared" si="4"/>
        <v>0</v>
      </c>
      <c r="H33" s="270">
        <f t="shared" si="5"/>
        <v>0</v>
      </c>
      <c r="I33" s="265"/>
      <c r="J33" s="270">
        <f t="shared" si="6"/>
        <v>0</v>
      </c>
      <c r="K33" s="268">
        <f>K129</f>
        <v>0</v>
      </c>
      <c r="O33" s="264"/>
      <c r="P33"/>
      <c r="Q33"/>
      <c r="R33"/>
      <c r="S33"/>
      <c r="T33"/>
      <c r="U33"/>
      <c r="V33"/>
      <c r="W33"/>
    </row>
    <row r="34" spans="1:23" s="244" customFormat="1" x14ac:dyDescent="0.25">
      <c r="B34" s="265" t="s">
        <v>246</v>
      </c>
      <c r="C34" s="266"/>
      <c r="D34" s="269">
        <f>C130</f>
        <v>0</v>
      </c>
      <c r="E34" s="268">
        <f t="shared" si="7"/>
        <v>0.10114421236047248</v>
      </c>
      <c r="F34" s="269">
        <f t="shared" si="8"/>
        <v>0</v>
      </c>
      <c r="G34" s="269">
        <f t="shared" si="4"/>
        <v>0</v>
      </c>
      <c r="H34" s="270">
        <f t="shared" si="5"/>
        <v>0</v>
      </c>
      <c r="I34" s="265"/>
      <c r="J34" s="270">
        <f t="shared" si="6"/>
        <v>0</v>
      </c>
      <c r="K34" s="268">
        <f>K130</f>
        <v>7.8770000000000007E-2</v>
      </c>
      <c r="L34" s="19"/>
      <c r="M34" s="19"/>
      <c r="N34" s="19"/>
      <c r="O34" s="264"/>
      <c r="P34"/>
      <c r="Q34" s="302"/>
      <c r="R34"/>
      <c r="S34"/>
      <c r="T34"/>
      <c r="U34"/>
      <c r="V34"/>
      <c r="W34"/>
    </row>
    <row r="35" spans="1:23" s="244" customFormat="1" x14ac:dyDescent="0.25">
      <c r="B35" s="265" t="s">
        <v>251</v>
      </c>
      <c r="C35" s="266"/>
      <c r="D35" s="269">
        <f>C136</f>
        <v>0</v>
      </c>
      <c r="E35" s="268">
        <f t="shared" si="7"/>
        <v>0</v>
      </c>
      <c r="F35" s="269">
        <f t="shared" si="8"/>
        <v>0</v>
      </c>
      <c r="G35" s="269">
        <f t="shared" si="4"/>
        <v>0</v>
      </c>
      <c r="H35" s="270">
        <f t="shared" si="5"/>
        <v>0</v>
      </c>
      <c r="I35" s="265"/>
      <c r="J35" s="270">
        <f t="shared" si="6"/>
        <v>0</v>
      </c>
      <c r="K35" s="268">
        <f>K136</f>
        <v>0</v>
      </c>
      <c r="O35" s="264"/>
      <c r="P35"/>
      <c r="Q35"/>
      <c r="R35"/>
      <c r="S35"/>
      <c r="T35"/>
      <c r="U35"/>
      <c r="V35"/>
      <c r="W35"/>
    </row>
    <row r="36" spans="1:23" s="244" customFormat="1" x14ac:dyDescent="0.25">
      <c r="B36" s="265" t="s">
        <v>251</v>
      </c>
      <c r="C36" s="266"/>
      <c r="D36" s="269">
        <f>C137</f>
        <v>0</v>
      </c>
      <c r="E36" s="268">
        <f t="shared" si="7"/>
        <v>0.18233436784546261</v>
      </c>
      <c r="F36" s="269">
        <f t="shared" si="8"/>
        <v>0</v>
      </c>
      <c r="G36" s="269">
        <f t="shared" si="4"/>
        <v>0</v>
      </c>
      <c r="H36" s="270">
        <f t="shared" si="5"/>
        <v>0</v>
      </c>
      <c r="I36" s="265"/>
      <c r="J36" s="270">
        <f t="shared" si="6"/>
        <v>0</v>
      </c>
      <c r="K36" s="268">
        <f>K137</f>
        <v>0.14199999999999999</v>
      </c>
      <c r="L36" s="19"/>
      <c r="M36" s="19"/>
      <c r="N36" s="19"/>
      <c r="O36" s="264"/>
      <c r="P36"/>
      <c r="Q36" s="302"/>
      <c r="R36"/>
      <c r="S36"/>
      <c r="T36"/>
      <c r="U36"/>
      <c r="V36"/>
      <c r="W36"/>
    </row>
    <row r="37" spans="1:23" s="244" customFormat="1" x14ac:dyDescent="0.25">
      <c r="B37" s="265"/>
      <c r="C37" s="266"/>
      <c r="D37" s="269"/>
      <c r="E37" s="268"/>
      <c r="F37" s="269"/>
      <c r="G37" s="269"/>
      <c r="H37" s="270"/>
      <c r="I37" s="265"/>
      <c r="J37" s="270"/>
      <c r="K37" s="268"/>
      <c r="O37" s="264"/>
      <c r="P37"/>
      <c r="Q37" s="302"/>
      <c r="R37"/>
      <c r="S37"/>
      <c r="T37"/>
      <c r="U37"/>
      <c r="V37"/>
      <c r="W37"/>
    </row>
    <row r="38" spans="1:23" s="244" customFormat="1" x14ac:dyDescent="0.25">
      <c r="A38" s="299">
        <v>0</v>
      </c>
      <c r="B38" s="265" t="s">
        <v>273</v>
      </c>
      <c r="C38" s="266" t="s">
        <v>2</v>
      </c>
      <c r="D38" s="269">
        <f>-D17</f>
        <v>-364</v>
      </c>
      <c r="E38" s="268">
        <f>K38/(1-$N$22-$N$23)/(1-$I$38)</f>
        <v>0.35852712352126181</v>
      </c>
      <c r="F38" s="269">
        <f>ROUND(D38*E38,2)</f>
        <v>-130.5</v>
      </c>
      <c r="G38" s="269">
        <f>ROUND(((D38*K38)/(1-$N$22-$N$23))*($N$22+$N$23),2)</f>
        <v>-8.0500000000000007</v>
      </c>
      <c r="H38" s="270">
        <f>ROUND((D38*K38)/(1-$N$22-$N$23)/(1-$I$38),2)*0</f>
        <v>0</v>
      </c>
      <c r="I38" s="271">
        <v>0</v>
      </c>
      <c r="J38" s="270">
        <f>H38*$I$23</f>
        <v>0</v>
      </c>
      <c r="K38" s="268">
        <f>IF(AND($B$14&lt;$F$2,$E$14&lt;$F$2),C6,IF($B$14&lt;$F$2,I6,F6))</f>
        <v>0.33640599999999998</v>
      </c>
      <c r="L38" s="47" t="s">
        <v>230</v>
      </c>
      <c r="M38" s="269">
        <f>D83</f>
        <v>-255.14227858893747</v>
      </c>
      <c r="N38" s="272">
        <f>N22</f>
        <v>1.0999999999999999E-2</v>
      </c>
      <c r="O38" s="273">
        <f>ROUND(M38*N38,2)</f>
        <v>-2.81</v>
      </c>
      <c r="P38"/>
      <c r="Q38"/>
      <c r="R38"/>
      <c r="S38"/>
      <c r="T38"/>
      <c r="U38"/>
      <c r="V38"/>
      <c r="W38"/>
    </row>
    <row r="39" spans="1:23" s="244" customFormat="1" x14ac:dyDescent="0.25">
      <c r="A39" s="311"/>
      <c r="B39" s="265" t="s">
        <v>274</v>
      </c>
      <c r="C39" s="266" t="s">
        <v>2</v>
      </c>
      <c r="D39" s="269">
        <f>D38</f>
        <v>-364</v>
      </c>
      <c r="E39" s="268">
        <f>K39/(1-$N$22-$N$23)/(1-$I$23)</f>
        <v>0.38836706733145948</v>
      </c>
      <c r="F39" s="269">
        <f>ROUND(D39*E39,2)</f>
        <v>-141.37</v>
      </c>
      <c r="G39" s="269">
        <f>ROUND(((D39*K39)/(1-$N$22-$N$23))*($N$22+$N$23),2)</f>
        <v>-7.24</v>
      </c>
      <c r="H39" s="270">
        <f>ROUND((D39*K39)/(1-$N$22-$N$23)/(1-$I$23),2)</f>
        <v>-141.37</v>
      </c>
      <c r="I39" s="265"/>
      <c r="J39" s="270">
        <f>H39*$I$23</f>
        <v>-24.032900000000001</v>
      </c>
      <c r="K39" s="268">
        <f>IF(AND($B$14&lt;$F$2,$E$14&lt;$F$2),D6,IF($B$14&lt;$F$2,J6,G6))</f>
        <v>0.302456</v>
      </c>
      <c r="L39" s="47" t="s">
        <v>231</v>
      </c>
      <c r="M39" s="269">
        <f>M38</f>
        <v>-255.14227858893747</v>
      </c>
      <c r="N39" s="272">
        <f>N23</f>
        <v>5.0700000000000002E-2</v>
      </c>
      <c r="O39" s="273">
        <f>ROUND(M39*N39,2)</f>
        <v>-12.94</v>
      </c>
      <c r="P39"/>
      <c r="Q39"/>
      <c r="R39"/>
      <c r="S39"/>
      <c r="T39"/>
      <c r="U39"/>
      <c r="V39"/>
      <c r="W39"/>
    </row>
    <row r="40" spans="1:23" s="244" customFormat="1" x14ac:dyDescent="0.25">
      <c r="B40" s="265"/>
      <c r="C40" s="266"/>
      <c r="D40" s="269"/>
      <c r="E40" s="268"/>
      <c r="F40" s="269"/>
      <c r="G40" s="269"/>
      <c r="H40" s="270"/>
      <c r="I40" s="265"/>
      <c r="J40" s="270"/>
      <c r="K40" s="268"/>
      <c r="L40"/>
      <c r="M40"/>
      <c r="N40"/>
      <c r="O40" s="264"/>
      <c r="P40"/>
      <c r="Q40"/>
      <c r="R40"/>
      <c r="S40"/>
      <c r="T40"/>
      <c r="U40"/>
      <c r="V40"/>
      <c r="W40"/>
    </row>
    <row r="41" spans="1:23" s="244" customFormat="1" x14ac:dyDescent="0.25">
      <c r="B41" s="265" t="s">
        <v>206</v>
      </c>
      <c r="C41" s="266"/>
      <c r="D41" s="269">
        <f>C145</f>
        <v>-364</v>
      </c>
      <c r="E41" s="268">
        <f t="shared" ref="E41:E44" si="9">K41/(1-$N$22-$N$23)/(1-$I$23)</f>
        <v>2.420424530906317E-2</v>
      </c>
      <c r="F41" s="269">
        <f t="shared" ref="F41:F44" si="10">ROUND(D41*E41,2)</f>
        <v>-8.81</v>
      </c>
      <c r="G41" s="269">
        <f t="shared" ref="G41:G44" si="11">ROUND(((D41*K41)/(1-$N$22-$N$23))*($N$22+$N$23),2)</f>
        <v>-0.45</v>
      </c>
      <c r="H41" s="270">
        <f t="shared" ref="H41:H44" si="12">F41</f>
        <v>-8.81</v>
      </c>
      <c r="I41" s="265"/>
      <c r="J41" s="270">
        <f t="shared" ref="J41:J44" si="13">H41*$I$23</f>
        <v>-1.4977000000000003</v>
      </c>
      <c r="K41" s="268">
        <f>K30</f>
        <v>1.8849999999999999E-2</v>
      </c>
      <c r="L41" s="19"/>
      <c r="M41" s="19"/>
      <c r="N41" s="19"/>
      <c r="O41" s="264"/>
      <c r="P41"/>
      <c r="Q41" s="302"/>
      <c r="R41"/>
      <c r="S41"/>
      <c r="T41"/>
      <c r="U41"/>
      <c r="V41"/>
      <c r="W41"/>
    </row>
    <row r="42" spans="1:23" s="244" customFormat="1" x14ac:dyDescent="0.25">
      <c r="B42" s="265" t="s">
        <v>275</v>
      </c>
      <c r="C42" s="266"/>
      <c r="D42" s="269">
        <f>C151</f>
        <v>0</v>
      </c>
      <c r="E42" s="268">
        <f t="shared" si="9"/>
        <v>5.7306921386922526E-2</v>
      </c>
      <c r="F42" s="269">
        <f t="shared" si="10"/>
        <v>0</v>
      </c>
      <c r="G42" s="269">
        <f t="shared" si="11"/>
        <v>0</v>
      </c>
      <c r="H42" s="270">
        <f t="shared" si="12"/>
        <v>0</v>
      </c>
      <c r="I42" s="265"/>
      <c r="J42" s="270">
        <f t="shared" si="13"/>
        <v>0</v>
      </c>
      <c r="K42" s="268">
        <f>K32</f>
        <v>4.4630000000000003E-2</v>
      </c>
      <c r="L42" s="19"/>
      <c r="M42" s="19"/>
      <c r="N42" s="19"/>
      <c r="O42" s="264"/>
      <c r="P42"/>
      <c r="Q42" s="302"/>
      <c r="R42"/>
      <c r="S42"/>
      <c r="T42"/>
      <c r="U42"/>
      <c r="V42"/>
      <c r="W42"/>
    </row>
    <row r="43" spans="1:23" s="244" customFormat="1" x14ac:dyDescent="0.25">
      <c r="B43" s="265" t="s">
        <v>276</v>
      </c>
      <c r="C43" s="266"/>
      <c r="D43" s="269">
        <f>C157</f>
        <v>0</v>
      </c>
      <c r="E43" s="268">
        <f t="shared" si="9"/>
        <v>0.10114421236047248</v>
      </c>
      <c r="F43" s="269">
        <f t="shared" si="10"/>
        <v>0</v>
      </c>
      <c r="G43" s="269">
        <f t="shared" si="11"/>
        <v>0</v>
      </c>
      <c r="H43" s="270">
        <f t="shared" si="12"/>
        <v>0</v>
      </c>
      <c r="I43" s="265"/>
      <c r="J43" s="270">
        <f t="shared" si="13"/>
        <v>0</v>
      </c>
      <c r="K43" s="268">
        <f>K34</f>
        <v>7.8770000000000007E-2</v>
      </c>
      <c r="L43" s="19"/>
      <c r="M43" s="19"/>
      <c r="N43" s="19"/>
      <c r="O43" s="264"/>
      <c r="P43"/>
      <c r="Q43" s="302"/>
      <c r="R43"/>
      <c r="S43"/>
      <c r="T43"/>
      <c r="U43"/>
      <c r="V43"/>
      <c r="W43"/>
    </row>
    <row r="44" spans="1:23" s="244" customFormat="1" x14ac:dyDescent="0.25">
      <c r="B44" s="265" t="s">
        <v>277</v>
      </c>
      <c r="C44" s="266"/>
      <c r="D44" s="269">
        <f>C163</f>
        <v>0</v>
      </c>
      <c r="E44" s="268">
        <f t="shared" si="9"/>
        <v>0.18233436784546261</v>
      </c>
      <c r="F44" s="269">
        <f t="shared" si="10"/>
        <v>0</v>
      </c>
      <c r="G44" s="269">
        <f t="shared" si="11"/>
        <v>0</v>
      </c>
      <c r="H44" s="270">
        <f t="shared" si="12"/>
        <v>0</v>
      </c>
      <c r="I44" s="265"/>
      <c r="J44" s="270">
        <f t="shared" si="13"/>
        <v>0</v>
      </c>
      <c r="K44" s="268">
        <f>K36</f>
        <v>0.14199999999999999</v>
      </c>
      <c r="L44" s="19"/>
      <c r="M44" s="19"/>
      <c r="N44" s="19"/>
      <c r="O44" s="264"/>
      <c r="P44"/>
      <c r="Q44" s="302"/>
      <c r="R44"/>
      <c r="S44"/>
      <c r="T44"/>
      <c r="U44"/>
      <c r="V44"/>
      <c r="W44"/>
    </row>
    <row r="45" spans="1:23" s="244" customFormat="1" x14ac:dyDescent="0.25">
      <c r="B45" s="303"/>
      <c r="C45" s="304"/>
      <c r="D45" s="305"/>
      <c r="E45" s="306"/>
      <c r="F45" s="305"/>
      <c r="G45" s="305"/>
      <c r="H45" s="307"/>
      <c r="I45" s="303"/>
      <c r="J45" s="305"/>
      <c r="K45" s="306"/>
      <c r="L45" s="19"/>
      <c r="M45" s="19"/>
      <c r="N45" s="19"/>
      <c r="O45" s="264"/>
      <c r="P45"/>
      <c r="Q45"/>
      <c r="R45"/>
      <c r="S45"/>
      <c r="T45"/>
      <c r="U45"/>
      <c r="V45"/>
      <c r="W45"/>
    </row>
    <row r="46" spans="1:23" s="244" customFormat="1" x14ac:dyDescent="0.25">
      <c r="B46" s="265" t="s">
        <v>223</v>
      </c>
      <c r="C46" s="265"/>
      <c r="D46" s="265"/>
      <c r="E46" s="265"/>
      <c r="F46" s="278"/>
      <c r="G46" s="265"/>
      <c r="H46" s="265"/>
      <c r="I46" s="265"/>
      <c r="J46" s="265"/>
      <c r="K46" s="265"/>
      <c r="L46" s="19"/>
      <c r="M46" s="19"/>
      <c r="N46" s="19"/>
      <c r="O46" s="264"/>
      <c r="P46" s="308"/>
      <c r="Q46"/>
      <c r="R46"/>
      <c r="S46"/>
      <c r="T46"/>
      <c r="U46"/>
      <c r="V46"/>
      <c r="W46"/>
    </row>
    <row r="47" spans="1:23" s="244" customFormat="1" x14ac:dyDescent="0.25">
      <c r="B47" s="265" t="s">
        <v>224</v>
      </c>
      <c r="C47" s="265"/>
      <c r="D47" s="265"/>
      <c r="E47" s="265"/>
      <c r="F47" s="278">
        <v>-5.83</v>
      </c>
      <c r="G47" s="265"/>
      <c r="H47" s="265"/>
      <c r="I47" s="265"/>
      <c r="J47" s="265"/>
      <c r="K47" s="265"/>
      <c r="L47" s="19"/>
      <c r="M47" s="19"/>
      <c r="N47" s="19"/>
      <c r="O47" s="264"/>
      <c r="P47"/>
      <c r="Q47"/>
      <c r="R47"/>
      <c r="S47"/>
      <c r="T47"/>
      <c r="U47"/>
      <c r="V47"/>
      <c r="W47"/>
    </row>
    <row r="48" spans="1:23" s="244" customFormat="1" x14ac:dyDescent="0.25">
      <c r="B48" s="265" t="s">
        <v>225</v>
      </c>
      <c r="C48" s="265"/>
      <c r="D48" s="265"/>
      <c r="E48" s="265"/>
      <c r="F48" s="278"/>
      <c r="G48" s="265"/>
      <c r="H48" s="265"/>
      <c r="I48" s="265"/>
      <c r="J48" s="265"/>
      <c r="K48" s="265"/>
      <c r="L48" s="19"/>
      <c r="M48" s="19"/>
      <c r="N48" s="19"/>
      <c r="O48" s="264"/>
      <c r="P48"/>
      <c r="Q48" s="309"/>
      <c r="R48"/>
      <c r="S48"/>
      <c r="T48"/>
      <c r="U48"/>
      <c r="V48"/>
      <c r="W48"/>
    </row>
    <row r="49" spans="1:29" s="244" customFormat="1" x14ac:dyDescent="0.25">
      <c r="B49" s="265"/>
      <c r="C49" s="265"/>
      <c r="D49" s="265"/>
      <c r="E49" s="265"/>
      <c r="F49" s="265"/>
      <c r="G49" s="265"/>
      <c r="H49" s="265"/>
      <c r="I49" s="265"/>
      <c r="J49" s="265"/>
      <c r="K49" s="265"/>
      <c r="L49" s="19"/>
      <c r="M49" s="19"/>
      <c r="N49" s="19"/>
      <c r="O49" s="264"/>
      <c r="P49"/>
      <c r="Q49"/>
      <c r="R49"/>
      <c r="S49"/>
      <c r="T49"/>
      <c r="U49"/>
      <c r="V49"/>
      <c r="W49"/>
    </row>
    <row r="50" spans="1:29" s="244" customFormat="1" x14ac:dyDescent="0.25">
      <c r="B50" s="265"/>
      <c r="C50" s="265"/>
      <c r="D50" s="265"/>
      <c r="E50" s="265"/>
      <c r="F50" s="265"/>
      <c r="G50" s="265"/>
      <c r="H50" s="265"/>
      <c r="I50" s="265"/>
      <c r="J50" s="265"/>
      <c r="K50" s="265"/>
      <c r="L50" s="19"/>
      <c r="M50" s="19"/>
      <c r="N50" s="19"/>
      <c r="O50" s="264"/>
      <c r="P50"/>
      <c r="Q50" s="309"/>
      <c r="R50"/>
      <c r="S50"/>
      <c r="T50"/>
      <c r="U50"/>
      <c r="V50"/>
      <c r="W50"/>
    </row>
    <row r="51" spans="1:29" s="244" customFormat="1" x14ac:dyDescent="0.25">
      <c r="B51" s="265"/>
      <c r="C51" s="265"/>
      <c r="D51" s="265"/>
      <c r="E51" s="265"/>
      <c r="F51" s="265"/>
      <c r="G51" s="265"/>
      <c r="H51" s="265"/>
      <c r="I51" s="265"/>
      <c r="J51" s="265"/>
      <c r="K51" s="265"/>
      <c r="L51" s="19"/>
      <c r="M51" s="19"/>
      <c r="N51" s="19"/>
      <c r="O51" s="264"/>
      <c r="P51"/>
      <c r="Q51"/>
      <c r="R51"/>
      <c r="S51"/>
      <c r="T51"/>
      <c r="U51"/>
      <c r="V51"/>
      <c r="W51"/>
    </row>
    <row r="52" spans="1:29" s="244" customFormat="1" x14ac:dyDescent="0.25">
      <c r="B52" s="279" t="s">
        <v>162</v>
      </c>
      <c r="C52" s="275"/>
      <c r="D52" s="275"/>
      <c r="E52" s="275"/>
      <c r="F52" s="281">
        <f>SUM(F22:F51)</f>
        <v>32.385199999999983</v>
      </c>
      <c r="G52" s="282">
        <f>SUM(G24:G51)</f>
        <v>-7.2164496600635175E-16</v>
      </c>
      <c r="H52" s="283">
        <f>SUM(H22:H51)</f>
        <v>224.78999999999996</v>
      </c>
      <c r="I52" s="275"/>
      <c r="J52" s="283">
        <f>SUM(J22:J51)</f>
        <v>38.214300000000001</v>
      </c>
      <c r="K52" s="275"/>
      <c r="L52" s="75"/>
      <c r="M52" s="75"/>
      <c r="N52" s="75"/>
      <c r="O52" s="255"/>
      <c r="P52"/>
      <c r="Q52"/>
      <c r="R52"/>
      <c r="S52"/>
      <c r="T52"/>
      <c r="U52"/>
      <c r="V52"/>
      <c r="W52"/>
    </row>
    <row r="53" spans="1:29" s="244" customFormat="1" x14ac:dyDescent="0.25"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/>
      <c r="Q53"/>
      <c r="R53"/>
      <c r="S53"/>
      <c r="T53"/>
      <c r="U53"/>
      <c r="V53"/>
      <c r="W53"/>
    </row>
    <row r="54" spans="1:29" s="244" customFormat="1" x14ac:dyDescent="0.25">
      <c r="B54" s="284" t="s">
        <v>226</v>
      </c>
      <c r="C54" s="285"/>
      <c r="D54" s="286"/>
      <c r="E54" s="286"/>
      <c r="F54" s="284">
        <f>(D24*AK12)+(D25*AK13)+(D38*AK13)</f>
        <v>0</v>
      </c>
      <c r="G54" s="19"/>
      <c r="H54" s="19"/>
      <c r="I54" s="19"/>
      <c r="J54" s="19"/>
      <c r="K54" s="19"/>
      <c r="L54" s="19"/>
      <c r="M54" s="19"/>
      <c r="N54" s="19"/>
      <c r="O54" s="19"/>
      <c r="P54"/>
      <c r="Q54"/>
      <c r="R54"/>
      <c r="S54"/>
      <c r="T54"/>
      <c r="U54"/>
      <c r="V54"/>
      <c r="W54"/>
    </row>
    <row r="55" spans="1:29" x14ac:dyDescent="0.25">
      <c r="B55" s="5"/>
    </row>
    <row r="56" spans="1:29" x14ac:dyDescent="0.25">
      <c r="B56" s="88" t="s">
        <v>1</v>
      </c>
      <c r="C56" s="88"/>
      <c r="D56" s="88"/>
      <c r="E56" s="88"/>
      <c r="F56" s="88"/>
      <c r="G56" s="89">
        <f>D16</f>
        <v>444</v>
      </c>
      <c r="H56" s="3" t="s">
        <v>2</v>
      </c>
    </row>
    <row r="57" spans="1:29" ht="16.3" x14ac:dyDescent="0.25">
      <c r="B57" s="88" t="s">
        <v>3</v>
      </c>
      <c r="C57" s="88"/>
      <c r="D57" s="88"/>
      <c r="E57" s="88"/>
      <c r="F57" s="88"/>
      <c r="G57" s="89">
        <f>D17</f>
        <v>364</v>
      </c>
      <c r="H57" s="3" t="s">
        <v>2</v>
      </c>
      <c r="I57" s="91"/>
      <c r="J57" s="317" t="s">
        <v>236</v>
      </c>
      <c r="K57" s="407">
        <f>O18</f>
        <v>1025311206</v>
      </c>
    </row>
    <row r="58" spans="1:29" x14ac:dyDescent="0.25">
      <c r="B58" s="1"/>
      <c r="F58" s="253"/>
      <c r="G58" s="243">
        <f>G57</f>
        <v>364</v>
      </c>
      <c r="H58" s="188">
        <f>G56-G58</f>
        <v>80</v>
      </c>
    </row>
    <row r="59" spans="1:29" x14ac:dyDescent="0.25">
      <c r="B59" s="5" t="s">
        <v>55</v>
      </c>
      <c r="E59" s="26" t="s">
        <v>10</v>
      </c>
      <c r="F59" s="85">
        <v>1</v>
      </c>
      <c r="G59" s="86" t="s">
        <v>9</v>
      </c>
      <c r="H59" s="85">
        <v>1</v>
      </c>
      <c r="J59" s="259" t="s">
        <v>352</v>
      </c>
    </row>
    <row r="60" spans="1:29" x14ac:dyDescent="0.25">
      <c r="J60" s="330">
        <f>IF(D16&gt;0,80,0)</f>
        <v>80</v>
      </c>
    </row>
    <row r="61" spans="1:29" x14ac:dyDescent="0.25">
      <c r="B61" s="461" t="s">
        <v>137</v>
      </c>
      <c r="C61" s="462"/>
      <c r="D61" s="462"/>
      <c r="E61" s="462"/>
      <c r="F61" s="462"/>
      <c r="G61" s="462"/>
      <c r="H61" s="463"/>
      <c r="I61" s="1"/>
      <c r="J61" s="330">
        <f>IF(D16&gt;80,D16-80,0)</f>
        <v>364</v>
      </c>
      <c r="K61" s="1"/>
      <c r="L61" s="1"/>
      <c r="M61" s="1"/>
      <c r="N61" s="1"/>
      <c r="O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x14ac:dyDescent="0.25">
      <c r="B62" s="41"/>
      <c r="D62" s="46" t="s">
        <v>40</v>
      </c>
      <c r="E62" s="46" t="s">
        <v>10</v>
      </c>
      <c r="F62" s="46" t="s">
        <v>9</v>
      </c>
      <c r="G62" s="46" t="s">
        <v>34</v>
      </c>
      <c r="H62" s="47" t="s">
        <v>7</v>
      </c>
      <c r="I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x14ac:dyDescent="0.25">
      <c r="A63" s="19" t="s">
        <v>8</v>
      </c>
      <c r="B63" s="48" t="s">
        <v>41</v>
      </c>
      <c r="C63" s="49"/>
      <c r="D63" s="50"/>
      <c r="E63" s="50"/>
      <c r="F63" s="50"/>
      <c r="G63" s="50"/>
      <c r="H63" s="51">
        <f>SUM(H65:H79)+SUM(H82:H87)</f>
        <v>1.3322676295501878E-14</v>
      </c>
      <c r="I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x14ac:dyDescent="0.25">
      <c r="A64" s="19" t="s">
        <v>8</v>
      </c>
      <c r="B64" s="41"/>
      <c r="D64" s="46"/>
      <c r="E64" s="46"/>
      <c r="F64" s="46"/>
      <c r="G64" s="46"/>
      <c r="H64" s="52"/>
      <c r="I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x14ac:dyDescent="0.25">
      <c r="A65" s="165">
        <v>0</v>
      </c>
      <c r="B65" s="41" t="s">
        <v>368</v>
      </c>
      <c r="D65" s="93">
        <f>D25</f>
        <v>364</v>
      </c>
      <c r="E65" s="53">
        <f>IF(AND($B$14&lt;$F$2,$E$14&lt;$F$2),C6,IF($B$14&lt;$F$2,I6,F6))</f>
        <v>0.33640599999999998</v>
      </c>
      <c r="F65" s="53">
        <f>IF(AND($B$14&lt;$F$2,$E$14&lt;$F$2),D6,IF($B$14&lt;$F$2,J6,G6))</f>
        <v>0.302456</v>
      </c>
      <c r="G65" s="53">
        <f>E65+F65</f>
        <v>0.63886200000000004</v>
      </c>
      <c r="H65" s="54">
        <f>ROUND((D65*E65),2)+ROUND((D65*F65),2)</f>
        <v>232.54000000000002</v>
      </c>
      <c r="I65" s="1"/>
      <c r="K65" s="1"/>
      <c r="L65" s="1"/>
      <c r="M65" s="90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x14ac:dyDescent="0.25">
      <c r="A66" s="165">
        <v>1</v>
      </c>
      <c r="B66" s="41" t="s">
        <v>369</v>
      </c>
      <c r="D66" s="93">
        <f>D24</f>
        <v>80</v>
      </c>
      <c r="E66" s="53">
        <v>0</v>
      </c>
      <c r="F66" s="53">
        <v>0</v>
      </c>
      <c r="G66" s="53">
        <v>0</v>
      </c>
      <c r="H66" s="54">
        <v>0</v>
      </c>
      <c r="I66" s="1"/>
      <c r="K66" s="1"/>
      <c r="L66" s="1"/>
      <c r="M66" s="90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x14ac:dyDescent="0.25">
      <c r="B67" s="41"/>
      <c r="D67" s="55"/>
      <c r="E67" s="56"/>
      <c r="F67" s="57"/>
      <c r="G67" s="57"/>
      <c r="H67" s="5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x14ac:dyDescent="0.25">
      <c r="B68" s="41" t="s">
        <v>43</v>
      </c>
      <c r="D68" s="58"/>
      <c r="F68" s="59"/>
      <c r="G68" s="59"/>
      <c r="H68" s="54">
        <f>O117</f>
        <v>6.86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x14ac:dyDescent="0.25">
      <c r="B69" s="41" t="s">
        <v>44</v>
      </c>
      <c r="D69" s="58"/>
      <c r="F69" s="59"/>
      <c r="G69" s="59"/>
      <c r="H69" s="54">
        <f>O124</f>
        <v>0</v>
      </c>
      <c r="I69" s="1"/>
      <c r="J69" s="1"/>
      <c r="K69" s="1"/>
      <c r="L69" s="408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x14ac:dyDescent="0.25">
      <c r="B70" s="41" t="s">
        <v>45</v>
      </c>
      <c r="D70" s="58"/>
      <c r="F70" s="59"/>
      <c r="G70" s="59"/>
      <c r="H70" s="54">
        <f>O131</f>
        <v>0</v>
      </c>
      <c r="I70" s="1"/>
      <c r="J70" s="1"/>
      <c r="K70" s="1"/>
      <c r="L70" s="1"/>
      <c r="M70" s="1"/>
      <c r="N70" s="1"/>
      <c r="O70" s="1"/>
    </row>
    <row r="71" spans="1:29" x14ac:dyDescent="0.25">
      <c r="B71" s="41" t="s">
        <v>46</v>
      </c>
      <c r="D71" s="58"/>
      <c r="F71" s="59"/>
      <c r="G71" s="59"/>
      <c r="H71" s="54">
        <f>O138</f>
        <v>0</v>
      </c>
      <c r="I71" s="1"/>
      <c r="J71" s="1"/>
      <c r="K71" s="1"/>
      <c r="L71" s="1"/>
      <c r="M71" s="1"/>
      <c r="N71" s="1"/>
      <c r="O71" s="1"/>
    </row>
    <row r="72" spans="1:29" ht="14.3" customHeight="1" x14ac:dyDescent="0.25">
      <c r="B72" s="41"/>
      <c r="D72" s="60"/>
      <c r="H72" s="54"/>
      <c r="I72" s="1"/>
      <c r="J72" s="1"/>
      <c r="K72" s="90"/>
      <c r="L72" s="1"/>
      <c r="M72" s="1"/>
      <c r="N72" s="1"/>
    </row>
    <row r="73" spans="1:29" x14ac:dyDescent="0.25">
      <c r="A73" s="165">
        <v>0</v>
      </c>
      <c r="B73" s="41" t="s">
        <v>370</v>
      </c>
      <c r="D73" s="92">
        <f>D38</f>
        <v>-364</v>
      </c>
      <c r="E73" s="53">
        <f>IF(AND($B$14&lt;$F$2,$E$14&lt;$F$2),C6,IF($B$14&lt;$F$2,I6,F6))</f>
        <v>0.33640599999999998</v>
      </c>
      <c r="F73" s="53">
        <f>IF(AND($B$14&lt;$F$2,$E$14&lt;$F$2),D6,IF($B$14&lt;$F$2,J6,G6))</f>
        <v>0.302456</v>
      </c>
      <c r="G73" s="53">
        <f>E73+F73</f>
        <v>0.63886200000000004</v>
      </c>
      <c r="H73" s="54">
        <f>ROUND((D73*E73),2)+ROUND((D73*F73),2)</f>
        <v>-232.54000000000002</v>
      </c>
      <c r="K73" s="1"/>
      <c r="L73" s="1"/>
      <c r="M73" s="1"/>
      <c r="N73" s="1"/>
    </row>
    <row r="74" spans="1:29" x14ac:dyDescent="0.25">
      <c r="B74" s="41"/>
      <c r="D74" s="55"/>
      <c r="E74" s="56"/>
      <c r="F74" s="57"/>
      <c r="G74" s="57"/>
      <c r="H74" s="54"/>
      <c r="J74" s="1"/>
      <c r="K74" s="1"/>
      <c r="L74" s="1"/>
      <c r="M74" s="1"/>
      <c r="N74" s="1"/>
    </row>
    <row r="75" spans="1:29" x14ac:dyDescent="0.25">
      <c r="B75" s="41" t="s">
        <v>43</v>
      </c>
      <c r="D75" s="58"/>
      <c r="F75" s="59"/>
      <c r="G75" s="59"/>
      <c r="H75" s="54">
        <f>O146</f>
        <v>-6.86</v>
      </c>
      <c r="J75" s="93">
        <f>-(IF(D17&gt;0,30,0))</f>
        <v>-30</v>
      </c>
      <c r="K75" s="1"/>
      <c r="L75" s="1"/>
      <c r="M75" s="1"/>
      <c r="N75" s="1"/>
    </row>
    <row r="76" spans="1:29" x14ac:dyDescent="0.25">
      <c r="B76" s="41" t="s">
        <v>44</v>
      </c>
      <c r="D76" s="58"/>
      <c r="F76" s="59"/>
      <c r="G76" s="59"/>
      <c r="H76" s="54">
        <f>O152</f>
        <v>0</v>
      </c>
      <c r="I76" s="1"/>
      <c r="J76" s="93">
        <f>-(IF(D17&gt;30,IF(D17&gt;100,70,D17-30),0))</f>
        <v>-70</v>
      </c>
      <c r="K76" s="1"/>
      <c r="L76" s="1"/>
      <c r="M76" s="1"/>
      <c r="N76" s="1"/>
    </row>
    <row r="77" spans="1:29" x14ac:dyDescent="0.25">
      <c r="B77" s="41" t="s">
        <v>45</v>
      </c>
      <c r="D77" s="58"/>
      <c r="F77" s="59"/>
      <c r="G77" s="59"/>
      <c r="H77" s="54">
        <f>O158</f>
        <v>0</v>
      </c>
      <c r="I77" s="1"/>
      <c r="J77" s="93">
        <f>-(IF(D17&gt;100,IF(D17&gt;220,220-100,D17-100),0))</f>
        <v>-120</v>
      </c>
      <c r="K77" s="1"/>
      <c r="L77" s="1"/>
      <c r="M77" s="1"/>
      <c r="N77" s="1"/>
    </row>
    <row r="78" spans="1:29" x14ac:dyDescent="0.25">
      <c r="B78" s="41" t="s">
        <v>46</v>
      </c>
      <c r="D78" s="58"/>
      <c r="F78" s="59"/>
      <c r="G78" s="59"/>
      <c r="H78" s="54">
        <f>O164</f>
        <v>0</v>
      </c>
      <c r="I78" s="97"/>
      <c r="J78" s="93">
        <f>-(IF(D17&gt;220,D17-220,0))</f>
        <v>-144</v>
      </c>
      <c r="K78" s="1"/>
      <c r="L78" s="1"/>
      <c r="M78" s="1"/>
      <c r="N78" s="1"/>
      <c r="O78" s="1"/>
    </row>
    <row r="79" spans="1:29" x14ac:dyDescent="0.25">
      <c r="B79" s="61"/>
      <c r="C79" s="24"/>
      <c r="D79" s="24"/>
      <c r="E79" s="24"/>
      <c r="F79" s="24"/>
      <c r="G79" s="24"/>
      <c r="H79" s="62"/>
      <c r="I79" s="1"/>
      <c r="J79" s="1"/>
      <c r="K79" s="1"/>
      <c r="L79" s="1"/>
      <c r="M79" s="1"/>
      <c r="N79" s="1"/>
      <c r="O79" s="1"/>
    </row>
    <row r="80" spans="1:29" x14ac:dyDescent="0.25">
      <c r="B80" s="34"/>
      <c r="C80" s="35"/>
      <c r="D80" s="35"/>
      <c r="E80" s="35"/>
      <c r="F80" s="35"/>
      <c r="G80" s="35"/>
      <c r="H80" s="65"/>
      <c r="I80" s="67"/>
      <c r="L80" s="1"/>
      <c r="M80" s="1"/>
      <c r="N80" s="1"/>
      <c r="O80" s="1"/>
    </row>
    <row r="81" spans="1:15" x14ac:dyDescent="0.25">
      <c r="B81" s="41"/>
      <c r="D81" s="63" t="s">
        <v>48</v>
      </c>
      <c r="E81" s="64"/>
      <c r="F81" s="64"/>
      <c r="G81" s="64"/>
      <c r="H81" s="65"/>
      <c r="I81" s="67"/>
      <c r="L81" s="1"/>
      <c r="M81" s="1"/>
      <c r="N81" s="1"/>
      <c r="O81" s="1"/>
    </row>
    <row r="82" spans="1:15" x14ac:dyDescent="0.25">
      <c r="B82" s="41" t="s">
        <v>49</v>
      </c>
      <c r="D82" s="68">
        <f>SUM(H65:H71)/(1-E82-E84)</f>
        <v>255.14227858893747</v>
      </c>
      <c r="E82" s="69">
        <f>N22</f>
        <v>1.0999999999999999E-2</v>
      </c>
      <c r="H82" s="70">
        <f t="shared" ref="H82:H88" si="14">D82*E82</f>
        <v>2.806565064478312</v>
      </c>
      <c r="I82" s="67"/>
      <c r="L82" s="1"/>
      <c r="M82" s="1"/>
      <c r="N82" s="1"/>
      <c r="O82" s="1"/>
    </row>
    <row r="83" spans="1:15" x14ac:dyDescent="0.25">
      <c r="B83" s="41" t="s">
        <v>50</v>
      </c>
      <c r="D83" s="68">
        <f>SUM(H73:H78)/(1-E82-E84)</f>
        <v>-255.14227858893747</v>
      </c>
      <c r="E83" s="71">
        <f>E82</f>
        <v>1.0999999999999999E-2</v>
      </c>
      <c r="H83" s="70">
        <f t="shared" si="14"/>
        <v>-2.806565064478312</v>
      </c>
      <c r="L83" s="1"/>
      <c r="M83" s="1"/>
      <c r="N83" s="1"/>
      <c r="O83" s="1"/>
    </row>
    <row r="84" spans="1:15" x14ac:dyDescent="0.25">
      <c r="B84" s="41" t="s">
        <v>51</v>
      </c>
      <c r="D84" s="68">
        <f>D82</f>
        <v>255.14227858893747</v>
      </c>
      <c r="E84" s="69">
        <f>N23</f>
        <v>5.0700000000000002E-2</v>
      </c>
      <c r="H84" s="70">
        <f t="shared" si="14"/>
        <v>12.93571352445913</v>
      </c>
      <c r="L84" s="1"/>
      <c r="M84" s="1"/>
      <c r="N84" s="1"/>
      <c r="O84" s="1"/>
    </row>
    <row r="85" spans="1:15" x14ac:dyDescent="0.25">
      <c r="B85" s="41" t="s">
        <v>52</v>
      </c>
      <c r="D85" s="68">
        <f>D83</f>
        <v>-255.14227858893747</v>
      </c>
      <c r="E85" s="71">
        <f>E84</f>
        <v>5.0700000000000002E-2</v>
      </c>
      <c r="H85" s="70">
        <f t="shared" si="14"/>
        <v>-12.93571352445913</v>
      </c>
      <c r="L85" s="1"/>
      <c r="M85" s="1"/>
      <c r="N85" s="1"/>
      <c r="O85" s="1"/>
    </row>
    <row r="86" spans="1:15" x14ac:dyDescent="0.25">
      <c r="B86" s="41" t="s">
        <v>11</v>
      </c>
      <c r="D86" s="72">
        <f>D82/(1-E86)</f>
        <v>307.40033564932224</v>
      </c>
      <c r="E86" s="73">
        <v>0.17</v>
      </c>
      <c r="H86" s="70">
        <f t="shared" si="14"/>
        <v>52.258057060384786</v>
      </c>
    </row>
    <row r="87" spans="1:15" x14ac:dyDescent="0.25">
      <c r="B87" s="74" t="s">
        <v>53</v>
      </c>
      <c r="C87" s="75"/>
      <c r="D87" s="76">
        <f>D83/(1-E87)</f>
        <v>-307.40033564932224</v>
      </c>
      <c r="E87" s="77">
        <f>E86</f>
        <v>0.17</v>
      </c>
      <c r="F87" s="75"/>
      <c r="G87" s="75"/>
      <c r="H87" s="78">
        <f t="shared" si="14"/>
        <v>-52.258057060384786</v>
      </c>
    </row>
    <row r="88" spans="1:15" x14ac:dyDescent="0.25">
      <c r="B88" s="217" t="s">
        <v>183</v>
      </c>
      <c r="C88" s="218"/>
      <c r="D88" s="318">
        <f>K109</f>
        <v>52.618359999999996</v>
      </c>
      <c r="E88" s="319">
        <f>E87</f>
        <v>0.17</v>
      </c>
      <c r="F88" s="320"/>
      <c r="G88" s="320"/>
      <c r="H88" s="321">
        <f t="shared" si="14"/>
        <v>8.9451211999999991</v>
      </c>
      <c r="I88" s="315" t="s">
        <v>244</v>
      </c>
      <c r="J88" s="27"/>
      <c r="K88" s="27"/>
      <c r="L88" s="27"/>
    </row>
    <row r="89" spans="1:15" x14ac:dyDescent="0.25">
      <c r="B89" s="223" t="s">
        <v>193</v>
      </c>
      <c r="C89" s="133"/>
      <c r="D89" s="224">
        <f>D67+D73+D65+D68</f>
        <v>0</v>
      </c>
      <c r="E89" s="225" t="e">
        <f>IF(AND($B$14&lt;$F$2,$E$14&lt;$F$2),#REF!,IF($B$14&lt;$F$2,#REF!,#REF!))</f>
        <v>#REF!</v>
      </c>
      <c r="F89" s="225" t="e">
        <f>IF(AND($B$14&lt;$F$2,$E$14&lt;$F$2),#REF!,IF($B$14&lt;$F$2,#REF!,#REF!))</f>
        <v>#REF!</v>
      </c>
      <c r="G89" s="133"/>
      <c r="H89" s="223" t="e">
        <f>((D89)*(E89+F89)+D34*(E89+F89)*-H28)+D53*(E89+F89)*-H28</f>
        <v>#REF!</v>
      </c>
    </row>
    <row r="91" spans="1:15" x14ac:dyDescent="0.25">
      <c r="B91" s="170" t="s">
        <v>167</v>
      </c>
      <c r="C91" s="171"/>
      <c r="D91" s="171"/>
      <c r="E91" s="171"/>
      <c r="F91" s="171"/>
      <c r="G91" s="171"/>
      <c r="H91" s="172">
        <f>K108</f>
        <v>51.108960000000025</v>
      </c>
      <c r="I91" s="173" t="s">
        <v>168</v>
      </c>
      <c r="J91" s="174"/>
      <c r="K91" s="175"/>
      <c r="L91" s="176"/>
      <c r="M91" s="176"/>
      <c r="N91" s="176"/>
      <c r="O91" s="176"/>
    </row>
    <row r="92" spans="1:15" x14ac:dyDescent="0.25">
      <c r="B92" s="209" t="s">
        <v>353</v>
      </c>
      <c r="C92" s="330" t="s">
        <v>14</v>
      </c>
      <c r="D92" s="331">
        <f>O117</f>
        <v>6.86</v>
      </c>
      <c r="L92" s="1"/>
      <c r="M92" s="1"/>
      <c r="N92" s="177"/>
      <c r="O92" s="1"/>
    </row>
    <row r="93" spans="1:15" x14ac:dyDescent="0.25">
      <c r="B93" s="277"/>
      <c r="C93" s="316" t="s">
        <v>15</v>
      </c>
      <c r="D93" s="336">
        <f>O124</f>
        <v>0</v>
      </c>
      <c r="F93" s="130" t="s">
        <v>191</v>
      </c>
      <c r="G93" s="1"/>
      <c r="H93" s="1"/>
      <c r="L93" s="1"/>
      <c r="M93" s="1"/>
      <c r="N93" s="177"/>
      <c r="O93" s="1"/>
    </row>
    <row r="94" spans="1:15" x14ac:dyDescent="0.25">
      <c r="B94" s="277"/>
      <c r="C94" s="316" t="s">
        <v>16</v>
      </c>
      <c r="D94" s="336">
        <f>O131</f>
        <v>0</v>
      </c>
      <c r="G94" s="1"/>
      <c r="H94" s="1"/>
      <c r="I94" s="178" t="s">
        <v>169</v>
      </c>
      <c r="J94" s="178" t="s">
        <v>170</v>
      </c>
      <c r="K94" s="118"/>
      <c r="L94" s="1"/>
    </row>
    <row r="95" spans="1:15" x14ac:dyDescent="0.25">
      <c r="A95" s="1"/>
      <c r="B95" s="277"/>
      <c r="C95" s="316" t="s">
        <v>278</v>
      </c>
      <c r="D95" s="336">
        <f>O138</f>
        <v>0</v>
      </c>
      <c r="F95" s="19" t="s">
        <v>354</v>
      </c>
      <c r="G95" s="190" t="s">
        <v>171</v>
      </c>
      <c r="H95" s="191">
        <f>D16</f>
        <v>444</v>
      </c>
      <c r="I95" s="192">
        <f>E65</f>
        <v>0.33640599999999998</v>
      </c>
      <c r="J95" s="192">
        <f>F65</f>
        <v>0.302456</v>
      </c>
      <c r="K95" s="193">
        <f>H95*(I95+J95)</f>
        <v>283.65472800000003</v>
      </c>
      <c r="L95" s="332"/>
    </row>
    <row r="96" spans="1:15" x14ac:dyDescent="0.25">
      <c r="G96" s="194" t="s">
        <v>14</v>
      </c>
      <c r="H96" s="191">
        <f>IF($K$12=M4,($H$95*($K$14)/($K$14+$L$14)),0)+IF($L$12=M4,($H$95*($L$14)/($K$14+$L$14)),0)</f>
        <v>444</v>
      </c>
      <c r="I96" s="1"/>
      <c r="J96" s="192">
        <f>N4</f>
        <v>1.8849999999999999E-2</v>
      </c>
      <c r="K96" s="195">
        <f>H96*(I96+J96)</f>
        <v>8.3693999999999988</v>
      </c>
      <c r="L96" s="209"/>
    </row>
    <row r="97" spans="2:17" x14ac:dyDescent="0.25">
      <c r="G97" s="194" t="s">
        <v>15</v>
      </c>
      <c r="H97" s="191">
        <f>IF($K$12=M5,($H$95*($K$14)/($K$14+$L$14)),0)+IF($L$12=M5,($H$95*($L$14)/($K$14+$L$14)),0)</f>
        <v>0</v>
      </c>
      <c r="I97" s="1"/>
      <c r="J97" s="192">
        <f>N5</f>
        <v>4.4630000000000003E-2</v>
      </c>
      <c r="K97" s="195">
        <f>H97*(I97+J97)</f>
        <v>0</v>
      </c>
      <c r="L97" s="209"/>
    </row>
    <row r="98" spans="2:17" x14ac:dyDescent="0.25">
      <c r="G98" s="194" t="s">
        <v>16</v>
      </c>
      <c r="H98" s="191">
        <f>IF($K$12=M6,($H$95*($K$14)/($K$14+$L$14)),0)+IF($L$12=M6,($H$95*($L$14)/($K$14+$L$14)),0)</f>
        <v>0</v>
      </c>
      <c r="J98" s="192">
        <f>N6</f>
        <v>7.8770000000000007E-2</v>
      </c>
      <c r="K98" s="195">
        <f>H98*(I98+J98)</f>
        <v>0</v>
      </c>
      <c r="L98" s="209"/>
      <c r="N98" s="1" t="s">
        <v>361</v>
      </c>
      <c r="O98" s="1"/>
      <c r="P98" s="1"/>
      <c r="Q98" s="1"/>
    </row>
    <row r="99" spans="2:17" x14ac:dyDescent="0.25">
      <c r="G99" s="194" t="s">
        <v>17</v>
      </c>
      <c r="H99" s="191">
        <f>IF($K$12=M8,($H$95*($K$14)/($K$14+$L$14)),0)+IF($L$12=M8,($H$95*($L$14)/($K$14+$L$14)),0)</f>
        <v>0</v>
      </c>
      <c r="J99" s="192">
        <f>N8</f>
        <v>0.14199999999999999</v>
      </c>
      <c r="K99" s="195">
        <f>H99*(I99+J99)</f>
        <v>0</v>
      </c>
      <c r="L99" s="209"/>
      <c r="M99" s="190"/>
      <c r="N99" s="191">
        <f>-D17</f>
        <v>-364</v>
      </c>
      <c r="O99" s="192">
        <v>0.28935</v>
      </c>
      <c r="P99" s="192">
        <v>0.29333999999999999</v>
      </c>
      <c r="Q99" s="193">
        <f>N99*(O99+P99)</f>
        <v>-212.09915999999998</v>
      </c>
    </row>
    <row r="100" spans="2:17" s="1" customFormat="1" x14ac:dyDescent="0.25">
      <c r="K100" s="409">
        <f>SUM(K95:K99)</f>
        <v>292.02412800000002</v>
      </c>
      <c r="L100" s="209"/>
      <c r="M100" s="194" t="s">
        <v>14</v>
      </c>
      <c r="N100" s="191">
        <f>IF($K$12=M4,($N$99*($K$14)/($K$14+$L$14)),0)+IF($L$12=M4,($N$99*($L$14)/($K$14+$L$14)),0)</f>
        <v>-364</v>
      </c>
      <c r="P100" s="192">
        <v>1.8849999999999999E-2</v>
      </c>
      <c r="Q100" s="195">
        <f>N100*(O100+P100)</f>
        <v>-6.8613999999999997</v>
      </c>
    </row>
    <row r="101" spans="2:17" s="1" customFormat="1" x14ac:dyDescent="0.25">
      <c r="L101" s="209"/>
      <c r="M101" s="194" t="s">
        <v>15</v>
      </c>
      <c r="N101" s="191">
        <f>IF($K$12=M5,($N$99*($K$14)/($K$14+$L$14)),0)+IF($L$12=M5,($N$99*($L$14)/($K$14+$L$14)),0)</f>
        <v>0</v>
      </c>
      <c r="P101" s="192">
        <v>4.4630000000000003E-2</v>
      </c>
      <c r="Q101" s="195">
        <f>N101*(O101+P101)</f>
        <v>0</v>
      </c>
    </row>
    <row r="102" spans="2:17" s="1" customFormat="1" x14ac:dyDescent="0.25">
      <c r="B102" s="1" t="s">
        <v>47</v>
      </c>
      <c r="C102" s="330" t="s">
        <v>14</v>
      </c>
      <c r="D102" s="336">
        <f>O146</f>
        <v>-6.86</v>
      </c>
      <c r="F102" s="1" t="s">
        <v>371</v>
      </c>
      <c r="G102" s="410">
        <v>0</v>
      </c>
      <c r="H102" s="191">
        <f>D25</f>
        <v>364</v>
      </c>
      <c r="I102" s="192">
        <f>E65</f>
        <v>0.33640599999999998</v>
      </c>
      <c r="J102" s="192">
        <f>F65</f>
        <v>0.302456</v>
      </c>
      <c r="K102" s="193">
        <f t="shared" ref="K102" si="15">H102*(I102+J102)</f>
        <v>232.54576800000001</v>
      </c>
      <c r="L102" s="209"/>
      <c r="M102" s="194" t="s">
        <v>16</v>
      </c>
      <c r="N102" s="191">
        <f>IF($K$12=M6,($N$99*($K$14)/($K$14+$L$14)),0)+IF($L$12=M6,($N$99*($L$14)/($K$14+$L$14)),0)</f>
        <v>0</v>
      </c>
      <c r="O102" s="19"/>
      <c r="P102" s="192">
        <v>7.8770000000000007E-2</v>
      </c>
      <c r="Q102" s="195">
        <f>N102*(O102+P102)</f>
        <v>0</v>
      </c>
    </row>
    <row r="103" spans="2:17" s="1" customFormat="1" x14ac:dyDescent="0.25">
      <c r="B103" s="19"/>
      <c r="C103" s="316" t="s">
        <v>15</v>
      </c>
      <c r="D103" s="336">
        <f>O152</f>
        <v>0</v>
      </c>
      <c r="G103" s="410">
        <v>1</v>
      </c>
      <c r="H103" s="191">
        <f>D24</f>
        <v>80</v>
      </c>
      <c r="I103" s="192">
        <v>0</v>
      </c>
      <c r="J103" s="192">
        <v>0</v>
      </c>
      <c r="K103" s="193">
        <f>H103*(I103+J103)</f>
        <v>0</v>
      </c>
      <c r="M103" s="194" t="s">
        <v>17</v>
      </c>
      <c r="N103" s="191">
        <f>IF($K$12=M7,($N$99*($K$14)/($K$14+$L$14)),0)+IF($L$12=M7,($N$99*($L$14)/($K$14+$L$14)),0)</f>
        <v>0</v>
      </c>
      <c r="O103" s="19"/>
      <c r="P103" s="192">
        <v>0.14199999999999999</v>
      </c>
      <c r="Q103" s="195">
        <f>N103*(O103+P103)</f>
        <v>0</v>
      </c>
    </row>
    <row r="104" spans="2:17" x14ac:dyDescent="0.25">
      <c r="C104" s="316" t="s">
        <v>16</v>
      </c>
      <c r="D104" s="336">
        <f>O158</f>
        <v>0</v>
      </c>
      <c r="F104" s="130"/>
      <c r="L104" s="1"/>
      <c r="M104" s="1"/>
      <c r="N104" s="1"/>
      <c r="O104" s="1"/>
      <c r="P104" s="1"/>
      <c r="Q104" s="409">
        <f>SUM(Q99:Q103)</f>
        <v>-218.96055999999999</v>
      </c>
    </row>
    <row r="105" spans="2:17" x14ac:dyDescent="0.25">
      <c r="C105" s="316" t="s">
        <v>278</v>
      </c>
      <c r="D105" s="336">
        <f>O164</f>
        <v>0</v>
      </c>
      <c r="G105" s="194"/>
      <c r="K105" s="193">
        <f>SUM(K102:K104)</f>
        <v>232.54576800000001</v>
      </c>
      <c r="L105" s="409">
        <f>K105+SUM(D92:D95)</f>
        <v>239.40576800000002</v>
      </c>
      <c r="M105" s="1"/>
    </row>
    <row r="106" spans="2:17" x14ac:dyDescent="0.25">
      <c r="M106" s="1"/>
    </row>
    <row r="107" spans="2:17" x14ac:dyDescent="0.25">
      <c r="G107" s="194"/>
      <c r="L107" s="1"/>
      <c r="M107" s="1"/>
      <c r="N107" s="1"/>
      <c r="O107" s="209"/>
      <c r="P107" s="277"/>
    </row>
    <row r="108" spans="2:17" x14ac:dyDescent="0.25">
      <c r="G108" s="19" t="s">
        <v>92</v>
      </c>
      <c r="H108" s="68">
        <f>(K108+K96+K97+K98+K99)/(1-E82-E84)</f>
        <v>63.389491633805839</v>
      </c>
      <c r="J108" s="201" t="s">
        <v>167</v>
      </c>
      <c r="K108" s="193">
        <f>K95-K105</f>
        <v>51.108960000000025</v>
      </c>
      <c r="L108" s="180" t="s">
        <v>172</v>
      </c>
      <c r="M108" s="1"/>
      <c r="N108" s="1"/>
      <c r="O108" s="1"/>
    </row>
    <row r="109" spans="2:17" x14ac:dyDescent="0.25">
      <c r="G109" s="19" t="s">
        <v>51</v>
      </c>
      <c r="H109" s="68">
        <f>H108</f>
        <v>63.389491633805839</v>
      </c>
      <c r="J109" s="202" t="s">
        <v>91</v>
      </c>
      <c r="K109" s="216">
        <f>K100-L105</f>
        <v>52.618359999999996</v>
      </c>
      <c r="L109" s="180" t="s">
        <v>173</v>
      </c>
      <c r="M109" s="1"/>
      <c r="N109" s="1"/>
      <c r="O109" s="1"/>
    </row>
    <row r="110" spans="2:17" x14ac:dyDescent="0.25">
      <c r="G110" s="19" t="s">
        <v>11</v>
      </c>
      <c r="H110" s="68">
        <f>H108/(1-E86)</f>
        <v>76.372881486513066</v>
      </c>
    </row>
    <row r="111" spans="2:17" x14ac:dyDescent="0.25">
      <c r="B111" s="1" t="s">
        <v>155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2:17" x14ac:dyDescent="0.25">
      <c r="B112" s="105" t="s">
        <v>14</v>
      </c>
      <c r="C112" s="105"/>
      <c r="D112" s="105"/>
      <c r="E112" s="105"/>
      <c r="F112" s="105"/>
      <c r="G112" s="105"/>
      <c r="H112" s="116"/>
      <c r="I112" s="116"/>
      <c r="J112" s="117"/>
      <c r="K112" s="203">
        <f>N4</f>
        <v>1.8849999999999999E-2</v>
      </c>
      <c r="L112" s="204"/>
      <c r="M112" s="106"/>
      <c r="N112" s="106"/>
      <c r="O112" s="118"/>
      <c r="P112" s="1"/>
      <c r="Q112" s="1"/>
    </row>
    <row r="113" spans="2:17" x14ac:dyDescent="0.25">
      <c r="B113" s="1"/>
      <c r="C113" s="337" t="s">
        <v>156</v>
      </c>
      <c r="D113" s="516"/>
      <c r="E113" s="517"/>
      <c r="F113" s="338"/>
      <c r="G113" s="516"/>
      <c r="H113" s="517"/>
      <c r="I113" s="338"/>
      <c r="J113" s="516" t="s">
        <v>157</v>
      </c>
      <c r="K113" s="517"/>
      <c r="L113" s="338"/>
      <c r="M113" s="516" t="s">
        <v>158</v>
      </c>
      <c r="N113" s="517"/>
      <c r="O113" s="339" t="s">
        <v>159</v>
      </c>
      <c r="P113" s="1"/>
      <c r="Q113" s="46"/>
    </row>
    <row r="114" spans="2:17" x14ac:dyDescent="0.25">
      <c r="B114" s="1"/>
      <c r="C114" s="343" t="s">
        <v>160</v>
      </c>
      <c r="D114" s="343"/>
      <c r="E114" s="343"/>
      <c r="F114" s="343"/>
      <c r="G114" s="343"/>
      <c r="H114" s="343"/>
      <c r="I114" s="343"/>
      <c r="J114" s="343"/>
      <c r="K114" s="343" t="s">
        <v>9</v>
      </c>
      <c r="L114" s="343"/>
      <c r="M114" s="343" t="s">
        <v>33</v>
      </c>
      <c r="N114" s="343" t="s">
        <v>9</v>
      </c>
      <c r="O114" s="343" t="s">
        <v>161</v>
      </c>
      <c r="P114" s="1"/>
    </row>
    <row r="115" spans="2:17" x14ac:dyDescent="0.25">
      <c r="B115" s="1"/>
      <c r="C115" s="206">
        <f>IF($K$12=$B$112,(D66/($K$14+$L$14)*($K$14)),0)+IF($L$12=$B$112,(D66/($K$14+$L$14)*($L$14)),0)</f>
        <v>80</v>
      </c>
      <c r="D115" s="207"/>
      <c r="E115" s="207"/>
      <c r="F115" s="207"/>
      <c r="G115" s="192"/>
      <c r="H115" s="192"/>
      <c r="I115" s="192"/>
      <c r="J115" s="192"/>
      <c r="K115" s="192">
        <f>$K$112*(1-Q115)</f>
        <v>0</v>
      </c>
      <c r="L115" s="192"/>
      <c r="M115" s="208"/>
      <c r="N115" s="208">
        <f>ROUND((C115*K115),2)</f>
        <v>0</v>
      </c>
      <c r="O115" s="193">
        <f>M115+N115</f>
        <v>0</v>
      </c>
      <c r="P115" s="209"/>
      <c r="Q115" s="169">
        <v>1</v>
      </c>
    </row>
    <row r="116" spans="2:17" x14ac:dyDescent="0.25">
      <c r="B116" s="1"/>
      <c r="C116" s="206">
        <f>IF($K$12=$B$112,(D65/($K$14+$L$14)*($K$14)),0)+IF($L$12=$B$112,(D65/($K$14+$L$14)*($L$14)),0)</f>
        <v>364</v>
      </c>
      <c r="D116" s="207"/>
      <c r="E116" s="207"/>
      <c r="F116" s="207"/>
      <c r="G116" s="192"/>
      <c r="H116" s="192"/>
      <c r="I116" s="192"/>
      <c r="J116" s="192"/>
      <c r="K116" s="192">
        <f>$K$112*(1-Q116)</f>
        <v>1.8849999999999999E-2</v>
      </c>
      <c r="L116" s="192"/>
      <c r="M116" s="208"/>
      <c r="N116" s="208">
        <f>ROUND((C116*K116),2)</f>
        <v>6.86</v>
      </c>
      <c r="O116" s="193">
        <f>M116+N116</f>
        <v>6.86</v>
      </c>
      <c r="P116" s="209"/>
      <c r="Q116" s="169">
        <v>0</v>
      </c>
    </row>
    <row r="117" spans="2:17" x14ac:dyDescent="0.25">
      <c r="B117" s="1"/>
      <c r="C117" s="210" t="s">
        <v>162</v>
      </c>
      <c r="D117" s="211"/>
      <c r="E117" s="211"/>
      <c r="F117" s="211"/>
      <c r="G117" s="211"/>
      <c r="H117" s="211"/>
      <c r="I117" s="211"/>
      <c r="J117" s="211"/>
      <c r="K117" s="211"/>
      <c r="L117" s="211"/>
      <c r="M117" s="211"/>
      <c r="N117" s="212"/>
      <c r="O117" s="213">
        <f>SUM(O115:O116)</f>
        <v>6.86</v>
      </c>
      <c r="P117" s="1"/>
      <c r="Q117" s="1"/>
    </row>
    <row r="118" spans="2:17" x14ac:dyDescent="0.25">
      <c r="B118" s="105"/>
      <c r="C118" s="105"/>
      <c r="D118" s="105"/>
      <c r="E118" s="105"/>
      <c r="F118" s="105"/>
      <c r="G118" s="105"/>
      <c r="H118" s="116"/>
      <c r="I118" s="116"/>
      <c r="J118" s="117"/>
      <c r="K118" s="117"/>
      <c r="L118" s="117"/>
      <c r="M118" s="106"/>
      <c r="N118" s="106"/>
      <c r="O118" s="214"/>
      <c r="P118" s="1"/>
      <c r="Q118" s="1"/>
    </row>
    <row r="119" spans="2:17" x14ac:dyDescent="0.25">
      <c r="B119" s="105" t="s">
        <v>15</v>
      </c>
      <c r="C119" s="105"/>
      <c r="D119" s="105"/>
      <c r="E119" s="105"/>
      <c r="F119" s="105"/>
      <c r="G119" s="105"/>
      <c r="H119" s="116"/>
      <c r="I119" s="116"/>
      <c r="J119" s="117"/>
      <c r="K119" s="203">
        <f>N5</f>
        <v>4.4630000000000003E-2</v>
      </c>
      <c r="L119" s="204"/>
      <c r="M119" s="106"/>
      <c r="N119" s="106"/>
      <c r="O119" s="118"/>
      <c r="P119" s="1"/>
      <c r="Q119" s="1"/>
    </row>
    <row r="120" spans="2:17" x14ac:dyDescent="0.25">
      <c r="B120" s="1"/>
      <c r="C120" s="337" t="s">
        <v>156</v>
      </c>
      <c r="D120" s="516"/>
      <c r="E120" s="517"/>
      <c r="F120" s="338"/>
      <c r="G120" s="516"/>
      <c r="H120" s="517"/>
      <c r="I120" s="338"/>
      <c r="J120" s="516" t="s">
        <v>32</v>
      </c>
      <c r="K120" s="517"/>
      <c r="L120" s="338"/>
      <c r="M120" s="516" t="s">
        <v>158</v>
      </c>
      <c r="N120" s="517"/>
      <c r="O120" s="339" t="s">
        <v>159</v>
      </c>
      <c r="P120" s="1"/>
      <c r="Q120" s="46"/>
    </row>
    <row r="121" spans="2:17" x14ac:dyDescent="0.25">
      <c r="B121" s="1"/>
      <c r="C121" s="343" t="s">
        <v>160</v>
      </c>
      <c r="D121" s="343"/>
      <c r="E121" s="343"/>
      <c r="F121" s="343"/>
      <c r="G121" s="343" t="s">
        <v>33</v>
      </c>
      <c r="H121" s="343" t="s">
        <v>9</v>
      </c>
      <c r="I121" s="343"/>
      <c r="J121" s="343" t="s">
        <v>33</v>
      </c>
      <c r="K121" s="343" t="s">
        <v>9</v>
      </c>
      <c r="L121" s="343"/>
      <c r="M121" s="343" t="s">
        <v>33</v>
      </c>
      <c r="N121" s="343" t="s">
        <v>9</v>
      </c>
      <c r="O121" s="343" t="s">
        <v>161</v>
      </c>
      <c r="P121" s="1"/>
    </row>
    <row r="122" spans="2:17" x14ac:dyDescent="0.25">
      <c r="B122" s="1"/>
      <c r="C122" s="206">
        <f>IF($K$12=$B$119,(D66/($K$14+$L$14)*($K$14)),0)+IF($L$12=$B$119,(D66/($K$14+$L$14)*($L$14)),0)</f>
        <v>0</v>
      </c>
      <c r="D122" s="207"/>
      <c r="E122" s="207"/>
      <c r="F122" s="207"/>
      <c r="G122" s="192"/>
      <c r="H122" s="192"/>
      <c r="I122" s="192"/>
      <c r="J122" s="192"/>
      <c r="K122" s="192">
        <f>$K$119*(1-Q122)</f>
        <v>0</v>
      </c>
      <c r="L122" s="192"/>
      <c r="M122" s="208"/>
      <c r="N122" s="208">
        <f>ROUND((C122*K122),2)</f>
        <v>0</v>
      </c>
      <c r="O122" s="193">
        <f>M122+N122</f>
        <v>0</v>
      </c>
      <c r="P122" s="209"/>
      <c r="Q122" s="169">
        <v>1</v>
      </c>
    </row>
    <row r="123" spans="2:17" x14ac:dyDescent="0.25">
      <c r="B123" s="1"/>
      <c r="C123" s="206">
        <f>IF($K$12=$B$119,(D65/($K$14+$L$14)*($K$14)),0)+IF($L$12=$B$119,(D65/($K$14+$L$14)*($L$14)),0)</f>
        <v>0</v>
      </c>
      <c r="D123" s="207"/>
      <c r="E123" s="207"/>
      <c r="F123" s="207"/>
      <c r="G123" s="192"/>
      <c r="H123" s="192"/>
      <c r="I123" s="192"/>
      <c r="J123" s="192"/>
      <c r="K123" s="192">
        <f>$K$119*(1-Q123)</f>
        <v>4.4630000000000003E-2</v>
      </c>
      <c r="L123" s="192"/>
      <c r="M123" s="208"/>
      <c r="N123" s="208">
        <f>ROUND((C123*K123),2)</f>
        <v>0</v>
      </c>
      <c r="O123" s="193">
        <f>M123+N123</f>
        <v>0</v>
      </c>
      <c r="P123" s="209"/>
      <c r="Q123" s="169">
        <v>0</v>
      </c>
    </row>
    <row r="124" spans="2:17" x14ac:dyDescent="0.25">
      <c r="B124" s="1"/>
      <c r="C124" s="210" t="s">
        <v>162</v>
      </c>
      <c r="D124" s="211"/>
      <c r="E124" s="211"/>
      <c r="F124" s="211"/>
      <c r="G124" s="211"/>
      <c r="H124" s="211"/>
      <c r="I124" s="211"/>
      <c r="J124" s="211"/>
      <c r="K124" s="211"/>
      <c r="L124" s="211"/>
      <c r="M124" s="211"/>
      <c r="N124" s="212"/>
      <c r="O124" s="213">
        <f>SUM(O122:O123)</f>
        <v>0</v>
      </c>
      <c r="P124" s="1"/>
      <c r="Q124" s="1"/>
    </row>
    <row r="125" spans="2:17" x14ac:dyDescent="0.25">
      <c r="B125" s="105"/>
      <c r="C125" s="105"/>
      <c r="D125" s="105"/>
      <c r="E125" s="105"/>
      <c r="F125" s="105"/>
      <c r="G125" s="105"/>
      <c r="H125" s="116"/>
      <c r="I125" s="116"/>
      <c r="J125" s="117"/>
      <c r="K125" s="117"/>
      <c r="L125" s="117"/>
      <c r="M125" s="106"/>
      <c r="N125" s="106"/>
      <c r="O125" s="118"/>
      <c r="P125" s="1"/>
      <c r="Q125" s="1"/>
    </row>
    <row r="126" spans="2:17" x14ac:dyDescent="0.25">
      <c r="B126" s="105" t="s">
        <v>16</v>
      </c>
      <c r="C126" s="105"/>
      <c r="D126" s="105"/>
      <c r="E126" s="105"/>
      <c r="F126" s="105"/>
      <c r="G126" s="105"/>
      <c r="H126" s="116"/>
      <c r="I126" s="116"/>
      <c r="J126" s="117"/>
      <c r="K126" s="203">
        <f>N6</f>
        <v>7.8770000000000007E-2</v>
      </c>
      <c r="L126" s="204"/>
      <c r="M126" s="106"/>
      <c r="N126" s="106"/>
      <c r="O126" s="118"/>
      <c r="P126" s="1"/>
      <c r="Q126" s="1"/>
    </row>
    <row r="127" spans="2:17" x14ac:dyDescent="0.25">
      <c r="B127" s="1"/>
      <c r="C127" s="337" t="s">
        <v>156</v>
      </c>
      <c r="D127" s="516"/>
      <c r="E127" s="517"/>
      <c r="F127" s="338"/>
      <c r="G127" s="516"/>
      <c r="H127" s="517"/>
      <c r="I127" s="338"/>
      <c r="J127" s="516" t="s">
        <v>32</v>
      </c>
      <c r="K127" s="517"/>
      <c r="L127" s="338"/>
      <c r="M127" s="516" t="s">
        <v>158</v>
      </c>
      <c r="N127" s="517"/>
      <c r="O127" s="339" t="s">
        <v>159</v>
      </c>
      <c r="P127" s="1"/>
      <c r="Q127" s="46"/>
    </row>
    <row r="128" spans="2:17" x14ac:dyDescent="0.25">
      <c r="B128" s="1"/>
      <c r="C128" s="343" t="s">
        <v>160</v>
      </c>
      <c r="D128" s="343"/>
      <c r="E128" s="343"/>
      <c r="F128" s="343"/>
      <c r="G128" s="343" t="s">
        <v>33</v>
      </c>
      <c r="H128" s="343" t="s">
        <v>9</v>
      </c>
      <c r="I128" s="343"/>
      <c r="J128" s="343" t="s">
        <v>33</v>
      </c>
      <c r="K128" s="343" t="s">
        <v>9</v>
      </c>
      <c r="L128" s="343"/>
      <c r="M128" s="343" t="s">
        <v>33</v>
      </c>
      <c r="N128" s="343" t="s">
        <v>9</v>
      </c>
      <c r="O128" s="343" t="s">
        <v>161</v>
      </c>
      <c r="P128" s="1"/>
    </row>
    <row r="129" spans="2:17" x14ac:dyDescent="0.25">
      <c r="B129" s="1"/>
      <c r="C129" s="206">
        <f>IF($K$12=$B$126,(D66/($K$14+$L$14)*($K$14)),0)+IF($L$12=$B$126,(D66/($K$14+$L$14)*($L$14)),0)</f>
        <v>0</v>
      </c>
      <c r="D129" s="207"/>
      <c r="E129" s="207"/>
      <c r="F129" s="207"/>
      <c r="G129" s="192"/>
      <c r="H129" s="192"/>
      <c r="I129" s="192"/>
      <c r="J129" s="192"/>
      <c r="K129" s="192">
        <f>$K$126*(1-Q129)</f>
        <v>0</v>
      </c>
      <c r="L129" s="192"/>
      <c r="M129" s="208"/>
      <c r="N129" s="208">
        <f>ROUND((C129*K129),2)</f>
        <v>0</v>
      </c>
      <c r="O129" s="193">
        <f>M129+N129</f>
        <v>0</v>
      </c>
      <c r="P129" s="209"/>
      <c r="Q129" s="169">
        <v>1</v>
      </c>
    </row>
    <row r="130" spans="2:17" x14ac:dyDescent="0.25">
      <c r="B130" s="1"/>
      <c r="C130" s="206">
        <f>IF($K$12=$B$126,(D65/($K$14+$L$14)*($K$14)),0)+IF($L$12=$B$126,(D65/($K$14+$L$14)*($L$14)),0)</f>
        <v>0</v>
      </c>
      <c r="D130" s="207"/>
      <c r="E130" s="207"/>
      <c r="F130" s="207"/>
      <c r="G130" s="192"/>
      <c r="H130" s="192"/>
      <c r="I130" s="192"/>
      <c r="J130" s="192"/>
      <c r="K130" s="192">
        <f>$K$126*(1-Q130)</f>
        <v>7.8770000000000007E-2</v>
      </c>
      <c r="L130" s="192"/>
      <c r="M130" s="208"/>
      <c r="N130" s="208">
        <f>ROUND((C130*K130),2)</f>
        <v>0</v>
      </c>
      <c r="O130" s="193">
        <f>M130+N130</f>
        <v>0</v>
      </c>
      <c r="P130" s="209"/>
      <c r="Q130" s="169">
        <v>0</v>
      </c>
    </row>
    <row r="131" spans="2:17" x14ac:dyDescent="0.25">
      <c r="B131" s="1"/>
      <c r="C131" s="210" t="s">
        <v>162</v>
      </c>
      <c r="D131" s="211"/>
      <c r="E131" s="211"/>
      <c r="F131" s="211"/>
      <c r="G131" s="211"/>
      <c r="H131" s="211"/>
      <c r="I131" s="211"/>
      <c r="J131" s="211"/>
      <c r="K131" s="211"/>
      <c r="L131" s="211"/>
      <c r="M131" s="211"/>
      <c r="N131" s="212"/>
      <c r="O131" s="213">
        <f>SUM(O129:O130)</f>
        <v>0</v>
      </c>
      <c r="P131" s="1"/>
      <c r="Q131" s="1"/>
    </row>
    <row r="132" spans="2:17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2:17" x14ac:dyDescent="0.25">
      <c r="B133" s="1" t="s">
        <v>17</v>
      </c>
      <c r="C133" s="105"/>
      <c r="D133" s="105"/>
      <c r="E133" s="105"/>
      <c r="F133" s="105"/>
      <c r="G133" s="105"/>
      <c r="H133" s="116"/>
      <c r="I133" s="116"/>
      <c r="J133" s="117"/>
      <c r="K133" s="203">
        <f>N8</f>
        <v>0.14199999999999999</v>
      </c>
      <c r="L133" s="204"/>
      <c r="M133" s="106"/>
      <c r="N133" s="106"/>
      <c r="O133" s="118"/>
      <c r="P133" s="1"/>
      <c r="Q133" s="1"/>
    </row>
    <row r="134" spans="2:17" ht="25.5" customHeight="1" x14ac:dyDescent="0.25">
      <c r="B134" s="1"/>
      <c r="C134" s="337" t="s">
        <v>156</v>
      </c>
      <c r="D134" s="516"/>
      <c r="E134" s="517"/>
      <c r="F134" s="338"/>
      <c r="G134" s="516"/>
      <c r="H134" s="517"/>
      <c r="I134" s="338"/>
      <c r="J134" s="516" t="s">
        <v>32</v>
      </c>
      <c r="K134" s="517"/>
      <c r="L134" s="338"/>
      <c r="M134" s="516" t="s">
        <v>158</v>
      </c>
      <c r="N134" s="517"/>
      <c r="O134" s="339" t="s">
        <v>159</v>
      </c>
      <c r="P134" s="1"/>
      <c r="Q134" s="46"/>
    </row>
    <row r="135" spans="2:17" x14ac:dyDescent="0.25">
      <c r="B135" s="1"/>
      <c r="C135" s="343" t="s">
        <v>160</v>
      </c>
      <c r="D135" s="343"/>
      <c r="E135" s="343"/>
      <c r="F135" s="343"/>
      <c r="G135" s="343" t="s">
        <v>33</v>
      </c>
      <c r="H135" s="343" t="s">
        <v>9</v>
      </c>
      <c r="I135" s="343"/>
      <c r="J135" s="343" t="s">
        <v>33</v>
      </c>
      <c r="K135" s="343" t="s">
        <v>9</v>
      </c>
      <c r="L135" s="343"/>
      <c r="M135" s="343" t="s">
        <v>33</v>
      </c>
      <c r="N135" s="343" t="s">
        <v>9</v>
      </c>
      <c r="O135" s="343" t="s">
        <v>161</v>
      </c>
      <c r="P135" s="1"/>
    </row>
    <row r="136" spans="2:17" x14ac:dyDescent="0.25">
      <c r="B136" s="1"/>
      <c r="C136" s="206">
        <f>IF($K$12=$B$133,(D66*($K$14)/($K$14+$L$14)),0)+IF($L$12=$B$133,(D66*($L$14)/($K$14+$L$14)),0)</f>
        <v>0</v>
      </c>
      <c r="D136" s="207"/>
      <c r="E136" s="207"/>
      <c r="F136" s="207"/>
      <c r="G136" s="192"/>
      <c r="H136" s="192"/>
      <c r="I136" s="192"/>
      <c r="J136" s="192"/>
      <c r="K136" s="192">
        <f>$K$133*(1-Q136)</f>
        <v>0</v>
      </c>
      <c r="L136" s="192"/>
      <c r="M136" s="208"/>
      <c r="N136" s="208">
        <f>ROUND((C136*K136),2)</f>
        <v>0</v>
      </c>
      <c r="O136" s="193">
        <f>M136+N136</f>
        <v>0</v>
      </c>
      <c r="P136" s="209"/>
      <c r="Q136" s="169">
        <v>1</v>
      </c>
    </row>
    <row r="137" spans="2:17" x14ac:dyDescent="0.25">
      <c r="B137" s="1"/>
      <c r="C137" s="206">
        <f>IF($K$12=$B$133,(D65*($K$14)/($K$14+$L$14)),0)+IF($L$12=$B$133,(D65*($L$14)/($K$14+$L$14)),0)</f>
        <v>0</v>
      </c>
      <c r="D137" s="207"/>
      <c r="E137" s="207"/>
      <c r="F137" s="207"/>
      <c r="G137" s="192"/>
      <c r="H137" s="192"/>
      <c r="I137" s="192"/>
      <c r="J137" s="192"/>
      <c r="K137" s="192">
        <f>$K$133*(1-Q137)</f>
        <v>0.14199999999999999</v>
      </c>
      <c r="L137" s="192"/>
      <c r="M137" s="208"/>
      <c r="N137" s="208">
        <f>ROUND((C137*K137),2)</f>
        <v>0</v>
      </c>
      <c r="O137" s="193">
        <f>M137+N137</f>
        <v>0</v>
      </c>
      <c r="P137" s="209"/>
      <c r="Q137" s="169">
        <v>0</v>
      </c>
    </row>
    <row r="138" spans="2:17" x14ac:dyDescent="0.25">
      <c r="B138" s="1"/>
      <c r="C138" s="210" t="s">
        <v>162</v>
      </c>
      <c r="D138" s="211"/>
      <c r="E138" s="211"/>
      <c r="F138" s="211"/>
      <c r="G138" s="211"/>
      <c r="H138" s="211"/>
      <c r="I138" s="211"/>
      <c r="J138" s="211"/>
      <c r="K138" s="211"/>
      <c r="L138" s="211"/>
      <c r="M138" s="211"/>
      <c r="N138" s="212"/>
      <c r="O138" s="213">
        <f>SUM(O136:O137)</f>
        <v>0</v>
      </c>
      <c r="P138" s="1"/>
      <c r="Q138" s="1"/>
    </row>
    <row r="141" spans="2:17" x14ac:dyDescent="0.25">
      <c r="B141" s="1" t="s">
        <v>174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2:17" x14ac:dyDescent="0.25">
      <c r="B142" s="105" t="s">
        <v>14</v>
      </c>
      <c r="C142" s="105"/>
      <c r="D142" s="105"/>
      <c r="E142" s="105"/>
      <c r="F142" s="105"/>
      <c r="G142" s="105"/>
      <c r="H142" s="116"/>
      <c r="I142" s="116"/>
      <c r="J142" s="117"/>
      <c r="K142" s="203">
        <f>N4</f>
        <v>1.8849999999999999E-2</v>
      </c>
      <c r="L142" s="204"/>
      <c r="M142" s="106"/>
      <c r="N142" s="106"/>
      <c r="O142" s="118"/>
      <c r="P142" s="1"/>
      <c r="Q142" s="1"/>
    </row>
    <row r="143" spans="2:17" x14ac:dyDescent="0.25">
      <c r="B143" s="1"/>
      <c r="C143" s="349" t="s">
        <v>156</v>
      </c>
      <c r="D143" s="508"/>
      <c r="E143" s="509"/>
      <c r="F143" s="350"/>
      <c r="G143" s="508"/>
      <c r="H143" s="509"/>
      <c r="I143" s="350"/>
      <c r="J143" s="508" t="s">
        <v>157</v>
      </c>
      <c r="K143" s="509"/>
      <c r="L143" s="350"/>
      <c r="M143" s="508" t="s">
        <v>158</v>
      </c>
      <c r="N143" s="509"/>
      <c r="O143" s="351" t="s">
        <v>159</v>
      </c>
      <c r="P143" s="1"/>
      <c r="Q143" s="46"/>
    </row>
    <row r="144" spans="2:17" x14ac:dyDescent="0.25">
      <c r="B144" s="1"/>
      <c r="C144" s="352" t="s">
        <v>160</v>
      </c>
      <c r="D144" s="352"/>
      <c r="E144" s="352"/>
      <c r="F144" s="352"/>
      <c r="G144" s="352"/>
      <c r="H144" s="352"/>
      <c r="I144" s="352"/>
      <c r="J144" s="352"/>
      <c r="K144" s="352" t="s">
        <v>9</v>
      </c>
      <c r="L144" s="352"/>
      <c r="M144" s="352" t="s">
        <v>33</v>
      </c>
      <c r="N144" s="352" t="s">
        <v>9</v>
      </c>
      <c r="O144" s="352" t="s">
        <v>161</v>
      </c>
      <c r="P144" s="1"/>
    </row>
    <row r="145" spans="2:17" x14ac:dyDescent="0.25">
      <c r="B145" s="1"/>
      <c r="C145" s="206">
        <f>IF($K$12=$B$142,(D73*($K$14)/($K$14+$L$14)),0)+IF($L$12=$B$142,(D73*($L$14)/($K$14+$L$14)),0)</f>
        <v>-364</v>
      </c>
      <c r="D145" s="207"/>
      <c r="E145" s="207"/>
      <c r="F145" s="207"/>
      <c r="G145" s="192"/>
      <c r="H145" s="192"/>
      <c r="I145" s="192"/>
      <c r="J145" s="192"/>
      <c r="K145" s="192">
        <f>$K$142*(1-Q145)</f>
        <v>1.8849999999999999E-2</v>
      </c>
      <c r="L145" s="192"/>
      <c r="M145" s="208"/>
      <c r="N145" s="208">
        <f>ROUND((C145*K145),2)</f>
        <v>-6.86</v>
      </c>
      <c r="O145" s="193">
        <f>M145+N145</f>
        <v>-6.86</v>
      </c>
      <c r="P145" s="209"/>
      <c r="Q145" s="169">
        <v>0</v>
      </c>
    </row>
    <row r="146" spans="2:17" x14ac:dyDescent="0.25">
      <c r="B146" s="1"/>
      <c r="C146" s="210" t="s">
        <v>162</v>
      </c>
      <c r="D146" s="211"/>
      <c r="E146" s="211"/>
      <c r="F146" s="211"/>
      <c r="G146" s="211"/>
      <c r="H146" s="211"/>
      <c r="I146" s="211"/>
      <c r="J146" s="211"/>
      <c r="K146" s="211"/>
      <c r="L146" s="211"/>
      <c r="M146" s="211"/>
      <c r="N146" s="212"/>
      <c r="O146" s="213">
        <f>SUM(O145:O145)</f>
        <v>-6.86</v>
      </c>
      <c r="P146" s="1"/>
      <c r="Q146" s="1"/>
    </row>
    <row r="147" spans="2:17" x14ac:dyDescent="0.25">
      <c r="B147" s="105"/>
      <c r="C147" s="105"/>
      <c r="D147" s="105"/>
      <c r="E147" s="105"/>
      <c r="F147" s="105"/>
      <c r="G147" s="105"/>
      <c r="H147" s="116"/>
      <c r="I147" s="116"/>
      <c r="J147" s="117"/>
      <c r="K147" s="117"/>
      <c r="L147" s="117"/>
      <c r="M147" s="106"/>
      <c r="N147" s="106"/>
      <c r="O147" s="214"/>
      <c r="P147" s="1"/>
      <c r="Q147" s="1"/>
    </row>
    <row r="148" spans="2:17" x14ac:dyDescent="0.25">
      <c r="B148" s="105" t="s">
        <v>15</v>
      </c>
      <c r="C148" s="105"/>
      <c r="D148" s="105"/>
      <c r="E148" s="105"/>
      <c r="F148" s="105"/>
      <c r="G148" s="105"/>
      <c r="H148" s="116"/>
      <c r="I148" s="116"/>
      <c r="J148" s="117"/>
      <c r="K148" s="203">
        <f>N5</f>
        <v>4.4630000000000003E-2</v>
      </c>
      <c r="L148" s="204"/>
      <c r="M148" s="106"/>
      <c r="N148" s="106"/>
      <c r="O148" s="118"/>
      <c r="P148" s="1"/>
      <c r="Q148" s="1"/>
    </row>
    <row r="149" spans="2:17" x14ac:dyDescent="0.25">
      <c r="B149" s="1"/>
      <c r="C149" s="349" t="s">
        <v>156</v>
      </c>
      <c r="D149" s="508"/>
      <c r="E149" s="509"/>
      <c r="F149" s="350"/>
      <c r="G149" s="508"/>
      <c r="H149" s="509"/>
      <c r="I149" s="350"/>
      <c r="J149" s="508" t="s">
        <v>32</v>
      </c>
      <c r="K149" s="509"/>
      <c r="L149" s="350"/>
      <c r="M149" s="508" t="s">
        <v>158</v>
      </c>
      <c r="N149" s="509"/>
      <c r="O149" s="351" t="s">
        <v>159</v>
      </c>
      <c r="P149" s="1"/>
      <c r="Q149" s="46"/>
    </row>
    <row r="150" spans="2:17" x14ac:dyDescent="0.25">
      <c r="B150" s="1"/>
      <c r="C150" s="352" t="s">
        <v>160</v>
      </c>
      <c r="D150" s="352"/>
      <c r="E150" s="352"/>
      <c r="F150" s="352"/>
      <c r="G150" s="352" t="s">
        <v>33</v>
      </c>
      <c r="H150" s="352" t="s">
        <v>9</v>
      </c>
      <c r="I150" s="352"/>
      <c r="J150" s="352" t="s">
        <v>33</v>
      </c>
      <c r="K150" s="352" t="s">
        <v>9</v>
      </c>
      <c r="L150" s="352"/>
      <c r="M150" s="352" t="s">
        <v>33</v>
      </c>
      <c r="N150" s="352" t="s">
        <v>9</v>
      </c>
      <c r="O150" s="352" t="s">
        <v>161</v>
      </c>
      <c r="P150" s="1"/>
    </row>
    <row r="151" spans="2:17" x14ac:dyDescent="0.25">
      <c r="B151" s="1"/>
      <c r="C151" s="206">
        <f>IF($K$12=$B$148,(D73*($K$14)/($K$14+$L$14)),0)+IF($L$12=$B$148,(D73*($L$14)/($K$14+$L$14)),0)</f>
        <v>0</v>
      </c>
      <c r="D151" s="207"/>
      <c r="E151" s="207"/>
      <c r="F151" s="207"/>
      <c r="G151" s="192"/>
      <c r="H151" s="192"/>
      <c r="I151" s="192"/>
      <c r="J151" s="192"/>
      <c r="K151" s="192">
        <f>$K$148*(1-Q151)</f>
        <v>4.4630000000000003E-2</v>
      </c>
      <c r="L151" s="192"/>
      <c r="M151" s="208"/>
      <c r="N151" s="208">
        <f>ROUND((C151*K151),2)</f>
        <v>0</v>
      </c>
      <c r="O151" s="193">
        <f>M151+N151</f>
        <v>0</v>
      </c>
      <c r="P151" s="209"/>
      <c r="Q151" s="169">
        <v>0</v>
      </c>
    </row>
    <row r="152" spans="2:17" x14ac:dyDescent="0.25">
      <c r="B152" s="1"/>
      <c r="C152" s="210" t="s">
        <v>162</v>
      </c>
      <c r="D152" s="211"/>
      <c r="E152" s="211"/>
      <c r="F152" s="211"/>
      <c r="G152" s="211"/>
      <c r="H152" s="211"/>
      <c r="I152" s="211"/>
      <c r="J152" s="211"/>
      <c r="K152" s="211"/>
      <c r="L152" s="211"/>
      <c r="M152" s="211"/>
      <c r="N152" s="212"/>
      <c r="O152" s="213">
        <f>SUM(O151:O151)</f>
        <v>0</v>
      </c>
      <c r="P152" s="1"/>
      <c r="Q152" s="1"/>
    </row>
    <row r="153" spans="2:17" x14ac:dyDescent="0.25">
      <c r="B153" s="105"/>
      <c r="C153" s="105"/>
      <c r="D153" s="105"/>
      <c r="E153" s="105"/>
      <c r="F153" s="105"/>
      <c r="G153" s="105"/>
      <c r="H153" s="116"/>
      <c r="I153" s="116"/>
      <c r="J153" s="117"/>
      <c r="K153" s="117"/>
      <c r="L153" s="117"/>
      <c r="M153" s="106"/>
      <c r="N153" s="106"/>
      <c r="O153" s="118"/>
      <c r="P153" s="1"/>
      <c r="Q153" s="1"/>
    </row>
    <row r="154" spans="2:17" x14ac:dyDescent="0.25">
      <c r="B154" s="105" t="s">
        <v>16</v>
      </c>
      <c r="C154" s="105"/>
      <c r="D154" s="105"/>
      <c r="E154" s="105"/>
      <c r="F154" s="105"/>
      <c r="G154" s="105"/>
      <c r="H154" s="116"/>
      <c r="I154" s="116"/>
      <c r="J154" s="117"/>
      <c r="K154" s="203">
        <f>N6</f>
        <v>7.8770000000000007E-2</v>
      </c>
      <c r="L154" s="204"/>
      <c r="M154" s="106"/>
      <c r="N154" s="106"/>
      <c r="O154" s="118"/>
      <c r="P154" s="1"/>
      <c r="Q154" s="1"/>
    </row>
    <row r="155" spans="2:17" x14ac:dyDescent="0.25">
      <c r="B155" s="1"/>
      <c r="C155" s="349" t="s">
        <v>156</v>
      </c>
      <c r="D155" s="508"/>
      <c r="E155" s="509"/>
      <c r="F155" s="350"/>
      <c r="G155" s="508"/>
      <c r="H155" s="509"/>
      <c r="I155" s="350"/>
      <c r="J155" s="508" t="s">
        <v>32</v>
      </c>
      <c r="K155" s="509"/>
      <c r="L155" s="350"/>
      <c r="M155" s="508" t="s">
        <v>158</v>
      </c>
      <c r="N155" s="509"/>
      <c r="O155" s="351" t="s">
        <v>159</v>
      </c>
      <c r="P155" s="1"/>
      <c r="Q155" s="46"/>
    </row>
    <row r="156" spans="2:17" x14ac:dyDescent="0.25">
      <c r="B156" s="1"/>
      <c r="C156" s="352" t="s">
        <v>160</v>
      </c>
      <c r="D156" s="352"/>
      <c r="E156" s="352"/>
      <c r="F156" s="352"/>
      <c r="G156" s="352" t="s">
        <v>33</v>
      </c>
      <c r="H156" s="352" t="s">
        <v>9</v>
      </c>
      <c r="I156" s="352"/>
      <c r="J156" s="352" t="s">
        <v>33</v>
      </c>
      <c r="K156" s="352" t="s">
        <v>9</v>
      </c>
      <c r="L156" s="352"/>
      <c r="M156" s="352" t="s">
        <v>33</v>
      </c>
      <c r="N156" s="352" t="s">
        <v>9</v>
      </c>
      <c r="O156" s="352" t="s">
        <v>161</v>
      </c>
      <c r="P156" s="1"/>
    </row>
    <row r="157" spans="2:17" x14ac:dyDescent="0.25">
      <c r="B157" s="1"/>
      <c r="C157" s="206">
        <f>IF($K$12=$B$154,(D73*($K$14)/($K$14+$L$14)),0)+IF($L$12=$B$154,(D73*($L$14)/($K$14+$L$14)),0)</f>
        <v>0</v>
      </c>
      <c r="D157" s="207"/>
      <c r="E157" s="207"/>
      <c r="F157" s="207"/>
      <c r="G157" s="192"/>
      <c r="H157" s="192"/>
      <c r="I157" s="192"/>
      <c r="J157" s="192"/>
      <c r="K157" s="192">
        <f>$K$154*(1-Q157)</f>
        <v>7.8770000000000007E-2</v>
      </c>
      <c r="L157" s="192"/>
      <c r="M157" s="208"/>
      <c r="N157" s="208">
        <f>ROUND((C157*K157),2)</f>
        <v>0</v>
      </c>
      <c r="O157" s="193">
        <f>M157+N157</f>
        <v>0</v>
      </c>
      <c r="P157" s="209"/>
      <c r="Q157" s="169">
        <v>0</v>
      </c>
    </row>
    <row r="158" spans="2:17" x14ac:dyDescent="0.25">
      <c r="B158" s="1"/>
      <c r="C158" s="210" t="s">
        <v>162</v>
      </c>
      <c r="D158" s="211"/>
      <c r="E158" s="211"/>
      <c r="F158" s="211"/>
      <c r="G158" s="211"/>
      <c r="H158" s="211"/>
      <c r="I158" s="211"/>
      <c r="J158" s="211"/>
      <c r="K158" s="211"/>
      <c r="L158" s="211"/>
      <c r="M158" s="211"/>
      <c r="N158" s="212"/>
      <c r="O158" s="213">
        <f>SUM(O157:O157)</f>
        <v>0</v>
      </c>
      <c r="P158" s="1"/>
      <c r="Q158" s="1"/>
    </row>
    <row r="159" spans="2:17" x14ac:dyDescent="0.2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2:17" x14ac:dyDescent="0.25">
      <c r="B160" s="1" t="s">
        <v>17</v>
      </c>
      <c r="C160" s="105"/>
      <c r="D160" s="105"/>
      <c r="E160" s="105"/>
      <c r="F160" s="105"/>
      <c r="G160" s="105"/>
      <c r="H160" s="116"/>
      <c r="I160" s="116"/>
      <c r="J160" s="117"/>
      <c r="K160" s="203">
        <f>N8</f>
        <v>0.14199999999999999</v>
      </c>
      <c r="L160" s="204"/>
      <c r="M160" s="106"/>
      <c r="N160" s="106"/>
      <c r="O160" s="118"/>
      <c r="P160" s="1"/>
      <c r="Q160" s="1"/>
    </row>
    <row r="161" spans="2:17" x14ac:dyDescent="0.25">
      <c r="B161" s="1"/>
      <c r="C161" s="349" t="s">
        <v>156</v>
      </c>
      <c r="D161" s="508"/>
      <c r="E161" s="509"/>
      <c r="F161" s="350"/>
      <c r="G161" s="508"/>
      <c r="H161" s="509"/>
      <c r="I161" s="350"/>
      <c r="J161" s="508" t="s">
        <v>32</v>
      </c>
      <c r="K161" s="509"/>
      <c r="L161" s="350"/>
      <c r="M161" s="508" t="s">
        <v>158</v>
      </c>
      <c r="N161" s="509"/>
      <c r="O161" s="351" t="s">
        <v>159</v>
      </c>
      <c r="P161" s="1"/>
      <c r="Q161" s="46"/>
    </row>
    <row r="162" spans="2:17" x14ac:dyDescent="0.25">
      <c r="B162" s="1"/>
      <c r="C162" s="352" t="s">
        <v>160</v>
      </c>
      <c r="D162" s="352"/>
      <c r="E162" s="352"/>
      <c r="F162" s="352"/>
      <c r="G162" s="352" t="s">
        <v>33</v>
      </c>
      <c r="H162" s="352" t="s">
        <v>9</v>
      </c>
      <c r="I162" s="352"/>
      <c r="J162" s="352" t="s">
        <v>33</v>
      </c>
      <c r="K162" s="352" t="s">
        <v>9</v>
      </c>
      <c r="L162" s="352"/>
      <c r="M162" s="352" t="s">
        <v>33</v>
      </c>
      <c r="N162" s="352" t="s">
        <v>9</v>
      </c>
      <c r="O162" s="352" t="s">
        <v>161</v>
      </c>
      <c r="P162" s="1"/>
    </row>
    <row r="163" spans="2:17" x14ac:dyDescent="0.25">
      <c r="B163" s="1"/>
      <c r="C163" s="206">
        <f>IF($K$12=$B$160,(D73*($K$14)/($K$14+$L$14)),0)+IF($L$12=$B$160,(D73*($L$14)/($K$14+$L$14)),0)</f>
        <v>0</v>
      </c>
      <c r="D163" s="207"/>
      <c r="E163" s="207"/>
      <c r="F163" s="207"/>
      <c r="G163" s="192"/>
      <c r="H163" s="192"/>
      <c r="I163" s="192"/>
      <c r="J163" s="192"/>
      <c r="K163" s="192">
        <f>$K$160*(1-Q163)</f>
        <v>0.14199999999999999</v>
      </c>
      <c r="L163" s="192"/>
      <c r="M163" s="208"/>
      <c r="N163" s="208">
        <f>ROUND((C163*K163),2)</f>
        <v>0</v>
      </c>
      <c r="O163" s="193">
        <f>M163+N163</f>
        <v>0</v>
      </c>
      <c r="P163" s="209"/>
      <c r="Q163" s="169">
        <v>0</v>
      </c>
    </row>
    <row r="164" spans="2:17" x14ac:dyDescent="0.25">
      <c r="B164" s="1"/>
      <c r="C164" s="210" t="s">
        <v>162</v>
      </c>
      <c r="D164" s="211"/>
      <c r="E164" s="211"/>
      <c r="F164" s="211"/>
      <c r="G164" s="211"/>
      <c r="H164" s="211"/>
      <c r="I164" s="211"/>
      <c r="J164" s="211"/>
      <c r="K164" s="211"/>
      <c r="L164" s="211"/>
      <c r="M164" s="211"/>
      <c r="N164" s="212"/>
      <c r="O164" s="213">
        <f>SUM(O163:O163)</f>
        <v>0</v>
      </c>
      <c r="P164" s="1"/>
      <c r="Q164" s="1"/>
    </row>
  </sheetData>
  <mergeCells count="42">
    <mergeCell ref="U4:W4"/>
    <mergeCell ref="X4:Z4"/>
    <mergeCell ref="K11:L11"/>
    <mergeCell ref="B61:H61"/>
    <mergeCell ref="D113:E113"/>
    <mergeCell ref="G113:H113"/>
    <mergeCell ref="J113:K113"/>
    <mergeCell ref="M113:N113"/>
    <mergeCell ref="B4:B5"/>
    <mergeCell ref="C4:E4"/>
    <mergeCell ref="F4:H4"/>
    <mergeCell ref="I4:K4"/>
    <mergeCell ref="Q4:Q5"/>
    <mergeCell ref="R4:T4"/>
    <mergeCell ref="D120:E120"/>
    <mergeCell ref="G120:H120"/>
    <mergeCell ref="J120:K120"/>
    <mergeCell ref="M120:N120"/>
    <mergeCell ref="D127:E127"/>
    <mergeCell ref="G127:H127"/>
    <mergeCell ref="J127:K127"/>
    <mergeCell ref="M127:N127"/>
    <mergeCell ref="D134:E134"/>
    <mergeCell ref="G134:H134"/>
    <mergeCell ref="J134:K134"/>
    <mergeCell ref="M134:N134"/>
    <mergeCell ref="D143:E143"/>
    <mergeCell ref="G143:H143"/>
    <mergeCell ref="J143:K143"/>
    <mergeCell ref="M143:N143"/>
    <mergeCell ref="D161:E161"/>
    <mergeCell ref="G161:H161"/>
    <mergeCell ref="J161:K161"/>
    <mergeCell ref="M161:N161"/>
    <mergeCell ref="D149:E149"/>
    <mergeCell ref="G149:H149"/>
    <mergeCell ref="J149:K149"/>
    <mergeCell ref="M149:N149"/>
    <mergeCell ref="D155:E155"/>
    <mergeCell ref="G155:H155"/>
    <mergeCell ref="J155:K155"/>
    <mergeCell ref="M155:N155"/>
  </mergeCells>
  <conditionalFormatting sqref="K12:L12">
    <cfRule type="cellIs" dxfId="55" priority="1" operator="equal">
      <formula>"Escassez Hídrica"</formula>
    </cfRule>
    <cfRule type="cellIs" dxfId="54" priority="2" operator="equal">
      <formula>"VERDE"</formula>
    </cfRule>
    <cfRule type="cellIs" dxfId="53" priority="3" operator="equal">
      <formula>"BVM2"</formula>
    </cfRule>
    <cfRule type="cellIs" dxfId="52" priority="4" operator="equal">
      <formula>"BVM1"</formula>
    </cfRule>
    <cfRule type="cellIs" dxfId="51" priority="5" operator="equal">
      <formula>"BAM"</formula>
    </cfRule>
  </conditionalFormatting>
  <conditionalFormatting sqref="M3">
    <cfRule type="cellIs" dxfId="50" priority="11" operator="equal">
      <formula>"VERDE"</formula>
    </cfRule>
    <cfRule type="cellIs" dxfId="49" priority="12" operator="equal">
      <formula>"BVM2"</formula>
    </cfRule>
    <cfRule type="cellIs" dxfId="48" priority="13" operator="equal">
      <formula>"BVM1"</formula>
    </cfRule>
    <cfRule type="cellIs" dxfId="47" priority="14" operator="equal">
      <formula>"BAM"</formula>
    </cfRule>
  </conditionalFormatting>
  <conditionalFormatting sqref="M8">
    <cfRule type="containsText" dxfId="46" priority="6" operator="containsText" text="Escassez Hídrica">
      <formula>NOT(ISERROR(SEARCH("Escassez Hídrica",M8)))</formula>
    </cfRule>
    <cfRule type="cellIs" dxfId="45" priority="7" operator="equal">
      <formula>"VERDE"</formula>
    </cfRule>
    <cfRule type="cellIs" dxfId="44" priority="8" operator="equal">
      <formula>"BVM2"</formula>
    </cfRule>
    <cfRule type="cellIs" dxfId="43" priority="9" operator="equal">
      <formula>"BVM1"</formula>
    </cfRule>
    <cfRule type="cellIs" dxfId="42" priority="10" operator="equal">
      <formula>"BAM"</formula>
    </cfRule>
  </conditionalFormatting>
  <dataValidations count="1">
    <dataValidation type="list" allowBlank="1" showInputMessage="1" showErrorMessage="1" sqref="K12:L12" xr:uid="{0A84B199-E575-495A-95B9-A9EDBB07BB2E}">
      <formula1>$M$3:$M$8</formula1>
    </dataValidation>
  </dataValidations>
  <pageMargins left="0.511811024" right="0.511811024" top="0.78740157499999996" bottom="0.78740157499999996" header="0.31496062000000002" footer="0.31496062000000002"/>
  <pageSetup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9216F-FF51-42ED-AF3B-D132061A7A76}">
  <sheetPr>
    <tabColor rgb="FFFFC000"/>
  </sheetPr>
  <dimension ref="A1:Z66"/>
  <sheetViews>
    <sheetView showGridLines="0" topLeftCell="A13" zoomScale="80" zoomScaleNormal="80" workbookViewId="0">
      <selection activeCell="H28" sqref="H28"/>
    </sheetView>
  </sheetViews>
  <sheetFormatPr defaultColWidth="9.125" defaultRowHeight="14.3" x14ac:dyDescent="0.25"/>
  <cols>
    <col min="1" max="1" width="5.375" style="19" customWidth="1"/>
    <col min="2" max="10" width="12.75" style="19" customWidth="1"/>
    <col min="11" max="12" width="14.25" style="19" customWidth="1"/>
    <col min="13" max="14" width="12.75" style="19" customWidth="1"/>
    <col min="15" max="15" width="12.125" style="19" customWidth="1"/>
    <col min="16" max="16" width="13.75" style="19" customWidth="1"/>
    <col min="17" max="17" width="9.375" style="19" bestFit="1" customWidth="1"/>
    <col min="18" max="18" width="12.125" style="19" bestFit="1" customWidth="1"/>
    <col min="19" max="19" width="13.125" style="19" bestFit="1" customWidth="1"/>
    <col min="20" max="20" width="11.25" style="19" bestFit="1" customWidth="1"/>
    <col min="21" max="21" width="12.125" style="19" bestFit="1" customWidth="1"/>
    <col min="22" max="22" width="13.125" style="19" bestFit="1" customWidth="1"/>
    <col min="23" max="23" width="11.25" style="19" bestFit="1" customWidth="1"/>
    <col min="24" max="24" width="12.125" style="19" bestFit="1" customWidth="1"/>
    <col min="25" max="25" width="13.125" style="19" bestFit="1" customWidth="1"/>
    <col min="26" max="26" width="11.25" style="19" bestFit="1" customWidth="1"/>
    <col min="27" max="16384" width="9.125" style="19"/>
  </cols>
  <sheetData>
    <row r="1" spans="1:26" x14ac:dyDescent="0.25">
      <c r="A1" s="19" t="s">
        <v>8</v>
      </c>
      <c r="F1" s="24"/>
      <c r="G1" s="1"/>
      <c r="H1" s="1"/>
      <c r="I1" s="1"/>
      <c r="J1" s="1"/>
      <c r="K1" s="1"/>
    </row>
    <row r="2" spans="1:26" ht="19.05" x14ac:dyDescent="0.25">
      <c r="B2" s="25" t="s">
        <v>96</v>
      </c>
      <c r="C2" s="26" t="s">
        <v>97</v>
      </c>
      <c r="E2" s="20" t="s">
        <v>28</v>
      </c>
      <c r="F2" s="21">
        <f>'[5]A2 Azul'!F2</f>
        <v>45145</v>
      </c>
      <c r="G2" s="1" t="s">
        <v>8</v>
      </c>
      <c r="I2" s="86" t="s">
        <v>98</v>
      </c>
      <c r="J2" s="1"/>
      <c r="K2" s="1"/>
      <c r="M2" s="6" t="s">
        <v>12</v>
      </c>
      <c r="N2" s="6" t="s">
        <v>6</v>
      </c>
      <c r="Q2" s="26" t="s">
        <v>30</v>
      </c>
      <c r="R2" s="27"/>
    </row>
    <row r="3" spans="1:26" x14ac:dyDescent="0.25">
      <c r="M3" s="7" t="s">
        <v>13</v>
      </c>
      <c r="N3" s="8">
        <f>[5]BANDEIRA!$D$4</f>
        <v>0</v>
      </c>
    </row>
    <row r="4" spans="1:26" ht="14.95" customHeight="1" x14ac:dyDescent="0.25">
      <c r="B4" s="464" t="s">
        <v>31</v>
      </c>
      <c r="C4" s="457" t="str">
        <f>'[5]A2 Azul'!C4:E4</f>
        <v>TARIFA ANTIGA - REH 3091/2022</v>
      </c>
      <c r="D4" s="458"/>
      <c r="E4" s="459"/>
      <c r="F4" s="457" t="str">
        <f>'[5]A2 Azul'!F4:H4</f>
        <v>TARIFA NOVA - REH 3241/2023</v>
      </c>
      <c r="G4" s="458"/>
      <c r="H4" s="459"/>
      <c r="I4" s="457" t="s">
        <v>32</v>
      </c>
      <c r="J4" s="458"/>
      <c r="K4" s="459"/>
      <c r="M4" s="9" t="s">
        <v>14</v>
      </c>
      <c r="N4" s="10">
        <f>[5]BANDEIRA!$D$5</f>
        <v>2.989E-2</v>
      </c>
      <c r="Q4" s="464" t="s">
        <v>31</v>
      </c>
      <c r="R4" s="457" t="str">
        <f>C4</f>
        <v>TARIFA ANTIGA - REH 3091/2022</v>
      </c>
      <c r="S4" s="458"/>
      <c r="T4" s="459"/>
      <c r="U4" s="457" t="str">
        <f>F4</f>
        <v>TARIFA NOVA - REH 3241/2023</v>
      </c>
      <c r="V4" s="458"/>
      <c r="W4" s="459"/>
      <c r="X4" s="457" t="s">
        <v>32</v>
      </c>
      <c r="Y4" s="458"/>
      <c r="Z4" s="459"/>
    </row>
    <row r="5" spans="1:26" x14ac:dyDescent="0.25">
      <c r="B5" s="465"/>
      <c r="C5" s="28" t="s">
        <v>99</v>
      </c>
      <c r="D5" s="28" t="s">
        <v>35</v>
      </c>
      <c r="E5" s="28" t="s">
        <v>100</v>
      </c>
      <c r="F5" s="28" t="s">
        <v>99</v>
      </c>
      <c r="G5" s="28" t="s">
        <v>35</v>
      </c>
      <c r="H5" s="28" t="s">
        <v>100</v>
      </c>
      <c r="I5" s="28" t="s">
        <v>99</v>
      </c>
      <c r="J5" s="28" t="s">
        <v>35</v>
      </c>
      <c r="K5" s="28" t="s">
        <v>100</v>
      </c>
      <c r="M5" s="11" t="s">
        <v>15</v>
      </c>
      <c r="N5" s="12">
        <f>[5]BANDEIRA!$D$6</f>
        <v>6.5000000000000002E-2</v>
      </c>
      <c r="Q5" s="465"/>
      <c r="R5" s="28" t="s">
        <v>99</v>
      </c>
      <c r="S5" s="28" t="s">
        <v>99</v>
      </c>
      <c r="T5"/>
      <c r="U5" s="28" t="s">
        <v>99</v>
      </c>
      <c r="V5" s="28" t="s">
        <v>99</v>
      </c>
      <c r="W5"/>
      <c r="X5" s="28" t="s">
        <v>99</v>
      </c>
      <c r="Y5" s="28" t="s">
        <v>99</v>
      </c>
      <c r="Z5"/>
    </row>
    <row r="6" spans="1:26" x14ac:dyDescent="0.25">
      <c r="B6" s="30" t="s">
        <v>101</v>
      </c>
      <c r="C6" s="31">
        <f>'[5]TABELA DE TARIFAS ANTIGAS'!E52</f>
        <v>30.44</v>
      </c>
      <c r="D6" s="31">
        <f>'[5]TABELA DE TARIFAS ANTIGAS'!F53/1000</f>
        <v>1.2400199999999999</v>
      </c>
      <c r="E6" s="31">
        <f>'[5]TABELA DE TARIFAS ANTIGAS'!G53/1000</f>
        <v>0.42260000000000003</v>
      </c>
      <c r="F6" s="31">
        <f>'[5]TABELA DE TARIFAS NOVAS'!E52</f>
        <v>31.53</v>
      </c>
      <c r="G6" s="31">
        <f>'[5]TABELA DE TARIFAS NOVAS'!F53/1000</f>
        <v>1.26783</v>
      </c>
      <c r="H6" s="31">
        <f>'[5]TABELA DE TARIFAS NOVAS'!G53/1000</f>
        <v>0.45802999999999999</v>
      </c>
      <c r="I6" s="31">
        <f>((C6*$C$17)+(F6*$D$17))/($D$17+$C$17)</f>
        <v>31.319032258064517</v>
      </c>
      <c r="J6" s="31">
        <f>((D6*$C$17)+(G6*$D$17))/($D$17+$C$17)</f>
        <v>1.2624474193548385</v>
      </c>
      <c r="K6" s="31">
        <f>((E6*$C$17)+(H6*$D$17))/($D$17+$C$17)</f>
        <v>0.4511725806451613</v>
      </c>
      <c r="M6" s="13" t="s">
        <v>16</v>
      </c>
      <c r="N6" s="14">
        <f>[5]BANDEIRA!$D$7</f>
        <v>9.7949999999999995E-2</v>
      </c>
      <c r="Q6" s="30" t="str">
        <f>B6</f>
        <v>A4 Verde P</v>
      </c>
      <c r="R6" s="31">
        <f>'[5]Grupo A_FIO B'!F49</f>
        <v>26.16</v>
      </c>
      <c r="S6" s="31">
        <f>'[5]Grupo A_FIO B'!G50/1000</f>
        <v>0.93588000000000005</v>
      </c>
      <c r="T6"/>
      <c r="U6" s="31">
        <f>'[5]Grupo A_FIO B'!I49</f>
        <v>24.04</v>
      </c>
      <c r="V6" s="31">
        <f>'[5]Grupo A_FIO B'!J50/1000</f>
        <v>0.86024</v>
      </c>
      <c r="W6"/>
      <c r="X6" s="31">
        <f>((R6*$C$17)+(U6*$D$17))/($D$17+$C$17)</f>
        <v>24.450322580645164</v>
      </c>
      <c r="Y6" s="31">
        <f>((S6*$C$17)+(V6*$D$17))/($D$17+$C$17)</f>
        <v>0.87487999999999999</v>
      </c>
      <c r="Z6"/>
    </row>
    <row r="7" spans="1:26" x14ac:dyDescent="0.25">
      <c r="B7" s="30" t="s">
        <v>102</v>
      </c>
      <c r="C7" s="31"/>
      <c r="D7" s="31">
        <f>'[5]TABELA DE TARIFAS ANTIGAS'!F54/1000</f>
        <v>0.13433</v>
      </c>
      <c r="E7" s="31">
        <f>'[5]TABELA DE TARIFAS ANTIGAS'!G54/1000</f>
        <v>0.26380000000000003</v>
      </c>
      <c r="F7" s="31"/>
      <c r="G7" s="31">
        <f>'[5]TABELA DE TARIFAS NOVAS'!F54/1000</f>
        <v>0.12117</v>
      </c>
      <c r="H7" s="31">
        <f>'[5]TABELA DE TARIFAS NOVAS'!G54/1000</f>
        <v>0.29041</v>
      </c>
      <c r="I7" s="31"/>
      <c r="J7" s="31">
        <f>((D7*$C$17)+(G7*$D$17))/($D$17+$C$17)</f>
        <v>0.12371709677419356</v>
      </c>
      <c r="K7" s="31">
        <f>((E7*$C$17)+(H7*$D$17))/($D$17+$C$17)</f>
        <v>0.28525967741935482</v>
      </c>
      <c r="M7" s="7" t="s">
        <v>17</v>
      </c>
      <c r="N7" s="15">
        <f>[5]BANDEIRA!$D$8</f>
        <v>0.14199999999999999</v>
      </c>
      <c r="O7" s="20"/>
      <c r="P7" s="1"/>
      <c r="Q7" s="30" t="str">
        <f>B7</f>
        <v>A4 Verde FP</v>
      </c>
      <c r="R7" s="31"/>
      <c r="S7" s="31"/>
      <c r="T7"/>
      <c r="U7" s="31"/>
      <c r="V7" s="31"/>
      <c r="W7"/>
      <c r="X7" s="31"/>
      <c r="Y7" s="31"/>
      <c r="Z7"/>
    </row>
    <row r="8" spans="1:26" x14ac:dyDescent="0.25">
      <c r="B8" s="30" t="s">
        <v>36</v>
      </c>
      <c r="C8" s="31"/>
      <c r="D8" s="31">
        <f>'[5]TABELA DE TARIFAS ANTIGAS'!G71/1000</f>
        <v>0.39681</v>
      </c>
      <c r="E8" s="31">
        <f>'[5]TABELA DE TARIFAS ANTIGAS'!H71/1000</f>
        <v>0.27703</v>
      </c>
      <c r="F8" s="31"/>
      <c r="G8" s="31">
        <f>'[5]TABELA DE TARIFAS NOVAS'!G71/1000</f>
        <v>0.39252999999999999</v>
      </c>
      <c r="H8" s="31">
        <f>'[5]TABELA DE TARIFAS NOVAS'!H71/1000</f>
        <v>0.30560000000000004</v>
      </c>
      <c r="I8" s="31"/>
      <c r="J8" s="31">
        <f>((D8*$C$17)+(G8*$D$17))/($D$17+$C$17)</f>
        <v>0.39335838709677418</v>
      </c>
      <c r="K8" s="31">
        <f>((E8*$C$17)+(H8*$D$17))/($D$17+$C$17)</f>
        <v>0.30007032258064514</v>
      </c>
      <c r="O8" s="20"/>
      <c r="P8" s="1"/>
      <c r="Q8"/>
      <c r="R8"/>
      <c r="S8"/>
      <c r="T8"/>
      <c r="U8"/>
      <c r="V8"/>
      <c r="W8"/>
      <c r="X8"/>
      <c r="Y8"/>
      <c r="Z8"/>
    </row>
    <row r="9" spans="1:26" x14ac:dyDescent="0.25">
      <c r="B9" s="94" t="s">
        <v>138</v>
      </c>
      <c r="C9" s="83"/>
      <c r="D9" s="83"/>
      <c r="E9" s="83"/>
      <c r="F9" s="83"/>
      <c r="H9" s="81">
        <f>H6*15%</f>
        <v>6.8704500000000002E-2</v>
      </c>
      <c r="I9" s="83"/>
      <c r="K9" s="31">
        <f>((D9*$C$17)+(H9*$D$17))/($D$17+$C$17)</f>
        <v>5.5406854838709677E-2</v>
      </c>
      <c r="O9" s="20"/>
      <c r="P9" s="1"/>
      <c r="Q9"/>
      <c r="R9"/>
      <c r="S9"/>
      <c r="T9"/>
      <c r="U9"/>
      <c r="V9"/>
      <c r="W9"/>
      <c r="X9"/>
      <c r="Y9"/>
      <c r="Z9"/>
    </row>
    <row r="10" spans="1:26" x14ac:dyDescent="0.25">
      <c r="B10" s="94" t="s">
        <v>139</v>
      </c>
      <c r="C10" s="83"/>
      <c r="D10" s="83"/>
      <c r="E10" s="83"/>
      <c r="F10" s="83"/>
      <c r="H10" s="81">
        <f>H7*15%</f>
        <v>4.3561499999999996E-2</v>
      </c>
      <c r="I10" s="83"/>
      <c r="K10" s="31">
        <f>((D10*$C$17)+(H10*$D$17))/($D$17+$C$17)</f>
        <v>3.513024193548387E-2</v>
      </c>
      <c r="O10" s="20"/>
      <c r="P10" s="1"/>
      <c r="Q10"/>
      <c r="R10"/>
      <c r="S10"/>
      <c r="T10"/>
      <c r="U10"/>
      <c r="V10"/>
      <c r="W10"/>
      <c r="X10"/>
      <c r="Y10"/>
      <c r="Z10"/>
    </row>
    <row r="11" spans="1:26" x14ac:dyDescent="0.25">
      <c r="B11"/>
      <c r="C11"/>
      <c r="D11"/>
      <c r="E11"/>
      <c r="F11"/>
      <c r="G11"/>
      <c r="H11"/>
      <c r="I11"/>
      <c r="J11"/>
      <c r="K11"/>
      <c r="O11" s="20"/>
      <c r="P11" s="1"/>
      <c r="Q11"/>
      <c r="R11"/>
      <c r="S11"/>
      <c r="T11"/>
      <c r="U11"/>
      <c r="V11"/>
      <c r="W11"/>
      <c r="X11"/>
      <c r="Y11"/>
      <c r="Z11"/>
    </row>
    <row r="12" spans="1:26" s="1" customFormat="1" x14ac:dyDescent="0.25">
      <c r="B12" s="118" t="s">
        <v>97</v>
      </c>
    </row>
    <row r="13" spans="1:26" x14ac:dyDescent="0.25">
      <c r="B13" s="34"/>
      <c r="C13" s="35"/>
      <c r="D13" s="36"/>
      <c r="E13" s="35"/>
      <c r="F13" s="35"/>
      <c r="G13" s="35"/>
      <c r="H13" s="37" t="s">
        <v>37</v>
      </c>
      <c r="I13" s="1"/>
      <c r="L13" s="20" t="s">
        <v>25</v>
      </c>
      <c r="M13" s="21">
        <f>EOMONTH(B17,0)+1</f>
        <v>45139</v>
      </c>
    </row>
    <row r="14" spans="1:26" x14ac:dyDescent="0.25">
      <c r="B14" s="38" t="s">
        <v>38</v>
      </c>
      <c r="C14" s="39">
        <v>1175387</v>
      </c>
      <c r="E14" s="1"/>
      <c r="F14" s="1"/>
      <c r="G14" s="1"/>
      <c r="H14" s="40">
        <f>E17</f>
        <v>45169</v>
      </c>
      <c r="K14" s="460" t="s">
        <v>26</v>
      </c>
      <c r="L14" s="460"/>
    </row>
    <row r="15" spans="1:26" x14ac:dyDescent="0.25">
      <c r="B15" s="41"/>
      <c r="H15" s="43"/>
      <c r="K15" s="7" t="s">
        <v>13</v>
      </c>
      <c r="L15" s="7" t="s">
        <v>13</v>
      </c>
    </row>
    <row r="16" spans="1:26" ht="27.2" x14ac:dyDescent="0.25">
      <c r="B16" s="16" t="s">
        <v>21</v>
      </c>
      <c r="C16" s="16" t="s">
        <v>22</v>
      </c>
      <c r="D16" s="16" t="s">
        <v>23</v>
      </c>
      <c r="E16" s="16" t="s">
        <v>24</v>
      </c>
      <c r="F16" s="1"/>
      <c r="G16" s="1"/>
      <c r="H16" s="43"/>
      <c r="J16" s="16" t="s">
        <v>21</v>
      </c>
      <c r="K16" s="16" t="s">
        <v>22</v>
      </c>
      <c r="L16" s="16" t="s">
        <v>23</v>
      </c>
      <c r="M16" s="16" t="s">
        <v>24</v>
      </c>
    </row>
    <row r="17" spans="2:18" x14ac:dyDescent="0.25">
      <c r="B17" s="17">
        <v>45138</v>
      </c>
      <c r="C17" s="18">
        <f>IF((F2-B17-1)&lt;0,0,(F2-B17-1))</f>
        <v>6</v>
      </c>
      <c r="D17" s="18">
        <f>E17-F2+1</f>
        <v>25</v>
      </c>
      <c r="E17" s="17">
        <v>45169</v>
      </c>
      <c r="F17" s="44"/>
      <c r="G17" s="44"/>
      <c r="H17" s="45"/>
      <c r="J17" s="22">
        <f>B17</f>
        <v>45138</v>
      </c>
      <c r="K17" s="23">
        <f>IF((M13-J17-1)&lt;0,0,(M13-J17-1))</f>
        <v>0</v>
      </c>
      <c r="L17" s="23">
        <f>M17-M13+1</f>
        <v>31</v>
      </c>
      <c r="M17" s="22">
        <f>E17</f>
        <v>45169</v>
      </c>
      <c r="N17"/>
      <c r="O17"/>
      <c r="P17"/>
    </row>
    <row r="18" spans="2:18" x14ac:dyDescent="0.25">
      <c r="N18"/>
      <c r="O18"/>
      <c r="P18"/>
      <c r="Q18"/>
      <c r="R18"/>
    </row>
    <row r="19" spans="2:18" x14ac:dyDescent="0.25">
      <c r="B19" s="5" t="s">
        <v>55</v>
      </c>
      <c r="E19" s="26" t="s">
        <v>144</v>
      </c>
      <c r="F19" s="85">
        <v>0.88680000000000003</v>
      </c>
      <c r="G19" s="86" t="s">
        <v>145</v>
      </c>
      <c r="H19" s="85">
        <v>1</v>
      </c>
      <c r="N19"/>
      <c r="O19"/>
      <c r="P19"/>
      <c r="Q19"/>
      <c r="R19"/>
    </row>
    <row r="20" spans="2:18" x14ac:dyDescent="0.25">
      <c r="B20" s="5"/>
      <c r="E20" s="26" t="s">
        <v>146</v>
      </c>
      <c r="F20" s="85">
        <v>1</v>
      </c>
      <c r="G20" s="86" t="s">
        <v>147</v>
      </c>
      <c r="H20" s="85">
        <v>1</v>
      </c>
      <c r="N20"/>
      <c r="O20"/>
      <c r="P20"/>
      <c r="Q20"/>
      <c r="R20"/>
    </row>
    <row r="21" spans="2:18" x14ac:dyDescent="0.25">
      <c r="N21"/>
      <c r="O21"/>
      <c r="P21"/>
      <c r="Q21"/>
      <c r="R21"/>
    </row>
    <row r="22" spans="2:18" x14ac:dyDescent="0.25">
      <c r="B22" s="520" t="s">
        <v>103</v>
      </c>
      <c r="C22" s="521"/>
      <c r="D22" s="521"/>
      <c r="E22" s="521"/>
      <c r="F22" s="521"/>
      <c r="G22" s="521"/>
      <c r="H22" s="522"/>
      <c r="I22"/>
      <c r="J22" s="127" t="s">
        <v>104</v>
      </c>
      <c r="K22" s="1"/>
      <c r="L22" s="128"/>
      <c r="M22" s="1"/>
      <c r="N22" s="1"/>
      <c r="O22"/>
      <c r="P22"/>
      <c r="Q22"/>
      <c r="R22"/>
    </row>
    <row r="23" spans="2:18" x14ac:dyDescent="0.25">
      <c r="B23" s="129"/>
      <c r="C23" s="130"/>
      <c r="D23" s="131" t="s">
        <v>40</v>
      </c>
      <c r="E23" s="131" t="s">
        <v>10</v>
      </c>
      <c r="F23" s="130" t="s">
        <v>9</v>
      </c>
      <c r="G23" s="131" t="s">
        <v>34</v>
      </c>
      <c r="H23" s="132" t="s">
        <v>7</v>
      </c>
      <c r="I23"/>
      <c r="J23" s="1"/>
      <c r="K23" s="1"/>
      <c r="L23" s="1"/>
      <c r="M23" s="1"/>
      <c r="N23" s="1"/>
      <c r="O23"/>
      <c r="P23"/>
      <c r="Q23"/>
      <c r="R23"/>
    </row>
    <row r="24" spans="2:18" x14ac:dyDescent="0.25">
      <c r="B24" s="129"/>
      <c r="C24" s="130"/>
      <c r="D24" s="131"/>
      <c r="E24" s="131"/>
      <c r="F24" s="130"/>
      <c r="G24" s="131"/>
      <c r="H24" s="132"/>
      <c r="I24"/>
      <c r="J24" s="26" t="s">
        <v>105</v>
      </c>
      <c r="K24" s="26" t="s">
        <v>106</v>
      </c>
      <c r="L24" s="1"/>
      <c r="M24" s="1"/>
      <c r="N24" s="1"/>
      <c r="O24"/>
      <c r="P24"/>
      <c r="Q24"/>
      <c r="R24"/>
    </row>
    <row r="25" spans="2:18" x14ac:dyDescent="0.25">
      <c r="B25" s="129" t="s">
        <v>107</v>
      </c>
      <c r="C25" s="130"/>
      <c r="D25" s="133">
        <v>1290.8358000000001</v>
      </c>
      <c r="E25" s="134">
        <f>IF(AND($B$17&lt;$F$2,$E$17&lt;$F$2),D6,IF($B$17&lt;$F$2,J6,G6))</f>
        <v>1.2624474193548385</v>
      </c>
      <c r="F25" s="134">
        <f>IF(AND($B$17&lt;$F$2,$E$17&lt;$F$2),E6,IF($B$17&lt;$F$2,K6,H6))</f>
        <v>0.4511725806451613</v>
      </c>
      <c r="G25" s="134">
        <f>E25+F25</f>
        <v>1.7136199999999997</v>
      </c>
      <c r="H25" s="135">
        <f>ROUND((D25*E25),2)+ROUND((D25*F25),2)</f>
        <v>2212</v>
      </c>
      <c r="I25"/>
      <c r="J25" s="136">
        <f>IF(AND($B$17&lt;$F$2,$E$17&lt;$F$2),S6,IF($B$17&lt;$F$2,Y6,V6))</f>
        <v>0.87487999999999999</v>
      </c>
      <c r="K25" s="137">
        <f>D25*J25</f>
        <v>1129.3264247040001</v>
      </c>
      <c r="L25" s="138"/>
      <c r="M25" s="1"/>
      <c r="N25" s="1"/>
      <c r="O25" s="1"/>
      <c r="P25" s="1"/>
    </row>
    <row r="26" spans="2:18" x14ac:dyDescent="0.25">
      <c r="B26" s="129" t="s">
        <v>108</v>
      </c>
      <c r="C26" s="130"/>
      <c r="D26" s="133">
        <v>12358.3266</v>
      </c>
      <c r="E26" s="134">
        <f>IF(AND($B$17&lt;$F$2,$E$17&lt;$F$2),D7,IF($B$17&lt;$F$2,J7,G7))</f>
        <v>0.12371709677419356</v>
      </c>
      <c r="F26" s="134">
        <f>IF(AND($B$17&lt;$F$2,$E$17&lt;$F$2),E7,IF($B$17&lt;$F$2,K7,H7))</f>
        <v>0.28525967741935482</v>
      </c>
      <c r="G26" s="134">
        <f>E26+F26</f>
        <v>0.40897677419354839</v>
      </c>
      <c r="H26" s="135">
        <f>ROUND((D26*E26),2)+ROUND((D26*F26),2)</f>
        <v>5054.2700000000004</v>
      </c>
      <c r="I26"/>
      <c r="J26"/>
      <c r="K26"/>
      <c r="L26"/>
      <c r="M26" s="1"/>
      <c r="N26" s="1"/>
      <c r="O26" s="1"/>
      <c r="P26" s="1"/>
    </row>
    <row r="27" spans="2:18" x14ac:dyDescent="0.25">
      <c r="B27" s="129"/>
      <c r="C27" s="130"/>
      <c r="D27" s="139"/>
      <c r="E27" s="130"/>
      <c r="F27" s="130"/>
      <c r="G27" s="130"/>
      <c r="H27" s="132"/>
      <c r="I27"/>
      <c r="J27" s="1"/>
      <c r="K27" s="1"/>
      <c r="L27" s="1"/>
      <c r="M27" s="1"/>
      <c r="N27" s="1"/>
      <c r="O27" s="1"/>
      <c r="P27" s="1"/>
    </row>
    <row r="28" spans="2:18" x14ac:dyDescent="0.25">
      <c r="B28" s="129" t="s">
        <v>109</v>
      </c>
      <c r="C28" s="130"/>
      <c r="D28" s="140">
        <f>IF($K$15=$M$4,((D25+D26)*(K17)/(K17+L17)),0)+IF($L$15=$M$4,((D25+D26)*(L17)/(K17+L17)),0)</f>
        <v>0</v>
      </c>
      <c r="E28" s="130"/>
      <c r="F28" s="141">
        <f>N4</f>
        <v>2.989E-2</v>
      </c>
      <c r="G28" s="130"/>
      <c r="H28" s="135">
        <f>ROUND(D28*(E28+F28),2)</f>
        <v>0</v>
      </c>
      <c r="I28"/>
      <c r="J28" s="1"/>
      <c r="K28" s="1"/>
      <c r="L28" s="1"/>
      <c r="M28" s="1"/>
      <c r="N28" s="1"/>
      <c r="O28" s="1"/>
      <c r="P28" s="1"/>
    </row>
    <row r="29" spans="2:18" x14ac:dyDescent="0.25">
      <c r="B29" s="129" t="s">
        <v>44</v>
      </c>
      <c r="C29" s="130"/>
      <c r="D29" s="140">
        <f>IF($K$15=$M$5,((D25+D26)*(K17)/(K17+L17)),0)+IF($L$15=$M$5,((D25+D26)*(L17)/(K17+L17)),0)</f>
        <v>0</v>
      </c>
      <c r="E29" s="130"/>
      <c r="F29" s="141">
        <f>N5</f>
        <v>6.5000000000000002E-2</v>
      </c>
      <c r="G29" s="130"/>
      <c r="H29" s="135">
        <f>ROUND(D29*(E29+F29),2)</f>
        <v>0</v>
      </c>
      <c r="I29"/>
      <c r="K29" s="1"/>
      <c r="L29" s="1"/>
      <c r="M29" s="1"/>
      <c r="N29" s="1"/>
      <c r="O29" s="1"/>
      <c r="P29" s="1"/>
    </row>
    <row r="30" spans="2:18" x14ac:dyDescent="0.25">
      <c r="B30" s="129" t="s">
        <v>45</v>
      </c>
      <c r="C30" s="130"/>
      <c r="D30" s="140">
        <f>IF($K$15=$M$6,((D25+D26)*(K17)/(K17+L17)),0)+IF($L$15=$M$6,((D25+D26)*(L17)/(K17+L17)),0)</f>
        <v>0</v>
      </c>
      <c r="E30" s="130"/>
      <c r="F30" s="141">
        <f>N6</f>
        <v>9.7949999999999995E-2</v>
      </c>
      <c r="G30" s="130"/>
      <c r="H30" s="135">
        <f>ROUND(D30*(E30+F30),2)</f>
        <v>0</v>
      </c>
      <c r="I30"/>
      <c r="K30" s="1"/>
      <c r="L30" s="1"/>
      <c r="M30" s="1"/>
      <c r="N30" s="1"/>
      <c r="O30" s="1"/>
      <c r="P30" s="1"/>
    </row>
    <row r="31" spans="2:18" x14ac:dyDescent="0.25">
      <c r="B31" s="129" t="s">
        <v>110</v>
      </c>
      <c r="C31" s="130"/>
      <c r="D31" s="140">
        <f>IF($K$15=$M$7,((D25+D26)*(K17)/(K17+L17)),0)+IF($L$15=$M$7,((D25+D26)*(L17)/(K17+L17)),0)</f>
        <v>0</v>
      </c>
      <c r="E31" s="130"/>
      <c r="F31" s="141">
        <f>N7</f>
        <v>0.14199999999999999</v>
      </c>
      <c r="G31" s="130"/>
      <c r="H31" s="135">
        <f>ROUND(D31*(E31+F31),2)</f>
        <v>0</v>
      </c>
      <c r="I31"/>
      <c r="K31" s="1"/>
      <c r="L31" s="1"/>
      <c r="M31" s="1"/>
      <c r="N31" s="1"/>
      <c r="O31" s="1"/>
      <c r="P31" s="1"/>
    </row>
    <row r="32" spans="2:18" x14ac:dyDescent="0.25">
      <c r="B32" s="129"/>
      <c r="C32" s="130"/>
      <c r="D32" s="142"/>
      <c r="E32" s="130"/>
      <c r="F32" s="130"/>
      <c r="G32" s="130"/>
      <c r="H32" s="132"/>
      <c r="I32"/>
      <c r="K32" s="1"/>
      <c r="L32" s="1"/>
      <c r="M32" s="1"/>
      <c r="N32" s="1"/>
      <c r="O32" s="1"/>
      <c r="P32" s="1"/>
    </row>
    <row r="33" spans="2:16" x14ac:dyDescent="0.25">
      <c r="B33" s="129" t="s">
        <v>111</v>
      </c>
      <c r="C33" s="130"/>
      <c r="D33" s="121">
        <v>0</v>
      </c>
      <c r="E33" s="143">
        <f>-E25</f>
        <v>-1.2624474193548385</v>
      </c>
      <c r="F33" s="143">
        <f>-F25</f>
        <v>-0.4511725806451613</v>
      </c>
      <c r="G33" s="130"/>
      <c r="H33" s="135">
        <f>ROUND(D33*(E33+F33),2)</f>
        <v>0</v>
      </c>
      <c r="I33"/>
      <c r="K33" s="1"/>
      <c r="L33" s="1"/>
      <c r="M33" s="1"/>
      <c r="N33" s="1"/>
      <c r="O33" s="1"/>
      <c r="P33" s="1"/>
    </row>
    <row r="34" spans="2:16" x14ac:dyDescent="0.25">
      <c r="B34" s="129" t="s">
        <v>112</v>
      </c>
      <c r="C34" s="130"/>
      <c r="D34" s="121">
        <v>-1422.72</v>
      </c>
      <c r="E34" s="143">
        <f>-E26</f>
        <v>-0.12371709677419356</v>
      </c>
      <c r="F34" s="143">
        <f>-F26</f>
        <v>-0.28525967741935482</v>
      </c>
      <c r="G34" s="130"/>
      <c r="H34" s="135">
        <f>ROUND(D34*(E34+F34),2)</f>
        <v>581.86</v>
      </c>
      <c r="I34"/>
      <c r="K34" s="1"/>
      <c r="L34" s="1"/>
      <c r="M34" s="1"/>
      <c r="N34" s="1"/>
      <c r="O34" s="1"/>
      <c r="P34" s="1"/>
    </row>
    <row r="35" spans="2:16" x14ac:dyDescent="0.25">
      <c r="B35" s="129"/>
      <c r="C35" s="130"/>
      <c r="D35" s="139"/>
      <c r="E35" s="130"/>
      <c r="F35" s="130"/>
      <c r="G35" s="130"/>
      <c r="H35" s="132"/>
      <c r="I35"/>
      <c r="K35" s="1"/>
      <c r="L35" s="1"/>
      <c r="M35" s="1"/>
      <c r="N35" s="1"/>
      <c r="O35" s="1"/>
      <c r="P35" s="1"/>
    </row>
    <row r="36" spans="2:16" x14ac:dyDescent="0.25">
      <c r="B36" s="129" t="s">
        <v>109</v>
      </c>
      <c r="C36" s="130"/>
      <c r="D36" s="140">
        <f>IF($K$15=$M$4,((D33+D34)*(K17)/(K17+L17)),0)+IF($L$15=$M$4,((D33+D34)*(L17)/(K17+L17)),0)</f>
        <v>0</v>
      </c>
      <c r="E36" s="130"/>
      <c r="F36" s="141">
        <f>-F28</f>
        <v>-2.989E-2</v>
      </c>
      <c r="G36" s="130"/>
      <c r="H36" s="135">
        <f>ROUND(D36*(E36+F36),2)</f>
        <v>0</v>
      </c>
      <c r="I36"/>
      <c r="K36" s="1"/>
      <c r="L36" s="1"/>
      <c r="M36" s="1"/>
      <c r="N36" s="1"/>
      <c r="O36" s="1"/>
      <c r="P36" s="1"/>
    </row>
    <row r="37" spans="2:16" x14ac:dyDescent="0.25">
      <c r="B37" s="129" t="s">
        <v>44</v>
      </c>
      <c r="C37" s="130"/>
      <c r="D37" s="140">
        <f>IF($K$15=$M$5,((D33+D34)*(K17)/(K17+L17)),0)+IF($L$15=$M$5,((D33+D34)*(L17)/(K17+L17)),0)</f>
        <v>0</v>
      </c>
      <c r="E37" s="130"/>
      <c r="F37" s="141">
        <f t="shared" ref="F37:F39" si="0">-F29</f>
        <v>-6.5000000000000002E-2</v>
      </c>
      <c r="G37" s="130"/>
      <c r="H37" s="135">
        <f>ROUND(D37*(E37+F37),2)</f>
        <v>0</v>
      </c>
      <c r="I37"/>
      <c r="K37" s="1"/>
      <c r="L37" s="1"/>
      <c r="M37" s="1"/>
      <c r="N37" s="1"/>
      <c r="O37" s="1"/>
      <c r="P37" s="1"/>
    </row>
    <row r="38" spans="2:16" x14ac:dyDescent="0.25">
      <c r="B38" s="129" t="s">
        <v>45</v>
      </c>
      <c r="C38" s="130"/>
      <c r="D38" s="140">
        <f>IF($K$15=$M$6,((D33+D34)*(K17)/(K17+L17)),0)+IF($L$15=$M$6,((D33+D34)*(L17)/(K17+L17)),0)</f>
        <v>0</v>
      </c>
      <c r="E38" s="130"/>
      <c r="F38" s="141">
        <f t="shared" si="0"/>
        <v>-9.7949999999999995E-2</v>
      </c>
      <c r="G38" s="130"/>
      <c r="H38" s="135">
        <f>ROUND(D38*(E38+F38),2)</f>
        <v>0</v>
      </c>
      <c r="I38"/>
      <c r="K38" s="1"/>
      <c r="L38" s="1"/>
      <c r="M38" s="1"/>
      <c r="N38" s="1"/>
      <c r="O38" s="1"/>
      <c r="P38" s="1"/>
    </row>
    <row r="39" spans="2:16" x14ac:dyDescent="0.25">
      <c r="B39" s="129" t="s">
        <v>110</v>
      </c>
      <c r="C39" s="130"/>
      <c r="D39" s="140">
        <f>IF($K$15=$M$7,((D33+D34)*(K17)/(K17+L17)),0)+IF($L$15=$M$7,((D33+D34)*(L17)/(K17+L17)),0)</f>
        <v>0</v>
      </c>
      <c r="E39" s="130"/>
      <c r="F39" s="141">
        <f t="shared" si="0"/>
        <v>-0.14199999999999999</v>
      </c>
      <c r="G39" s="130"/>
      <c r="H39" s="135">
        <f>ROUND(D39*(E39+F39),2)</f>
        <v>0</v>
      </c>
      <c r="I39"/>
      <c r="K39" s="1"/>
      <c r="L39" s="1"/>
      <c r="M39" s="1"/>
      <c r="N39" s="1"/>
      <c r="O39" s="1"/>
      <c r="P39" s="1"/>
    </row>
    <row r="40" spans="2:16" x14ac:dyDescent="0.25">
      <c r="B40" s="129"/>
      <c r="C40" s="130"/>
      <c r="D40" s="139"/>
      <c r="E40" s="130"/>
      <c r="F40" s="130"/>
      <c r="G40" s="130"/>
      <c r="H40" s="132"/>
      <c r="I40"/>
      <c r="J40" s="26" t="s">
        <v>105</v>
      </c>
      <c r="K40" s="26" t="s">
        <v>106</v>
      </c>
      <c r="L40" s="26" t="s">
        <v>113</v>
      </c>
      <c r="M40" s="1"/>
      <c r="N40" s="1"/>
      <c r="O40" s="1"/>
      <c r="P40" s="1"/>
    </row>
    <row r="41" spans="2:16" x14ac:dyDescent="0.25">
      <c r="B41" s="129" t="s">
        <v>114</v>
      </c>
      <c r="C41" s="130"/>
      <c r="D41" s="133">
        <v>100.86</v>
      </c>
      <c r="E41" s="134">
        <f>IF(AND($B$17&lt;$F$2,$E$17&lt;$F$2),C6,IF($B$17&lt;$F$2,I6,F6))</f>
        <v>31.319032258064517</v>
      </c>
      <c r="F41" s="130"/>
      <c r="G41" s="130"/>
      <c r="H41" s="135">
        <f>ROUND(D41*(E41+F41),2)</f>
        <v>3158.84</v>
      </c>
      <c r="I41"/>
      <c r="J41" s="136">
        <f>IF(AND($B$17&lt;$F$2,$E$17&lt;$F$2),R6,IF($B$17&lt;$F$2,X6,U6))</f>
        <v>24.450322580645164</v>
      </c>
      <c r="K41" s="137">
        <f>D41*J41</f>
        <v>2466.0595354838711</v>
      </c>
      <c r="L41" s="144">
        <f>K41+K44+K47</f>
        <v>2567.2838709677421</v>
      </c>
      <c r="M41" s="1"/>
      <c r="N41" s="1"/>
      <c r="O41" s="1"/>
      <c r="P41" s="1"/>
    </row>
    <row r="42" spans="2:16" x14ac:dyDescent="0.25">
      <c r="B42" s="129"/>
      <c r="C42"/>
      <c r="D42"/>
      <c r="E42"/>
      <c r="F42"/>
      <c r="G42"/>
      <c r="H42" s="135"/>
      <c r="I42"/>
      <c r="K42" s="1"/>
      <c r="L42" s="1"/>
      <c r="M42" s="1"/>
      <c r="N42" s="1"/>
      <c r="O42" s="1"/>
      <c r="P42" s="1"/>
    </row>
    <row r="43" spans="2:16" x14ac:dyDescent="0.25">
      <c r="B43" s="129"/>
      <c r="C43" s="130"/>
      <c r="D43" s="139"/>
      <c r="E43" s="130"/>
      <c r="F43" s="130"/>
      <c r="G43" s="130"/>
      <c r="H43" s="135"/>
      <c r="I43"/>
      <c r="K43" s="1"/>
      <c r="L43" s="1"/>
      <c r="M43" s="1"/>
      <c r="N43" s="1"/>
      <c r="O43" s="1"/>
      <c r="P43" s="1"/>
    </row>
    <row r="44" spans="2:16" x14ac:dyDescent="0.25">
      <c r="B44" s="129" t="s">
        <v>115</v>
      </c>
      <c r="C44" s="130"/>
      <c r="D44" s="133">
        <v>4.1399999999999997</v>
      </c>
      <c r="E44" s="134">
        <f>E41</f>
        <v>31.319032258064517</v>
      </c>
      <c r="F44" s="130"/>
      <c r="G44" s="130"/>
      <c r="H44" s="135">
        <f>ROUND(D44*(E44+F44),2)</f>
        <v>129.66</v>
      </c>
      <c r="I44"/>
      <c r="J44" s="145">
        <f>J41</f>
        <v>24.450322580645164</v>
      </c>
      <c r="K44" s="137">
        <f>D44*J44</f>
        <v>101.22433548387097</v>
      </c>
      <c r="L44" s="1"/>
      <c r="M44" s="1"/>
      <c r="N44" s="1"/>
      <c r="O44" s="1"/>
      <c r="P44" s="1"/>
    </row>
    <row r="45" spans="2:16" x14ac:dyDescent="0.25">
      <c r="B45" s="129"/>
      <c r="C45"/>
      <c r="D45"/>
      <c r="E45"/>
      <c r="F45"/>
      <c r="G45"/>
      <c r="H45" s="135"/>
      <c r="I45"/>
      <c r="K45" s="1"/>
      <c r="L45" s="1"/>
      <c r="M45" s="1"/>
      <c r="N45" s="1"/>
      <c r="O45" s="1"/>
      <c r="P45" s="1"/>
    </row>
    <row r="46" spans="2:16" x14ac:dyDescent="0.25">
      <c r="B46" s="129"/>
      <c r="C46" s="130"/>
      <c r="D46" s="139"/>
      <c r="E46" s="130"/>
      <c r="F46" s="130"/>
      <c r="G46" s="130"/>
      <c r="H46" s="135"/>
      <c r="I46"/>
      <c r="K46" s="1"/>
      <c r="L46" s="1"/>
      <c r="M46" s="1"/>
      <c r="N46" s="1"/>
      <c r="O46" s="1"/>
      <c r="P46" s="1"/>
    </row>
    <row r="47" spans="2:16" x14ac:dyDescent="0.25">
      <c r="B47" s="129" t="s">
        <v>116</v>
      </c>
      <c r="C47" s="130"/>
      <c r="D47" s="146">
        <v>0</v>
      </c>
      <c r="E47" s="147">
        <f>E41*2</f>
        <v>62.638064516129035</v>
      </c>
      <c r="F47" s="130"/>
      <c r="G47" s="130"/>
      <c r="H47" s="135">
        <f>ROUND(D47*(E47+F47),2)</f>
        <v>0</v>
      </c>
      <c r="I47"/>
      <c r="K47" s="1"/>
      <c r="L47" s="1"/>
      <c r="M47" s="1"/>
      <c r="N47" s="1"/>
      <c r="O47" s="1"/>
      <c r="P47" s="1"/>
    </row>
    <row r="48" spans="2:16" x14ac:dyDescent="0.25">
      <c r="B48" s="129"/>
      <c r="C48"/>
      <c r="D48"/>
      <c r="E48"/>
      <c r="F48"/>
      <c r="G48"/>
      <c r="H48" s="135"/>
      <c r="I48"/>
      <c r="K48" s="1"/>
      <c r="L48" s="1"/>
      <c r="M48" s="1"/>
      <c r="N48" s="1"/>
      <c r="O48" s="1"/>
      <c r="P48" s="1"/>
    </row>
    <row r="49" spans="2:16" x14ac:dyDescent="0.25">
      <c r="B49" s="119" t="s">
        <v>140</v>
      </c>
      <c r="C49" s="120"/>
      <c r="D49" s="121">
        <f>-D33</f>
        <v>0</v>
      </c>
      <c r="E49" s="122">
        <f>E25</f>
        <v>1.2624474193548385</v>
      </c>
      <c r="F49" s="122">
        <f>IF(AND($B$17&lt;$F$2,$E$17&lt;$F$2),D9,IF($B$17&lt;$F$2,K9,H9))</f>
        <v>5.5406854838709677E-2</v>
      </c>
      <c r="G49" s="122">
        <f>E49+F49</f>
        <v>1.3178542741935482</v>
      </c>
      <c r="H49" s="124">
        <f>ROUND(D49*(E49+F49),2)</f>
        <v>0</v>
      </c>
      <c r="K49" s="1"/>
      <c r="L49" s="1"/>
      <c r="M49" s="1"/>
      <c r="N49" s="1"/>
      <c r="O49" s="1"/>
      <c r="P49" s="1"/>
    </row>
    <row r="50" spans="2:16" x14ac:dyDescent="0.25">
      <c r="B50" s="119" t="s">
        <v>141</v>
      </c>
      <c r="C50" s="120"/>
      <c r="D50" s="121">
        <f>-D34</f>
        <v>1422.72</v>
      </c>
      <c r="E50" s="122">
        <f>E26</f>
        <v>0.12371709677419356</v>
      </c>
      <c r="F50" s="122">
        <f>IF(AND($B$17&lt;$F$2,$E$17&lt;$F$2),D10,IF($B$17&lt;$F$2,K10,H10))</f>
        <v>3.513024193548387E-2</v>
      </c>
      <c r="G50" s="122">
        <f>E50+F50</f>
        <v>0.15884733870967743</v>
      </c>
      <c r="H50" s="124">
        <f>ROUND(D50*(E50+F50),2)</f>
        <v>226</v>
      </c>
      <c r="K50" s="1"/>
      <c r="L50" s="1"/>
      <c r="M50" s="1"/>
      <c r="N50" s="1"/>
      <c r="O50" s="1"/>
      <c r="P50" s="1"/>
    </row>
    <row r="51" spans="2:16" x14ac:dyDescent="0.25">
      <c r="B51" s="119"/>
      <c r="C51" s="120"/>
      <c r="D51" s="125"/>
      <c r="E51" s="120"/>
      <c r="F51" s="126"/>
      <c r="G51" s="126"/>
      <c r="H51" s="124"/>
      <c r="K51" s="1"/>
      <c r="L51" s="1"/>
      <c r="M51" s="1"/>
      <c r="N51" s="1"/>
      <c r="O51" s="1"/>
      <c r="P51" s="1"/>
    </row>
    <row r="52" spans="2:16" x14ac:dyDescent="0.25">
      <c r="B52" s="119" t="s">
        <v>142</v>
      </c>
      <c r="C52" s="120"/>
      <c r="D52" s="121">
        <f>-D49</f>
        <v>0</v>
      </c>
      <c r="E52" s="122">
        <f>E49*F19</f>
        <v>1.1195383714838709</v>
      </c>
      <c r="F52" s="123">
        <f>F49*H19</f>
        <v>5.5406854838709677E-2</v>
      </c>
      <c r="G52" s="122">
        <f>E52+F52</f>
        <v>1.1749452263225806</v>
      </c>
      <c r="H52" s="124">
        <f>ROUND(D52*(E52+F52),2)</f>
        <v>0</v>
      </c>
      <c r="K52" s="1"/>
      <c r="L52" s="1"/>
      <c r="M52" s="1"/>
      <c r="N52" s="1"/>
      <c r="O52" s="1"/>
      <c r="P52" s="1"/>
    </row>
    <row r="53" spans="2:16" x14ac:dyDescent="0.25">
      <c r="B53" s="119" t="s">
        <v>143</v>
      </c>
      <c r="C53" s="120"/>
      <c r="D53" s="121">
        <f>-D50</f>
        <v>-1422.72</v>
      </c>
      <c r="E53" s="122">
        <f>E50*F20</f>
        <v>0.12371709677419356</v>
      </c>
      <c r="F53" s="123">
        <f>F50*H20</f>
        <v>3.513024193548387E-2</v>
      </c>
      <c r="G53" s="122">
        <f>E53+F53</f>
        <v>0.15884733870967743</v>
      </c>
      <c r="H53" s="124">
        <f>ROUND(D53*(E53+F53),2)</f>
        <v>-226</v>
      </c>
      <c r="K53" s="1"/>
      <c r="L53" s="1"/>
      <c r="M53" s="1"/>
      <c r="N53" s="1"/>
      <c r="O53" s="1"/>
      <c r="P53" s="1"/>
    </row>
    <row r="54" spans="2:16" x14ac:dyDescent="0.25">
      <c r="B54" s="129"/>
      <c r="C54" s="130"/>
      <c r="D54" s="146"/>
      <c r="E54" s="147"/>
      <c r="F54" s="130"/>
      <c r="G54" s="130"/>
      <c r="H54" s="135"/>
      <c r="K54" s="1"/>
      <c r="L54" s="1"/>
      <c r="M54" s="1"/>
      <c r="N54" s="1"/>
      <c r="O54" s="1"/>
      <c r="P54" s="1"/>
    </row>
    <row r="55" spans="2:16" x14ac:dyDescent="0.25">
      <c r="B55" s="129" t="s">
        <v>117</v>
      </c>
      <c r="C55" s="130"/>
      <c r="D55" s="133">
        <v>27.675000000000001</v>
      </c>
      <c r="E55" s="134"/>
      <c r="F55" s="134">
        <f>IF(AND($B$17&lt;$F$2,$E$17&lt;$F$2),E8,IF($B$17&lt;$F$2,K8,H8))</f>
        <v>0.30007032258064514</v>
      </c>
      <c r="G55" s="130"/>
      <c r="H55" s="135">
        <f>ROUND(D55*(E55+F55),2)</f>
        <v>8.3000000000000007</v>
      </c>
      <c r="J55" s="1"/>
      <c r="K55" s="1"/>
      <c r="L55" s="1"/>
      <c r="M55" s="1"/>
      <c r="N55" s="1"/>
      <c r="O55" s="1"/>
      <c r="P55" s="1"/>
    </row>
    <row r="56" spans="2:16" x14ac:dyDescent="0.25">
      <c r="B56" s="148" t="s">
        <v>118</v>
      </c>
      <c r="C56" s="149"/>
      <c r="D56" s="133">
        <v>0</v>
      </c>
      <c r="E56" s="150">
        <f>E42</f>
        <v>0</v>
      </c>
      <c r="F56" s="149"/>
      <c r="G56" s="149"/>
      <c r="H56" s="151">
        <f>ROUND(D56*(E56+F56),2)</f>
        <v>0</v>
      </c>
      <c r="K56" s="1"/>
      <c r="L56" s="97"/>
      <c r="M56" s="1"/>
      <c r="N56" s="1"/>
      <c r="O56" s="1"/>
      <c r="P56" s="1"/>
    </row>
    <row r="57" spans="2:16" x14ac:dyDescent="0.25">
      <c r="B57" s="152"/>
      <c r="C57" s="153"/>
      <c r="D57" s="153"/>
      <c r="E57" s="153"/>
      <c r="F57" s="153"/>
      <c r="G57" s="154"/>
      <c r="H57" s="155"/>
      <c r="K57" s="1"/>
      <c r="L57" s="1"/>
      <c r="M57" s="1"/>
      <c r="N57" s="1"/>
      <c r="O57" s="1"/>
      <c r="P57" s="1"/>
    </row>
    <row r="58" spans="2:16" x14ac:dyDescent="0.25">
      <c r="B58" s="129"/>
      <c r="C58" s="130"/>
      <c r="D58" s="156" t="s">
        <v>48</v>
      </c>
      <c r="E58" s="157"/>
      <c r="F58" s="157"/>
      <c r="G58" s="130"/>
      <c r="H58" s="158"/>
      <c r="J58" s="67"/>
      <c r="K58" s="1"/>
      <c r="L58" s="1"/>
      <c r="M58" s="1"/>
      <c r="N58" s="1"/>
      <c r="O58" s="1"/>
      <c r="P58" s="1"/>
    </row>
    <row r="59" spans="2:16" x14ac:dyDescent="0.25">
      <c r="B59" s="129" t="s">
        <v>49</v>
      </c>
      <c r="C59" s="130"/>
      <c r="D59" s="159">
        <f>(SUM(H25:H31)+H41+H47+H55+H56)/(1-E59-E62)</f>
        <v>10922.749162479062</v>
      </c>
      <c r="E59" s="160">
        <v>8.0000000000000002E-3</v>
      </c>
      <c r="F59" s="130"/>
      <c r="G59" s="130"/>
      <c r="H59" s="135">
        <f>D59*E59</f>
        <v>87.381993299832502</v>
      </c>
      <c r="K59" s="1"/>
      <c r="L59" s="1"/>
      <c r="M59" s="1"/>
      <c r="N59" s="1"/>
      <c r="O59" s="1"/>
      <c r="P59" s="1"/>
    </row>
    <row r="60" spans="2:16" x14ac:dyDescent="0.25">
      <c r="B60" s="129" t="s">
        <v>119</v>
      </c>
      <c r="C60" s="130"/>
      <c r="D60" s="159">
        <f>(SUM(H33:H39,H49:H53))/(1-E59-E62)</f>
        <v>609.14991624790616</v>
      </c>
      <c r="E60" s="161">
        <f>E59</f>
        <v>8.0000000000000002E-3</v>
      </c>
      <c r="F60" s="130"/>
      <c r="G60" s="130"/>
      <c r="H60" s="135">
        <f t="shared" ref="H60:H64" si="1">D60*E60</f>
        <v>4.8731993299832492</v>
      </c>
      <c r="K60" s="1"/>
      <c r="L60" s="1"/>
      <c r="M60" s="1"/>
      <c r="N60" s="1"/>
      <c r="O60" s="1"/>
      <c r="P60" s="1"/>
    </row>
    <row r="61" spans="2:16" x14ac:dyDescent="0.25">
      <c r="B61" s="129" t="s">
        <v>120</v>
      </c>
      <c r="C61" s="130"/>
      <c r="D61" s="159">
        <f>(H44)/(1-E61-E64)</f>
        <v>135.74120603015075</v>
      </c>
      <c r="E61" s="161">
        <f>E59</f>
        <v>8.0000000000000002E-3</v>
      </c>
      <c r="F61" s="130"/>
      <c r="G61" s="130"/>
      <c r="H61" s="135">
        <f t="shared" si="1"/>
        <v>1.085929648241206</v>
      </c>
      <c r="K61" s="1"/>
      <c r="L61" s="1"/>
      <c r="M61" s="1"/>
      <c r="N61" s="1"/>
      <c r="O61" s="1"/>
      <c r="P61" s="1"/>
    </row>
    <row r="62" spans="2:16" x14ac:dyDescent="0.25">
      <c r="B62" s="129" t="s">
        <v>51</v>
      </c>
      <c r="C62" s="130"/>
      <c r="D62" s="159">
        <f>D59</f>
        <v>10922.749162479062</v>
      </c>
      <c r="E62" s="160">
        <v>3.6799999999999999E-2</v>
      </c>
      <c r="F62" s="130"/>
      <c r="G62" s="130"/>
      <c r="H62" s="135">
        <f t="shared" si="1"/>
        <v>401.95716917922948</v>
      </c>
      <c r="K62" s="1"/>
      <c r="L62" s="1"/>
      <c r="M62" s="1"/>
      <c r="N62" s="1"/>
      <c r="O62" s="1"/>
      <c r="P62" s="1"/>
    </row>
    <row r="63" spans="2:16" x14ac:dyDescent="0.25">
      <c r="B63" s="129" t="s">
        <v>121</v>
      </c>
      <c r="C63" s="130"/>
      <c r="D63" s="159">
        <f>D60</f>
        <v>609.14991624790616</v>
      </c>
      <c r="E63" s="161">
        <f>E62</f>
        <v>3.6799999999999999E-2</v>
      </c>
      <c r="F63" s="130"/>
      <c r="G63" s="130"/>
      <c r="H63" s="135">
        <f t="shared" si="1"/>
        <v>22.416716917922948</v>
      </c>
      <c r="K63" s="1"/>
      <c r="L63" s="1"/>
      <c r="M63" s="1"/>
      <c r="N63" s="1"/>
      <c r="O63" s="1"/>
      <c r="P63" s="1"/>
    </row>
    <row r="64" spans="2:16" x14ac:dyDescent="0.25">
      <c r="B64" s="129" t="s">
        <v>122</v>
      </c>
      <c r="C64" s="130"/>
      <c r="D64" s="159">
        <f>D61</f>
        <v>135.74120603015075</v>
      </c>
      <c r="E64" s="161">
        <f>E62</f>
        <v>3.6799999999999999E-2</v>
      </c>
      <c r="F64" s="130"/>
      <c r="G64" s="130"/>
      <c r="H64" s="135">
        <f t="shared" si="1"/>
        <v>4.9952763819095471</v>
      </c>
      <c r="K64" s="1"/>
      <c r="L64" s="1"/>
      <c r="M64" s="1"/>
      <c r="N64" s="1"/>
      <c r="O64" s="1"/>
      <c r="P64" s="1"/>
    </row>
    <row r="65" spans="2:16" x14ac:dyDescent="0.25">
      <c r="B65" s="148" t="s">
        <v>11</v>
      </c>
      <c r="C65" s="149"/>
      <c r="D65" s="162">
        <f>D59/(1-E65)</f>
        <v>13159.938749974774</v>
      </c>
      <c r="E65" s="163">
        <v>0.17</v>
      </c>
      <c r="F65" s="149"/>
      <c r="G65" s="149"/>
      <c r="H65" s="151">
        <f>D65*E65</f>
        <v>2237.1895874957117</v>
      </c>
      <c r="K65" s="1"/>
      <c r="L65" s="1"/>
      <c r="M65" s="1"/>
      <c r="N65" s="1"/>
      <c r="O65" s="1"/>
      <c r="P65" s="1"/>
    </row>
    <row r="66" spans="2:16" x14ac:dyDescent="0.25">
      <c r="B66" s="148" t="s">
        <v>123</v>
      </c>
      <c r="C66" s="149"/>
      <c r="D66" s="162">
        <f>((D33*F33)+(D34*F34)+SUM(H36:H39)+(D49*F49)+(D50*F50)+(D52*F52)+(D53*F53))/(1-E60-E63)/(1-E66)</f>
        <v>511.90269653748726</v>
      </c>
      <c r="E66" s="163">
        <f>E65</f>
        <v>0.17</v>
      </c>
      <c r="F66" s="149"/>
      <c r="G66" s="149"/>
      <c r="H66" s="151">
        <f>D66*E66</f>
        <v>87.023458411372843</v>
      </c>
      <c r="K66" s="1"/>
      <c r="L66" s="1"/>
      <c r="M66" s="1"/>
      <c r="N66" s="1"/>
      <c r="O66" s="1"/>
      <c r="P66" s="1"/>
    </row>
  </sheetData>
  <mergeCells count="10">
    <mergeCell ref="U4:W4"/>
    <mergeCell ref="X4:Z4"/>
    <mergeCell ref="K14:L14"/>
    <mergeCell ref="B22:H22"/>
    <mergeCell ref="B4:B5"/>
    <mergeCell ref="C4:E4"/>
    <mergeCell ref="F4:H4"/>
    <mergeCell ref="I4:K4"/>
    <mergeCell ref="Q4:Q5"/>
    <mergeCell ref="R4:T4"/>
  </mergeCells>
  <conditionalFormatting sqref="K15:L15">
    <cfRule type="cellIs" dxfId="41" priority="1" operator="equal">
      <formula>"Escassez Hídrica"</formula>
    </cfRule>
    <cfRule type="cellIs" dxfId="40" priority="2" operator="equal">
      <formula>"VERDE"</formula>
    </cfRule>
    <cfRule type="cellIs" dxfId="39" priority="3" operator="equal">
      <formula>"BVM2"</formula>
    </cfRule>
    <cfRule type="cellIs" dxfId="38" priority="4" operator="equal">
      <formula>"BVM1"</formula>
    </cfRule>
    <cfRule type="cellIs" dxfId="37" priority="5" operator="equal">
      <formula>"BAM"</formula>
    </cfRule>
  </conditionalFormatting>
  <conditionalFormatting sqref="M3">
    <cfRule type="cellIs" dxfId="36" priority="16" operator="equal">
      <formula>"VERDE"</formula>
    </cfRule>
    <cfRule type="cellIs" dxfId="35" priority="17" operator="equal">
      <formula>"BVM2"</formula>
    </cfRule>
    <cfRule type="cellIs" dxfId="34" priority="18" operator="equal">
      <formula>"BVM1"</formula>
    </cfRule>
    <cfRule type="cellIs" dxfId="33" priority="19" operator="equal">
      <formula>"BAM"</formula>
    </cfRule>
  </conditionalFormatting>
  <conditionalFormatting sqref="M7">
    <cfRule type="containsText" dxfId="32" priority="11" operator="containsText" text="Escassez Hídrica">
      <formula>NOT(ISERROR(SEARCH("Escassez Hídrica",M7)))</formula>
    </cfRule>
    <cfRule type="cellIs" dxfId="31" priority="12" operator="equal">
      <formula>"VERDE"</formula>
    </cfRule>
    <cfRule type="cellIs" dxfId="30" priority="13" operator="equal">
      <formula>"BVM2"</formula>
    </cfRule>
    <cfRule type="cellIs" dxfId="29" priority="14" operator="equal">
      <formula>"BVM1"</formula>
    </cfRule>
    <cfRule type="cellIs" dxfId="28" priority="15" operator="equal">
      <formula>"BAM"</formula>
    </cfRule>
  </conditionalFormatting>
  <dataValidations disablePrompts="1" count="1">
    <dataValidation type="list" allowBlank="1" showInputMessage="1" showErrorMessage="1" sqref="K15:L15" xr:uid="{BB82347B-9541-4372-8067-627CB46C04AB}">
      <formula1>$M$3:$M$7</formula1>
    </dataValidation>
  </dataValidations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9D3BB-82FD-4D20-9815-64F6B506A3E5}">
  <sheetPr>
    <tabColor rgb="FFFFC000"/>
  </sheetPr>
  <dimension ref="A1:Z67"/>
  <sheetViews>
    <sheetView showGridLines="0" topLeftCell="A35" zoomScale="80" zoomScaleNormal="80" workbookViewId="0">
      <selection activeCell="H28" sqref="H28"/>
    </sheetView>
  </sheetViews>
  <sheetFormatPr defaultColWidth="9.125" defaultRowHeight="14.3" x14ac:dyDescent="0.25"/>
  <cols>
    <col min="1" max="1" width="5.375" style="19" customWidth="1"/>
    <col min="2" max="10" width="12.75" style="19" customWidth="1"/>
    <col min="11" max="12" width="14.25" style="19" customWidth="1"/>
    <col min="13" max="14" width="12.75" style="19" customWidth="1"/>
    <col min="15" max="15" width="12.125" style="19" customWidth="1"/>
    <col min="16" max="16" width="13.75" style="19" customWidth="1"/>
    <col min="17" max="17" width="9.375" style="19" bestFit="1" customWidth="1"/>
    <col min="18" max="18" width="12.125" style="19" bestFit="1" customWidth="1"/>
    <col min="19" max="19" width="13.125" style="19" bestFit="1" customWidth="1"/>
    <col min="20" max="20" width="11.25" style="19" bestFit="1" customWidth="1"/>
    <col min="21" max="21" width="12.125" style="19" bestFit="1" customWidth="1"/>
    <col min="22" max="22" width="13.125" style="19" bestFit="1" customWidth="1"/>
    <col min="23" max="23" width="11.25" style="19" bestFit="1" customWidth="1"/>
    <col min="24" max="24" width="12.125" style="19" bestFit="1" customWidth="1"/>
    <col min="25" max="25" width="13.125" style="19" bestFit="1" customWidth="1"/>
    <col min="26" max="26" width="11.25" style="19" bestFit="1" customWidth="1"/>
    <col min="27" max="16384" width="9.125" style="19"/>
  </cols>
  <sheetData>
    <row r="1" spans="1:26" x14ac:dyDescent="0.25">
      <c r="A1" s="19" t="s">
        <v>8</v>
      </c>
      <c r="F1" s="24"/>
      <c r="G1" s="1"/>
      <c r="H1" s="1"/>
      <c r="I1" s="1"/>
      <c r="J1" s="1"/>
      <c r="K1" s="1"/>
    </row>
    <row r="2" spans="1:26" ht="19.05" x14ac:dyDescent="0.25">
      <c r="B2" s="25" t="s">
        <v>124</v>
      </c>
      <c r="C2" s="26" t="s">
        <v>97</v>
      </c>
      <c r="E2" s="20" t="s">
        <v>28</v>
      </c>
      <c r="F2" s="21">
        <f>'[5]A2 Azul'!F2</f>
        <v>45145</v>
      </c>
      <c r="G2" s="1" t="s">
        <v>8</v>
      </c>
      <c r="I2" s="86" t="s">
        <v>98</v>
      </c>
      <c r="J2" s="1"/>
      <c r="K2" s="1"/>
      <c r="M2" s="6" t="s">
        <v>12</v>
      </c>
      <c r="N2" s="6" t="s">
        <v>6</v>
      </c>
      <c r="Q2" s="26" t="s">
        <v>30</v>
      </c>
      <c r="R2" s="27"/>
    </row>
    <row r="3" spans="1:26" x14ac:dyDescent="0.25">
      <c r="M3" s="7" t="s">
        <v>13</v>
      </c>
      <c r="N3" s="8">
        <f>[5]BANDEIRA!$D$4</f>
        <v>0</v>
      </c>
    </row>
    <row r="4" spans="1:26" ht="14.95" customHeight="1" x14ac:dyDescent="0.25">
      <c r="B4" s="464" t="s">
        <v>31</v>
      </c>
      <c r="C4" s="457" t="str">
        <f>'[5]A2 Azul'!C4:E4</f>
        <v>TARIFA ANTIGA - REH 3091/2022</v>
      </c>
      <c r="D4" s="458"/>
      <c r="E4" s="459"/>
      <c r="F4" s="457" t="str">
        <f>'[5]A2 Azul'!F4:H4</f>
        <v>TARIFA NOVA - REH 3241/2023</v>
      </c>
      <c r="G4" s="458"/>
      <c r="H4" s="459"/>
      <c r="I4" s="457" t="s">
        <v>32</v>
      </c>
      <c r="J4" s="458"/>
      <c r="K4" s="459"/>
      <c r="M4" s="9" t="s">
        <v>14</v>
      </c>
      <c r="N4" s="10">
        <f>[5]BANDEIRA!$D$5</f>
        <v>2.989E-2</v>
      </c>
      <c r="Q4" s="464" t="s">
        <v>31</v>
      </c>
      <c r="R4" s="457" t="str">
        <f>C4</f>
        <v>TARIFA ANTIGA - REH 3091/2022</v>
      </c>
      <c r="S4" s="458"/>
      <c r="T4" s="459"/>
      <c r="U4" s="457" t="str">
        <f>F4</f>
        <v>TARIFA NOVA - REH 3241/2023</v>
      </c>
      <c r="V4" s="458"/>
      <c r="W4" s="459"/>
      <c r="X4" s="457" t="s">
        <v>32</v>
      </c>
      <c r="Y4" s="458"/>
      <c r="Z4" s="459"/>
    </row>
    <row r="5" spans="1:26" x14ac:dyDescent="0.25">
      <c r="B5" s="465"/>
      <c r="C5" s="28" t="s">
        <v>99</v>
      </c>
      <c r="D5" s="28" t="s">
        <v>35</v>
      </c>
      <c r="E5" s="28" t="s">
        <v>100</v>
      </c>
      <c r="F5" s="28" t="s">
        <v>99</v>
      </c>
      <c r="G5" s="28" t="s">
        <v>35</v>
      </c>
      <c r="H5" s="28" t="s">
        <v>100</v>
      </c>
      <c r="I5" s="28" t="s">
        <v>99</v>
      </c>
      <c r="J5" s="28" t="s">
        <v>35</v>
      </c>
      <c r="K5" s="28" t="s">
        <v>100</v>
      </c>
      <c r="M5" s="11" t="s">
        <v>15</v>
      </c>
      <c r="N5" s="12">
        <f>[5]BANDEIRA!$D$6</f>
        <v>6.5000000000000002E-2</v>
      </c>
      <c r="Q5" s="465"/>
      <c r="R5" s="28" t="s">
        <v>99</v>
      </c>
      <c r="S5" s="28" t="s">
        <v>99</v>
      </c>
      <c r="T5"/>
      <c r="U5" s="28" t="s">
        <v>99</v>
      </c>
      <c r="V5" s="28" t="s">
        <v>99</v>
      </c>
      <c r="W5"/>
      <c r="X5" s="28" t="s">
        <v>99</v>
      </c>
      <c r="Y5" s="28" t="s">
        <v>99</v>
      </c>
      <c r="Z5"/>
    </row>
    <row r="6" spans="1:26" x14ac:dyDescent="0.25">
      <c r="B6" s="30" t="s">
        <v>125</v>
      </c>
      <c r="C6" s="31">
        <f>'[5]A4 Azul'!C6</f>
        <v>45.59</v>
      </c>
      <c r="D6" s="31">
        <f>'[5]A4 Azul'!D6</f>
        <v>0.13433</v>
      </c>
      <c r="E6" s="31">
        <f>'[5]A4 Azul'!E6</f>
        <v>0.42260000000000003</v>
      </c>
      <c r="F6" s="31">
        <f>'[5]A4 Azul'!F6</f>
        <v>47.23</v>
      </c>
      <c r="G6" s="31">
        <f>'[5]A4 Azul'!G6</f>
        <v>0.12117</v>
      </c>
      <c r="H6" s="31">
        <f>'[5]A4 Azul'!H6</f>
        <v>0.45802999999999999</v>
      </c>
      <c r="I6" s="31">
        <f>((C6*$C$17)+(F6*$D$17))/($D$17+$C$17)</f>
        <v>46.912580645161292</v>
      </c>
      <c r="J6" s="31">
        <f>((D6*$C$17)+(G6*$D$17))/($D$17+$C$17)</f>
        <v>0.12371709677419356</v>
      </c>
      <c r="K6" s="31">
        <f>((E6*$C$17)+(H6*$D$17))/($D$17+$C$17)</f>
        <v>0.4511725806451613</v>
      </c>
      <c r="M6" s="13" t="s">
        <v>16</v>
      </c>
      <c r="N6" s="14">
        <f>[5]BANDEIRA!$D$7</f>
        <v>9.7949999999999995E-2</v>
      </c>
      <c r="Q6" s="30" t="str">
        <f>B6</f>
        <v>A4 Azul P</v>
      </c>
      <c r="R6" s="31">
        <f>'[5]Grupo A_FIO B'!F49</f>
        <v>26.16</v>
      </c>
      <c r="S6" s="31">
        <f>'[5]Grupo A_FIO B'!G50/1000</f>
        <v>0.93588000000000005</v>
      </c>
      <c r="T6"/>
      <c r="U6" s="31">
        <f>'[5]Grupo A_FIO B'!I49</f>
        <v>24.04</v>
      </c>
      <c r="V6" s="31">
        <f>'[5]Grupo A_FIO B'!J50/1000</f>
        <v>0.86024</v>
      </c>
      <c r="W6"/>
      <c r="X6" s="31">
        <f>((R6*$C$17)+(U6*$D$17))/($D$17+$C$17)</f>
        <v>24.450322580645164</v>
      </c>
      <c r="Y6" s="31">
        <f>((S6*$C$17)+(V6*$D$17))/($D$17+$C$17)</f>
        <v>0.87487999999999999</v>
      </c>
      <c r="Z6"/>
    </row>
    <row r="7" spans="1:26" x14ac:dyDescent="0.25">
      <c r="B7" s="30" t="s">
        <v>126</v>
      </c>
      <c r="C7" s="31">
        <f>'[5]A4 Azul'!C7</f>
        <v>30.44</v>
      </c>
      <c r="D7" s="31">
        <f>'[5]A4 Azul'!D7</f>
        <v>0.13433</v>
      </c>
      <c r="E7" s="31">
        <f>'[5]A4 Azul'!E7</f>
        <v>0.26380000000000003</v>
      </c>
      <c r="F7" s="31">
        <f>'[5]A4 Azul'!F7</f>
        <v>31.53</v>
      </c>
      <c r="G7" s="31">
        <f>'[5]A4 Azul'!G7</f>
        <v>0.12117</v>
      </c>
      <c r="H7" s="31">
        <f>'[5]A4 Azul'!H7</f>
        <v>0.29041</v>
      </c>
      <c r="I7" s="31">
        <f>((C7*$C$17)+(F7*$D$17))/($D$17+$C$17)</f>
        <v>31.319032258064517</v>
      </c>
      <c r="J7" s="31">
        <f t="shared" ref="J7" si="0">((D7*$C$17)+(G7*$D$17))/($D$17+$C$17)</f>
        <v>0.12371709677419356</v>
      </c>
      <c r="K7" s="31">
        <f>((E7*$C$17)+(H7*$D$17))/($D$17+$C$17)</f>
        <v>0.28525967741935482</v>
      </c>
      <c r="M7" s="7" t="s">
        <v>17</v>
      </c>
      <c r="N7" s="15">
        <f>[5]BANDEIRA!$D$8</f>
        <v>0.14199999999999999</v>
      </c>
      <c r="O7" s="20"/>
      <c r="P7" s="1"/>
      <c r="Q7" s="30" t="str">
        <f>B7</f>
        <v>A4 Azul FP</v>
      </c>
      <c r="R7" s="31"/>
      <c r="S7" s="31"/>
      <c r="T7"/>
      <c r="U7" s="31"/>
      <c r="V7" s="31"/>
      <c r="W7"/>
      <c r="X7" s="31"/>
      <c r="Y7" s="31"/>
      <c r="Z7"/>
    </row>
    <row r="8" spans="1:26" x14ac:dyDescent="0.25">
      <c r="B8" s="30" t="s">
        <v>36</v>
      </c>
      <c r="C8" s="31"/>
      <c r="D8" s="31">
        <f>'[5]TABELA DE TARIFAS ANTIGAS'!G71/1000</f>
        <v>0.39681</v>
      </c>
      <c r="E8" s="31">
        <f>'[5]TABELA DE TARIFAS ANTIGAS'!H71/1000</f>
        <v>0.27703</v>
      </c>
      <c r="F8" s="31"/>
      <c r="G8" s="31">
        <f>'[5]TABELA DE TARIFAS NOVAS'!G71/1000</f>
        <v>0.39252999999999999</v>
      </c>
      <c r="H8" s="31">
        <f>'[5]TABELA DE TARIFAS NOVAS'!H71/1000</f>
        <v>0.30560000000000004</v>
      </c>
      <c r="I8" s="31"/>
      <c r="J8" s="31">
        <f>((D8*$C$17)+(G8*$D$17))/($D$17+$C$17)</f>
        <v>0.39335838709677418</v>
      </c>
      <c r="K8" s="31">
        <f>((E8*$C$17)+(H8*$D$17))/($D$17+$C$17)</f>
        <v>0.30007032258064514</v>
      </c>
      <c r="O8" s="20"/>
      <c r="P8" s="1"/>
      <c r="Q8"/>
      <c r="R8"/>
      <c r="S8"/>
      <c r="T8"/>
      <c r="U8"/>
      <c r="V8"/>
      <c r="W8"/>
      <c r="X8"/>
      <c r="Y8"/>
      <c r="Z8"/>
    </row>
    <row r="9" spans="1:26" x14ac:dyDescent="0.25">
      <c r="B9" s="94" t="s">
        <v>138</v>
      </c>
      <c r="C9" s="83"/>
      <c r="D9" s="83"/>
      <c r="E9" s="83"/>
      <c r="F9" s="83"/>
      <c r="H9" s="81">
        <f>H6*15%</f>
        <v>6.8704500000000002E-2</v>
      </c>
      <c r="I9" s="83"/>
      <c r="K9" s="31">
        <f>((D9*$C$17)+(H9*$D$17))/($D$17+$C$17)</f>
        <v>5.5406854838709677E-2</v>
      </c>
      <c r="O9" s="20"/>
      <c r="P9" s="1"/>
      <c r="Q9"/>
      <c r="R9"/>
      <c r="S9"/>
      <c r="T9"/>
      <c r="U9"/>
      <c r="V9"/>
      <c r="W9"/>
      <c r="X9"/>
      <c r="Y9"/>
      <c r="Z9"/>
    </row>
    <row r="10" spans="1:26" x14ac:dyDescent="0.25">
      <c r="B10" s="94" t="s">
        <v>139</v>
      </c>
      <c r="C10" s="83"/>
      <c r="D10" s="83"/>
      <c r="E10" s="83"/>
      <c r="F10" s="83"/>
      <c r="H10" s="81">
        <f>H7*15%</f>
        <v>4.3561499999999996E-2</v>
      </c>
      <c r="I10" s="83"/>
      <c r="K10" s="31">
        <f>((D10*$C$17)+(H10*$D$17))/($D$17+$C$17)</f>
        <v>3.513024193548387E-2</v>
      </c>
      <c r="O10" s="20"/>
      <c r="P10" s="1"/>
      <c r="Q10"/>
      <c r="R10"/>
      <c r="S10"/>
      <c r="T10"/>
      <c r="U10"/>
      <c r="V10"/>
      <c r="W10"/>
      <c r="X10"/>
      <c r="Y10"/>
      <c r="Z10"/>
    </row>
    <row r="11" spans="1:26" x14ac:dyDescent="0.25">
      <c r="B11"/>
      <c r="C11"/>
      <c r="D11"/>
      <c r="E11"/>
      <c r="F11"/>
      <c r="G11"/>
      <c r="H11"/>
      <c r="I11"/>
      <c r="J11"/>
      <c r="K11"/>
      <c r="O11" s="20"/>
      <c r="P11" s="1"/>
      <c r="Q11"/>
      <c r="R11"/>
      <c r="S11"/>
      <c r="T11"/>
      <c r="U11"/>
      <c r="V11"/>
      <c r="W11"/>
      <c r="X11"/>
      <c r="Y11"/>
      <c r="Z11"/>
    </row>
    <row r="12" spans="1:26" s="1" customFormat="1" x14ac:dyDescent="0.25">
      <c r="B12" s="118" t="s">
        <v>97</v>
      </c>
    </row>
    <row r="13" spans="1:26" x14ac:dyDescent="0.25">
      <c r="B13" s="34"/>
      <c r="C13" s="35"/>
      <c r="D13" s="36"/>
      <c r="E13" s="35"/>
      <c r="F13" s="35"/>
      <c r="G13" s="35"/>
      <c r="H13" s="37" t="s">
        <v>37</v>
      </c>
      <c r="I13" s="1"/>
      <c r="L13" s="20" t="s">
        <v>25</v>
      </c>
      <c r="M13" s="21">
        <f>EOMONTH(B17,0)+1</f>
        <v>45139</v>
      </c>
    </row>
    <row r="14" spans="1:26" x14ac:dyDescent="0.25">
      <c r="B14" s="38" t="s">
        <v>38</v>
      </c>
      <c r="C14" s="39"/>
      <c r="E14" s="1"/>
      <c r="F14" s="1"/>
      <c r="G14" s="1"/>
      <c r="H14" s="40">
        <f>E17</f>
        <v>45169</v>
      </c>
      <c r="K14" s="460" t="s">
        <v>26</v>
      </c>
      <c r="L14" s="460"/>
    </row>
    <row r="15" spans="1:26" x14ac:dyDescent="0.25">
      <c r="B15" s="41"/>
      <c r="H15" s="43"/>
      <c r="K15" s="7" t="s">
        <v>13</v>
      </c>
      <c r="L15" s="7" t="s">
        <v>13</v>
      </c>
    </row>
    <row r="16" spans="1:26" ht="27.2" x14ac:dyDescent="0.25">
      <c r="B16" s="16" t="s">
        <v>21</v>
      </c>
      <c r="C16" s="16" t="s">
        <v>22</v>
      </c>
      <c r="D16" s="16" t="s">
        <v>23</v>
      </c>
      <c r="E16" s="16" t="s">
        <v>24</v>
      </c>
      <c r="F16" s="1"/>
      <c r="G16" s="1"/>
      <c r="H16" s="43"/>
      <c r="J16" s="16" t="s">
        <v>21</v>
      </c>
      <c r="K16" s="16" t="s">
        <v>22</v>
      </c>
      <c r="L16" s="16" t="s">
        <v>23</v>
      </c>
      <c r="M16" s="16" t="s">
        <v>24</v>
      </c>
    </row>
    <row r="17" spans="2:18" x14ac:dyDescent="0.25">
      <c r="B17" s="17">
        <v>45138</v>
      </c>
      <c r="C17" s="18">
        <f>IF((F2-B17-1)&lt;0,0,(F2-B17-1))</f>
        <v>6</v>
      </c>
      <c r="D17" s="18">
        <f>E17-F2+1</f>
        <v>25</v>
      </c>
      <c r="E17" s="17">
        <v>45169</v>
      </c>
      <c r="F17" s="44"/>
      <c r="G17" s="44"/>
      <c r="H17" s="45"/>
      <c r="J17" s="22">
        <f>B17</f>
        <v>45138</v>
      </c>
      <c r="K17" s="23">
        <f>IF((M13-J17-1)&lt;0,0,(M13-J17-1))</f>
        <v>0</v>
      </c>
      <c r="L17" s="23">
        <f>M17-M13+1</f>
        <v>31</v>
      </c>
      <c r="M17" s="22">
        <f>E17</f>
        <v>45169</v>
      </c>
      <c r="N17"/>
      <c r="O17"/>
      <c r="P17"/>
    </row>
    <row r="18" spans="2:18" x14ac:dyDescent="0.25">
      <c r="N18"/>
      <c r="O18"/>
      <c r="P18"/>
      <c r="Q18"/>
      <c r="R18"/>
    </row>
    <row r="19" spans="2:18" x14ac:dyDescent="0.25">
      <c r="B19" s="5" t="s">
        <v>55</v>
      </c>
      <c r="E19" s="26" t="s">
        <v>144</v>
      </c>
      <c r="F19" s="85">
        <v>1</v>
      </c>
      <c r="G19" s="86" t="s">
        <v>145</v>
      </c>
      <c r="H19" s="85">
        <v>1</v>
      </c>
      <c r="N19"/>
      <c r="O19"/>
      <c r="P19"/>
      <c r="Q19"/>
      <c r="R19"/>
    </row>
    <row r="20" spans="2:18" x14ac:dyDescent="0.25">
      <c r="B20" s="5"/>
      <c r="E20" s="26" t="s">
        <v>146</v>
      </c>
      <c r="F20" s="85">
        <v>1</v>
      </c>
      <c r="G20" s="86" t="s">
        <v>147</v>
      </c>
      <c r="H20" s="85">
        <v>1</v>
      </c>
      <c r="N20"/>
      <c r="O20"/>
      <c r="P20"/>
      <c r="Q20"/>
      <c r="R20"/>
    </row>
    <row r="21" spans="2:18" x14ac:dyDescent="0.25">
      <c r="N21"/>
      <c r="O21"/>
      <c r="P21"/>
      <c r="Q21"/>
      <c r="R21"/>
    </row>
    <row r="22" spans="2:18" x14ac:dyDescent="0.25">
      <c r="B22" s="520" t="s">
        <v>127</v>
      </c>
      <c r="C22" s="521"/>
      <c r="D22" s="521"/>
      <c r="E22" s="521"/>
      <c r="F22" s="521"/>
      <c r="G22" s="521"/>
      <c r="H22" s="522"/>
      <c r="I22"/>
      <c r="J22" s="127" t="s">
        <v>104</v>
      </c>
      <c r="K22" s="1"/>
      <c r="L22" s="128"/>
      <c r="M22" s="1"/>
      <c r="N22" s="1"/>
      <c r="O22"/>
      <c r="P22"/>
      <c r="Q22"/>
      <c r="R22"/>
    </row>
    <row r="23" spans="2:18" x14ac:dyDescent="0.25">
      <c r="B23" s="129"/>
      <c r="C23" s="130"/>
      <c r="D23" s="131" t="s">
        <v>40</v>
      </c>
      <c r="E23" s="131" t="s">
        <v>10</v>
      </c>
      <c r="F23" s="130" t="s">
        <v>9</v>
      </c>
      <c r="G23" s="131" t="s">
        <v>34</v>
      </c>
      <c r="H23" s="132" t="s">
        <v>7</v>
      </c>
      <c r="I23"/>
      <c r="J23" s="1"/>
      <c r="K23" s="1"/>
      <c r="L23" s="1"/>
      <c r="M23" s="1"/>
      <c r="N23" s="1"/>
      <c r="O23"/>
      <c r="P23"/>
      <c r="Q23"/>
      <c r="R23"/>
    </row>
    <row r="24" spans="2:18" x14ac:dyDescent="0.25">
      <c r="B24" s="129"/>
      <c r="C24" s="130"/>
      <c r="D24" s="131"/>
      <c r="E24" s="131"/>
      <c r="F24" s="130"/>
      <c r="G24" s="131"/>
      <c r="H24" s="132"/>
      <c r="I24"/>
      <c r="J24" s="26" t="s">
        <v>105</v>
      </c>
      <c r="K24" s="26" t="s">
        <v>106</v>
      </c>
      <c r="L24" s="1"/>
      <c r="M24" s="1"/>
      <c r="N24" s="1"/>
      <c r="O24"/>
      <c r="P24"/>
      <c r="Q24"/>
      <c r="R24"/>
    </row>
    <row r="25" spans="2:18" x14ac:dyDescent="0.25">
      <c r="B25" s="129" t="s">
        <v>107</v>
      </c>
      <c r="C25" s="130"/>
      <c r="D25" s="133">
        <v>1290.8358000000001</v>
      </c>
      <c r="E25" s="134">
        <f>IF(AND($B$17&lt;$F$2,$E$17&lt;$F$2),D6,IF($B$17&lt;$F$2,J6,G6))</f>
        <v>0.12371709677419356</v>
      </c>
      <c r="F25" s="134">
        <f>IF(AND($B$17&lt;$F$2,$E$17&lt;$F$2),E6,IF($B$17&lt;$F$2,K6,H6))</f>
        <v>0.4511725806451613</v>
      </c>
      <c r="G25" s="134">
        <f>E25+F25</f>
        <v>0.57488967741935482</v>
      </c>
      <c r="H25" s="135">
        <f>ROUND((D25*E25),2)+ROUND((D25*F25),2)</f>
        <v>742.08999999999992</v>
      </c>
      <c r="I25"/>
      <c r="J25" s="136">
        <f>IF(AND($B$17&lt;$F$2,$E$17&lt;$F$2),S6,IF($B$17&lt;$F$2,Y6,V6))</f>
        <v>0.87487999999999999</v>
      </c>
      <c r="K25" s="137">
        <f>D25*J25</f>
        <v>1129.3264247040001</v>
      </c>
      <c r="L25" s="138"/>
      <c r="M25" s="1"/>
      <c r="N25" s="1"/>
      <c r="O25" s="1"/>
      <c r="P25" s="1"/>
    </row>
    <row r="26" spans="2:18" x14ac:dyDescent="0.25">
      <c r="B26" s="129" t="s">
        <v>108</v>
      </c>
      <c r="C26" s="130"/>
      <c r="D26" s="133">
        <v>12358.3266</v>
      </c>
      <c r="E26" s="134">
        <f>IF(AND($B$17&lt;$F$2,$E$17&lt;$F$2),D7,IF($B$17&lt;$F$2,J7,G7))</f>
        <v>0.12371709677419356</v>
      </c>
      <c r="F26" s="134">
        <f>IF(AND($B$17&lt;$F$2,$E$17&lt;$F$2),E7,IF($B$17&lt;$F$2,K7,H7))</f>
        <v>0.28525967741935482</v>
      </c>
      <c r="G26" s="134">
        <f>E26+F26</f>
        <v>0.40897677419354839</v>
      </c>
      <c r="H26" s="135">
        <f>ROUND((D26*E26),2)+ROUND((D26*F26),2)</f>
        <v>5054.2700000000004</v>
      </c>
      <c r="I26"/>
      <c r="J26"/>
      <c r="K26"/>
      <c r="L26"/>
      <c r="M26" s="1"/>
      <c r="N26" s="1"/>
      <c r="O26" s="1"/>
      <c r="P26" s="1"/>
    </row>
    <row r="27" spans="2:18" x14ac:dyDescent="0.25">
      <c r="B27" s="129"/>
      <c r="C27" s="130"/>
      <c r="D27" s="139"/>
      <c r="E27" s="130"/>
      <c r="F27" s="130"/>
      <c r="G27" s="130"/>
      <c r="H27" s="132"/>
      <c r="I27"/>
      <c r="J27" s="1"/>
      <c r="K27" s="1"/>
      <c r="L27" s="1"/>
      <c r="M27" s="1"/>
      <c r="N27" s="1"/>
      <c r="O27" s="1"/>
      <c r="P27" s="1"/>
    </row>
    <row r="28" spans="2:18" x14ac:dyDescent="0.25">
      <c r="B28" s="129" t="s">
        <v>109</v>
      </c>
      <c r="C28" s="130"/>
      <c r="D28" s="140">
        <f>IF($K$15=$M$4,((D25+D26)*(K17)/(K17+L17)),0)+IF($L$15=$M$4,((D25+D26)*(L17)/(K17+L17)),0)</f>
        <v>0</v>
      </c>
      <c r="E28" s="130"/>
      <c r="F28" s="141">
        <f>N4</f>
        <v>2.989E-2</v>
      </c>
      <c r="G28" s="130"/>
      <c r="H28" s="135">
        <f>ROUND(D28*(E28+F28),2)</f>
        <v>0</v>
      </c>
      <c r="I28"/>
      <c r="J28" s="1"/>
      <c r="K28" s="1"/>
      <c r="L28" s="1"/>
      <c r="M28" s="1"/>
      <c r="N28" s="1"/>
      <c r="O28" s="1"/>
      <c r="P28" s="1"/>
    </row>
    <row r="29" spans="2:18" x14ac:dyDescent="0.25">
      <c r="B29" s="129" t="s">
        <v>44</v>
      </c>
      <c r="C29" s="130"/>
      <c r="D29" s="140">
        <f>IF($K$15=$M$5,((D25+D26)*(K17)/(K17+L17)),0)+IF($L$15=$M$5,((D25+D26)*(L17)/(K17+L17)),0)</f>
        <v>0</v>
      </c>
      <c r="E29" s="130"/>
      <c r="F29" s="141">
        <f>N5</f>
        <v>6.5000000000000002E-2</v>
      </c>
      <c r="G29" s="130"/>
      <c r="H29" s="135">
        <f>ROUND(D29*(E29+F29),2)</f>
        <v>0</v>
      </c>
      <c r="I29"/>
      <c r="K29" s="1"/>
      <c r="L29" s="1"/>
      <c r="M29" s="1"/>
      <c r="N29" s="1"/>
      <c r="O29" s="1"/>
      <c r="P29" s="1"/>
    </row>
    <row r="30" spans="2:18" x14ac:dyDescent="0.25">
      <c r="B30" s="129" t="s">
        <v>45</v>
      </c>
      <c r="C30" s="130"/>
      <c r="D30" s="140">
        <f>IF($K$15=$M$6,((D25+D26)*(K17)/(K17+L17)),0)+IF($L$15=$M$6,((D25+D26)*(L17)/(K17+L17)),0)</f>
        <v>0</v>
      </c>
      <c r="E30" s="130"/>
      <c r="F30" s="141">
        <f>N6</f>
        <v>9.7949999999999995E-2</v>
      </c>
      <c r="G30" s="130"/>
      <c r="H30" s="135">
        <f>ROUND(D30*(E30+F30),2)</f>
        <v>0</v>
      </c>
      <c r="I30"/>
      <c r="K30" s="1"/>
      <c r="L30" s="1"/>
      <c r="M30" s="1"/>
      <c r="N30" s="1"/>
      <c r="O30" s="1"/>
      <c r="P30" s="1"/>
    </row>
    <row r="31" spans="2:18" x14ac:dyDescent="0.25">
      <c r="B31" s="129" t="s">
        <v>110</v>
      </c>
      <c r="C31" s="130"/>
      <c r="D31" s="140">
        <f>IF($K$15=$M$7,((D25+D26)*(K17)/(K17+L17)),0)+IF($L$15=$M$7,((D25+D26)*(L17)/(K17+L17)),0)</f>
        <v>0</v>
      </c>
      <c r="E31" s="130"/>
      <c r="F31" s="141">
        <f>N7</f>
        <v>0.14199999999999999</v>
      </c>
      <c r="G31" s="130"/>
      <c r="H31" s="135">
        <f>ROUND(D31*(E31+F31),2)</f>
        <v>0</v>
      </c>
      <c r="I31"/>
      <c r="K31" s="1"/>
      <c r="L31" s="1"/>
      <c r="M31" s="1"/>
      <c r="N31" s="1"/>
      <c r="O31" s="1"/>
      <c r="P31" s="1"/>
    </row>
    <row r="32" spans="2:18" x14ac:dyDescent="0.25">
      <c r="B32" s="129"/>
      <c r="C32" s="130"/>
      <c r="D32" s="142"/>
      <c r="E32" s="130"/>
      <c r="F32" s="130"/>
      <c r="G32" s="130"/>
      <c r="H32" s="132"/>
      <c r="I32"/>
      <c r="K32" s="1"/>
      <c r="L32" s="1"/>
      <c r="M32" s="1"/>
      <c r="N32" s="1"/>
      <c r="O32" s="1"/>
      <c r="P32" s="1"/>
    </row>
    <row r="33" spans="2:16" x14ac:dyDescent="0.25">
      <c r="B33" s="129" t="s">
        <v>111</v>
      </c>
      <c r="C33" s="130"/>
      <c r="D33" s="133">
        <v>0</v>
      </c>
      <c r="E33" s="143">
        <f>-E25</f>
        <v>-0.12371709677419356</v>
      </c>
      <c r="F33" s="143">
        <f>-F25</f>
        <v>-0.4511725806451613</v>
      </c>
      <c r="G33" s="130"/>
      <c r="H33" s="135">
        <f>ROUND(D33*(E33+F33),2)</f>
        <v>0</v>
      </c>
      <c r="I33"/>
      <c r="K33" s="1"/>
      <c r="L33" s="1"/>
      <c r="M33" s="1"/>
      <c r="N33" s="1"/>
      <c r="O33" s="1"/>
      <c r="P33" s="1"/>
    </row>
    <row r="34" spans="2:16" x14ac:dyDescent="0.25">
      <c r="B34" s="129" t="s">
        <v>112</v>
      </c>
      <c r="C34" s="130"/>
      <c r="D34" s="133">
        <v>1422.72</v>
      </c>
      <c r="E34" s="143">
        <f>-E26</f>
        <v>-0.12371709677419356</v>
      </c>
      <c r="F34" s="143">
        <f>-F26</f>
        <v>-0.28525967741935482</v>
      </c>
      <c r="G34" s="130"/>
      <c r="H34" s="135">
        <f>ROUND(D34*(E34+F34),2)</f>
        <v>-581.86</v>
      </c>
      <c r="I34"/>
      <c r="K34" s="1"/>
      <c r="L34" s="1"/>
      <c r="M34" s="1"/>
      <c r="N34" s="1"/>
      <c r="O34" s="1"/>
      <c r="P34" s="1"/>
    </row>
    <row r="35" spans="2:16" x14ac:dyDescent="0.25">
      <c r="B35" s="129"/>
      <c r="C35" s="130"/>
      <c r="D35" s="139"/>
      <c r="E35" s="130"/>
      <c r="F35" s="130"/>
      <c r="G35" s="130"/>
      <c r="H35" s="132"/>
      <c r="I35"/>
      <c r="K35" s="1"/>
      <c r="L35" s="1"/>
      <c r="M35" s="1"/>
      <c r="N35" s="1"/>
      <c r="O35" s="1"/>
      <c r="P35" s="1"/>
    </row>
    <row r="36" spans="2:16" x14ac:dyDescent="0.25">
      <c r="B36" s="129" t="s">
        <v>109</v>
      </c>
      <c r="C36" s="130"/>
      <c r="D36" s="140">
        <f>IF($K$15=$M$4,((D33+D34)*(K17)/(K17+L17)),0)+IF($L$15=$M$4,((D33+D34)*(L17)/(K17+L17)),0)</f>
        <v>0</v>
      </c>
      <c r="E36" s="130"/>
      <c r="F36" s="141">
        <f>-F28</f>
        <v>-2.989E-2</v>
      </c>
      <c r="G36" s="130"/>
      <c r="H36" s="135">
        <f>ROUND(D36*(E36+F36),2)</f>
        <v>0</v>
      </c>
      <c r="I36"/>
      <c r="K36" s="1"/>
      <c r="L36" s="1"/>
      <c r="M36" s="1"/>
      <c r="N36" s="1"/>
      <c r="O36" s="1"/>
      <c r="P36" s="1"/>
    </row>
    <row r="37" spans="2:16" x14ac:dyDescent="0.25">
      <c r="B37" s="129" t="s">
        <v>44</v>
      </c>
      <c r="C37" s="130"/>
      <c r="D37" s="140">
        <f>IF($K$15=$M$5,((D33+D34)*(K17)/(K17+L17)),0)+IF($L$15=$M$5,((D33+D34)*(L17)/(K17+L17)),0)</f>
        <v>0</v>
      </c>
      <c r="E37" s="130"/>
      <c r="F37" s="141">
        <f t="shared" ref="F37:F39" si="1">-F29</f>
        <v>-6.5000000000000002E-2</v>
      </c>
      <c r="G37" s="130"/>
      <c r="H37" s="135">
        <f>ROUND(D37*(E37+F37),2)</f>
        <v>0</v>
      </c>
      <c r="I37"/>
      <c r="K37" s="1"/>
      <c r="L37" s="1"/>
      <c r="M37" s="1"/>
      <c r="N37" s="1"/>
      <c r="O37" s="1"/>
      <c r="P37" s="1"/>
    </row>
    <row r="38" spans="2:16" x14ac:dyDescent="0.25">
      <c r="B38" s="129" t="s">
        <v>45</v>
      </c>
      <c r="C38" s="130"/>
      <c r="D38" s="140">
        <f>IF($K$15=$M$6,((D33+D34)*(K17)/(K17+L17)),0)+IF($L$15=$M$6,((D33+D34)*(L17)/(K17+L17)),0)</f>
        <v>0</v>
      </c>
      <c r="E38" s="130"/>
      <c r="F38" s="141">
        <f t="shared" si="1"/>
        <v>-9.7949999999999995E-2</v>
      </c>
      <c r="G38" s="130"/>
      <c r="H38" s="135">
        <f>ROUND(D38*(E38+F38),2)</f>
        <v>0</v>
      </c>
      <c r="I38"/>
      <c r="K38" s="1"/>
      <c r="L38" s="1"/>
      <c r="M38" s="1"/>
      <c r="N38" s="1"/>
      <c r="O38" s="1"/>
      <c r="P38" s="1"/>
    </row>
    <row r="39" spans="2:16" x14ac:dyDescent="0.25">
      <c r="B39" s="129" t="s">
        <v>110</v>
      </c>
      <c r="C39" s="130"/>
      <c r="D39" s="140">
        <f>IF($K$15=$M$7,((D33+D34)*(K17)/(K17+L17)),0)+IF($L$15=$M$7,((D33+D34)*(L17)/(K17+L17)),0)</f>
        <v>0</v>
      </c>
      <c r="E39" s="130"/>
      <c r="F39" s="141">
        <f t="shared" si="1"/>
        <v>-0.14199999999999999</v>
      </c>
      <c r="G39" s="130"/>
      <c r="H39" s="135">
        <f>ROUND(D39*(E39+F39),2)</f>
        <v>0</v>
      </c>
      <c r="I39"/>
      <c r="K39" s="1"/>
      <c r="L39" s="1"/>
      <c r="M39" s="1"/>
      <c r="N39" s="1"/>
      <c r="O39" s="1"/>
      <c r="P39" s="1"/>
    </row>
    <row r="40" spans="2:16" x14ac:dyDescent="0.25">
      <c r="B40" s="129"/>
      <c r="C40" s="130"/>
      <c r="D40" s="139"/>
      <c r="E40" s="130"/>
      <c r="F40" s="130"/>
      <c r="G40" s="130"/>
      <c r="H40" s="132"/>
      <c r="I40"/>
      <c r="J40" s="26" t="s">
        <v>105</v>
      </c>
      <c r="K40" s="26" t="s">
        <v>106</v>
      </c>
      <c r="L40" s="26" t="s">
        <v>113</v>
      </c>
      <c r="M40" s="1"/>
      <c r="N40" s="1"/>
      <c r="O40" s="1"/>
      <c r="P40" s="1"/>
    </row>
    <row r="41" spans="2:16" x14ac:dyDescent="0.25">
      <c r="B41" s="129" t="s">
        <v>128</v>
      </c>
      <c r="C41" s="130"/>
      <c r="D41" s="133">
        <v>100.86</v>
      </c>
      <c r="E41" s="134">
        <f>IF(AND($B$17&lt;$F$2,$E$17&lt;$F$2),C6,IF($B$17&lt;$F$2,I6,F6))</f>
        <v>46.912580645161292</v>
      </c>
      <c r="F41" s="130"/>
      <c r="G41" s="130"/>
      <c r="H41" s="135">
        <f>ROUND(D41*(E41+F41),2)</f>
        <v>4731.6000000000004</v>
      </c>
      <c r="I41"/>
      <c r="J41" s="136">
        <f>IF(AND($B$17&lt;$F$2,$E$17&lt;$F$2),R6,IF($B$17&lt;$F$2,X6,U6))</f>
        <v>24.450322580645164</v>
      </c>
      <c r="K41" s="137">
        <f>D41*J41</f>
        <v>2466.0595354838711</v>
      </c>
      <c r="L41" s="144">
        <f>K41+K44+K47</f>
        <v>2567.2838709677421</v>
      </c>
      <c r="M41" s="1"/>
      <c r="N41" s="1"/>
      <c r="O41" s="1"/>
      <c r="P41" s="1"/>
    </row>
    <row r="42" spans="2:16" x14ac:dyDescent="0.25">
      <c r="B42" s="129" t="s">
        <v>129</v>
      </c>
      <c r="C42" s="130"/>
      <c r="D42" s="133">
        <v>100.86</v>
      </c>
      <c r="E42" s="134">
        <f>IF(AND($B$17&lt;$F$2,$E$17&lt;$F$2),C7,IF($B$17&lt;$F$2,I7,F7))</f>
        <v>31.319032258064517</v>
      </c>
      <c r="F42" s="130"/>
      <c r="G42" s="130"/>
      <c r="H42" s="135">
        <f>ROUND(D42*(E42+F42),2)</f>
        <v>3158.84</v>
      </c>
      <c r="I42"/>
      <c r="K42" s="1"/>
      <c r="L42" s="1"/>
      <c r="M42" s="1"/>
      <c r="N42" s="1"/>
      <c r="O42" s="1"/>
      <c r="P42" s="1"/>
    </row>
    <row r="43" spans="2:16" x14ac:dyDescent="0.25">
      <c r="B43" s="129"/>
      <c r="C43" s="130"/>
      <c r="D43" s="139"/>
      <c r="E43" s="130"/>
      <c r="F43" s="130"/>
      <c r="G43" s="130"/>
      <c r="H43" s="135"/>
      <c r="I43"/>
      <c r="K43" s="1"/>
      <c r="L43" s="1"/>
      <c r="M43" s="1"/>
      <c r="N43" s="1"/>
      <c r="O43" s="1"/>
      <c r="P43" s="1"/>
    </row>
    <row r="44" spans="2:16" x14ac:dyDescent="0.25">
      <c r="B44" s="129" t="s">
        <v>130</v>
      </c>
      <c r="C44" s="130"/>
      <c r="D44" s="133">
        <v>4.1399999999999997</v>
      </c>
      <c r="E44" s="134">
        <f>E41</f>
        <v>46.912580645161292</v>
      </c>
      <c r="F44" s="130"/>
      <c r="G44" s="130"/>
      <c r="H44" s="135">
        <f>ROUND(D44*(E44+F44),2)</f>
        <v>194.22</v>
      </c>
      <c r="I44"/>
      <c r="J44" s="145">
        <f>J41</f>
        <v>24.450322580645164</v>
      </c>
      <c r="K44" s="137">
        <f>D44*J44</f>
        <v>101.22433548387097</v>
      </c>
      <c r="L44" s="1"/>
      <c r="M44" s="1"/>
      <c r="N44" s="1"/>
      <c r="O44" s="1"/>
      <c r="P44" s="1"/>
    </row>
    <row r="45" spans="2:16" x14ac:dyDescent="0.25">
      <c r="B45" s="129" t="s">
        <v>131</v>
      </c>
      <c r="C45" s="130"/>
      <c r="D45" s="133">
        <v>4.1399999999999997</v>
      </c>
      <c r="E45" s="134">
        <f>E42</f>
        <v>31.319032258064517</v>
      </c>
      <c r="F45" s="130"/>
      <c r="G45" s="130"/>
      <c r="H45" s="135">
        <f>ROUND(D45*(E45+F45),2)</f>
        <v>129.66</v>
      </c>
      <c r="I45"/>
      <c r="K45" s="1"/>
      <c r="L45" s="1"/>
      <c r="M45" s="1"/>
      <c r="N45" s="1"/>
      <c r="O45" s="1"/>
      <c r="P45" s="1"/>
    </row>
    <row r="46" spans="2:16" x14ac:dyDescent="0.25">
      <c r="B46" s="129"/>
      <c r="C46" s="130"/>
      <c r="D46" s="139"/>
      <c r="E46" s="130"/>
      <c r="F46" s="130"/>
      <c r="G46" s="130"/>
      <c r="H46" s="135"/>
      <c r="I46"/>
      <c r="K46" s="1"/>
      <c r="L46" s="1"/>
      <c r="M46" s="1"/>
      <c r="N46" s="1"/>
      <c r="O46" s="1"/>
      <c r="P46" s="1"/>
    </row>
    <row r="47" spans="2:16" x14ac:dyDescent="0.25">
      <c r="B47" s="129" t="s">
        <v>132</v>
      </c>
      <c r="C47" s="130"/>
      <c r="D47" s="146">
        <v>0</v>
      </c>
      <c r="E47" s="147">
        <f>E41*2</f>
        <v>93.825161290322583</v>
      </c>
      <c r="F47" s="130"/>
      <c r="G47" s="130"/>
      <c r="H47" s="135">
        <f>ROUND(D47*(E47+F47),2)</f>
        <v>0</v>
      </c>
      <c r="I47"/>
      <c r="K47" s="1"/>
      <c r="L47" s="1"/>
      <c r="M47" s="1"/>
      <c r="N47" s="1"/>
      <c r="O47" s="1"/>
      <c r="P47" s="1"/>
    </row>
    <row r="48" spans="2:16" x14ac:dyDescent="0.25">
      <c r="B48" s="129" t="s">
        <v>133</v>
      </c>
      <c r="C48" s="130"/>
      <c r="D48" s="146">
        <v>0</v>
      </c>
      <c r="E48" s="147">
        <f>E42*2</f>
        <v>62.638064516129035</v>
      </c>
      <c r="F48" s="130"/>
      <c r="G48" s="130"/>
      <c r="H48" s="135">
        <f>ROUND(D48*(E48+F48),2)</f>
        <v>0</v>
      </c>
      <c r="I48"/>
      <c r="K48" s="1"/>
      <c r="L48" s="1"/>
      <c r="M48" s="1"/>
      <c r="N48" s="1"/>
      <c r="O48" s="1"/>
      <c r="P48" s="1"/>
    </row>
    <row r="49" spans="2:16" x14ac:dyDescent="0.25">
      <c r="B49" s="129"/>
      <c r="C49" s="130"/>
      <c r="D49" s="146"/>
      <c r="E49" s="147"/>
      <c r="F49" s="130"/>
      <c r="G49" s="130"/>
      <c r="H49" s="135"/>
      <c r="K49" s="1"/>
      <c r="L49" s="1"/>
      <c r="M49" s="1"/>
      <c r="N49" s="1"/>
      <c r="O49" s="1"/>
      <c r="P49" s="1"/>
    </row>
    <row r="50" spans="2:16" x14ac:dyDescent="0.25">
      <c r="B50" s="119" t="s">
        <v>140</v>
      </c>
      <c r="C50" s="120"/>
      <c r="D50" s="121">
        <f>-D33</f>
        <v>0</v>
      </c>
      <c r="E50" s="122">
        <f>E25</f>
        <v>0.12371709677419356</v>
      </c>
      <c r="F50" s="122">
        <f>IF(AND($B$17&lt;$F$2,$E$17&lt;$F$2),D9,IF($B$17&lt;$F$2,K9,H9))</f>
        <v>5.5406854838709677E-2</v>
      </c>
      <c r="G50" s="122">
        <f>E50+F50</f>
        <v>0.17912395161290323</v>
      </c>
      <c r="H50" s="124">
        <f>ROUND(D50*(E50+F50),2)</f>
        <v>0</v>
      </c>
      <c r="K50" s="1"/>
      <c r="L50" s="1"/>
      <c r="M50" s="1"/>
      <c r="N50" s="1"/>
      <c r="O50" s="1"/>
      <c r="P50" s="1"/>
    </row>
    <row r="51" spans="2:16" x14ac:dyDescent="0.25">
      <c r="B51" s="119" t="s">
        <v>141</v>
      </c>
      <c r="C51" s="120"/>
      <c r="D51" s="121">
        <f>-D34</f>
        <v>-1422.72</v>
      </c>
      <c r="E51" s="122">
        <f>E26</f>
        <v>0.12371709677419356</v>
      </c>
      <c r="F51" s="122">
        <f>IF(AND($B$17&lt;$F$2,$E$17&lt;$F$2),D10,IF($B$17&lt;$F$2,K10,H10))</f>
        <v>3.513024193548387E-2</v>
      </c>
      <c r="G51" s="122">
        <f>E51+F51</f>
        <v>0.15884733870967743</v>
      </c>
      <c r="H51" s="124">
        <f>ROUND(D51*(E51+F51),2)</f>
        <v>-226</v>
      </c>
      <c r="K51" s="1"/>
      <c r="L51" s="1"/>
      <c r="M51" s="1"/>
      <c r="N51" s="1"/>
      <c r="O51" s="1"/>
      <c r="P51" s="1"/>
    </row>
    <row r="52" spans="2:16" x14ac:dyDescent="0.25">
      <c r="B52" s="119"/>
      <c r="C52" s="120"/>
      <c r="D52" s="125"/>
      <c r="E52" s="120"/>
      <c r="F52" s="126"/>
      <c r="G52" s="126"/>
      <c r="H52" s="124"/>
      <c r="K52" s="1"/>
      <c r="L52" s="1"/>
      <c r="M52" s="1"/>
      <c r="N52" s="1"/>
      <c r="O52" s="1"/>
      <c r="P52" s="1"/>
    </row>
    <row r="53" spans="2:16" x14ac:dyDescent="0.25">
      <c r="B53" s="119" t="s">
        <v>142</v>
      </c>
      <c r="C53" s="120"/>
      <c r="D53" s="121">
        <f>-D50</f>
        <v>0</v>
      </c>
      <c r="E53" s="122">
        <f>E50*F19</f>
        <v>0.12371709677419356</v>
      </c>
      <c r="F53" s="123">
        <f>F50*H19</f>
        <v>5.5406854838709677E-2</v>
      </c>
      <c r="G53" s="122">
        <f>E53+F53</f>
        <v>0.17912395161290323</v>
      </c>
      <c r="H53" s="124">
        <f>ROUND(D53*(E53+F53),2)</f>
        <v>0</v>
      </c>
      <c r="K53" s="1"/>
      <c r="L53" s="1"/>
      <c r="M53" s="1"/>
      <c r="N53" s="1"/>
      <c r="O53" s="1"/>
      <c r="P53" s="1"/>
    </row>
    <row r="54" spans="2:16" x14ac:dyDescent="0.25">
      <c r="B54" s="119" t="s">
        <v>143</v>
      </c>
      <c r="C54" s="120"/>
      <c r="D54" s="121">
        <f>-D51</f>
        <v>1422.72</v>
      </c>
      <c r="E54" s="122">
        <f>E51*F20</f>
        <v>0.12371709677419356</v>
      </c>
      <c r="F54" s="123">
        <f>F51*H20</f>
        <v>3.513024193548387E-2</v>
      </c>
      <c r="G54" s="122">
        <f>E54+F54</f>
        <v>0.15884733870967743</v>
      </c>
      <c r="H54" s="124">
        <f>ROUND(D54*(E54+F54),2)</f>
        <v>226</v>
      </c>
      <c r="K54" s="1"/>
      <c r="L54" s="1"/>
      <c r="M54" s="1"/>
      <c r="N54" s="1"/>
      <c r="O54" s="1"/>
      <c r="P54" s="1"/>
    </row>
    <row r="55" spans="2:16" x14ac:dyDescent="0.25">
      <c r="B55" s="129"/>
      <c r="C55" s="130"/>
      <c r="D55" s="146"/>
      <c r="E55" s="147"/>
      <c r="F55" s="130"/>
      <c r="G55" s="130"/>
      <c r="H55" s="135"/>
      <c r="K55" s="1"/>
      <c r="L55" s="1"/>
      <c r="M55" s="1"/>
      <c r="N55" s="1"/>
      <c r="O55" s="1"/>
      <c r="P55" s="1"/>
    </row>
    <row r="56" spans="2:16" x14ac:dyDescent="0.25">
      <c r="B56" s="129" t="s">
        <v>117</v>
      </c>
      <c r="C56" s="130"/>
      <c r="D56" s="133">
        <v>27.675000000000001</v>
      </c>
      <c r="E56" s="134"/>
      <c r="F56" s="134">
        <f>IF(AND($B$17&lt;$F$2,$E$17&lt;$F$2),E8,IF($B$17&lt;$F$2,K8,H8))</f>
        <v>0.30007032258064514</v>
      </c>
      <c r="G56" s="130"/>
      <c r="H56" s="135">
        <f>ROUND(D56*(E56+F56),2)</f>
        <v>8.3000000000000007</v>
      </c>
      <c r="J56" s="1"/>
      <c r="K56" s="1"/>
      <c r="L56" s="1"/>
      <c r="M56" s="1"/>
      <c r="N56" s="1"/>
      <c r="O56" s="1"/>
      <c r="P56" s="1"/>
    </row>
    <row r="57" spans="2:16" x14ac:dyDescent="0.25">
      <c r="B57" s="148" t="s">
        <v>118</v>
      </c>
      <c r="C57" s="149"/>
      <c r="D57" s="133">
        <v>0</v>
      </c>
      <c r="E57" s="150">
        <f>E42</f>
        <v>31.319032258064517</v>
      </c>
      <c r="F57" s="149"/>
      <c r="G57" s="149"/>
      <c r="H57" s="151">
        <f>ROUND(D57*(E57+F57),2)</f>
        <v>0</v>
      </c>
      <c r="K57" s="1"/>
      <c r="L57" s="97"/>
      <c r="M57" s="1"/>
      <c r="N57" s="1"/>
      <c r="O57" s="1"/>
      <c r="P57" s="1"/>
    </row>
    <row r="58" spans="2:16" x14ac:dyDescent="0.25">
      <c r="B58" s="152"/>
      <c r="C58" s="153"/>
      <c r="D58" s="153"/>
      <c r="E58" s="153"/>
      <c r="F58" s="153"/>
      <c r="G58" s="154"/>
      <c r="H58" s="155"/>
      <c r="K58" s="1"/>
      <c r="L58" s="1"/>
      <c r="M58" s="1"/>
      <c r="N58" s="1"/>
      <c r="O58" s="1"/>
      <c r="P58" s="1"/>
    </row>
    <row r="59" spans="2:16" x14ac:dyDescent="0.25">
      <c r="B59" s="129"/>
      <c r="C59" s="130"/>
      <c r="D59" s="156" t="s">
        <v>48</v>
      </c>
      <c r="E59" s="157"/>
      <c r="F59" s="157"/>
      <c r="G59" s="130"/>
      <c r="H59" s="158"/>
      <c r="J59" s="67"/>
      <c r="K59" s="1"/>
      <c r="L59" s="1"/>
      <c r="M59" s="1"/>
      <c r="N59" s="1"/>
      <c r="O59" s="1"/>
      <c r="P59" s="1"/>
    </row>
    <row r="60" spans="2:16" x14ac:dyDescent="0.25">
      <c r="B60" s="129" t="s">
        <v>49</v>
      </c>
      <c r="C60" s="130"/>
      <c r="D60" s="159">
        <f>(SUM(H25:H31)+H41+H42+H47+H48+H56+H57)/(1-E60-E63)</f>
        <v>14337.416247906198</v>
      </c>
      <c r="E60" s="160">
        <v>8.0000000000000002E-3</v>
      </c>
      <c r="F60" s="130"/>
      <c r="G60" s="130"/>
      <c r="H60" s="135">
        <f>D60*E60</f>
        <v>114.69932998324958</v>
      </c>
      <c r="K60" s="1"/>
      <c r="L60" s="1"/>
      <c r="M60" s="1"/>
      <c r="N60" s="1"/>
      <c r="O60" s="1"/>
      <c r="P60" s="1"/>
    </row>
    <row r="61" spans="2:16" x14ac:dyDescent="0.25">
      <c r="B61" s="129" t="s">
        <v>119</v>
      </c>
      <c r="C61" s="130"/>
      <c r="D61" s="159">
        <f>(SUM(H33:H39))/(1-E60-E63)</f>
        <v>-609.14991624790616</v>
      </c>
      <c r="E61" s="161">
        <f>E60</f>
        <v>8.0000000000000002E-3</v>
      </c>
      <c r="F61" s="130"/>
      <c r="G61" s="130"/>
      <c r="H61" s="135">
        <f t="shared" ref="H61:H65" si="2">D61*E61</f>
        <v>-4.8731993299832492</v>
      </c>
      <c r="K61" s="1"/>
      <c r="L61" s="1"/>
      <c r="M61" s="1"/>
      <c r="N61" s="1"/>
      <c r="O61" s="1"/>
      <c r="P61" s="1"/>
    </row>
    <row r="62" spans="2:16" x14ac:dyDescent="0.25">
      <c r="B62" s="129" t="s">
        <v>120</v>
      </c>
      <c r="C62" s="130"/>
      <c r="D62" s="159">
        <f>(H44+H45)/(1-E62-E65)</f>
        <v>339.07035175879395</v>
      </c>
      <c r="E62" s="161">
        <f>E60</f>
        <v>8.0000000000000002E-3</v>
      </c>
      <c r="F62" s="130"/>
      <c r="G62" s="130"/>
      <c r="H62" s="135">
        <f t="shared" si="2"/>
        <v>2.7125628140703517</v>
      </c>
      <c r="K62" s="1"/>
      <c r="L62" s="1"/>
      <c r="M62" s="1"/>
      <c r="N62" s="1"/>
      <c r="O62" s="1"/>
      <c r="P62" s="1"/>
    </row>
    <row r="63" spans="2:16" x14ac:dyDescent="0.25">
      <c r="B63" s="129" t="s">
        <v>51</v>
      </c>
      <c r="C63" s="130"/>
      <c r="D63" s="159">
        <f>D60</f>
        <v>14337.416247906198</v>
      </c>
      <c r="E63" s="160">
        <v>3.6799999999999999E-2</v>
      </c>
      <c r="F63" s="130"/>
      <c r="G63" s="130"/>
      <c r="H63" s="135">
        <f t="shared" si="2"/>
        <v>527.61691792294812</v>
      </c>
      <c r="K63" s="1"/>
      <c r="L63" s="1"/>
      <c r="M63" s="1"/>
      <c r="N63" s="1"/>
      <c r="O63" s="1"/>
      <c r="P63" s="1"/>
    </row>
    <row r="64" spans="2:16" x14ac:dyDescent="0.25">
      <c r="B64" s="129" t="s">
        <v>121</v>
      </c>
      <c r="C64" s="130"/>
      <c r="D64" s="159">
        <f>D61</f>
        <v>-609.14991624790616</v>
      </c>
      <c r="E64" s="161">
        <f>E63</f>
        <v>3.6799999999999999E-2</v>
      </c>
      <c r="F64" s="130"/>
      <c r="G64" s="130"/>
      <c r="H64" s="135">
        <f t="shared" si="2"/>
        <v>-22.416716917922948</v>
      </c>
      <c r="K64" s="1"/>
      <c r="L64" s="1"/>
      <c r="M64" s="1"/>
      <c r="N64" s="1"/>
      <c r="O64" s="1"/>
      <c r="P64" s="1"/>
    </row>
    <row r="65" spans="2:16" x14ac:dyDescent="0.25">
      <c r="B65" s="129" t="s">
        <v>122</v>
      </c>
      <c r="C65" s="130"/>
      <c r="D65" s="159">
        <f>D62</f>
        <v>339.07035175879395</v>
      </c>
      <c r="E65" s="161">
        <f>E63</f>
        <v>3.6799999999999999E-2</v>
      </c>
      <c r="F65" s="130"/>
      <c r="G65" s="130"/>
      <c r="H65" s="135">
        <f t="shared" si="2"/>
        <v>12.477788944723617</v>
      </c>
      <c r="K65" s="1"/>
      <c r="L65" s="1"/>
      <c r="M65" s="1"/>
      <c r="N65" s="1"/>
      <c r="O65" s="1"/>
      <c r="P65" s="1"/>
    </row>
    <row r="66" spans="2:16" x14ac:dyDescent="0.25">
      <c r="B66" s="148" t="s">
        <v>11</v>
      </c>
      <c r="C66" s="149"/>
      <c r="D66" s="162">
        <f>D60/(1-E66)</f>
        <v>17273.995479405057</v>
      </c>
      <c r="E66" s="163">
        <v>0.17</v>
      </c>
      <c r="F66" s="149"/>
      <c r="G66" s="149"/>
      <c r="H66" s="151">
        <f>D66*E66</f>
        <v>2936.5792314988598</v>
      </c>
      <c r="K66" s="1"/>
      <c r="L66" s="1"/>
      <c r="M66" s="1"/>
      <c r="N66" s="1"/>
      <c r="O66" s="1"/>
      <c r="P66" s="1"/>
    </row>
    <row r="67" spans="2:16" x14ac:dyDescent="0.25">
      <c r="B67" s="148" t="s">
        <v>123</v>
      </c>
      <c r="C67" s="149"/>
      <c r="D67" s="162">
        <f>((D33*F33)+(D34*F34)+SUM(H36:H39)+(D50*F50)+(D51*F51)+(D53*F53)+(D54*F54))/(1-E61-E64)/(1-E67)</f>
        <v>-511.90269653748726</v>
      </c>
      <c r="E67" s="163">
        <f>E66</f>
        <v>0.17</v>
      </c>
      <c r="F67" s="149"/>
      <c r="G67" s="149"/>
      <c r="H67" s="151">
        <f>D67*E67</f>
        <v>-87.023458411372843</v>
      </c>
      <c r="K67" s="1"/>
      <c r="L67" s="1"/>
      <c r="M67" s="1"/>
      <c r="N67" s="1"/>
      <c r="O67" s="1"/>
      <c r="P67" s="1"/>
    </row>
  </sheetData>
  <mergeCells count="10">
    <mergeCell ref="U4:W4"/>
    <mergeCell ref="X4:Z4"/>
    <mergeCell ref="K14:L14"/>
    <mergeCell ref="B22:H22"/>
    <mergeCell ref="B4:B5"/>
    <mergeCell ref="C4:E4"/>
    <mergeCell ref="F4:H4"/>
    <mergeCell ref="I4:K4"/>
    <mergeCell ref="Q4:Q5"/>
    <mergeCell ref="R4:T4"/>
  </mergeCells>
  <conditionalFormatting sqref="K15:L15">
    <cfRule type="cellIs" dxfId="27" priority="1" operator="equal">
      <formula>"Escassez Hídrica"</formula>
    </cfRule>
    <cfRule type="cellIs" dxfId="26" priority="2" operator="equal">
      <formula>"VERDE"</formula>
    </cfRule>
    <cfRule type="cellIs" dxfId="25" priority="3" operator="equal">
      <formula>"BVM2"</formula>
    </cfRule>
    <cfRule type="cellIs" dxfId="24" priority="4" operator="equal">
      <formula>"BVM1"</formula>
    </cfRule>
    <cfRule type="cellIs" dxfId="23" priority="5" operator="equal">
      <formula>"BAM"</formula>
    </cfRule>
  </conditionalFormatting>
  <conditionalFormatting sqref="M3">
    <cfRule type="cellIs" dxfId="22" priority="16" operator="equal">
      <formula>"VERDE"</formula>
    </cfRule>
    <cfRule type="cellIs" dxfId="21" priority="17" operator="equal">
      <formula>"BVM2"</formula>
    </cfRule>
    <cfRule type="cellIs" dxfId="20" priority="18" operator="equal">
      <formula>"BVM1"</formula>
    </cfRule>
    <cfRule type="cellIs" dxfId="19" priority="19" operator="equal">
      <formula>"BAM"</formula>
    </cfRule>
  </conditionalFormatting>
  <conditionalFormatting sqref="M7">
    <cfRule type="containsText" dxfId="18" priority="11" operator="containsText" text="Escassez Hídrica">
      <formula>NOT(ISERROR(SEARCH("Escassez Hídrica",M7)))</formula>
    </cfRule>
    <cfRule type="cellIs" dxfId="17" priority="12" operator="equal">
      <formula>"VERDE"</formula>
    </cfRule>
    <cfRule type="cellIs" dxfId="16" priority="13" operator="equal">
      <formula>"BVM2"</formula>
    </cfRule>
    <cfRule type="cellIs" dxfId="15" priority="14" operator="equal">
      <formula>"BVM1"</formula>
    </cfRule>
    <cfRule type="cellIs" dxfId="14" priority="15" operator="equal">
      <formula>"BAM"</formula>
    </cfRule>
  </conditionalFormatting>
  <dataValidations count="1">
    <dataValidation type="list" allowBlank="1" showInputMessage="1" showErrorMessage="1" sqref="K15:L15" xr:uid="{FF407EE5-EF16-4449-9D83-8D0BEBAE8D7D}">
      <formula1>$M$3:$M$7</formula1>
    </dataValidation>
  </dataValidations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D7D76-9137-4B88-AAF6-BC1D4949A705}">
  <dimension ref="A1:AF227"/>
  <sheetViews>
    <sheetView showGridLines="0" topLeftCell="A13" zoomScale="80" zoomScaleNormal="80" workbookViewId="0">
      <selection activeCell="H28" sqref="H28"/>
    </sheetView>
  </sheetViews>
  <sheetFormatPr defaultColWidth="9.125" defaultRowHeight="14.3" x14ac:dyDescent="0.25"/>
  <cols>
    <col min="1" max="1" width="5.375" style="19" customWidth="1"/>
    <col min="2" max="2" width="19.25" style="19" customWidth="1"/>
    <col min="3" max="3" width="15.75" style="19" customWidth="1"/>
    <col min="4" max="10" width="12.75" style="19" customWidth="1"/>
    <col min="11" max="12" width="13.875" style="19" customWidth="1"/>
    <col min="13" max="16" width="12.75" style="19" customWidth="1"/>
    <col min="17" max="17" width="9.375" style="19" bestFit="1" customWidth="1"/>
    <col min="18" max="18" width="12.125" style="19" bestFit="1" customWidth="1"/>
    <col min="19" max="19" width="13.125" style="19" bestFit="1" customWidth="1"/>
    <col min="20" max="20" width="11.25" style="19" bestFit="1" customWidth="1"/>
    <col min="21" max="21" width="12.125" style="19" bestFit="1" customWidth="1"/>
    <col min="22" max="22" width="13.125" style="19" bestFit="1" customWidth="1"/>
    <col min="23" max="23" width="11.25" style="19" bestFit="1" customWidth="1"/>
    <col min="24" max="24" width="12.125" style="19" bestFit="1" customWidth="1"/>
    <col min="25" max="25" width="13.125" style="19" bestFit="1" customWidth="1"/>
    <col min="26" max="26" width="11.25" style="19" bestFit="1" customWidth="1"/>
    <col min="27" max="16384" width="9.125" style="19"/>
  </cols>
  <sheetData>
    <row r="1" spans="1:26" x14ac:dyDescent="0.25">
      <c r="A1" s="19" t="s">
        <v>8</v>
      </c>
      <c r="B1" s="19" t="s">
        <v>8</v>
      </c>
      <c r="F1" s="24"/>
      <c r="G1" s="1"/>
      <c r="H1" s="1" t="s">
        <v>8</v>
      </c>
      <c r="I1" s="1"/>
      <c r="J1" s="1"/>
      <c r="K1" s="1"/>
      <c r="L1" s="19" t="s">
        <v>8</v>
      </c>
    </row>
    <row r="2" spans="1:26" ht="19.05" x14ac:dyDescent="0.25">
      <c r="A2" s="19" t="s">
        <v>8</v>
      </c>
      <c r="B2" s="25" t="s">
        <v>154</v>
      </c>
      <c r="E2" s="20" t="s">
        <v>28</v>
      </c>
      <c r="F2" s="21">
        <v>45145</v>
      </c>
      <c r="G2" s="1" t="s">
        <v>8</v>
      </c>
      <c r="I2" s="101" t="s">
        <v>65</v>
      </c>
      <c r="J2" s="1"/>
      <c r="K2" s="1"/>
      <c r="M2" s="6" t="s">
        <v>12</v>
      </c>
      <c r="N2" s="6" t="s">
        <v>6</v>
      </c>
      <c r="O2" s="19" t="s">
        <v>29</v>
      </c>
      <c r="Q2" s="26" t="s">
        <v>30</v>
      </c>
      <c r="R2" s="27"/>
    </row>
    <row r="3" spans="1:26" x14ac:dyDescent="0.25">
      <c r="M3" s="7" t="s">
        <v>13</v>
      </c>
      <c r="N3" s="8">
        <v>0</v>
      </c>
    </row>
    <row r="4" spans="1:26" ht="14.95" customHeight="1" x14ac:dyDescent="0.25">
      <c r="B4" s="518" t="s">
        <v>152</v>
      </c>
      <c r="C4" s="466" t="s">
        <v>58</v>
      </c>
      <c r="D4" s="466"/>
      <c r="E4" s="466"/>
      <c r="F4" s="466" t="s">
        <v>59</v>
      </c>
      <c r="G4" s="466"/>
      <c r="H4" s="466"/>
      <c r="I4" s="467" t="s">
        <v>32</v>
      </c>
      <c r="J4" s="467"/>
      <c r="K4" s="467"/>
      <c r="M4" s="9" t="s">
        <v>14</v>
      </c>
      <c r="N4" s="10">
        <v>2.989E-2</v>
      </c>
      <c r="Q4" s="464" t="s">
        <v>31</v>
      </c>
      <c r="R4" s="457" t="str">
        <f>C4</f>
        <v>TARIFA ANTIGA - REH 3091/2022</v>
      </c>
      <c r="S4" s="458"/>
      <c r="T4" s="459"/>
      <c r="U4" s="457" t="str">
        <f>F4</f>
        <v>TARIFA NOVA - REH XXXX/2023</v>
      </c>
      <c r="V4" s="458"/>
      <c r="W4" s="459"/>
      <c r="X4" s="457" t="s">
        <v>32</v>
      </c>
      <c r="Y4" s="458"/>
      <c r="Z4" s="459"/>
    </row>
    <row r="5" spans="1:26" x14ac:dyDescent="0.25">
      <c r="B5" s="519"/>
      <c r="C5" s="28" t="s">
        <v>33</v>
      </c>
      <c r="D5" s="28" t="s">
        <v>9</v>
      </c>
      <c r="E5" s="28" t="s">
        <v>34</v>
      </c>
      <c r="F5" s="28" t="s">
        <v>33</v>
      </c>
      <c r="G5" s="28" t="s">
        <v>9</v>
      </c>
      <c r="H5" s="28" t="s">
        <v>34</v>
      </c>
      <c r="I5" s="29" t="s">
        <v>33</v>
      </c>
      <c r="J5" s="29" t="s">
        <v>9</v>
      </c>
      <c r="K5" s="29" t="s">
        <v>34</v>
      </c>
      <c r="M5" s="11" t="s">
        <v>15</v>
      </c>
      <c r="N5" s="12">
        <v>6.5000000000000002E-2</v>
      </c>
      <c r="Q5" s="465"/>
      <c r="R5" s="28" t="s">
        <v>35</v>
      </c>
      <c r="S5" s="1"/>
      <c r="T5" s="1"/>
      <c r="U5" s="28" t="s">
        <v>35</v>
      </c>
      <c r="V5" s="1"/>
      <c r="W5" s="1"/>
      <c r="X5" s="28" t="s">
        <v>35</v>
      </c>
      <c r="Y5" s="1"/>
      <c r="Z5" s="1"/>
    </row>
    <row r="6" spans="1:26" x14ac:dyDescent="0.25">
      <c r="B6" s="30" t="s">
        <v>153</v>
      </c>
      <c r="C6" s="31">
        <v>0.27266000000000001</v>
      </c>
      <c r="D6" s="31">
        <v>0.27703</v>
      </c>
      <c r="E6" s="31">
        <f t="shared" ref="E6" si="0">C6+D6</f>
        <v>0.54969000000000001</v>
      </c>
      <c r="F6" s="31">
        <v>0.27266000000000001</v>
      </c>
      <c r="G6" s="31">
        <v>0.27703</v>
      </c>
      <c r="H6" s="31">
        <f t="shared" ref="H6" si="1">F6+G6</f>
        <v>0.54969000000000001</v>
      </c>
      <c r="I6" s="31">
        <f>((C6*$C$13)+(F6*$D$13))/($D$13+$C$13)</f>
        <v>0.27266000000000001</v>
      </c>
      <c r="J6" s="31">
        <f>((D6*$C$13)+(G6*$D$13))/($D$13+$C$13)</f>
        <v>0.27703</v>
      </c>
      <c r="K6" s="32">
        <f t="shared" ref="K6" si="2">I6+J6</f>
        <v>0.54969000000000001</v>
      </c>
      <c r="M6" s="13" t="s">
        <v>16</v>
      </c>
      <c r="N6" s="14">
        <v>9.7949999999999995E-2</v>
      </c>
      <c r="P6" s="33"/>
      <c r="Q6" s="30" t="str">
        <f>B6</f>
        <v>Baixa renda</v>
      </c>
      <c r="R6" s="31">
        <f>'[2]FIO B'!H11/1000</f>
        <v>0.19205</v>
      </c>
      <c r="S6" s="1"/>
      <c r="T6" s="1"/>
      <c r="U6" s="31">
        <f>'[2]FIO B'!K11/1000</f>
        <v>0.17652000000000001</v>
      </c>
      <c r="V6" s="1"/>
      <c r="W6" s="1"/>
      <c r="X6" s="31">
        <f>((R6*$C$13)+(U6*$D$13))/($D$13+$C$13)</f>
        <v>0.18503645161290322</v>
      </c>
      <c r="Y6" s="1"/>
      <c r="Z6" s="1"/>
    </row>
    <row r="7" spans="1:26" x14ac:dyDescent="0.25">
      <c r="B7" s="94" t="s">
        <v>57</v>
      </c>
      <c r="C7" s="83"/>
      <c r="D7" s="83"/>
      <c r="E7" s="83"/>
      <c r="F7" s="83"/>
      <c r="G7" s="81">
        <f>G6*15%</f>
        <v>4.1554500000000001E-2</v>
      </c>
      <c r="H7" s="83"/>
      <c r="I7" s="83"/>
      <c r="J7" s="31">
        <f>((D7*$C$13)+(G7*$D$13))/($D$13+$C$13)</f>
        <v>1.8766548387096776E-2</v>
      </c>
      <c r="K7" s="84"/>
      <c r="M7" s="7" t="s">
        <v>17</v>
      </c>
      <c r="N7" s="15">
        <v>0.14199999999999999</v>
      </c>
      <c r="P7" s="33"/>
      <c r="Q7" s="82"/>
      <c r="R7" s="83"/>
      <c r="S7" s="1"/>
      <c r="T7" s="1"/>
      <c r="U7" s="83"/>
      <c r="V7" s="1"/>
      <c r="W7" s="1"/>
      <c r="X7" s="83"/>
      <c r="Y7" s="1"/>
      <c r="Z7" s="1"/>
    </row>
    <row r="8" spans="1:26" x14ac:dyDescent="0.25">
      <c r="A8" s="19" t="s">
        <v>8</v>
      </c>
      <c r="G8" s="1"/>
      <c r="H8" s="1"/>
      <c r="I8" s="1"/>
      <c r="J8" s="1"/>
      <c r="K8" s="1"/>
      <c r="O8" s="20"/>
      <c r="P8" s="1" t="s">
        <v>8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B9" s="34"/>
      <c r="C9" s="35"/>
      <c r="D9" s="36"/>
      <c r="E9" s="35"/>
      <c r="F9" s="35"/>
      <c r="G9" s="35"/>
      <c r="H9" s="37" t="s">
        <v>37</v>
      </c>
      <c r="I9" s="1"/>
      <c r="L9" s="20" t="s">
        <v>25</v>
      </c>
      <c r="M9" s="21">
        <f>EOMONTH(B13,0)+1</f>
        <v>45139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B10" s="38" t="s">
        <v>38</v>
      </c>
      <c r="C10" s="39">
        <v>1182321</v>
      </c>
      <c r="E10" s="1"/>
      <c r="F10" s="1"/>
      <c r="G10" s="1"/>
      <c r="H10" s="40">
        <f>E13</f>
        <v>45158</v>
      </c>
      <c r="K10" s="460" t="s">
        <v>26</v>
      </c>
      <c r="L10" s="460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9" t="s">
        <v>8</v>
      </c>
      <c r="B11" s="41"/>
      <c r="H11" s="43"/>
      <c r="K11" s="7" t="s">
        <v>13</v>
      </c>
      <c r="L11" s="7" t="s">
        <v>13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.2" x14ac:dyDescent="0.25">
      <c r="B12" s="16" t="s">
        <v>21</v>
      </c>
      <c r="C12" s="16" t="s">
        <v>22</v>
      </c>
      <c r="D12" s="16" t="s">
        <v>23</v>
      </c>
      <c r="E12" s="16" t="s">
        <v>24</v>
      </c>
      <c r="F12" s="1"/>
      <c r="G12" s="1"/>
      <c r="H12" s="43"/>
      <c r="J12" s="16" t="s">
        <v>21</v>
      </c>
      <c r="K12" s="16" t="s">
        <v>22</v>
      </c>
      <c r="L12" s="16" t="s">
        <v>23</v>
      </c>
      <c r="M12" s="16" t="s">
        <v>24</v>
      </c>
    </row>
    <row r="13" spans="1:26" x14ac:dyDescent="0.25">
      <c r="B13" s="17">
        <v>45127</v>
      </c>
      <c r="C13" s="18">
        <f>IF((F2-B13-1)&lt;0,0,(F2-B13-1))</f>
        <v>17</v>
      </c>
      <c r="D13" s="18">
        <f>E13-F2+1</f>
        <v>14</v>
      </c>
      <c r="E13" s="17">
        <v>45158</v>
      </c>
      <c r="F13" s="44"/>
      <c r="G13" s="44"/>
      <c r="H13" s="45"/>
      <c r="J13" s="22">
        <f>B13</f>
        <v>45127</v>
      </c>
      <c r="K13" s="23">
        <f>IF((M9-J13-1)&lt;0,0,(M9-J13-1))</f>
        <v>11</v>
      </c>
      <c r="L13" s="23">
        <f>M13-M9+1</f>
        <v>20</v>
      </c>
      <c r="M13" s="22">
        <f>E13</f>
        <v>45158</v>
      </c>
    </row>
    <row r="15" spans="1:26" x14ac:dyDescent="0.25">
      <c r="B15" s="1" t="s">
        <v>0</v>
      </c>
      <c r="C15" s="1"/>
      <c r="D15" s="2"/>
    </row>
    <row r="16" spans="1:26" x14ac:dyDescent="0.25">
      <c r="A16" s="99" t="s">
        <v>60</v>
      </c>
      <c r="B16" s="1" t="s">
        <v>63</v>
      </c>
      <c r="D16" s="100" t="s">
        <v>62</v>
      </c>
      <c r="E16" s="1"/>
      <c r="G16" s="89">
        <f>IF(D16="monofásico",30,IF(D16="bifásico",50,100))</f>
        <v>100</v>
      </c>
      <c r="H16" s="3" t="s">
        <v>2</v>
      </c>
    </row>
    <row r="17" spans="1:32" x14ac:dyDescent="0.25">
      <c r="A17" s="99" t="s">
        <v>61</v>
      </c>
      <c r="B17" s="1" t="s">
        <v>4</v>
      </c>
      <c r="G17" s="79">
        <f>I6</f>
        <v>0.27266000000000001</v>
      </c>
      <c r="H17" s="3" t="s">
        <v>6</v>
      </c>
    </row>
    <row r="18" spans="1:32" x14ac:dyDescent="0.25">
      <c r="A18" s="99" t="s">
        <v>62</v>
      </c>
      <c r="B18" s="1" t="s">
        <v>5</v>
      </c>
      <c r="G18" s="79">
        <f>J6</f>
        <v>0.27703</v>
      </c>
      <c r="H18" s="3" t="s">
        <v>6</v>
      </c>
      <c r="J18" s="19" t="s">
        <v>56</v>
      </c>
    </row>
    <row r="19" spans="1:32" x14ac:dyDescent="0.25">
      <c r="B19" s="1" t="s">
        <v>18</v>
      </c>
      <c r="G19" s="80">
        <f>(IF($K$11=M4,(G16*(K13)/(K13+L13)),0)+IF($L$11=M4,(G16*(L13)/(K13+L13)),0))*N4</f>
        <v>0</v>
      </c>
      <c r="H19" s="3" t="s">
        <v>7</v>
      </c>
      <c r="I19" s="19">
        <f>IF(OR($K$11=M4,$L$11=M4),N4,0)</f>
        <v>0</v>
      </c>
      <c r="J19" s="19">
        <f>(IF($K$11=M4,(N4*(K13)/(K13+L13)),0)+IF($L$11=M4,(N4*(L13)/(K13+L13)),0))</f>
        <v>0</v>
      </c>
    </row>
    <row r="20" spans="1:32" x14ac:dyDescent="0.25">
      <c r="B20" s="1" t="s">
        <v>20</v>
      </c>
      <c r="G20" s="80">
        <f>(IF($K$11=M5,(G16*(K13)/(K13+L13)),0)+IF($L$11=M5,(G16*(L13)/(K13+L13)),0))*N5</f>
        <v>0</v>
      </c>
      <c r="H20" s="3" t="s">
        <v>7</v>
      </c>
      <c r="I20" s="19">
        <f t="shared" ref="I20:I21" si="3">IF(OR($K$11=M5,$L$11=M5),N5,0)</f>
        <v>0</v>
      </c>
      <c r="J20" s="19">
        <f>(IF($K$11=M5,(N5*(K13)/(K13+L13)),0)+IF($L$11=M5,(N5*(L13)/(K13+L13)),0))</f>
        <v>0</v>
      </c>
    </row>
    <row r="21" spans="1:32" x14ac:dyDescent="0.25">
      <c r="B21" s="1" t="s">
        <v>19</v>
      </c>
      <c r="G21" s="80">
        <f>(IF($K$11=M6,(G16*(K13)/(K13+L13)),0)+IF($L$11=M6,(G16*(L13)/(K13+L13)),0))*N6</f>
        <v>0</v>
      </c>
      <c r="H21" s="3" t="s">
        <v>7</v>
      </c>
      <c r="I21" s="19">
        <f t="shared" si="3"/>
        <v>0</v>
      </c>
      <c r="J21" s="19">
        <f>(IF($K$11=M6,(N6*(K13)/(K13+L13)),0)+IF($L$11=M6,(N6*(L13)/(K13+L13)),0))</f>
        <v>0</v>
      </c>
    </row>
    <row r="22" spans="1:32" x14ac:dyDescent="0.25">
      <c r="B22" s="1" t="s">
        <v>54</v>
      </c>
      <c r="G22" s="87">
        <f>G16*(G17+G18)+G19+G20+G21</f>
        <v>54.969000000000001</v>
      </c>
      <c r="H22" s="4" t="s">
        <v>7</v>
      </c>
    </row>
    <row r="24" spans="1:32" x14ac:dyDescent="0.25">
      <c r="B24" s="88" t="s">
        <v>1</v>
      </c>
      <c r="C24" s="88"/>
      <c r="D24" s="88"/>
      <c r="E24" s="88"/>
      <c r="F24" s="88"/>
      <c r="G24" s="89">
        <v>1000</v>
      </c>
      <c r="H24" s="3" t="s">
        <v>2</v>
      </c>
    </row>
    <row r="25" spans="1:32" x14ac:dyDescent="0.25">
      <c r="B25" s="88" t="s">
        <v>3</v>
      </c>
      <c r="C25" s="88"/>
      <c r="D25" s="88"/>
      <c r="E25" s="88"/>
      <c r="F25" s="88"/>
      <c r="G25" s="89">
        <v>600</v>
      </c>
      <c r="H25" s="3" t="s">
        <v>2</v>
      </c>
      <c r="I25" s="91">
        <f>G25+D53</f>
        <v>570</v>
      </c>
    </row>
    <row r="26" spans="1:32" x14ac:dyDescent="0.25">
      <c r="B26" s="1"/>
      <c r="G26" s="1">
        <f>-IF(G24&lt;G16,0,IF(G25&lt;(((G24*(E46+F46))+H48+H49+H50+H51)-((G16*(G17+G18)+G19+G20+G21)))/(E71+F56+J19+J20+J21),-G25,-(((G24*(E46+F46))+H48+H49+H50+H51)-((G16*(G17+G18)+G19+G20+G21)))/(E71+F56+J19+J20+J21)))</f>
        <v>600</v>
      </c>
      <c r="H26" s="188">
        <f>G24-G26</f>
        <v>400</v>
      </c>
    </row>
    <row r="27" spans="1:32" x14ac:dyDescent="0.25">
      <c r="B27" s="5" t="s">
        <v>55</v>
      </c>
      <c r="E27" s="26" t="s">
        <v>10</v>
      </c>
      <c r="F27" s="85">
        <v>1</v>
      </c>
      <c r="G27" s="86" t="s">
        <v>9</v>
      </c>
      <c r="H27" s="85">
        <v>1</v>
      </c>
      <c r="K27" s="67">
        <f>M101+M107</f>
        <v>72.880697633039645</v>
      </c>
    </row>
    <row r="28" spans="1:32" x14ac:dyDescent="0.25"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32" x14ac:dyDescent="0.25">
      <c r="B29" s="461" t="s">
        <v>137</v>
      </c>
      <c r="C29" s="462"/>
      <c r="D29" s="462"/>
      <c r="E29" s="462"/>
      <c r="F29" s="462"/>
      <c r="G29" s="462"/>
      <c r="H29" s="463"/>
      <c r="I29" s="1"/>
      <c r="J29" s="1"/>
      <c r="K29" s="1"/>
      <c r="L29" s="1"/>
      <c r="M29" s="1"/>
      <c r="N29" s="1"/>
      <c r="O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2" x14ac:dyDescent="0.25">
      <c r="B30" s="41"/>
      <c r="D30" s="46" t="s">
        <v>40</v>
      </c>
      <c r="E30" s="46" t="s">
        <v>10</v>
      </c>
      <c r="F30" s="46" t="s">
        <v>9</v>
      </c>
      <c r="G30" s="46" t="s">
        <v>34</v>
      </c>
      <c r="H30" s="47" t="s">
        <v>7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2" x14ac:dyDescent="0.25">
      <c r="A31" s="19" t="s">
        <v>8</v>
      </c>
      <c r="B31" s="48" t="s">
        <v>41</v>
      </c>
      <c r="C31" s="49"/>
      <c r="D31" s="50"/>
      <c r="E31" s="50"/>
      <c r="F31" s="50"/>
      <c r="G31" s="50"/>
      <c r="H31" s="51">
        <f>SUM(H33:H71)+SUM(H76:H81)</f>
        <v>25.154357655759867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9" t="s">
        <v>8</v>
      </c>
      <c r="B32" s="41"/>
      <c r="D32" s="46"/>
      <c r="E32" s="46"/>
      <c r="F32" s="46"/>
      <c r="G32" s="46"/>
      <c r="H32" s="5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65">
        <v>0.65</v>
      </c>
      <c r="B33" s="41" t="s">
        <v>184</v>
      </c>
      <c r="D33" s="93">
        <f>IF(H26&gt;0,30,0)</f>
        <v>30</v>
      </c>
      <c r="E33" s="53">
        <f>$E$46*(1-A33)</f>
        <v>9.5431000000000002E-2</v>
      </c>
      <c r="F33" s="53">
        <f>$F$46*(1-A33)</f>
        <v>9.6960499999999991E-2</v>
      </c>
      <c r="G33" s="53">
        <f>E33+F33</f>
        <v>0.19239149999999999</v>
      </c>
      <c r="H33" s="54">
        <f>ROUND((D33*E33),2)+ROUND((D33*F33),2)</f>
        <v>5.77</v>
      </c>
      <c r="I33" s="1"/>
      <c r="J33" s="1"/>
      <c r="K33" s="1"/>
      <c r="L33" s="1"/>
      <c r="M33" s="90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65">
        <v>0.4</v>
      </c>
      <c r="B34" s="41" t="s">
        <v>185</v>
      </c>
      <c r="D34" s="93">
        <v>20</v>
      </c>
      <c r="E34" s="53">
        <f>$E$46*(1-A34)</f>
        <v>0.16359599999999999</v>
      </c>
      <c r="F34" s="53">
        <f t="shared" ref="F34:F36" si="4">$F$46*(1-A34)</f>
        <v>0.166218</v>
      </c>
      <c r="G34" s="53">
        <f t="shared" ref="G34:G36" si="5">E34+F34</f>
        <v>0.329814</v>
      </c>
      <c r="H34" s="54">
        <f t="shared" ref="H34:H36" si="6">ROUND((D34*E34),2)+ROUND((D34*F34),2)</f>
        <v>6.59</v>
      </c>
      <c r="I34" s="1"/>
      <c r="J34" s="1"/>
      <c r="K34" s="1"/>
      <c r="L34" s="1"/>
      <c r="M34" s="90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65">
        <v>0.1</v>
      </c>
      <c r="B35" s="41" t="s">
        <v>186</v>
      </c>
      <c r="D35" s="93"/>
      <c r="E35" s="53">
        <f>$E$46*(1-A35)</f>
        <v>0.24539400000000003</v>
      </c>
      <c r="F35" s="53">
        <f t="shared" si="4"/>
        <v>0.24932699999999999</v>
      </c>
      <c r="G35" s="53">
        <f t="shared" si="5"/>
        <v>0.49472100000000002</v>
      </c>
      <c r="H35" s="54">
        <f t="shared" si="6"/>
        <v>0</v>
      </c>
      <c r="I35" s="1"/>
      <c r="J35" s="1"/>
      <c r="K35" s="1"/>
      <c r="L35" s="1"/>
      <c r="M35" s="90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65">
        <v>0</v>
      </c>
      <c r="B36" s="41" t="s">
        <v>187</v>
      </c>
      <c r="D36" s="93"/>
      <c r="E36" s="53">
        <f>$E$46*(1-A36)</f>
        <v>0.27266000000000001</v>
      </c>
      <c r="F36" s="53">
        <f t="shared" si="4"/>
        <v>0.27703</v>
      </c>
      <c r="G36" s="53">
        <f t="shared" si="5"/>
        <v>0.54969000000000001</v>
      </c>
      <c r="H36" s="54">
        <f t="shared" si="6"/>
        <v>0</v>
      </c>
      <c r="I36" s="1"/>
      <c r="J36" s="1"/>
      <c r="K36" s="1"/>
      <c r="L36" s="1"/>
      <c r="M36" s="90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B37" s="41"/>
      <c r="D37" s="55"/>
      <c r="E37" s="56"/>
      <c r="F37" s="57"/>
      <c r="G37" s="57"/>
      <c r="H37" s="5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B38" s="41" t="s">
        <v>43</v>
      </c>
      <c r="D38" s="58"/>
      <c r="F38" s="59"/>
      <c r="G38" s="59"/>
      <c r="H38" s="54">
        <f>O124</f>
        <v>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B39" s="41" t="s">
        <v>44</v>
      </c>
      <c r="D39" s="58"/>
      <c r="F39" s="59"/>
      <c r="G39" s="59"/>
      <c r="H39" s="54">
        <f>O133</f>
        <v>0</v>
      </c>
      <c r="I39" s="1"/>
      <c r="J39" s="1"/>
      <c r="K39" s="1"/>
      <c r="L39" s="189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B40" s="41" t="s">
        <v>45</v>
      </c>
      <c r="D40" s="58"/>
      <c r="F40" s="59"/>
      <c r="G40" s="59"/>
      <c r="H40" s="54">
        <f>O142</f>
        <v>0</v>
      </c>
      <c r="I40" s="1"/>
      <c r="J40" s="1"/>
      <c r="K40" s="1"/>
      <c r="L40" s="1"/>
      <c r="M40" s="1"/>
      <c r="N40" s="1"/>
      <c r="O40" s="1"/>
      <c r="AF40" s="1"/>
    </row>
    <row r="41" spans="1:32" x14ac:dyDescent="0.25">
      <c r="B41" s="41" t="s">
        <v>46</v>
      </c>
      <c r="D41" s="58"/>
      <c r="F41" s="59"/>
      <c r="G41" s="59"/>
      <c r="H41" s="54">
        <f>O151</f>
        <v>0</v>
      </c>
      <c r="I41" s="1"/>
      <c r="J41" s="1"/>
      <c r="K41" s="1"/>
      <c r="L41" s="1"/>
      <c r="M41" s="1"/>
      <c r="N41" s="1"/>
      <c r="O41" s="1"/>
      <c r="AF41" s="1"/>
    </row>
    <row r="42" spans="1:32" ht="14.3" customHeight="1" x14ac:dyDescent="0.25">
      <c r="B42" s="41"/>
      <c r="D42" s="60"/>
      <c r="H42" s="54"/>
      <c r="I42" s="1"/>
      <c r="J42" s="1"/>
      <c r="K42" s="90"/>
      <c r="L42" s="1"/>
      <c r="M42" s="1"/>
      <c r="N42" s="1"/>
      <c r="O42" s="1"/>
      <c r="AF42" s="1"/>
    </row>
    <row r="43" spans="1:32" x14ac:dyDescent="0.25">
      <c r="A43" s="165">
        <v>0.65</v>
      </c>
      <c r="B43" s="41" t="s">
        <v>148</v>
      </c>
      <c r="D43" s="93">
        <v>30</v>
      </c>
      <c r="E43" s="53">
        <f>$E$46*(1-A43)</f>
        <v>9.5431000000000002E-2</v>
      </c>
      <c r="F43" s="53">
        <f>$F$46*(1-A43)</f>
        <v>9.6960499999999991E-2</v>
      </c>
      <c r="G43" s="53">
        <f>E43+F43</f>
        <v>0.19239149999999999</v>
      </c>
      <c r="H43" s="54">
        <f>ROUND((D43*E43),2)+ROUND((D43*F43),2)</f>
        <v>5.77</v>
      </c>
      <c r="I43" s="1"/>
      <c r="J43" s="1"/>
      <c r="K43" s="1"/>
      <c r="L43" s="1"/>
      <c r="M43" s="90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x14ac:dyDescent="0.25">
      <c r="A44" s="165">
        <v>0.4</v>
      </c>
      <c r="B44" s="41" t="s">
        <v>149</v>
      </c>
      <c r="D44" s="93">
        <v>70</v>
      </c>
      <c r="E44" s="53">
        <f t="shared" ref="E44:E45" si="7">$E$46*(1-A44)</f>
        <v>0.16359599999999999</v>
      </c>
      <c r="F44" s="53">
        <f t="shared" ref="F44:F45" si="8">$F$46*(1-A44)</f>
        <v>0.166218</v>
      </c>
      <c r="G44" s="53">
        <f t="shared" ref="G44:G46" si="9">E44+F44</f>
        <v>0.329814</v>
      </c>
      <c r="H44" s="54">
        <f t="shared" ref="H44:H46" si="10">ROUND((D44*E44),2)+ROUND((D44*F44),2)</f>
        <v>23.09</v>
      </c>
      <c r="I44" s="1"/>
      <c r="J44" s="1"/>
      <c r="K44" s="1"/>
      <c r="L44" s="1"/>
      <c r="M44" s="90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x14ac:dyDescent="0.25">
      <c r="A45" s="165">
        <v>0.1</v>
      </c>
      <c r="B45" s="41" t="s">
        <v>151</v>
      </c>
      <c r="D45" s="93">
        <v>120</v>
      </c>
      <c r="E45" s="53">
        <f t="shared" si="7"/>
        <v>0.24539400000000003</v>
      </c>
      <c r="F45" s="53">
        <f t="shared" si="8"/>
        <v>0.24932699999999999</v>
      </c>
      <c r="G45" s="53">
        <f t="shared" si="9"/>
        <v>0.49472100000000002</v>
      </c>
      <c r="H45" s="54">
        <f t="shared" si="10"/>
        <v>59.370000000000005</v>
      </c>
      <c r="I45" s="1"/>
      <c r="J45" s="1"/>
      <c r="K45" s="1"/>
      <c r="L45" s="1"/>
      <c r="M45" s="90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x14ac:dyDescent="0.25">
      <c r="A46" s="165">
        <v>0</v>
      </c>
      <c r="B46" s="41" t="s">
        <v>150</v>
      </c>
      <c r="D46" s="93">
        <v>9</v>
      </c>
      <c r="E46" s="53">
        <f>IF(AND($B$13&lt;$F$2,$E$13&lt;$F$2),C6,IF($B$13&lt;$F$2,I6,F6))</f>
        <v>0.27266000000000001</v>
      </c>
      <c r="F46" s="53">
        <f>IF(AND($B$13&lt;$F$2,$E$13&lt;$F$2),D6,IF($B$13&lt;$F$2,J6,G6))</f>
        <v>0.27703</v>
      </c>
      <c r="G46" s="53">
        <f t="shared" si="9"/>
        <v>0.54969000000000001</v>
      </c>
      <c r="H46" s="54">
        <f t="shared" si="10"/>
        <v>4.9400000000000004</v>
      </c>
      <c r="I46" s="1"/>
      <c r="J46" s="1"/>
      <c r="K46" s="1"/>
      <c r="L46" s="1"/>
      <c r="M46" s="90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x14ac:dyDescent="0.25">
      <c r="B47" s="41"/>
      <c r="D47" s="55"/>
      <c r="E47" s="56"/>
      <c r="F47" s="57"/>
      <c r="G47" s="57"/>
      <c r="H47" s="54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x14ac:dyDescent="0.25">
      <c r="B48" s="41" t="s">
        <v>43</v>
      </c>
      <c r="D48" s="58"/>
      <c r="F48" s="59"/>
      <c r="G48" s="59"/>
      <c r="H48" s="54">
        <f>O161</f>
        <v>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x14ac:dyDescent="0.25">
      <c r="B49" s="41" t="s">
        <v>44</v>
      </c>
      <c r="D49" s="58"/>
      <c r="F49" s="59"/>
      <c r="G49" s="59"/>
      <c r="H49" s="54">
        <f>O170</f>
        <v>0</v>
      </c>
      <c r="I49" s="1"/>
      <c r="J49" s="1"/>
      <c r="K49" s="1"/>
      <c r="L49" s="189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x14ac:dyDescent="0.25">
      <c r="B50" s="41" t="s">
        <v>45</v>
      </c>
      <c r="D50" s="58"/>
      <c r="F50" s="59"/>
      <c r="G50" s="59"/>
      <c r="H50" s="54">
        <f>O179</f>
        <v>0</v>
      </c>
      <c r="I50" s="1"/>
      <c r="J50" s="1"/>
      <c r="K50" s="1"/>
      <c r="L50" s="1"/>
      <c r="M50" s="1"/>
      <c r="N50" s="1"/>
      <c r="O50" s="1"/>
      <c r="AF50" s="1"/>
    </row>
    <row r="51" spans="1:32" x14ac:dyDescent="0.25">
      <c r="B51" s="41" t="s">
        <v>46</v>
      </c>
      <c r="D51" s="58"/>
      <c r="F51" s="59"/>
      <c r="G51" s="59"/>
      <c r="H51" s="54">
        <f>O188</f>
        <v>0</v>
      </c>
      <c r="I51" s="1"/>
      <c r="J51" s="1"/>
      <c r="K51" s="1"/>
      <c r="L51" s="1"/>
      <c r="M51" s="1"/>
      <c r="N51" s="1"/>
      <c r="O51" s="1"/>
      <c r="AF51" s="1"/>
    </row>
    <row r="52" spans="1:32" ht="14.3" customHeight="1" x14ac:dyDescent="0.25">
      <c r="B52" s="41"/>
      <c r="D52" s="60"/>
      <c r="H52" s="54"/>
      <c r="I52" s="1"/>
      <c r="J52" s="1"/>
      <c r="K52" s="90"/>
      <c r="L52" s="1"/>
      <c r="M52" s="1"/>
      <c r="N52" s="1"/>
      <c r="O52" s="1"/>
      <c r="AF52" s="1"/>
    </row>
    <row r="53" spans="1:32" x14ac:dyDescent="0.25">
      <c r="A53" s="165">
        <v>0.65</v>
      </c>
      <c r="B53" s="41" t="s">
        <v>163</v>
      </c>
      <c r="D53" s="92">
        <v>-30</v>
      </c>
      <c r="E53" s="53">
        <f>E43</f>
        <v>9.5431000000000002E-2</v>
      </c>
      <c r="F53" s="53">
        <f>F43</f>
        <v>9.6960499999999991E-2</v>
      </c>
      <c r="G53" s="53">
        <f>E53+F53</f>
        <v>0.19239149999999999</v>
      </c>
      <c r="H53" s="54">
        <f>ROUND((D53*E53),2)+ROUND((D53*F53),2)</f>
        <v>-5.77</v>
      </c>
      <c r="I53" s="1"/>
      <c r="J53" s="1"/>
      <c r="K53" s="90"/>
      <c r="L53" s="1"/>
      <c r="M53" s="90"/>
      <c r="N53" s="1"/>
      <c r="O53" s="1"/>
      <c r="AF53" s="1"/>
    </row>
    <row r="54" spans="1:32" x14ac:dyDescent="0.25">
      <c r="A54" s="165">
        <v>0.4</v>
      </c>
      <c r="B54" s="41" t="s">
        <v>164</v>
      </c>
      <c r="D54" s="92">
        <v>-70</v>
      </c>
      <c r="E54" s="53">
        <f t="shared" ref="E54:F56" si="11">E44</f>
        <v>0.16359599999999999</v>
      </c>
      <c r="F54" s="53">
        <f t="shared" si="11"/>
        <v>0.166218</v>
      </c>
      <c r="G54" s="53">
        <f t="shared" ref="G54:G56" si="12">E54+F54</f>
        <v>0.329814</v>
      </c>
      <c r="H54" s="54">
        <f t="shared" ref="H54:H56" si="13">ROUND((D54*E54),2)+ROUND((D54*F54),2)</f>
        <v>-23.09</v>
      </c>
      <c r="I54" s="1"/>
      <c r="J54" s="1"/>
      <c r="K54" s="90"/>
      <c r="L54" s="1"/>
      <c r="M54" s="1"/>
      <c r="N54" s="1"/>
      <c r="O54" s="1"/>
      <c r="AF54" s="1"/>
    </row>
    <row r="55" spans="1:32" x14ac:dyDescent="0.25">
      <c r="A55" s="165">
        <v>0.1</v>
      </c>
      <c r="B55" s="41" t="s">
        <v>165</v>
      </c>
      <c r="D55" s="92">
        <v>-120</v>
      </c>
      <c r="E55" s="53">
        <f t="shared" si="11"/>
        <v>0.24539400000000003</v>
      </c>
      <c r="F55" s="53">
        <f t="shared" si="11"/>
        <v>0.24932699999999999</v>
      </c>
      <c r="G55" s="53">
        <f t="shared" si="12"/>
        <v>0.49472100000000002</v>
      </c>
      <c r="H55" s="54">
        <f t="shared" si="13"/>
        <v>-59.370000000000005</v>
      </c>
      <c r="I55" s="1"/>
      <c r="J55" s="1"/>
      <c r="K55" s="1"/>
      <c r="L55" s="1"/>
      <c r="M55" s="1"/>
      <c r="N55" s="1"/>
      <c r="O55" s="1"/>
      <c r="AF55" s="1"/>
    </row>
    <row r="56" spans="1:32" x14ac:dyDescent="0.25">
      <c r="A56" s="165">
        <v>0</v>
      </c>
      <c r="B56" s="41" t="s">
        <v>166</v>
      </c>
      <c r="D56" s="92">
        <v>-9</v>
      </c>
      <c r="E56" s="53">
        <f t="shared" si="11"/>
        <v>0.27266000000000001</v>
      </c>
      <c r="F56" s="53">
        <f t="shared" si="11"/>
        <v>0.27703</v>
      </c>
      <c r="G56" s="53">
        <f t="shared" si="12"/>
        <v>0.54969000000000001</v>
      </c>
      <c r="H56" s="54">
        <f t="shared" si="13"/>
        <v>-4.9400000000000004</v>
      </c>
      <c r="I56" s="1"/>
      <c r="J56" s="1"/>
      <c r="K56" s="1"/>
      <c r="L56" s="1"/>
      <c r="M56" s="1"/>
      <c r="N56" s="1"/>
      <c r="O56" s="1"/>
      <c r="AF56" s="1"/>
    </row>
    <row r="57" spans="1:32" x14ac:dyDescent="0.25">
      <c r="B57" s="41"/>
      <c r="D57" s="55"/>
      <c r="E57" s="56"/>
      <c r="F57" s="57"/>
      <c r="G57" s="57"/>
      <c r="H57" s="54"/>
      <c r="J57" s="1"/>
      <c r="K57" s="1"/>
      <c r="L57" s="1"/>
      <c r="M57" s="1"/>
      <c r="N57" s="1"/>
      <c r="O57" s="1"/>
      <c r="AF57" s="1"/>
    </row>
    <row r="58" spans="1:32" x14ac:dyDescent="0.25">
      <c r="B58" s="41" t="s">
        <v>43</v>
      </c>
      <c r="D58" s="58"/>
      <c r="F58" s="59"/>
      <c r="G58" s="59"/>
      <c r="H58" s="54">
        <f>O200</f>
        <v>0</v>
      </c>
      <c r="J58" s="1"/>
      <c r="K58" s="1"/>
      <c r="L58" s="1"/>
      <c r="M58" s="1"/>
      <c r="N58" s="1"/>
      <c r="O58" s="1"/>
      <c r="AF58" s="1"/>
    </row>
    <row r="59" spans="1:32" x14ac:dyDescent="0.25">
      <c r="B59" s="41" t="s">
        <v>44</v>
      </c>
      <c r="D59" s="58"/>
      <c r="F59" s="59"/>
      <c r="G59" s="59"/>
      <c r="H59" s="54">
        <f>O209</f>
        <v>0</v>
      </c>
      <c r="I59" s="1"/>
      <c r="J59" s="1"/>
      <c r="K59" s="1"/>
      <c r="L59" s="1"/>
      <c r="M59" s="1"/>
      <c r="N59" s="1"/>
      <c r="O59" s="1"/>
      <c r="AF59" s="1"/>
    </row>
    <row r="60" spans="1:32" x14ac:dyDescent="0.25">
      <c r="B60" s="41" t="s">
        <v>45</v>
      </c>
      <c r="D60" s="58"/>
      <c r="F60" s="59"/>
      <c r="G60" s="59"/>
      <c r="H60" s="54">
        <f>O218</f>
        <v>0</v>
      </c>
      <c r="I60" s="1"/>
      <c r="J60" s="1"/>
      <c r="K60" s="1"/>
      <c r="L60" s="1"/>
      <c r="M60" s="1"/>
      <c r="N60" s="1"/>
      <c r="O60" s="1"/>
      <c r="AF60" s="1"/>
    </row>
    <row r="61" spans="1:32" x14ac:dyDescent="0.25">
      <c r="B61" s="41" t="s">
        <v>46</v>
      </c>
      <c r="D61" s="58"/>
      <c r="F61" s="59"/>
      <c r="G61" s="59"/>
      <c r="H61" s="54">
        <f>O227</f>
        <v>0</v>
      </c>
      <c r="I61" s="97"/>
      <c r="J61" s="1"/>
      <c r="K61" s="1"/>
      <c r="L61" s="1"/>
      <c r="M61" s="1"/>
      <c r="N61" s="1"/>
      <c r="O61" s="1"/>
      <c r="AF61" s="1"/>
    </row>
    <row r="62" spans="1:32" x14ac:dyDescent="0.25">
      <c r="B62" s="41"/>
      <c r="D62" s="58"/>
      <c r="F62" s="59"/>
      <c r="G62" s="59"/>
      <c r="H62" s="54"/>
      <c r="I62" s="1"/>
      <c r="J62" s="1"/>
      <c r="K62" s="1"/>
      <c r="L62" s="1"/>
      <c r="M62" s="1"/>
      <c r="N62" s="1"/>
      <c r="O62" s="1"/>
      <c r="AF62" s="1"/>
    </row>
    <row r="63" spans="1:32" x14ac:dyDescent="0.25">
      <c r="A63" s="165">
        <v>0.65</v>
      </c>
      <c r="B63" s="181" t="s">
        <v>175</v>
      </c>
      <c r="C63" s="182"/>
      <c r="D63" s="183">
        <f>-D53</f>
        <v>30</v>
      </c>
      <c r="E63" s="184">
        <f>$E$66*(1-A63)</f>
        <v>9.5431000000000002E-2</v>
      </c>
      <c r="F63" s="184">
        <f>$F$66*(1-A63)</f>
        <v>6.5682919354838713E-3</v>
      </c>
      <c r="G63" s="184">
        <f>E63+F63</f>
        <v>0.10199929193548388</v>
      </c>
      <c r="H63" s="185">
        <f>ROUND(D63*(E63+F63),2)</f>
        <v>3.06</v>
      </c>
      <c r="I63" s="1"/>
      <c r="L63" s="1"/>
      <c r="M63" s="1"/>
      <c r="N63" s="1"/>
      <c r="O63" s="1"/>
      <c r="AF63" s="1"/>
    </row>
    <row r="64" spans="1:32" x14ac:dyDescent="0.25">
      <c r="A64" s="165">
        <v>0.4</v>
      </c>
      <c r="B64" s="181" t="s">
        <v>176</v>
      </c>
      <c r="C64" s="182"/>
      <c r="D64" s="183">
        <f t="shared" ref="D64:D66" si="14">-D54</f>
        <v>70</v>
      </c>
      <c r="E64" s="184">
        <f t="shared" ref="E64:E65" si="15">$E$66*(1-A64)</f>
        <v>0.16359599999999999</v>
      </c>
      <c r="F64" s="184">
        <f t="shared" ref="F64:F65" si="16">$F$66*(1-A64)</f>
        <v>1.1259929032258064E-2</v>
      </c>
      <c r="G64" s="184">
        <f t="shared" ref="G64:G66" si="17">E64+F64</f>
        <v>0.17485592903225805</v>
      </c>
      <c r="H64" s="185">
        <f t="shared" ref="H64:H66" si="18">ROUND(D64*(E64+F64),2)</f>
        <v>12.24</v>
      </c>
      <c r="I64" s="1"/>
      <c r="L64" s="1"/>
      <c r="M64" s="1"/>
      <c r="N64" s="1"/>
      <c r="O64" s="1"/>
      <c r="AF64" s="1"/>
    </row>
    <row r="65" spans="1:32" x14ac:dyDescent="0.25">
      <c r="A65" s="165">
        <v>0.1</v>
      </c>
      <c r="B65" s="181" t="s">
        <v>177</v>
      </c>
      <c r="C65" s="182"/>
      <c r="D65" s="183">
        <f t="shared" si="14"/>
        <v>120</v>
      </c>
      <c r="E65" s="184">
        <f t="shared" si="15"/>
        <v>0.24539400000000003</v>
      </c>
      <c r="F65" s="184">
        <f t="shared" si="16"/>
        <v>1.6889893548387099E-2</v>
      </c>
      <c r="G65" s="184">
        <f t="shared" si="17"/>
        <v>0.2622838935483871</v>
      </c>
      <c r="H65" s="185">
        <f t="shared" si="18"/>
        <v>31.47</v>
      </c>
      <c r="I65" s="1"/>
      <c r="L65" s="1"/>
      <c r="M65" s="1"/>
      <c r="N65" s="1"/>
      <c r="O65" s="1"/>
      <c r="AF65" s="1"/>
    </row>
    <row r="66" spans="1:32" x14ac:dyDescent="0.25">
      <c r="A66" s="165">
        <v>0</v>
      </c>
      <c r="B66" s="181" t="s">
        <v>178</v>
      </c>
      <c r="C66" s="182"/>
      <c r="D66" s="183">
        <f t="shared" si="14"/>
        <v>9</v>
      </c>
      <c r="E66" s="184">
        <f>E46</f>
        <v>0.27266000000000001</v>
      </c>
      <c r="F66" s="184">
        <f>IF(AND($B$13&lt;$F$2,$E$13&lt;$F$2),D7,IF($B$13&lt;$F$2,J7,G7))</f>
        <v>1.8766548387096776E-2</v>
      </c>
      <c r="G66" s="184">
        <f t="shared" si="17"/>
        <v>0.29142654838709681</v>
      </c>
      <c r="H66" s="185">
        <f t="shared" si="18"/>
        <v>2.62</v>
      </c>
      <c r="I66" s="1"/>
      <c r="L66" s="1"/>
      <c r="M66" s="1"/>
      <c r="N66" s="1"/>
      <c r="O66" s="1"/>
      <c r="AF66" s="1"/>
    </row>
    <row r="67" spans="1:32" x14ac:dyDescent="0.25">
      <c r="B67" s="181"/>
      <c r="C67" s="182"/>
      <c r="D67" s="186"/>
      <c r="E67" s="182"/>
      <c r="F67" s="187"/>
      <c r="G67" s="187"/>
      <c r="H67" s="185"/>
      <c r="I67" s="1"/>
      <c r="L67" s="1"/>
      <c r="M67" s="1"/>
      <c r="N67" s="1"/>
      <c r="O67" s="1"/>
      <c r="AF67" s="1"/>
    </row>
    <row r="68" spans="1:32" x14ac:dyDescent="0.25">
      <c r="B68" s="181" t="s">
        <v>179</v>
      </c>
      <c r="C68" s="182"/>
      <c r="D68" s="183">
        <f>-D63</f>
        <v>-30</v>
      </c>
      <c r="E68" s="184">
        <f>E63*$F$27</f>
        <v>9.5431000000000002E-2</v>
      </c>
      <c r="F68" s="184">
        <f>F63*$H$27</f>
        <v>6.5682919354838713E-3</v>
      </c>
      <c r="G68" s="184">
        <f>E68+F68</f>
        <v>0.10199929193548388</v>
      </c>
      <c r="H68" s="185">
        <f>ROUND(D68*(E68+F68),2)</f>
        <v>-3.06</v>
      </c>
      <c r="I68" s="66"/>
      <c r="K68" s="67"/>
      <c r="L68" s="1"/>
      <c r="M68" s="1"/>
      <c r="N68" s="1"/>
      <c r="O68" s="1"/>
      <c r="AF68" s="1"/>
    </row>
    <row r="69" spans="1:32" x14ac:dyDescent="0.25">
      <c r="B69" s="181" t="s">
        <v>180</v>
      </c>
      <c r="C69" s="182"/>
      <c r="D69" s="183">
        <f t="shared" ref="D69:D71" si="19">-D64</f>
        <v>-70</v>
      </c>
      <c r="E69" s="184">
        <f>E64*$F$27</f>
        <v>0.16359599999999999</v>
      </c>
      <c r="F69" s="184">
        <f t="shared" ref="F69:F71" si="20">F64*$H$27</f>
        <v>1.1259929032258064E-2</v>
      </c>
      <c r="G69" s="184">
        <f t="shared" ref="G69:G71" si="21">E69+F69</f>
        <v>0.17485592903225805</v>
      </c>
      <c r="H69" s="185">
        <f t="shared" ref="H69:H71" si="22">ROUND(D69*(E69+F69),2)</f>
        <v>-12.24</v>
      </c>
      <c r="I69" s="66"/>
      <c r="K69" s="67"/>
      <c r="L69" s="1"/>
      <c r="M69" s="1"/>
      <c r="N69" s="1"/>
      <c r="O69" s="1"/>
      <c r="AF69" s="1"/>
    </row>
    <row r="70" spans="1:32" x14ac:dyDescent="0.25">
      <c r="B70" s="181" t="s">
        <v>181</v>
      </c>
      <c r="C70" s="182"/>
      <c r="D70" s="183">
        <f t="shared" si="19"/>
        <v>-120</v>
      </c>
      <c r="E70" s="184">
        <f>E65*$F$27</f>
        <v>0.24539400000000003</v>
      </c>
      <c r="F70" s="184">
        <f t="shared" si="20"/>
        <v>1.6889893548387099E-2</v>
      </c>
      <c r="G70" s="184">
        <f t="shared" si="21"/>
        <v>0.2622838935483871</v>
      </c>
      <c r="H70" s="185">
        <f t="shared" si="22"/>
        <v>-31.47</v>
      </c>
      <c r="I70" s="66"/>
      <c r="K70" s="67"/>
      <c r="L70" s="1"/>
      <c r="M70" s="1"/>
      <c r="N70" s="1"/>
      <c r="O70" s="1"/>
      <c r="AF70" s="1"/>
    </row>
    <row r="71" spans="1:32" x14ac:dyDescent="0.25">
      <c r="B71" s="181" t="s">
        <v>182</v>
      </c>
      <c r="C71" s="182"/>
      <c r="D71" s="183">
        <f t="shared" si="19"/>
        <v>-9</v>
      </c>
      <c r="E71" s="184">
        <f>E66*$F$27</f>
        <v>0.27266000000000001</v>
      </c>
      <c r="F71" s="184">
        <f t="shared" si="20"/>
        <v>1.8766548387096776E-2</v>
      </c>
      <c r="G71" s="184">
        <f t="shared" si="21"/>
        <v>0.29142654838709681</v>
      </c>
      <c r="H71" s="185">
        <f t="shared" si="22"/>
        <v>-2.62</v>
      </c>
      <c r="I71" s="66">
        <f>SUM(H63:H71)</f>
        <v>-9.7699626167013776E-15</v>
      </c>
      <c r="K71" s="67"/>
      <c r="L71" s="1"/>
      <c r="M71" s="1"/>
      <c r="N71" s="1"/>
      <c r="O71" s="1"/>
      <c r="AF71" s="1"/>
    </row>
    <row r="72" spans="1:32" x14ac:dyDescent="0.25">
      <c r="B72" s="61"/>
      <c r="C72" s="24"/>
      <c r="D72" s="24"/>
      <c r="E72" s="24"/>
      <c r="F72" s="24"/>
      <c r="G72" s="24"/>
      <c r="H72" s="62"/>
      <c r="I72" s="67"/>
      <c r="L72" s="1"/>
      <c r="M72" s="1"/>
      <c r="N72" s="1"/>
      <c r="O72" s="1"/>
      <c r="AF72" s="1"/>
    </row>
    <row r="73" spans="1:32" x14ac:dyDescent="0.25">
      <c r="B73" s="34"/>
      <c r="C73" s="35"/>
      <c r="D73" s="35"/>
      <c r="E73" s="35"/>
      <c r="F73" s="35"/>
      <c r="G73" s="35"/>
      <c r="H73" s="96">
        <f>SUM(H33:H72)</f>
        <v>12.359999999999989</v>
      </c>
      <c r="I73" s="67"/>
      <c r="J73" s="67">
        <f>231.75-'Fatura B1 (GD II) (Baixa Re (2)'!H73</f>
        <v>219.39000000000001</v>
      </c>
      <c r="L73" s="1"/>
      <c r="M73" s="1"/>
      <c r="N73" s="1"/>
      <c r="O73" s="1"/>
      <c r="AF73" s="1"/>
    </row>
    <row r="74" spans="1:32" ht="25.5" customHeight="1" x14ac:dyDescent="0.25">
      <c r="B74" s="95"/>
      <c r="C74" s="1"/>
      <c r="D74" s="1"/>
      <c r="E74" s="1"/>
      <c r="F74" s="1"/>
      <c r="G74" s="1"/>
      <c r="H74" s="43"/>
      <c r="I74" s="67"/>
      <c r="L74" s="1"/>
      <c r="M74" s="1"/>
      <c r="N74" s="1"/>
      <c r="O74" s="1"/>
      <c r="AF74" s="1"/>
    </row>
    <row r="75" spans="1:32" x14ac:dyDescent="0.25">
      <c r="B75" s="41"/>
      <c r="D75" s="63" t="s">
        <v>48</v>
      </c>
      <c r="E75" s="64"/>
      <c r="F75" s="64"/>
      <c r="G75" s="64"/>
      <c r="H75" s="65"/>
      <c r="I75" s="67"/>
      <c r="L75" s="1"/>
      <c r="M75" s="1"/>
      <c r="N75" s="1"/>
      <c r="O75" s="1"/>
      <c r="AF75" s="1"/>
    </row>
    <row r="76" spans="1:32" x14ac:dyDescent="0.25">
      <c r="B76" s="41" t="s">
        <v>49</v>
      </c>
      <c r="D76" s="68">
        <f>SUM(H33:H51)/(1-E76-E78)</f>
        <v>108.98481875451823</v>
      </c>
      <c r="E76" s="69">
        <v>5.5999999999999999E-3</v>
      </c>
      <c r="H76" s="70">
        <f>D76*E76</f>
        <v>0.61031498502530213</v>
      </c>
      <c r="I76" s="67"/>
      <c r="L76" s="1"/>
      <c r="M76" s="1"/>
      <c r="N76" s="1"/>
      <c r="O76" s="1"/>
      <c r="AF76" s="1"/>
    </row>
    <row r="77" spans="1:32" x14ac:dyDescent="0.25">
      <c r="B77" s="41" t="s">
        <v>50</v>
      </c>
      <c r="D77" s="68">
        <f>SUM(H53:H71)/(1-E76-E78)</f>
        <v>-96.220179696375112</v>
      </c>
      <c r="E77" s="71">
        <f>E76</f>
        <v>5.5999999999999999E-3</v>
      </c>
      <c r="H77" s="70">
        <f t="shared" ref="H77:H79" si="23">D77*E77</f>
        <v>-0.53883300629970066</v>
      </c>
      <c r="L77" s="1"/>
      <c r="M77" s="1"/>
      <c r="N77" s="1"/>
      <c r="O77" s="1"/>
      <c r="AF77" s="1"/>
    </row>
    <row r="78" spans="1:32" x14ac:dyDescent="0.25">
      <c r="B78" s="41" t="s">
        <v>51</v>
      </c>
      <c r="D78" s="68">
        <f>D76</f>
        <v>108.98481875451823</v>
      </c>
      <c r="E78" s="69">
        <v>2.6100000000000002E-2</v>
      </c>
      <c r="H78" s="70">
        <f t="shared" si="23"/>
        <v>2.8445037694929258</v>
      </c>
      <c r="L78" s="1"/>
      <c r="M78" s="1"/>
      <c r="N78" s="1"/>
      <c r="O78" s="1"/>
      <c r="AF78" s="1"/>
    </row>
    <row r="79" spans="1:32" x14ac:dyDescent="0.25">
      <c r="B79" s="41" t="s">
        <v>52</v>
      </c>
      <c r="D79" s="68">
        <f>D77</f>
        <v>-96.220179696375112</v>
      </c>
      <c r="E79" s="71">
        <f>E78</f>
        <v>2.6100000000000002E-2</v>
      </c>
      <c r="H79" s="70">
        <f t="shared" si="23"/>
        <v>-2.5113466900753907</v>
      </c>
      <c r="L79" s="1"/>
      <c r="M79" s="1"/>
      <c r="N79" s="1"/>
      <c r="O79" s="1"/>
      <c r="AF79" s="1"/>
    </row>
    <row r="80" spans="1:32" x14ac:dyDescent="0.25">
      <c r="B80" s="41" t="s">
        <v>11</v>
      </c>
      <c r="D80" s="72">
        <f>D76/(1-E80)</f>
        <v>131.30701054761232</v>
      </c>
      <c r="E80" s="73">
        <v>0.17</v>
      </c>
      <c r="H80" s="70">
        <f>D80*E80</f>
        <v>22.322191793094095</v>
      </c>
      <c r="AF80" s="1"/>
    </row>
    <row r="81" spans="2:32" x14ac:dyDescent="0.25">
      <c r="B81" s="74" t="s">
        <v>53</v>
      </c>
      <c r="C81" s="75"/>
      <c r="D81" s="76">
        <f>((D53*F53)+(D54*F54)+(D55*F55)+(D56*F56)+(D64*F64)+(D65*F65)+(D66*F66)+(D69*F69)+(D70*F70)+(D71*F71)+(H58+H59+H60+H61)+(D63*F63)+(D68*F68))/(1-E77-E79)/(1-E81)</f>
        <v>-58.426312914572677</v>
      </c>
      <c r="E81" s="77">
        <f>E80</f>
        <v>0.17</v>
      </c>
      <c r="F81" s="75"/>
      <c r="G81" s="75"/>
      <c r="H81" s="78">
        <f>D81*E81</f>
        <v>-9.9324731954773551</v>
      </c>
      <c r="AF81" s="1"/>
    </row>
    <row r="82" spans="2:32" x14ac:dyDescent="0.25">
      <c r="B82" s="217" t="s">
        <v>183</v>
      </c>
      <c r="C82" s="218"/>
      <c r="D82" s="219">
        <f>K114</f>
        <v>39.007906043258032</v>
      </c>
      <c r="E82" s="220">
        <f>E81</f>
        <v>0.17</v>
      </c>
      <c r="F82" s="218"/>
      <c r="G82" s="218"/>
      <c r="H82" s="221">
        <f>D82*E82</f>
        <v>6.6313440273538662</v>
      </c>
      <c r="AF82" s="1"/>
    </row>
    <row r="83" spans="2:32" x14ac:dyDescent="0.25">
      <c r="AF83" s="1"/>
    </row>
    <row r="84" spans="2:32" x14ac:dyDescent="0.25">
      <c r="AF84" s="1"/>
    </row>
    <row r="85" spans="2:32" x14ac:dyDescent="0.25">
      <c r="B85" s="170" t="s">
        <v>167</v>
      </c>
      <c r="C85" s="171"/>
      <c r="D85" s="171"/>
      <c r="E85" s="171"/>
      <c r="F85" s="171"/>
      <c r="G85" s="171"/>
      <c r="H85" s="172">
        <f>K113</f>
        <v>15.124499999999998</v>
      </c>
      <c r="I85" s="173" t="s">
        <v>168</v>
      </c>
      <c r="J85" s="174"/>
      <c r="K85" s="175"/>
      <c r="L85" s="176"/>
      <c r="M85" s="176"/>
      <c r="N85" s="176"/>
      <c r="O85" s="176"/>
      <c r="AF85" s="1"/>
    </row>
    <row r="86" spans="2:32" x14ac:dyDescent="0.25">
      <c r="L86" s="1"/>
      <c r="M86" s="1"/>
      <c r="N86" s="177"/>
      <c r="O86" s="1"/>
      <c r="AF86" s="1"/>
    </row>
    <row r="87" spans="2:32" x14ac:dyDescent="0.25">
      <c r="F87" s="130" t="s">
        <v>191</v>
      </c>
      <c r="G87" s="1"/>
      <c r="H87" s="1"/>
      <c r="L87" s="1"/>
      <c r="M87" s="1"/>
      <c r="N87" s="177"/>
      <c r="O87" s="1"/>
      <c r="AF87" s="1"/>
    </row>
    <row r="88" spans="2:32" x14ac:dyDescent="0.25">
      <c r="G88" s="1"/>
      <c r="H88" s="1"/>
      <c r="I88" s="178" t="s">
        <v>169</v>
      </c>
      <c r="J88" s="178" t="s">
        <v>170</v>
      </c>
      <c r="K88" s="118"/>
      <c r="L88" s="1"/>
      <c r="M88" s="1" t="s">
        <v>192</v>
      </c>
      <c r="N88" s="177"/>
      <c r="O88" s="1"/>
      <c r="AF88" s="1"/>
    </row>
    <row r="89" spans="2:32" x14ac:dyDescent="0.25">
      <c r="F89" s="19" t="s">
        <v>156</v>
      </c>
      <c r="G89" s="190" t="s">
        <v>171</v>
      </c>
      <c r="H89" s="191">
        <f>SUM(D33:D36,D43:D46)</f>
        <v>279</v>
      </c>
      <c r="I89" s="192">
        <f>E36</f>
        <v>0.27266000000000001</v>
      </c>
      <c r="J89" s="192">
        <f>F36</f>
        <v>0.27703</v>
      </c>
      <c r="K89" s="193">
        <f>H89*(I89+J89)</f>
        <v>153.36350999999999</v>
      </c>
      <c r="L89" s="179"/>
      <c r="M89" s="215">
        <f>SUM(K89:K93)/(1-E76-E78)/(1-E80)</f>
        <v>190.8244482629475</v>
      </c>
      <c r="N89" s="177"/>
      <c r="O89" s="1"/>
      <c r="AF89" s="1"/>
    </row>
    <row r="90" spans="2:32" x14ac:dyDescent="0.25">
      <c r="G90" s="194" t="s">
        <v>14</v>
      </c>
      <c r="H90" s="191">
        <f>IF($K$11=$B$154,(H89*($K$13)/($K$13+$L$13)),0)+IF($L$11=$B$154,(H89*($L$13)/($K$13+$L$13)),0)</f>
        <v>0</v>
      </c>
      <c r="I90" s="1"/>
      <c r="J90" s="192">
        <f>N4</f>
        <v>2.989E-2</v>
      </c>
      <c r="K90" s="195">
        <f>H90*(I90+J90)</f>
        <v>0</v>
      </c>
      <c r="L90" s="1"/>
      <c r="M90" s="1"/>
      <c r="N90" s="1"/>
      <c r="O90" s="1"/>
    </row>
    <row r="91" spans="2:32" x14ac:dyDescent="0.25">
      <c r="G91" s="194" t="s">
        <v>15</v>
      </c>
      <c r="H91" s="191">
        <f>IF($K$11=$B$163,(H90*($K$13)/($K$13+$L$13)),0)+IF($L$11=$B$163,(H90*($L$13)/($K$13+$L$13)),0)</f>
        <v>0</v>
      </c>
      <c r="I91" s="1"/>
      <c r="J91" s="192">
        <f>N5</f>
        <v>6.5000000000000002E-2</v>
      </c>
      <c r="K91" s="195">
        <f t="shared" ref="K91:K93" si="24">H91*(I91+J91)</f>
        <v>0</v>
      </c>
      <c r="L91" s="1"/>
      <c r="M91" s="1"/>
      <c r="N91" s="1"/>
      <c r="O91" s="1"/>
    </row>
    <row r="92" spans="2:32" x14ac:dyDescent="0.25">
      <c r="G92" s="194" t="s">
        <v>16</v>
      </c>
      <c r="H92" s="191">
        <f>IF($K$11=$B$172,(H91*($K$13)/($K$13+$L$13)),0)+IF($L$11=$B$172,(H91*($L$13)/($K$13+$L$13)),0)</f>
        <v>0</v>
      </c>
      <c r="J92" s="192">
        <f>N6</f>
        <v>9.7949999999999995E-2</v>
      </c>
      <c r="K92" s="195">
        <f t="shared" si="24"/>
        <v>0</v>
      </c>
      <c r="L92" s="1"/>
      <c r="M92" s="1"/>
      <c r="N92" s="1"/>
      <c r="O92" s="1"/>
    </row>
    <row r="93" spans="2:32" x14ac:dyDescent="0.25">
      <c r="G93" s="194" t="s">
        <v>17</v>
      </c>
      <c r="H93" s="191">
        <f>IF($K$11=$B$181,(H92*($K$13)/($K$13+$L$13)),0)+IF($L$11=$B$181,(H92*($L$13)/($K$13+$L$13)),0)</f>
        <v>0</v>
      </c>
      <c r="J93" s="192">
        <f>N7</f>
        <v>0.14199999999999999</v>
      </c>
      <c r="K93" s="195">
        <f t="shared" si="24"/>
        <v>0</v>
      </c>
      <c r="L93" s="1"/>
      <c r="M93" s="1"/>
      <c r="N93" s="1"/>
      <c r="O93" s="1"/>
    </row>
    <row r="94" spans="2:32" s="1" customFormat="1" x14ac:dyDescent="0.25"/>
    <row r="95" spans="2:32" x14ac:dyDescent="0.25">
      <c r="F95" s="19" t="s">
        <v>95</v>
      </c>
      <c r="G95" s="190" t="s">
        <v>171</v>
      </c>
      <c r="H95" s="191">
        <f>SUM(D53:D56)</f>
        <v>-229</v>
      </c>
      <c r="I95" s="196">
        <f>E71</f>
        <v>0.27266000000000001</v>
      </c>
      <c r="J95" s="192">
        <f>J89</f>
        <v>0.27703</v>
      </c>
      <c r="K95" s="193">
        <f>H95*(I95+J95)</f>
        <v>-125.87901000000001</v>
      </c>
      <c r="L95" s="179"/>
      <c r="M95" s="215">
        <f>((H95*J95)+(K96+K97+K98+K99))/(1-E77-E79)/(1-E81)</f>
        <v>-78.935844586649822</v>
      </c>
      <c r="N95" s="177"/>
      <c r="O95" s="1"/>
      <c r="AF95" s="1"/>
    </row>
    <row r="96" spans="2:32" x14ac:dyDescent="0.25">
      <c r="G96" s="194" t="s">
        <v>14</v>
      </c>
      <c r="H96" s="191">
        <f>IF($K$11=$B$154,(H95*($K$13)/($K$13+$L$13)),0)+IF($L$11=$B$154,(H95*($L$13)/($K$13+$L$13)),0)</f>
        <v>0</v>
      </c>
      <c r="I96" s="1"/>
      <c r="J96" s="192">
        <f>J90</f>
        <v>2.989E-2</v>
      </c>
      <c r="K96" s="195">
        <f t="shared" ref="K96:K99" si="25">H96*(I96+J96)</f>
        <v>0</v>
      </c>
      <c r="L96" s="1"/>
      <c r="M96" s="1"/>
      <c r="N96" s="1"/>
      <c r="O96" s="1"/>
    </row>
    <row r="97" spans="6:15" x14ac:dyDescent="0.25">
      <c r="G97" s="194" t="s">
        <v>15</v>
      </c>
      <c r="H97" s="191">
        <f>IF($K$11=$B$163,(H96*($K$13)/($K$13+$L$13)),0)+IF($L$11=$B$163,(H96*($L$13)/($K$13+$L$13)),0)</f>
        <v>0</v>
      </c>
      <c r="I97" s="1"/>
      <c r="J97" s="192">
        <f t="shared" ref="J97:J99" si="26">J91</f>
        <v>6.5000000000000002E-2</v>
      </c>
      <c r="K97" s="195">
        <f t="shared" si="25"/>
        <v>0</v>
      </c>
      <c r="L97" s="1"/>
      <c r="M97" s="1"/>
      <c r="N97" s="1"/>
      <c r="O97" s="1"/>
    </row>
    <row r="98" spans="6:15" x14ac:dyDescent="0.25">
      <c r="G98" s="194" t="s">
        <v>16</v>
      </c>
      <c r="H98" s="191">
        <f>IF($K$11=$B$172,(H97*($K$13)/($K$13+$L$13)),0)+IF($L$11=$B$172,(H97*($L$13)/($K$13+$L$13)),0)</f>
        <v>0</v>
      </c>
      <c r="J98" s="192">
        <f t="shared" si="26"/>
        <v>9.7949999999999995E-2</v>
      </c>
      <c r="K98" s="195">
        <f t="shared" si="25"/>
        <v>0</v>
      </c>
      <c r="L98" s="1"/>
      <c r="M98" s="1"/>
      <c r="N98" s="1"/>
      <c r="O98" s="1"/>
    </row>
    <row r="99" spans="6:15" x14ac:dyDescent="0.25">
      <c r="G99" s="194" t="s">
        <v>17</v>
      </c>
      <c r="H99" s="191">
        <f>IF($K$11=$B$181,(H98*($K$13)/($K$13+$L$13)),0)+IF($L$11=$B$181,(H98*($L$13)/($K$13+$L$13)),0)</f>
        <v>0</v>
      </c>
      <c r="J99" s="192">
        <f t="shared" si="26"/>
        <v>0.14199999999999999</v>
      </c>
      <c r="K99" s="195">
        <f t="shared" si="25"/>
        <v>0</v>
      </c>
      <c r="L99" s="1"/>
      <c r="M99" s="1"/>
      <c r="N99" s="1"/>
      <c r="O99" s="1"/>
    </row>
    <row r="100" spans="6:15" x14ac:dyDescent="0.25">
      <c r="G100" s="194"/>
      <c r="H100" s="197"/>
      <c r="J100" s="198"/>
      <c r="K100" s="1"/>
      <c r="L100" s="1"/>
      <c r="M100" s="1"/>
      <c r="N100" s="1"/>
      <c r="O100" s="1"/>
    </row>
    <row r="101" spans="6:15" x14ac:dyDescent="0.25">
      <c r="F101" s="130" t="s">
        <v>189</v>
      </c>
      <c r="G101" s="199" t="s">
        <v>188</v>
      </c>
      <c r="H101" s="88"/>
      <c r="I101" s="88"/>
      <c r="J101" s="88"/>
      <c r="K101" s="200">
        <f>SUM(H33:H36,H43:H46)</f>
        <v>105.53</v>
      </c>
      <c r="L101" s="1"/>
      <c r="M101" s="215">
        <f>SUM(K101:K105)/(1-E76-E78)/(1-E80)</f>
        <v>131.30701054761232</v>
      </c>
      <c r="N101" s="1"/>
      <c r="O101" s="1"/>
    </row>
    <row r="102" spans="6:15" x14ac:dyDescent="0.25">
      <c r="G102" s="194" t="s">
        <v>14</v>
      </c>
      <c r="H102" s="88"/>
      <c r="I102" s="88"/>
      <c r="J102" s="88"/>
      <c r="K102" s="200">
        <f>H38+H48</f>
        <v>0</v>
      </c>
      <c r="L102" s="1"/>
      <c r="M102" s="1"/>
      <c r="N102" s="1"/>
      <c r="O102" s="1"/>
    </row>
    <row r="103" spans="6:15" x14ac:dyDescent="0.25">
      <c r="G103" s="194" t="s">
        <v>15</v>
      </c>
      <c r="H103" s="88"/>
      <c r="I103" s="88"/>
      <c r="J103" s="88"/>
      <c r="K103" s="200">
        <f>H39+H49</f>
        <v>0</v>
      </c>
      <c r="L103" s="1"/>
      <c r="M103" s="1"/>
      <c r="N103" s="1"/>
      <c r="O103" s="1"/>
    </row>
    <row r="104" spans="6:15" x14ac:dyDescent="0.25">
      <c r="G104" s="194" t="s">
        <v>16</v>
      </c>
      <c r="H104" s="88"/>
      <c r="I104" s="88"/>
      <c r="J104" s="88"/>
      <c r="K104" s="200">
        <f>H40+H50</f>
        <v>0</v>
      </c>
      <c r="L104" s="1"/>
      <c r="M104" s="1"/>
      <c r="N104" s="1"/>
      <c r="O104" s="1"/>
    </row>
    <row r="105" spans="6:15" x14ac:dyDescent="0.25">
      <c r="G105" s="194" t="s">
        <v>17</v>
      </c>
      <c r="H105" s="88"/>
      <c r="I105" s="88"/>
      <c r="J105" s="88"/>
      <c r="K105" s="200">
        <f>H41+H51</f>
        <v>0</v>
      </c>
      <c r="L105" s="1"/>
      <c r="M105" s="1"/>
      <c r="N105" s="1"/>
      <c r="O105" s="1"/>
    </row>
    <row r="106" spans="6:15" x14ac:dyDescent="0.25">
      <c r="G106" s="194"/>
      <c r="L106" s="1"/>
      <c r="M106" s="1"/>
      <c r="N106" s="1"/>
      <c r="O106" s="1"/>
    </row>
    <row r="107" spans="6:15" x14ac:dyDescent="0.25">
      <c r="F107" s="130" t="s">
        <v>190</v>
      </c>
      <c r="G107" s="199" t="s">
        <v>188</v>
      </c>
      <c r="H107" s="88"/>
      <c r="I107" s="88"/>
      <c r="J107" s="88"/>
      <c r="K107" s="200">
        <f>SUM(H53:H56,H63:H66,H68:H71)</f>
        <v>-93.170000000000016</v>
      </c>
      <c r="L107" s="97"/>
      <c r="M107" s="215">
        <f>D81</f>
        <v>-58.426312914572677</v>
      </c>
      <c r="N107" s="1"/>
      <c r="O107" s="1"/>
    </row>
    <row r="108" spans="6:15" x14ac:dyDescent="0.25">
      <c r="G108" s="194" t="s">
        <v>14</v>
      </c>
      <c r="H108" s="88"/>
      <c r="I108" s="88"/>
      <c r="J108" s="88"/>
      <c r="K108" s="200">
        <f>H58</f>
        <v>0</v>
      </c>
      <c r="L108" s="1"/>
      <c r="M108" s="1"/>
      <c r="N108" s="1"/>
      <c r="O108" s="1"/>
    </row>
    <row r="109" spans="6:15" x14ac:dyDescent="0.25">
      <c r="G109" s="194" t="s">
        <v>15</v>
      </c>
      <c r="H109" s="88"/>
      <c r="I109" s="88"/>
      <c r="J109" s="88"/>
      <c r="K109" s="200">
        <f t="shared" ref="K109:K111" si="27">H59</f>
        <v>0</v>
      </c>
      <c r="L109" s="1"/>
      <c r="M109" s="1"/>
      <c r="N109" s="1"/>
      <c r="O109" s="1"/>
    </row>
    <row r="110" spans="6:15" x14ac:dyDescent="0.25">
      <c r="G110" s="194" t="s">
        <v>16</v>
      </c>
      <c r="H110" s="88"/>
      <c r="I110" s="88"/>
      <c r="J110" s="88"/>
      <c r="K110" s="200">
        <f t="shared" si="27"/>
        <v>0</v>
      </c>
      <c r="L110" s="1"/>
      <c r="M110" s="1"/>
      <c r="N110" s="1"/>
      <c r="O110" s="1"/>
    </row>
    <row r="111" spans="6:15" x14ac:dyDescent="0.25">
      <c r="G111" s="194" t="s">
        <v>17</v>
      </c>
      <c r="H111" s="88"/>
      <c r="I111" s="88"/>
      <c r="J111" s="88"/>
      <c r="K111" s="200">
        <f t="shared" si="27"/>
        <v>0</v>
      </c>
      <c r="L111" s="1"/>
      <c r="M111" s="1"/>
      <c r="N111" s="1"/>
      <c r="O111" s="1"/>
    </row>
    <row r="112" spans="6:15" x14ac:dyDescent="0.25">
      <c r="G112" s="194"/>
      <c r="L112" s="1"/>
      <c r="M112" s="1"/>
      <c r="N112" s="1"/>
      <c r="O112" s="1"/>
    </row>
    <row r="113" spans="2:17" x14ac:dyDescent="0.25">
      <c r="J113" s="201" t="s">
        <v>167</v>
      </c>
      <c r="K113" s="193">
        <f>(K89+K95)-(K101+K107)</f>
        <v>15.124499999999998</v>
      </c>
      <c r="L113" s="180" t="s">
        <v>172</v>
      </c>
      <c r="M113" s="1"/>
      <c r="N113" s="1"/>
      <c r="O113" s="1"/>
    </row>
    <row r="114" spans="2:17" x14ac:dyDescent="0.25">
      <c r="J114" s="202" t="s">
        <v>91</v>
      </c>
      <c r="K114" s="216">
        <f>(M89+M95)-(M101+M107)</f>
        <v>39.007906043258032</v>
      </c>
      <c r="L114" s="180" t="s">
        <v>173</v>
      </c>
      <c r="M114" s="1"/>
      <c r="N114" s="1"/>
      <c r="O114" s="1"/>
    </row>
    <row r="116" spans="2:17" x14ac:dyDescent="0.25">
      <c r="B116" s="1" t="s">
        <v>155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2:17" x14ac:dyDescent="0.25">
      <c r="B117" s="105" t="s">
        <v>14</v>
      </c>
      <c r="C117" s="105"/>
      <c r="D117" s="105"/>
      <c r="E117" s="105"/>
      <c r="F117" s="105"/>
      <c r="G117" s="105"/>
      <c r="H117" s="116"/>
      <c r="I117" s="116"/>
      <c r="J117" s="117"/>
      <c r="K117" s="203">
        <f>N4</f>
        <v>2.989E-2</v>
      </c>
      <c r="L117" s="204"/>
      <c r="M117" s="106"/>
      <c r="N117" s="106"/>
      <c r="O117" s="118"/>
      <c r="P117" s="1"/>
      <c r="Q117" s="1"/>
    </row>
    <row r="118" spans="2:17" x14ac:dyDescent="0.25">
      <c r="B118" s="1"/>
      <c r="C118" s="166" t="s">
        <v>156</v>
      </c>
      <c r="D118" s="523"/>
      <c r="E118" s="524"/>
      <c r="F118" s="167"/>
      <c r="G118" s="523"/>
      <c r="H118" s="524"/>
      <c r="I118" s="167"/>
      <c r="J118" s="523" t="s">
        <v>157</v>
      </c>
      <c r="K118" s="524"/>
      <c r="L118" s="167"/>
      <c r="M118" s="523" t="s">
        <v>158</v>
      </c>
      <c r="N118" s="524"/>
      <c r="O118" s="168" t="s">
        <v>159</v>
      </c>
      <c r="P118" s="1"/>
      <c r="Q118" s="46"/>
    </row>
    <row r="119" spans="2:17" x14ac:dyDescent="0.25">
      <c r="B119" s="1"/>
      <c r="C119" s="205" t="s">
        <v>160</v>
      </c>
      <c r="D119" s="205"/>
      <c r="E119" s="205"/>
      <c r="F119" s="205"/>
      <c r="G119" s="205"/>
      <c r="H119" s="205"/>
      <c r="I119" s="205"/>
      <c r="J119" s="205"/>
      <c r="K119" s="205" t="s">
        <v>9</v>
      </c>
      <c r="L119" s="205"/>
      <c r="M119" s="205" t="s">
        <v>33</v>
      </c>
      <c r="N119" s="205" t="s">
        <v>9</v>
      </c>
      <c r="O119" s="205" t="s">
        <v>161</v>
      </c>
      <c r="P119" s="1"/>
    </row>
    <row r="120" spans="2:17" x14ac:dyDescent="0.25">
      <c r="B120" s="1"/>
      <c r="C120" s="206">
        <f>IF($K$11=$B$117,(D33*($K$13)/($K$13+$L$13)),0)+IF($L$11=$B$117,(D33*($L$13)/($K$13+$L$13)),0)</f>
        <v>0</v>
      </c>
      <c r="D120" s="207"/>
      <c r="E120" s="207"/>
      <c r="F120" s="207"/>
      <c r="G120" s="192"/>
      <c r="H120" s="192"/>
      <c r="I120" s="192"/>
      <c r="J120" s="192"/>
      <c r="K120" s="192">
        <f>$K$154*(1-Q120)</f>
        <v>1.0461499999999999E-2</v>
      </c>
      <c r="L120" s="192"/>
      <c r="M120" s="208"/>
      <c r="N120" s="208">
        <f>ROUND((C120*K120),2)</f>
        <v>0</v>
      </c>
      <c r="O120" s="193">
        <f>M120+N120</f>
        <v>0</v>
      </c>
      <c r="P120" s="209"/>
      <c r="Q120" s="169">
        <v>0.65</v>
      </c>
    </row>
    <row r="121" spans="2:17" x14ac:dyDescent="0.25">
      <c r="B121" s="1"/>
      <c r="C121" s="206">
        <f t="shared" ref="C121:C123" si="28">IF($K$11=$B$117,(D34*($K$13)/($K$13+$L$13)),0)+IF($L$11=$B$117,(D34*($L$13)/($K$13+$L$13)),0)</f>
        <v>0</v>
      </c>
      <c r="D121" s="207"/>
      <c r="E121" s="207"/>
      <c r="F121" s="207"/>
      <c r="G121" s="192"/>
      <c r="H121" s="192"/>
      <c r="I121" s="192"/>
      <c r="J121" s="192"/>
      <c r="K121" s="192">
        <f>$K$154*(1-Q121)</f>
        <v>1.7933999999999999E-2</v>
      </c>
      <c r="L121" s="192"/>
      <c r="M121" s="208"/>
      <c r="N121" s="208">
        <f t="shared" ref="N121:N123" si="29">ROUND((C121*K121),2)</f>
        <v>0</v>
      </c>
      <c r="O121" s="193">
        <f>M121+N121</f>
        <v>0</v>
      </c>
      <c r="P121" s="209"/>
      <c r="Q121" s="169">
        <v>0.4</v>
      </c>
    </row>
    <row r="122" spans="2:17" x14ac:dyDescent="0.25">
      <c r="B122" s="1"/>
      <c r="C122" s="206">
        <f t="shared" si="28"/>
        <v>0</v>
      </c>
      <c r="D122" s="207"/>
      <c r="E122" s="207"/>
      <c r="F122" s="207"/>
      <c r="G122" s="192"/>
      <c r="H122" s="192"/>
      <c r="I122" s="192"/>
      <c r="J122" s="192"/>
      <c r="K122" s="192">
        <f>$K$154*(1-Q122)</f>
        <v>2.6901000000000001E-2</v>
      </c>
      <c r="L122" s="192"/>
      <c r="M122" s="208"/>
      <c r="N122" s="208">
        <f t="shared" si="29"/>
        <v>0</v>
      </c>
      <c r="O122" s="193">
        <f>M122+N122</f>
        <v>0</v>
      </c>
      <c r="P122" s="209"/>
      <c r="Q122" s="169">
        <v>0.1</v>
      </c>
    </row>
    <row r="123" spans="2:17" x14ac:dyDescent="0.25">
      <c r="B123" s="1"/>
      <c r="C123" s="206">
        <f t="shared" si="28"/>
        <v>0</v>
      </c>
      <c r="D123" s="207"/>
      <c r="E123" s="207"/>
      <c r="F123" s="207"/>
      <c r="G123" s="192"/>
      <c r="H123" s="192"/>
      <c r="I123" s="192"/>
      <c r="J123" s="192"/>
      <c r="K123" s="192">
        <f>$K$154*(1-Q123)</f>
        <v>2.989E-2</v>
      </c>
      <c r="L123" s="192"/>
      <c r="M123" s="208"/>
      <c r="N123" s="208">
        <f t="shared" si="29"/>
        <v>0</v>
      </c>
      <c r="O123" s="193">
        <f>M123+N123</f>
        <v>0</v>
      </c>
      <c r="P123" s="209"/>
      <c r="Q123" s="169">
        <v>0</v>
      </c>
    </row>
    <row r="124" spans="2:17" x14ac:dyDescent="0.25">
      <c r="B124" s="1"/>
      <c r="C124" s="210" t="s">
        <v>162</v>
      </c>
      <c r="D124" s="211"/>
      <c r="E124" s="211"/>
      <c r="F124" s="211"/>
      <c r="G124" s="211"/>
      <c r="H124" s="211"/>
      <c r="I124" s="211"/>
      <c r="J124" s="211"/>
      <c r="K124" s="211"/>
      <c r="L124" s="211"/>
      <c r="M124" s="211"/>
      <c r="N124" s="212"/>
      <c r="O124" s="213">
        <f>SUM(O120:O123)</f>
        <v>0</v>
      </c>
      <c r="P124" s="1"/>
      <c r="Q124" s="1"/>
    </row>
    <row r="125" spans="2:17" x14ac:dyDescent="0.25">
      <c r="B125" s="105"/>
      <c r="C125" s="105"/>
      <c r="D125" s="105"/>
      <c r="E125" s="105"/>
      <c r="F125" s="105"/>
      <c r="G125" s="105"/>
      <c r="H125" s="116"/>
      <c r="I125" s="116"/>
      <c r="J125" s="117"/>
      <c r="K125" s="117"/>
      <c r="L125" s="117"/>
      <c r="M125" s="106"/>
      <c r="N125" s="106"/>
      <c r="O125" s="214"/>
      <c r="P125" s="1"/>
      <c r="Q125" s="1"/>
    </row>
    <row r="126" spans="2:17" x14ac:dyDescent="0.25">
      <c r="B126" s="105" t="s">
        <v>15</v>
      </c>
      <c r="C126" s="105"/>
      <c r="D126" s="105"/>
      <c r="E126" s="105"/>
      <c r="F126" s="105"/>
      <c r="G126" s="105"/>
      <c r="H126" s="116"/>
      <c r="I126" s="116"/>
      <c r="J126" s="117"/>
      <c r="K126" s="203">
        <f>N5</f>
        <v>6.5000000000000002E-2</v>
      </c>
      <c r="L126" s="204"/>
      <c r="M126" s="106"/>
      <c r="N126" s="106"/>
      <c r="O126" s="118"/>
      <c r="P126" s="1"/>
      <c r="Q126" s="1"/>
    </row>
    <row r="127" spans="2:17" x14ac:dyDescent="0.25">
      <c r="B127" s="1"/>
      <c r="C127" s="166" t="s">
        <v>156</v>
      </c>
      <c r="D127" s="523"/>
      <c r="E127" s="524"/>
      <c r="F127" s="167"/>
      <c r="G127" s="523"/>
      <c r="H127" s="524"/>
      <c r="I127" s="167"/>
      <c r="J127" s="523" t="s">
        <v>32</v>
      </c>
      <c r="K127" s="524"/>
      <c r="L127" s="167"/>
      <c r="M127" s="523" t="s">
        <v>158</v>
      </c>
      <c r="N127" s="524"/>
      <c r="O127" s="168" t="s">
        <v>159</v>
      </c>
      <c r="P127" s="1"/>
      <c r="Q127" s="46"/>
    </row>
    <row r="128" spans="2:17" x14ac:dyDescent="0.25">
      <c r="B128" s="1"/>
      <c r="C128" s="205" t="s">
        <v>160</v>
      </c>
      <c r="D128" s="205"/>
      <c r="E128" s="205"/>
      <c r="F128" s="205"/>
      <c r="G128" s="205" t="s">
        <v>33</v>
      </c>
      <c r="H128" s="205" t="s">
        <v>9</v>
      </c>
      <c r="I128" s="205"/>
      <c r="J128" s="205" t="s">
        <v>33</v>
      </c>
      <c r="K128" s="205" t="s">
        <v>9</v>
      </c>
      <c r="L128" s="205"/>
      <c r="M128" s="205" t="s">
        <v>33</v>
      </c>
      <c r="N128" s="205" t="s">
        <v>9</v>
      </c>
      <c r="O128" s="205" t="s">
        <v>161</v>
      </c>
      <c r="P128" s="1"/>
    </row>
    <row r="129" spans="2:17" x14ac:dyDescent="0.25">
      <c r="B129" s="1"/>
      <c r="C129" s="206">
        <f>IF($K$11=$B$126,(D33*($K$13)/($K$13+$L$13)),0)+IF($L$11=$B$126,(D33*($L$13)/($K$13+$L$13)),0)</f>
        <v>0</v>
      </c>
      <c r="D129" s="207"/>
      <c r="E129" s="207"/>
      <c r="F129" s="207"/>
      <c r="G129" s="192"/>
      <c r="H129" s="192"/>
      <c r="I129" s="192"/>
      <c r="J129" s="192"/>
      <c r="K129" s="192">
        <f>$K$163*(1-Q129)</f>
        <v>2.2749999999999999E-2</v>
      </c>
      <c r="L129" s="192"/>
      <c r="M129" s="208"/>
      <c r="N129" s="208">
        <f>ROUND((C129*K129),2)</f>
        <v>0</v>
      </c>
      <c r="O129" s="193">
        <f>M129+N129</f>
        <v>0</v>
      </c>
      <c r="P129" s="209"/>
      <c r="Q129" s="169">
        <v>0.65</v>
      </c>
    </row>
    <row r="130" spans="2:17" x14ac:dyDescent="0.25">
      <c r="B130" s="1"/>
      <c r="C130" s="206">
        <f t="shared" ref="C130:C132" si="30">IF($K$11=$B$126,(D34*($K$13)/($K$13+$L$13)),0)+IF($L$11=$B$126,(D34*($L$13)/($K$13+$L$13)),0)</f>
        <v>0</v>
      </c>
      <c r="D130" s="207"/>
      <c r="E130" s="207"/>
      <c r="F130" s="207"/>
      <c r="G130" s="192"/>
      <c r="H130" s="192"/>
      <c r="I130" s="192"/>
      <c r="J130" s="192"/>
      <c r="K130" s="192">
        <f>$K$163*(1-Q130)</f>
        <v>3.9E-2</v>
      </c>
      <c r="L130" s="192"/>
      <c r="M130" s="208"/>
      <c r="N130" s="208">
        <f t="shared" ref="N130:N132" si="31">ROUND((C130*K130),2)</f>
        <v>0</v>
      </c>
      <c r="O130" s="193">
        <f>M130+N130</f>
        <v>0</v>
      </c>
      <c r="P130" s="209"/>
      <c r="Q130" s="169">
        <v>0.4</v>
      </c>
    </row>
    <row r="131" spans="2:17" x14ac:dyDescent="0.25">
      <c r="B131" s="1"/>
      <c r="C131" s="206">
        <f t="shared" si="30"/>
        <v>0</v>
      </c>
      <c r="D131" s="207"/>
      <c r="E131" s="207"/>
      <c r="F131" s="207"/>
      <c r="G131" s="192"/>
      <c r="H131" s="192"/>
      <c r="I131" s="192"/>
      <c r="J131" s="192"/>
      <c r="K131" s="192">
        <f>$K$163*(1-Q131)</f>
        <v>5.8500000000000003E-2</v>
      </c>
      <c r="L131" s="192"/>
      <c r="M131" s="208"/>
      <c r="N131" s="208">
        <f t="shared" si="31"/>
        <v>0</v>
      </c>
      <c r="O131" s="193">
        <f>M131+N131</f>
        <v>0</v>
      </c>
      <c r="P131" s="209"/>
      <c r="Q131" s="169">
        <v>0.1</v>
      </c>
    </row>
    <row r="132" spans="2:17" x14ac:dyDescent="0.25">
      <c r="B132" s="1"/>
      <c r="C132" s="206">
        <f t="shared" si="30"/>
        <v>0</v>
      </c>
      <c r="D132" s="207"/>
      <c r="E132" s="207"/>
      <c r="F132" s="207"/>
      <c r="G132" s="192"/>
      <c r="H132" s="192"/>
      <c r="I132" s="192"/>
      <c r="J132" s="192"/>
      <c r="K132" s="192">
        <f>$K$163*(1-Q132)</f>
        <v>6.5000000000000002E-2</v>
      </c>
      <c r="L132" s="192"/>
      <c r="M132" s="208"/>
      <c r="N132" s="208">
        <f t="shared" si="31"/>
        <v>0</v>
      </c>
      <c r="O132" s="193">
        <f>M132+N132</f>
        <v>0</v>
      </c>
      <c r="P132" s="209"/>
      <c r="Q132" s="169">
        <v>0</v>
      </c>
    </row>
    <row r="133" spans="2:17" x14ac:dyDescent="0.25">
      <c r="B133" s="1"/>
      <c r="C133" s="210" t="s">
        <v>162</v>
      </c>
      <c r="D133" s="211"/>
      <c r="E133" s="211"/>
      <c r="F133" s="211"/>
      <c r="G133" s="211"/>
      <c r="H133" s="211"/>
      <c r="I133" s="211"/>
      <c r="J133" s="211"/>
      <c r="K133" s="211"/>
      <c r="L133" s="211"/>
      <c r="M133" s="211"/>
      <c r="N133" s="212"/>
      <c r="O133" s="213">
        <f>SUM(O129:O132)</f>
        <v>0</v>
      </c>
      <c r="P133" s="1"/>
      <c r="Q133" s="1"/>
    </row>
    <row r="134" spans="2:17" x14ac:dyDescent="0.25">
      <c r="B134" s="105"/>
      <c r="C134" s="105"/>
      <c r="D134" s="105"/>
      <c r="E134" s="105"/>
      <c r="F134" s="105"/>
      <c r="G134" s="105"/>
      <c r="H134" s="116"/>
      <c r="I134" s="116"/>
      <c r="J134" s="117"/>
      <c r="K134" s="117"/>
      <c r="L134" s="117"/>
      <c r="M134" s="106"/>
      <c r="N134" s="106"/>
      <c r="O134" s="118"/>
      <c r="P134" s="1"/>
      <c r="Q134" s="1"/>
    </row>
    <row r="135" spans="2:17" x14ac:dyDescent="0.25">
      <c r="B135" s="105" t="s">
        <v>16</v>
      </c>
      <c r="C135" s="105"/>
      <c r="D135" s="105"/>
      <c r="E135" s="105"/>
      <c r="F135" s="105"/>
      <c r="G135" s="105"/>
      <c r="H135" s="116"/>
      <c r="I135" s="116"/>
      <c r="J135" s="117"/>
      <c r="K135" s="203">
        <f>N6</f>
        <v>9.7949999999999995E-2</v>
      </c>
      <c r="L135" s="204"/>
      <c r="M135" s="106"/>
      <c r="N135" s="106"/>
      <c r="O135" s="118"/>
      <c r="P135" s="1"/>
      <c r="Q135" s="1"/>
    </row>
    <row r="136" spans="2:17" x14ac:dyDescent="0.25">
      <c r="B136" s="1"/>
      <c r="C136" s="166" t="s">
        <v>156</v>
      </c>
      <c r="D136" s="523"/>
      <c r="E136" s="524"/>
      <c r="F136" s="167"/>
      <c r="G136" s="523"/>
      <c r="H136" s="524"/>
      <c r="I136" s="167"/>
      <c r="J136" s="523" t="s">
        <v>32</v>
      </c>
      <c r="K136" s="524"/>
      <c r="L136" s="167"/>
      <c r="M136" s="523" t="s">
        <v>158</v>
      </c>
      <c r="N136" s="524"/>
      <c r="O136" s="168" t="s">
        <v>159</v>
      </c>
      <c r="P136" s="1"/>
      <c r="Q136" s="46"/>
    </row>
    <row r="137" spans="2:17" x14ac:dyDescent="0.25">
      <c r="B137" s="1"/>
      <c r="C137" s="205" t="s">
        <v>160</v>
      </c>
      <c r="D137" s="205"/>
      <c r="E137" s="205"/>
      <c r="F137" s="205"/>
      <c r="G137" s="205" t="s">
        <v>33</v>
      </c>
      <c r="H137" s="205" t="s">
        <v>9</v>
      </c>
      <c r="I137" s="205"/>
      <c r="J137" s="205" t="s">
        <v>33</v>
      </c>
      <c r="K137" s="205" t="s">
        <v>9</v>
      </c>
      <c r="L137" s="205"/>
      <c r="M137" s="205" t="s">
        <v>33</v>
      </c>
      <c r="N137" s="205" t="s">
        <v>9</v>
      </c>
      <c r="O137" s="205" t="s">
        <v>161</v>
      </c>
      <c r="P137" s="1"/>
    </row>
    <row r="138" spans="2:17" x14ac:dyDescent="0.25">
      <c r="B138" s="1"/>
      <c r="C138" s="206">
        <f>IF($K$11=$B$135,(D33*($K$13)/($K$13+$L$13)),0)+IF($L$11=$B$135,(D33*($L$13)/($K$13+$L$13)),0)</f>
        <v>0</v>
      </c>
      <c r="D138" s="207"/>
      <c r="E138" s="207"/>
      <c r="F138" s="207"/>
      <c r="G138" s="192"/>
      <c r="H138" s="192"/>
      <c r="I138" s="192"/>
      <c r="J138" s="192"/>
      <c r="K138" s="192">
        <f>$K$172*(1-Q138)</f>
        <v>3.4282499999999994E-2</v>
      </c>
      <c r="L138" s="192"/>
      <c r="M138" s="208"/>
      <c r="N138" s="208">
        <f>ROUND((C138*K138),2)</f>
        <v>0</v>
      </c>
      <c r="O138" s="193">
        <f>M138+N138</f>
        <v>0</v>
      </c>
      <c r="P138" s="209"/>
      <c r="Q138" s="169">
        <v>0.65</v>
      </c>
    </row>
    <row r="139" spans="2:17" x14ac:dyDescent="0.25">
      <c r="B139" s="1"/>
      <c r="C139" s="206">
        <f t="shared" ref="C139:C141" si="32">IF($K$11=$B$135,(D34*($K$13)/($K$13+$L$13)),0)+IF($L$11=$B$135,(D34*($L$13)/($K$13+$L$13)),0)</f>
        <v>0</v>
      </c>
      <c r="D139" s="207"/>
      <c r="E139" s="207"/>
      <c r="F139" s="207"/>
      <c r="G139" s="192"/>
      <c r="H139" s="192"/>
      <c r="I139" s="192"/>
      <c r="J139" s="192"/>
      <c r="K139" s="192">
        <f>$K$172*(1-Q139)</f>
        <v>5.8769999999999996E-2</v>
      </c>
      <c r="L139" s="192"/>
      <c r="M139" s="208"/>
      <c r="N139" s="208">
        <f t="shared" ref="N139:N141" si="33">ROUND((C139*K139),2)</f>
        <v>0</v>
      </c>
      <c r="O139" s="193">
        <f>M139+N139</f>
        <v>0</v>
      </c>
      <c r="P139" s="209"/>
      <c r="Q139" s="169">
        <v>0.4</v>
      </c>
    </row>
    <row r="140" spans="2:17" x14ac:dyDescent="0.25">
      <c r="B140" s="1"/>
      <c r="C140" s="206">
        <f t="shared" si="32"/>
        <v>0</v>
      </c>
      <c r="D140" s="207"/>
      <c r="E140" s="207"/>
      <c r="F140" s="207"/>
      <c r="G140" s="192"/>
      <c r="H140" s="192"/>
      <c r="I140" s="192"/>
      <c r="J140" s="192"/>
      <c r="K140" s="192">
        <f>$K$172*(1-Q140)</f>
        <v>8.8154999999999997E-2</v>
      </c>
      <c r="L140" s="192"/>
      <c r="M140" s="208"/>
      <c r="N140" s="208">
        <f t="shared" si="33"/>
        <v>0</v>
      </c>
      <c r="O140" s="193">
        <f>M140+N140</f>
        <v>0</v>
      </c>
      <c r="P140" s="209"/>
      <c r="Q140" s="169">
        <v>0.1</v>
      </c>
    </row>
    <row r="141" spans="2:17" x14ac:dyDescent="0.25">
      <c r="B141" s="1"/>
      <c r="C141" s="206">
        <f t="shared" si="32"/>
        <v>0</v>
      </c>
      <c r="D141" s="207"/>
      <c r="E141" s="207"/>
      <c r="F141" s="207"/>
      <c r="G141" s="192"/>
      <c r="H141" s="192"/>
      <c r="I141" s="192"/>
      <c r="J141" s="192"/>
      <c r="K141" s="192">
        <f>$K$172*(1-Q141)</f>
        <v>9.7949999999999995E-2</v>
      </c>
      <c r="L141" s="192"/>
      <c r="M141" s="208"/>
      <c r="N141" s="208">
        <f t="shared" si="33"/>
        <v>0</v>
      </c>
      <c r="O141" s="193">
        <f>M141+N141</f>
        <v>0</v>
      </c>
      <c r="P141" s="209"/>
      <c r="Q141" s="169">
        <v>0</v>
      </c>
    </row>
    <row r="142" spans="2:17" x14ac:dyDescent="0.25">
      <c r="B142" s="1"/>
      <c r="C142" s="210" t="s">
        <v>162</v>
      </c>
      <c r="D142" s="211"/>
      <c r="E142" s="211"/>
      <c r="F142" s="211"/>
      <c r="G142" s="211"/>
      <c r="H142" s="211"/>
      <c r="I142" s="211"/>
      <c r="J142" s="211"/>
      <c r="K142" s="211"/>
      <c r="L142" s="211"/>
      <c r="M142" s="211"/>
      <c r="N142" s="212"/>
      <c r="O142" s="213">
        <f>SUM(O138:O141)</f>
        <v>0</v>
      </c>
      <c r="P142" s="1"/>
      <c r="Q142" s="1"/>
    </row>
    <row r="143" spans="2:17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2:17" x14ac:dyDescent="0.25">
      <c r="B144" s="1" t="s">
        <v>17</v>
      </c>
      <c r="C144" s="105"/>
      <c r="D144" s="105"/>
      <c r="E144" s="105"/>
      <c r="F144" s="105"/>
      <c r="G144" s="105"/>
      <c r="H144" s="116"/>
      <c r="I144" s="116"/>
      <c r="J144" s="117"/>
      <c r="K144" s="203">
        <f>N7</f>
        <v>0.14199999999999999</v>
      </c>
      <c r="L144" s="204"/>
      <c r="M144" s="106"/>
      <c r="N144" s="106"/>
      <c r="O144" s="118"/>
      <c r="P144" s="1"/>
      <c r="Q144" s="1"/>
    </row>
    <row r="145" spans="2:17" x14ac:dyDescent="0.25">
      <c r="B145" s="1"/>
      <c r="C145" s="166" t="s">
        <v>156</v>
      </c>
      <c r="D145" s="523"/>
      <c r="E145" s="524"/>
      <c r="F145" s="167"/>
      <c r="G145" s="523"/>
      <c r="H145" s="524"/>
      <c r="I145" s="167"/>
      <c r="J145" s="523" t="s">
        <v>32</v>
      </c>
      <c r="K145" s="524"/>
      <c r="L145" s="167"/>
      <c r="M145" s="523" t="s">
        <v>158</v>
      </c>
      <c r="N145" s="524"/>
      <c r="O145" s="168" t="s">
        <v>159</v>
      </c>
      <c r="P145" s="1"/>
      <c r="Q145" s="46"/>
    </row>
    <row r="146" spans="2:17" x14ac:dyDescent="0.25">
      <c r="B146" s="1"/>
      <c r="C146" s="205" t="s">
        <v>160</v>
      </c>
      <c r="D146" s="205"/>
      <c r="E146" s="205"/>
      <c r="F146" s="205"/>
      <c r="G146" s="205" t="s">
        <v>33</v>
      </c>
      <c r="H146" s="205" t="s">
        <v>9</v>
      </c>
      <c r="I146" s="205"/>
      <c r="J146" s="205" t="s">
        <v>33</v>
      </c>
      <c r="K146" s="205" t="s">
        <v>9</v>
      </c>
      <c r="L146" s="205"/>
      <c r="M146" s="205" t="s">
        <v>33</v>
      </c>
      <c r="N146" s="205" t="s">
        <v>9</v>
      </c>
      <c r="O146" s="205" t="s">
        <v>161</v>
      </c>
      <c r="P146" s="1"/>
    </row>
    <row r="147" spans="2:17" x14ac:dyDescent="0.25">
      <c r="B147" s="1"/>
      <c r="C147" s="206">
        <f>IF($K$11=$B$144,(D33*($K$13)/($K$13+$L$13)),0)+IF($L$11=$B$144,(D33*($L$13)/($K$13+$L$13)),0)</f>
        <v>0</v>
      </c>
      <c r="D147" s="207"/>
      <c r="E147" s="207"/>
      <c r="F147" s="207"/>
      <c r="G147" s="192"/>
      <c r="H147" s="192"/>
      <c r="I147" s="192"/>
      <c r="J147" s="192"/>
      <c r="K147" s="192">
        <f>$K$181*(1-Q147)</f>
        <v>4.9699999999999994E-2</v>
      </c>
      <c r="L147" s="192"/>
      <c r="M147" s="208"/>
      <c r="N147" s="208">
        <f>ROUND((C147*K147),2)</f>
        <v>0</v>
      </c>
      <c r="O147" s="193">
        <f>M147+N147</f>
        <v>0</v>
      </c>
      <c r="P147" s="209"/>
      <c r="Q147" s="169">
        <v>0.65</v>
      </c>
    </row>
    <row r="148" spans="2:17" x14ac:dyDescent="0.25">
      <c r="B148" s="1"/>
      <c r="C148" s="206">
        <f t="shared" ref="C148:C150" si="34">IF($K$11=$B$144,(D34*($K$13)/($K$13+$L$13)),0)+IF($L$11=$B$144,(D34*($L$13)/($K$13+$L$13)),0)</f>
        <v>0</v>
      </c>
      <c r="D148" s="207"/>
      <c r="E148" s="207"/>
      <c r="F148" s="207"/>
      <c r="G148" s="192"/>
      <c r="H148" s="192"/>
      <c r="I148" s="192"/>
      <c r="J148" s="192"/>
      <c r="K148" s="192">
        <f>$K$181*(1-Q148)</f>
        <v>8.5199999999999984E-2</v>
      </c>
      <c r="L148" s="192"/>
      <c r="M148" s="208"/>
      <c r="N148" s="208">
        <f t="shared" ref="N148:N150" si="35">ROUND((C148*K148),2)</f>
        <v>0</v>
      </c>
      <c r="O148" s="193">
        <f>M148+N148</f>
        <v>0</v>
      </c>
      <c r="P148" s="209"/>
      <c r="Q148" s="169">
        <v>0.4</v>
      </c>
    </row>
    <row r="149" spans="2:17" x14ac:dyDescent="0.25">
      <c r="B149" s="1"/>
      <c r="C149" s="206">
        <f t="shared" si="34"/>
        <v>0</v>
      </c>
      <c r="D149" s="207"/>
      <c r="E149" s="207"/>
      <c r="F149" s="207"/>
      <c r="G149" s="192"/>
      <c r="H149" s="192"/>
      <c r="I149" s="192"/>
      <c r="J149" s="192"/>
      <c r="K149" s="192">
        <f>$K$181*(1-Q149)</f>
        <v>0.1278</v>
      </c>
      <c r="L149" s="192"/>
      <c r="M149" s="208"/>
      <c r="N149" s="208">
        <f t="shared" si="35"/>
        <v>0</v>
      </c>
      <c r="O149" s="193">
        <f>M149+N149</f>
        <v>0</v>
      </c>
      <c r="P149" s="209"/>
      <c r="Q149" s="169">
        <v>0.1</v>
      </c>
    </row>
    <row r="150" spans="2:17" x14ac:dyDescent="0.25">
      <c r="B150" s="1"/>
      <c r="C150" s="206">
        <f t="shared" si="34"/>
        <v>0</v>
      </c>
      <c r="D150" s="207"/>
      <c r="E150" s="207"/>
      <c r="F150" s="207"/>
      <c r="G150" s="192"/>
      <c r="H150" s="192"/>
      <c r="I150" s="192"/>
      <c r="J150" s="192"/>
      <c r="K150" s="192">
        <f>$K$181*(1-Q150)</f>
        <v>0.14199999999999999</v>
      </c>
      <c r="L150" s="192"/>
      <c r="M150" s="208"/>
      <c r="N150" s="208">
        <f t="shared" si="35"/>
        <v>0</v>
      </c>
      <c r="O150" s="193">
        <f>M150+N150</f>
        <v>0</v>
      </c>
      <c r="P150" s="209"/>
      <c r="Q150" s="169">
        <v>0</v>
      </c>
    </row>
    <row r="151" spans="2:17" x14ac:dyDescent="0.25">
      <c r="B151" s="1"/>
      <c r="C151" s="210" t="s">
        <v>162</v>
      </c>
      <c r="D151" s="211"/>
      <c r="E151" s="211"/>
      <c r="F151" s="211"/>
      <c r="G151" s="211"/>
      <c r="H151" s="211"/>
      <c r="I151" s="211"/>
      <c r="J151" s="211"/>
      <c r="K151" s="211"/>
      <c r="L151" s="211"/>
      <c r="M151" s="211"/>
      <c r="N151" s="212"/>
      <c r="O151" s="213">
        <f>SUM(O147:O150)</f>
        <v>0</v>
      </c>
      <c r="P151" s="1"/>
      <c r="Q151" s="1"/>
    </row>
    <row r="153" spans="2:17" x14ac:dyDescent="0.25">
      <c r="B153" s="1" t="s">
        <v>155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2:17" x14ac:dyDescent="0.25">
      <c r="B154" s="105" t="s">
        <v>14</v>
      </c>
      <c r="C154" s="105"/>
      <c r="D154" s="105"/>
      <c r="E154" s="105"/>
      <c r="F154" s="105"/>
      <c r="G154" s="105"/>
      <c r="H154" s="116"/>
      <c r="I154" s="116"/>
      <c r="J154" s="117"/>
      <c r="K154" s="203">
        <f>N4</f>
        <v>2.989E-2</v>
      </c>
      <c r="L154" s="204"/>
      <c r="M154" s="106"/>
      <c r="N154" s="106"/>
      <c r="O154" s="118"/>
      <c r="P154" s="1"/>
      <c r="Q154" s="1"/>
    </row>
    <row r="155" spans="2:17" x14ac:dyDescent="0.25">
      <c r="B155" s="1"/>
      <c r="C155" s="166" t="s">
        <v>156</v>
      </c>
      <c r="D155" s="523"/>
      <c r="E155" s="524"/>
      <c r="F155" s="167"/>
      <c r="G155" s="523"/>
      <c r="H155" s="524"/>
      <c r="I155" s="167"/>
      <c r="J155" s="523" t="s">
        <v>157</v>
      </c>
      <c r="K155" s="524"/>
      <c r="L155" s="167"/>
      <c r="M155" s="523" t="s">
        <v>158</v>
      </c>
      <c r="N155" s="524"/>
      <c r="O155" s="168" t="s">
        <v>159</v>
      </c>
      <c r="P155" s="1"/>
      <c r="Q155" s="46"/>
    </row>
    <row r="156" spans="2:17" x14ac:dyDescent="0.25">
      <c r="B156" s="1"/>
      <c r="C156" s="205" t="s">
        <v>160</v>
      </c>
      <c r="D156" s="205"/>
      <c r="E156" s="205"/>
      <c r="F156" s="205"/>
      <c r="G156" s="205"/>
      <c r="H156" s="205"/>
      <c r="I156" s="205"/>
      <c r="J156" s="205"/>
      <c r="K156" s="205" t="s">
        <v>9</v>
      </c>
      <c r="L156" s="205"/>
      <c r="M156" s="205" t="s">
        <v>33</v>
      </c>
      <c r="N156" s="205" t="s">
        <v>9</v>
      </c>
      <c r="O156" s="205" t="s">
        <v>161</v>
      </c>
      <c r="P156" s="1"/>
    </row>
    <row r="157" spans="2:17" x14ac:dyDescent="0.25">
      <c r="B157" s="1"/>
      <c r="C157" s="206">
        <f>IF($K$11=$B$154,(D43*($K$13)/($K$13+$L$13)),0)+IF($L$11=$B$154,(D43*($L$13)/($K$13+$L$13)),0)</f>
        <v>0</v>
      </c>
      <c r="D157" s="207"/>
      <c r="E157" s="207"/>
      <c r="F157" s="207"/>
      <c r="G157" s="192"/>
      <c r="H157" s="192"/>
      <c r="I157" s="192"/>
      <c r="J157" s="192"/>
      <c r="K157" s="192">
        <f>$K$154*(1-Q157)</f>
        <v>1.0461499999999999E-2</v>
      </c>
      <c r="L157" s="192"/>
      <c r="M157" s="208"/>
      <c r="N157" s="208">
        <f>ROUND((C157*K157),2)</f>
        <v>0</v>
      </c>
      <c r="O157" s="193">
        <f>M157+N157</f>
        <v>0</v>
      </c>
      <c r="P157" s="209"/>
      <c r="Q157" s="169">
        <v>0.65</v>
      </c>
    </row>
    <row r="158" spans="2:17" x14ac:dyDescent="0.25">
      <c r="B158" s="1"/>
      <c r="C158" s="206">
        <f>IF($K$11=$B$154,(D44*($K$13)/($K$13+$L$13)),0)+IF($L$11=$B$154,(D44*($L$13)/($K$13+$L$13)),0)</f>
        <v>0</v>
      </c>
      <c r="D158" s="207"/>
      <c r="E158" s="207"/>
      <c r="F158" s="207"/>
      <c r="G158" s="192"/>
      <c r="H158" s="192"/>
      <c r="I158" s="192"/>
      <c r="J158" s="192"/>
      <c r="K158" s="192">
        <f>$K$154*(1-Q158)</f>
        <v>1.7933999999999999E-2</v>
      </c>
      <c r="L158" s="192"/>
      <c r="M158" s="208"/>
      <c r="N158" s="208">
        <f t="shared" ref="N158:N160" si="36">ROUND((C158*K158),2)</f>
        <v>0</v>
      </c>
      <c r="O158" s="193">
        <f>M158+N158</f>
        <v>0</v>
      </c>
      <c r="P158" s="209"/>
      <c r="Q158" s="169">
        <v>0.4</v>
      </c>
    </row>
    <row r="159" spans="2:17" x14ac:dyDescent="0.25">
      <c r="B159" s="1"/>
      <c r="C159" s="206">
        <f>IF($K$11=$B$154,(D45*($K$13)/($K$13+$L$13)),0)+IF($L$11=$B$154,(D45*($L$13)/($K$13+$L$13)),0)</f>
        <v>0</v>
      </c>
      <c r="D159" s="207"/>
      <c r="E159" s="207"/>
      <c r="F159" s="207"/>
      <c r="G159" s="192"/>
      <c r="H159" s="192"/>
      <c r="I159" s="192"/>
      <c r="J159" s="192"/>
      <c r="K159" s="192">
        <f>$K$154*(1-Q159)</f>
        <v>2.6901000000000001E-2</v>
      </c>
      <c r="L159" s="192"/>
      <c r="M159" s="208"/>
      <c r="N159" s="208">
        <f t="shared" si="36"/>
        <v>0</v>
      </c>
      <c r="O159" s="193">
        <f>M159+N159</f>
        <v>0</v>
      </c>
      <c r="P159" s="209"/>
      <c r="Q159" s="169">
        <v>0.1</v>
      </c>
    </row>
    <row r="160" spans="2:17" x14ac:dyDescent="0.25">
      <c r="B160" s="1"/>
      <c r="C160" s="206">
        <f>IF($K$11=$B$154,(D46*($K$13)/($K$13+$L$13)),0)+IF($L$11=$B$154,(D46*($L$13)/($K$13+$L$13)),0)</f>
        <v>0</v>
      </c>
      <c r="D160" s="207"/>
      <c r="E160" s="207"/>
      <c r="F160" s="207"/>
      <c r="G160" s="192"/>
      <c r="H160" s="192"/>
      <c r="I160" s="192"/>
      <c r="J160" s="192"/>
      <c r="K160" s="192">
        <f>$K$154*(1-Q160)</f>
        <v>2.989E-2</v>
      </c>
      <c r="L160" s="192"/>
      <c r="M160" s="208"/>
      <c r="N160" s="208">
        <f t="shared" si="36"/>
        <v>0</v>
      </c>
      <c r="O160" s="193">
        <f>M160+N160</f>
        <v>0</v>
      </c>
      <c r="P160" s="209"/>
      <c r="Q160" s="169">
        <v>0</v>
      </c>
    </row>
    <row r="161" spans="2:17" x14ac:dyDescent="0.25">
      <c r="B161" s="1"/>
      <c r="C161" s="210" t="s">
        <v>162</v>
      </c>
      <c r="D161" s="211"/>
      <c r="E161" s="211"/>
      <c r="F161" s="211"/>
      <c r="G161" s="211"/>
      <c r="H161" s="211"/>
      <c r="I161" s="211"/>
      <c r="J161" s="211"/>
      <c r="K161" s="211"/>
      <c r="L161" s="211"/>
      <c r="M161" s="211"/>
      <c r="N161" s="212"/>
      <c r="O161" s="213">
        <f>SUM(O157:O160)</f>
        <v>0</v>
      </c>
      <c r="P161" s="1"/>
      <c r="Q161" s="1"/>
    </row>
    <row r="162" spans="2:17" x14ac:dyDescent="0.25">
      <c r="B162" s="105"/>
      <c r="C162" s="105"/>
      <c r="D162" s="105"/>
      <c r="E162" s="105"/>
      <c r="F162" s="105"/>
      <c r="G162" s="105"/>
      <c r="H162" s="116"/>
      <c r="I162" s="116"/>
      <c r="J162" s="117"/>
      <c r="K162" s="117"/>
      <c r="L162" s="117"/>
      <c r="M162" s="106"/>
      <c r="N162" s="106"/>
      <c r="O162" s="214"/>
      <c r="P162" s="1"/>
      <c r="Q162" s="1"/>
    </row>
    <row r="163" spans="2:17" x14ac:dyDescent="0.25">
      <c r="B163" s="105" t="s">
        <v>15</v>
      </c>
      <c r="C163" s="105"/>
      <c r="D163" s="105"/>
      <c r="E163" s="105"/>
      <c r="F163" s="105"/>
      <c r="G163" s="105"/>
      <c r="H163" s="116"/>
      <c r="I163" s="116"/>
      <c r="J163" s="117"/>
      <c r="K163" s="203">
        <f>N5</f>
        <v>6.5000000000000002E-2</v>
      </c>
      <c r="L163" s="204"/>
      <c r="M163" s="106"/>
      <c r="N163" s="106"/>
      <c r="O163" s="118"/>
      <c r="P163" s="1"/>
      <c r="Q163" s="1"/>
    </row>
    <row r="164" spans="2:17" x14ac:dyDescent="0.25">
      <c r="B164" s="1"/>
      <c r="C164" s="166" t="s">
        <v>156</v>
      </c>
      <c r="D164" s="523"/>
      <c r="E164" s="524"/>
      <c r="F164" s="167"/>
      <c r="G164" s="523"/>
      <c r="H164" s="524"/>
      <c r="I164" s="167"/>
      <c r="J164" s="523" t="s">
        <v>32</v>
      </c>
      <c r="K164" s="524"/>
      <c r="L164" s="167"/>
      <c r="M164" s="523" t="s">
        <v>158</v>
      </c>
      <c r="N164" s="524"/>
      <c r="O164" s="168" t="s">
        <v>159</v>
      </c>
      <c r="P164" s="1"/>
      <c r="Q164" s="46"/>
    </row>
    <row r="165" spans="2:17" x14ac:dyDescent="0.25">
      <c r="B165" s="1"/>
      <c r="C165" s="205" t="s">
        <v>160</v>
      </c>
      <c r="D165" s="205"/>
      <c r="E165" s="205"/>
      <c r="F165" s="205"/>
      <c r="G165" s="205" t="s">
        <v>33</v>
      </c>
      <c r="H165" s="205" t="s">
        <v>9</v>
      </c>
      <c r="I165" s="205"/>
      <c r="J165" s="205" t="s">
        <v>33</v>
      </c>
      <c r="K165" s="205" t="s">
        <v>9</v>
      </c>
      <c r="L165" s="205"/>
      <c r="M165" s="205" t="s">
        <v>33</v>
      </c>
      <c r="N165" s="205" t="s">
        <v>9</v>
      </c>
      <c r="O165" s="205" t="s">
        <v>161</v>
      </c>
      <c r="P165" s="1"/>
    </row>
    <row r="166" spans="2:17" x14ac:dyDescent="0.25">
      <c r="B166" s="1"/>
      <c r="C166" s="206">
        <f>IF($K$11=$B$163,(D43*($K$13)/($K$13+$L$13)),0)+IF($L$11=$B$163,(D43*($L$13)/($K$13+$L$13)),0)</f>
        <v>0</v>
      </c>
      <c r="D166" s="207"/>
      <c r="E166" s="207"/>
      <c r="F166" s="207"/>
      <c r="G166" s="192"/>
      <c r="H166" s="192"/>
      <c r="I166" s="192"/>
      <c r="J166" s="192"/>
      <c r="K166" s="192">
        <f>$K$163*(1-Q166)</f>
        <v>2.2749999999999999E-2</v>
      </c>
      <c r="L166" s="192"/>
      <c r="M166" s="208"/>
      <c r="N166" s="208">
        <f>ROUND((C166*K166),2)</f>
        <v>0</v>
      </c>
      <c r="O166" s="193">
        <f>M166+N166</f>
        <v>0</v>
      </c>
      <c r="P166" s="209"/>
      <c r="Q166" s="169">
        <v>0.65</v>
      </c>
    </row>
    <row r="167" spans="2:17" x14ac:dyDescent="0.25">
      <c r="B167" s="1"/>
      <c r="C167" s="206">
        <f>IF($K$11=$B$163,(D44*($K$13)/($K$13+$L$13)),0)+IF($L$11=$B$163,(D44*($L$13)/($K$13+$L$13)),0)</f>
        <v>0</v>
      </c>
      <c r="D167" s="207"/>
      <c r="E167" s="207"/>
      <c r="F167" s="207"/>
      <c r="G167" s="192"/>
      <c r="H167" s="192"/>
      <c r="I167" s="192"/>
      <c r="J167" s="192"/>
      <c r="K167" s="192">
        <f>$K$163*(1-Q167)</f>
        <v>3.9E-2</v>
      </c>
      <c r="L167" s="192"/>
      <c r="M167" s="208"/>
      <c r="N167" s="208">
        <f t="shared" ref="N167:N169" si="37">ROUND((C167*K167),2)</f>
        <v>0</v>
      </c>
      <c r="O167" s="193">
        <f>M167+N167</f>
        <v>0</v>
      </c>
      <c r="P167" s="209"/>
      <c r="Q167" s="169">
        <v>0.4</v>
      </c>
    </row>
    <row r="168" spans="2:17" x14ac:dyDescent="0.25">
      <c r="B168" s="1"/>
      <c r="C168" s="206">
        <f>IF($K$11=$B$163,(D45*($K$13)/($K$13+$L$13)),0)+IF($L$11=$B$163,(D45*($L$13)/($K$13+$L$13)),0)</f>
        <v>0</v>
      </c>
      <c r="D168" s="207"/>
      <c r="E168" s="207"/>
      <c r="F168" s="207"/>
      <c r="G168" s="192"/>
      <c r="H168" s="192"/>
      <c r="I168" s="192"/>
      <c r="J168" s="192"/>
      <c r="K168" s="192">
        <f>$K$163*(1-Q168)</f>
        <v>5.8500000000000003E-2</v>
      </c>
      <c r="L168" s="192"/>
      <c r="M168" s="208"/>
      <c r="N168" s="208">
        <f t="shared" si="37"/>
        <v>0</v>
      </c>
      <c r="O168" s="193">
        <f>M168+N168</f>
        <v>0</v>
      </c>
      <c r="P168" s="209"/>
      <c r="Q168" s="169">
        <v>0.1</v>
      </c>
    </row>
    <row r="169" spans="2:17" x14ac:dyDescent="0.25">
      <c r="B169" s="1"/>
      <c r="C169" s="206">
        <f>IF($K$11=$B$163,(D46*($K$13)/($K$13+$L$13)),0)+IF($L$11=$B$163,(D46*($L$13)/($K$13+$L$13)),0)</f>
        <v>0</v>
      </c>
      <c r="D169" s="207"/>
      <c r="E169" s="207"/>
      <c r="F169" s="207"/>
      <c r="G169" s="192"/>
      <c r="H169" s="192"/>
      <c r="I169" s="192"/>
      <c r="J169" s="192"/>
      <c r="K169" s="192">
        <f>$K$163*(1-Q169)</f>
        <v>6.5000000000000002E-2</v>
      </c>
      <c r="L169" s="192"/>
      <c r="M169" s="208"/>
      <c r="N169" s="208">
        <f t="shared" si="37"/>
        <v>0</v>
      </c>
      <c r="O169" s="193">
        <f>M169+N169</f>
        <v>0</v>
      </c>
      <c r="P169" s="209"/>
      <c r="Q169" s="169">
        <v>0</v>
      </c>
    </row>
    <row r="170" spans="2:17" x14ac:dyDescent="0.25">
      <c r="B170" s="1"/>
      <c r="C170" s="210" t="s">
        <v>162</v>
      </c>
      <c r="D170" s="211"/>
      <c r="E170" s="211"/>
      <c r="F170" s="211"/>
      <c r="G170" s="211"/>
      <c r="H170" s="211"/>
      <c r="I170" s="211"/>
      <c r="J170" s="211"/>
      <c r="K170" s="211"/>
      <c r="L170" s="211"/>
      <c r="M170" s="211"/>
      <c r="N170" s="212"/>
      <c r="O170" s="213">
        <f>SUM(O166:O169)</f>
        <v>0</v>
      </c>
      <c r="P170" s="1"/>
      <c r="Q170" s="1"/>
    </row>
    <row r="171" spans="2:17" x14ac:dyDescent="0.25">
      <c r="B171" s="105"/>
      <c r="C171" s="105"/>
      <c r="D171" s="105"/>
      <c r="E171" s="105"/>
      <c r="F171" s="105"/>
      <c r="G171" s="105"/>
      <c r="H171" s="116"/>
      <c r="I171" s="116"/>
      <c r="J171" s="117"/>
      <c r="K171" s="117"/>
      <c r="L171" s="117"/>
      <c r="M171" s="106"/>
      <c r="N171" s="106"/>
      <c r="O171" s="118"/>
      <c r="P171" s="1"/>
      <c r="Q171" s="1"/>
    </row>
    <row r="172" spans="2:17" x14ac:dyDescent="0.25">
      <c r="B172" s="105" t="s">
        <v>16</v>
      </c>
      <c r="C172" s="105"/>
      <c r="D172" s="105"/>
      <c r="E172" s="105"/>
      <c r="F172" s="105"/>
      <c r="G172" s="105"/>
      <c r="H172" s="116"/>
      <c r="I172" s="116"/>
      <c r="J172" s="117"/>
      <c r="K172" s="203">
        <f>N6</f>
        <v>9.7949999999999995E-2</v>
      </c>
      <c r="L172" s="204"/>
      <c r="M172" s="106"/>
      <c r="N172" s="106"/>
      <c r="O172" s="118"/>
      <c r="P172" s="1"/>
      <c r="Q172" s="1"/>
    </row>
    <row r="173" spans="2:17" x14ac:dyDescent="0.25">
      <c r="B173" s="1"/>
      <c r="C173" s="166" t="s">
        <v>156</v>
      </c>
      <c r="D173" s="523"/>
      <c r="E173" s="524"/>
      <c r="F173" s="167"/>
      <c r="G173" s="523"/>
      <c r="H173" s="524"/>
      <c r="I173" s="167"/>
      <c r="J173" s="523" t="s">
        <v>32</v>
      </c>
      <c r="K173" s="524"/>
      <c r="L173" s="167"/>
      <c r="M173" s="523" t="s">
        <v>158</v>
      </c>
      <c r="N173" s="524"/>
      <c r="O173" s="168" t="s">
        <v>159</v>
      </c>
      <c r="P173" s="1"/>
      <c r="Q173" s="46"/>
    </row>
    <row r="174" spans="2:17" x14ac:dyDescent="0.25">
      <c r="B174" s="1"/>
      <c r="C174" s="205" t="s">
        <v>160</v>
      </c>
      <c r="D174" s="205"/>
      <c r="E174" s="205"/>
      <c r="F174" s="205"/>
      <c r="G174" s="205" t="s">
        <v>33</v>
      </c>
      <c r="H174" s="205" t="s">
        <v>9</v>
      </c>
      <c r="I174" s="205"/>
      <c r="J174" s="205" t="s">
        <v>33</v>
      </c>
      <c r="K174" s="205" t="s">
        <v>9</v>
      </c>
      <c r="L174" s="205"/>
      <c r="M174" s="205" t="s">
        <v>33</v>
      </c>
      <c r="N174" s="205" t="s">
        <v>9</v>
      </c>
      <c r="O174" s="205" t="s">
        <v>161</v>
      </c>
      <c r="P174" s="1"/>
    </row>
    <row r="175" spans="2:17" x14ac:dyDescent="0.25">
      <c r="B175" s="1"/>
      <c r="C175" s="206">
        <f>IF($K$11=$B$172,(D43*($K$13)/($K$13+$L$13)),0)+IF($L$11=$B$172,(D43*($L$13)/($K$13+$L$13)),0)</f>
        <v>0</v>
      </c>
      <c r="D175" s="207"/>
      <c r="E175" s="207"/>
      <c r="F175" s="207"/>
      <c r="G175" s="192"/>
      <c r="H175" s="192"/>
      <c r="I175" s="192"/>
      <c r="J175" s="192"/>
      <c r="K175" s="192">
        <f>$K$172*(1-Q175)</f>
        <v>3.4282499999999994E-2</v>
      </c>
      <c r="L175" s="192"/>
      <c r="M175" s="208"/>
      <c r="N175" s="208">
        <f>ROUND((C175*K175),2)</f>
        <v>0</v>
      </c>
      <c r="O175" s="193">
        <f>M175+N175</f>
        <v>0</v>
      </c>
      <c r="P175" s="209"/>
      <c r="Q175" s="169">
        <v>0.65</v>
      </c>
    </row>
    <row r="176" spans="2:17" x14ac:dyDescent="0.25">
      <c r="B176" s="1"/>
      <c r="C176" s="206">
        <f>IF($K$11=$B$172,(D44*($K$13)/($K$13+$L$13)),0)+IF($L$11=$B$172,(D44*($L$13)/($K$13+$L$13)),0)</f>
        <v>0</v>
      </c>
      <c r="D176" s="207"/>
      <c r="E176" s="207"/>
      <c r="F176" s="207"/>
      <c r="G176" s="192"/>
      <c r="H176" s="192"/>
      <c r="I176" s="192"/>
      <c r="J176" s="192"/>
      <c r="K176" s="192">
        <f>$K$172*(1-Q176)</f>
        <v>5.8769999999999996E-2</v>
      </c>
      <c r="L176" s="192"/>
      <c r="M176" s="208"/>
      <c r="N176" s="208">
        <f t="shared" ref="N176:N178" si="38">ROUND((C176*K176),2)</f>
        <v>0</v>
      </c>
      <c r="O176" s="193">
        <f>M176+N176</f>
        <v>0</v>
      </c>
      <c r="P176" s="209"/>
      <c r="Q176" s="169">
        <v>0.4</v>
      </c>
    </row>
    <row r="177" spans="2:17" x14ac:dyDescent="0.25">
      <c r="B177" s="1"/>
      <c r="C177" s="206">
        <f>IF($K$11=$B$172,(D45*($K$13)/($K$13+$L$13)),0)+IF($L$11=$B$172,(D45*($L$13)/($K$13+$L$13)),0)</f>
        <v>0</v>
      </c>
      <c r="D177" s="207"/>
      <c r="E177" s="207"/>
      <c r="F177" s="207"/>
      <c r="G177" s="192"/>
      <c r="H177" s="192"/>
      <c r="I177" s="192"/>
      <c r="J177" s="192"/>
      <c r="K177" s="192">
        <f>$K$172*(1-Q177)</f>
        <v>8.8154999999999997E-2</v>
      </c>
      <c r="L177" s="192"/>
      <c r="M177" s="208"/>
      <c r="N177" s="208">
        <f t="shared" si="38"/>
        <v>0</v>
      </c>
      <c r="O177" s="193">
        <f>M177+N177</f>
        <v>0</v>
      </c>
      <c r="P177" s="209"/>
      <c r="Q177" s="169">
        <v>0.1</v>
      </c>
    </row>
    <row r="178" spans="2:17" x14ac:dyDescent="0.25">
      <c r="B178" s="1"/>
      <c r="C178" s="206">
        <f>IF($K$11=$B$172,(D46*($K$13)/($K$13+$L$13)),0)+IF($L$11=$B$172,(D46*($L$13)/($K$13+$L$13)),0)</f>
        <v>0</v>
      </c>
      <c r="D178" s="207"/>
      <c r="E178" s="207"/>
      <c r="F178" s="207"/>
      <c r="G178" s="192"/>
      <c r="H178" s="192"/>
      <c r="I178" s="192"/>
      <c r="J178" s="192"/>
      <c r="K178" s="192">
        <f>$K$172*(1-Q178)</f>
        <v>9.7949999999999995E-2</v>
      </c>
      <c r="L178" s="192"/>
      <c r="M178" s="208"/>
      <c r="N178" s="208">
        <f t="shared" si="38"/>
        <v>0</v>
      </c>
      <c r="O178" s="193">
        <f>M178+N178</f>
        <v>0</v>
      </c>
      <c r="P178" s="209"/>
      <c r="Q178" s="169">
        <v>0</v>
      </c>
    </row>
    <row r="179" spans="2:17" x14ac:dyDescent="0.25">
      <c r="B179" s="1"/>
      <c r="C179" s="210" t="s">
        <v>162</v>
      </c>
      <c r="D179" s="211"/>
      <c r="E179" s="211"/>
      <c r="F179" s="211"/>
      <c r="G179" s="211"/>
      <c r="H179" s="211"/>
      <c r="I179" s="211"/>
      <c r="J179" s="211"/>
      <c r="K179" s="211"/>
      <c r="L179" s="211"/>
      <c r="M179" s="211"/>
      <c r="N179" s="212"/>
      <c r="O179" s="213">
        <f>SUM(O175:O178)</f>
        <v>0</v>
      </c>
      <c r="P179" s="1"/>
      <c r="Q179" s="1"/>
    </row>
    <row r="180" spans="2:17" x14ac:dyDescent="0.2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2:17" x14ac:dyDescent="0.25">
      <c r="B181" s="1" t="s">
        <v>17</v>
      </c>
      <c r="C181" s="105"/>
      <c r="D181" s="105"/>
      <c r="E181" s="105"/>
      <c r="F181" s="105"/>
      <c r="G181" s="105"/>
      <c r="H181" s="116"/>
      <c r="I181" s="116"/>
      <c r="J181" s="117"/>
      <c r="K181" s="203">
        <f>N7</f>
        <v>0.14199999999999999</v>
      </c>
      <c r="L181" s="204"/>
      <c r="M181" s="106"/>
      <c r="N181" s="106"/>
      <c r="O181" s="118"/>
      <c r="P181" s="1"/>
      <c r="Q181" s="1"/>
    </row>
    <row r="182" spans="2:17" x14ac:dyDescent="0.25">
      <c r="B182" s="1"/>
      <c r="C182" s="166" t="s">
        <v>156</v>
      </c>
      <c r="D182" s="523"/>
      <c r="E182" s="524"/>
      <c r="F182" s="167"/>
      <c r="G182" s="523"/>
      <c r="H182" s="524"/>
      <c r="I182" s="167"/>
      <c r="J182" s="523" t="s">
        <v>32</v>
      </c>
      <c r="K182" s="524"/>
      <c r="L182" s="167"/>
      <c r="M182" s="523" t="s">
        <v>158</v>
      </c>
      <c r="N182" s="524"/>
      <c r="O182" s="168" t="s">
        <v>159</v>
      </c>
      <c r="P182" s="1"/>
      <c r="Q182" s="46"/>
    </row>
    <row r="183" spans="2:17" x14ac:dyDescent="0.25">
      <c r="B183" s="1"/>
      <c r="C183" s="205" t="s">
        <v>160</v>
      </c>
      <c r="D183" s="205"/>
      <c r="E183" s="205"/>
      <c r="F183" s="205"/>
      <c r="G183" s="205" t="s">
        <v>33</v>
      </c>
      <c r="H183" s="205" t="s">
        <v>9</v>
      </c>
      <c r="I183" s="205"/>
      <c r="J183" s="205" t="s">
        <v>33</v>
      </c>
      <c r="K183" s="205" t="s">
        <v>9</v>
      </c>
      <c r="L183" s="205"/>
      <c r="M183" s="205" t="s">
        <v>33</v>
      </c>
      <c r="N183" s="205" t="s">
        <v>9</v>
      </c>
      <c r="O183" s="205" t="s">
        <v>161</v>
      </c>
      <c r="P183" s="1"/>
    </row>
    <row r="184" spans="2:17" x14ac:dyDescent="0.25">
      <c r="B184" s="1"/>
      <c r="C184" s="206">
        <f>IF($K$11=$B$181,(D43*($K$13)/($K$13+$L$13)),0)+IF($L$11=$B$181,(D43*($L$13)/($K$13+$L$13)),0)</f>
        <v>0</v>
      </c>
      <c r="D184" s="207"/>
      <c r="E184" s="207"/>
      <c r="F184" s="207"/>
      <c r="G184" s="192"/>
      <c r="H184" s="192"/>
      <c r="I184" s="192"/>
      <c r="J184" s="192"/>
      <c r="K184" s="192">
        <f>$K$181*(1-Q184)</f>
        <v>4.9699999999999994E-2</v>
      </c>
      <c r="L184" s="192"/>
      <c r="M184" s="208"/>
      <c r="N184" s="208">
        <f>ROUND((C184*K184),2)</f>
        <v>0</v>
      </c>
      <c r="O184" s="193">
        <f>M184+N184</f>
        <v>0</v>
      </c>
      <c r="P184" s="209"/>
      <c r="Q184" s="169">
        <v>0.65</v>
      </c>
    </row>
    <row r="185" spans="2:17" x14ac:dyDescent="0.25">
      <c r="B185" s="1"/>
      <c r="C185" s="206">
        <f>IF($K$11=$B$181,(D44*($K$13)/($K$13+$L$13)),0)+IF($L$11=$B$181,(D44*($L$13)/($K$13+$L$13)),0)</f>
        <v>0</v>
      </c>
      <c r="D185" s="207"/>
      <c r="E185" s="207"/>
      <c r="F185" s="207"/>
      <c r="G185" s="192"/>
      <c r="H185" s="192"/>
      <c r="I185" s="192"/>
      <c r="J185" s="192"/>
      <c r="K185" s="192">
        <f>$K$181*(1-Q185)</f>
        <v>8.5199999999999984E-2</v>
      </c>
      <c r="L185" s="192"/>
      <c r="M185" s="208"/>
      <c r="N185" s="208">
        <f t="shared" ref="N185:N187" si="39">ROUND((C185*K185),2)</f>
        <v>0</v>
      </c>
      <c r="O185" s="193">
        <f>M185+N185</f>
        <v>0</v>
      </c>
      <c r="P185" s="209"/>
      <c r="Q185" s="169">
        <v>0.4</v>
      </c>
    </row>
    <row r="186" spans="2:17" x14ac:dyDescent="0.25">
      <c r="B186" s="1"/>
      <c r="C186" s="206">
        <f>IF($K$11=$B$181,(D45*($K$13)/($K$13+$L$13)),0)+IF($L$11=$B$181,(D45*($L$13)/($K$13+$L$13)),0)</f>
        <v>0</v>
      </c>
      <c r="D186" s="207"/>
      <c r="E186" s="207"/>
      <c r="F186" s="207"/>
      <c r="G186" s="192"/>
      <c r="H186" s="192"/>
      <c r="I186" s="192"/>
      <c r="J186" s="192"/>
      <c r="K186" s="192">
        <f>$K$181*(1-Q186)</f>
        <v>0.1278</v>
      </c>
      <c r="L186" s="192"/>
      <c r="M186" s="208"/>
      <c r="N186" s="208">
        <f t="shared" si="39"/>
        <v>0</v>
      </c>
      <c r="O186" s="193">
        <f>M186+N186</f>
        <v>0</v>
      </c>
      <c r="P186" s="209"/>
      <c r="Q186" s="169">
        <v>0.1</v>
      </c>
    </row>
    <row r="187" spans="2:17" x14ac:dyDescent="0.25">
      <c r="B187" s="1"/>
      <c r="C187" s="206">
        <f>IF($K$11=$B$181,(D46*($K$13)/($K$13+$L$13)),0)+IF($L$11=$B$181,(D46*($L$13)/($K$13+$L$13)),0)</f>
        <v>0</v>
      </c>
      <c r="D187" s="207"/>
      <c r="E187" s="207"/>
      <c r="F187" s="207"/>
      <c r="G187" s="192"/>
      <c r="H187" s="192"/>
      <c r="I187" s="192"/>
      <c r="J187" s="192"/>
      <c r="K187" s="192">
        <f>$K$181*(1-Q187)</f>
        <v>0.14199999999999999</v>
      </c>
      <c r="L187" s="192"/>
      <c r="M187" s="208"/>
      <c r="N187" s="208">
        <f t="shared" si="39"/>
        <v>0</v>
      </c>
      <c r="O187" s="193">
        <f>M187+N187</f>
        <v>0</v>
      </c>
      <c r="P187" s="209"/>
      <c r="Q187" s="169">
        <v>0</v>
      </c>
    </row>
    <row r="188" spans="2:17" x14ac:dyDescent="0.25">
      <c r="B188" s="1"/>
      <c r="C188" s="210" t="s">
        <v>162</v>
      </c>
      <c r="D188" s="211"/>
      <c r="E188" s="211"/>
      <c r="F188" s="211"/>
      <c r="G188" s="211"/>
      <c r="H188" s="211"/>
      <c r="I188" s="211"/>
      <c r="J188" s="211"/>
      <c r="K188" s="211"/>
      <c r="L188" s="211"/>
      <c r="M188" s="211"/>
      <c r="N188" s="212"/>
      <c r="O188" s="213">
        <f>SUM(O184:O187)</f>
        <v>0</v>
      </c>
      <c r="P188" s="1"/>
      <c r="Q188" s="1"/>
    </row>
    <row r="192" spans="2:17" x14ac:dyDescent="0.25">
      <c r="B192" s="1" t="s">
        <v>174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2:17" x14ac:dyDescent="0.25">
      <c r="B193" s="105" t="s">
        <v>14</v>
      </c>
      <c r="C193" s="105"/>
      <c r="D193" s="105"/>
      <c r="E193" s="105"/>
      <c r="F193" s="105"/>
      <c r="G193" s="105"/>
      <c r="H193" s="116"/>
      <c r="I193" s="116"/>
      <c r="J193" s="117"/>
      <c r="K193" s="203">
        <f>K154</f>
        <v>2.989E-2</v>
      </c>
      <c r="L193" s="204"/>
      <c r="M193" s="106"/>
      <c r="N193" s="106"/>
      <c r="O193" s="118"/>
      <c r="P193" s="1"/>
      <c r="Q193" s="1"/>
    </row>
    <row r="194" spans="2:17" x14ac:dyDescent="0.25">
      <c r="B194" s="1"/>
      <c r="C194" s="166" t="s">
        <v>156</v>
      </c>
      <c r="D194" s="523"/>
      <c r="E194" s="524"/>
      <c r="F194" s="167"/>
      <c r="G194" s="523"/>
      <c r="H194" s="524"/>
      <c r="I194" s="167"/>
      <c r="J194" s="523" t="s">
        <v>157</v>
      </c>
      <c r="K194" s="524"/>
      <c r="L194" s="167"/>
      <c r="M194" s="523" t="s">
        <v>158</v>
      </c>
      <c r="N194" s="524"/>
      <c r="O194" s="168" t="s">
        <v>159</v>
      </c>
      <c r="P194" s="1"/>
      <c r="Q194" s="46"/>
    </row>
    <row r="195" spans="2:17" x14ac:dyDescent="0.25">
      <c r="B195" s="1"/>
      <c r="C195" s="205" t="s">
        <v>160</v>
      </c>
      <c r="D195" s="205"/>
      <c r="E195" s="205"/>
      <c r="F195" s="205"/>
      <c r="G195" s="205"/>
      <c r="H195" s="205"/>
      <c r="I195" s="205"/>
      <c r="J195" s="205"/>
      <c r="K195" s="205" t="s">
        <v>9</v>
      </c>
      <c r="L195" s="205"/>
      <c r="M195" s="205" t="s">
        <v>33</v>
      </c>
      <c r="N195" s="205" t="s">
        <v>9</v>
      </c>
      <c r="O195" s="205" t="s">
        <v>161</v>
      </c>
      <c r="P195" s="1"/>
    </row>
    <row r="196" spans="2:17" x14ac:dyDescent="0.25">
      <c r="B196" s="1"/>
      <c r="C196" s="206">
        <f>IF($K$11=$B$193,(D53*($K$13)/($K$13+$L$13)),0)+IF($L$11=$B$193,(D53*($L$13)/($K$13+$L$13)),0)</f>
        <v>0</v>
      </c>
      <c r="D196" s="207"/>
      <c r="E196" s="207"/>
      <c r="F196" s="207"/>
      <c r="G196" s="192"/>
      <c r="H196" s="192"/>
      <c r="I196" s="192"/>
      <c r="J196" s="192"/>
      <c r="K196" s="192">
        <f>$K$193*(1-Q196)</f>
        <v>1.0461499999999999E-2</v>
      </c>
      <c r="L196" s="192"/>
      <c r="M196" s="208"/>
      <c r="N196" s="208">
        <f>ROUND((C196*K196),2)</f>
        <v>0</v>
      </c>
      <c r="O196" s="193">
        <f>M196+N196</f>
        <v>0</v>
      </c>
      <c r="P196" s="209"/>
      <c r="Q196" s="169">
        <v>0.65</v>
      </c>
    </row>
    <row r="197" spans="2:17" x14ac:dyDescent="0.25">
      <c r="B197" s="1"/>
      <c r="C197" s="206">
        <f>IF($K$11=$B$193,(D54*($K$13)/($K$13+$L$13)),0)+IF($L$11=$B$193,(D54*($L$13)/($K$13+$L$13)),0)</f>
        <v>0</v>
      </c>
      <c r="D197" s="207"/>
      <c r="E197" s="207"/>
      <c r="F197" s="207"/>
      <c r="G197" s="192"/>
      <c r="H197" s="192"/>
      <c r="I197" s="192"/>
      <c r="J197" s="192"/>
      <c r="K197" s="192">
        <f t="shared" ref="K197:K199" si="40">$K$193*(1-Q197)</f>
        <v>1.7933999999999999E-2</v>
      </c>
      <c r="L197" s="192"/>
      <c r="M197" s="208"/>
      <c r="N197" s="208">
        <f t="shared" ref="N197:N199" si="41">ROUND((C197*K197),2)</f>
        <v>0</v>
      </c>
      <c r="O197" s="193">
        <f>M197+N197</f>
        <v>0</v>
      </c>
      <c r="P197" s="209"/>
      <c r="Q197" s="169">
        <v>0.4</v>
      </c>
    </row>
    <row r="198" spans="2:17" x14ac:dyDescent="0.25">
      <c r="B198" s="1"/>
      <c r="C198" s="206">
        <f>IF($K$11=$B$193,(D55*($K$13)/($K$13+$L$13)),0)+IF($L$11=$B$193,(D55*($L$13)/($K$13+$L$13)),0)</f>
        <v>0</v>
      </c>
      <c r="D198" s="207"/>
      <c r="E198" s="207"/>
      <c r="F198" s="207"/>
      <c r="G198" s="192"/>
      <c r="H198" s="192"/>
      <c r="I198" s="192"/>
      <c r="J198" s="192"/>
      <c r="K198" s="192">
        <f t="shared" si="40"/>
        <v>2.6901000000000001E-2</v>
      </c>
      <c r="L198" s="192"/>
      <c r="M198" s="208"/>
      <c r="N198" s="208">
        <f t="shared" si="41"/>
        <v>0</v>
      </c>
      <c r="O198" s="193">
        <f>M198+N198</f>
        <v>0</v>
      </c>
      <c r="P198" s="209"/>
      <c r="Q198" s="169">
        <v>0.1</v>
      </c>
    </row>
    <row r="199" spans="2:17" x14ac:dyDescent="0.25">
      <c r="B199" s="1"/>
      <c r="C199" s="206">
        <f>IF($K$11=$B$193,(D56*($K$13)/($K$13+$L$13)),0)+IF($L$11=$B$193,(D56*($L$13)/($K$13+$L$13)),0)</f>
        <v>0</v>
      </c>
      <c r="D199" s="207"/>
      <c r="E199" s="207"/>
      <c r="F199" s="207"/>
      <c r="G199" s="192"/>
      <c r="H199" s="192"/>
      <c r="I199" s="192"/>
      <c r="J199" s="192"/>
      <c r="K199" s="192">
        <f t="shared" si="40"/>
        <v>2.989E-2</v>
      </c>
      <c r="L199" s="192"/>
      <c r="M199" s="208"/>
      <c r="N199" s="208">
        <f t="shared" si="41"/>
        <v>0</v>
      </c>
      <c r="O199" s="193">
        <f>M199+N199</f>
        <v>0</v>
      </c>
      <c r="P199" s="209"/>
      <c r="Q199" s="169">
        <v>0</v>
      </c>
    </row>
    <row r="200" spans="2:17" x14ac:dyDescent="0.25">
      <c r="B200" s="1"/>
      <c r="C200" s="210" t="s">
        <v>162</v>
      </c>
      <c r="D200" s="211"/>
      <c r="E200" s="211"/>
      <c r="F200" s="211"/>
      <c r="G200" s="211"/>
      <c r="H200" s="211"/>
      <c r="I200" s="211"/>
      <c r="J200" s="211"/>
      <c r="K200" s="211"/>
      <c r="L200" s="211"/>
      <c r="M200" s="211"/>
      <c r="N200" s="212"/>
      <c r="O200" s="213">
        <f>SUM(O196:O199)</f>
        <v>0</v>
      </c>
      <c r="P200" s="1"/>
      <c r="Q200" s="1"/>
    </row>
    <row r="201" spans="2:17" x14ac:dyDescent="0.25">
      <c r="B201" s="105"/>
      <c r="C201" s="105"/>
      <c r="D201" s="105"/>
      <c r="E201" s="105"/>
      <c r="F201" s="105"/>
      <c r="G201" s="105"/>
      <c r="H201" s="116"/>
      <c r="I201" s="116"/>
      <c r="J201" s="117"/>
      <c r="K201" s="117"/>
      <c r="L201" s="117"/>
      <c r="M201" s="106"/>
      <c r="N201" s="106"/>
      <c r="O201" s="214"/>
      <c r="P201" s="1"/>
      <c r="Q201" s="1"/>
    </row>
    <row r="202" spans="2:17" x14ac:dyDescent="0.25">
      <c r="B202" s="105" t="s">
        <v>15</v>
      </c>
      <c r="C202" s="105"/>
      <c r="D202" s="105"/>
      <c r="E202" s="105"/>
      <c r="F202" s="105"/>
      <c r="G202" s="105"/>
      <c r="H202" s="116"/>
      <c r="I202" s="116"/>
      <c r="J202" s="117"/>
      <c r="K202" s="203">
        <f>K163</f>
        <v>6.5000000000000002E-2</v>
      </c>
      <c r="L202" s="204"/>
      <c r="M202" s="106"/>
      <c r="N202" s="106"/>
      <c r="O202" s="118"/>
      <c r="P202" s="1"/>
      <c r="Q202" s="1"/>
    </row>
    <row r="203" spans="2:17" x14ac:dyDescent="0.25">
      <c r="B203" s="1"/>
      <c r="C203" s="166" t="s">
        <v>156</v>
      </c>
      <c r="D203" s="523"/>
      <c r="E203" s="524"/>
      <c r="F203" s="167"/>
      <c r="G203" s="523"/>
      <c r="H203" s="524"/>
      <c r="I203" s="167"/>
      <c r="J203" s="523" t="s">
        <v>32</v>
      </c>
      <c r="K203" s="524"/>
      <c r="L203" s="167"/>
      <c r="M203" s="523" t="s">
        <v>158</v>
      </c>
      <c r="N203" s="524"/>
      <c r="O203" s="168" t="s">
        <v>159</v>
      </c>
      <c r="P203" s="1"/>
      <c r="Q203" s="46"/>
    </row>
    <row r="204" spans="2:17" x14ac:dyDescent="0.25">
      <c r="B204" s="1"/>
      <c r="C204" s="205" t="s">
        <v>160</v>
      </c>
      <c r="D204" s="205"/>
      <c r="E204" s="205"/>
      <c r="F204" s="205"/>
      <c r="G204" s="205" t="s">
        <v>33</v>
      </c>
      <c r="H204" s="205" t="s">
        <v>9</v>
      </c>
      <c r="I204" s="205"/>
      <c r="J204" s="205" t="s">
        <v>33</v>
      </c>
      <c r="K204" s="205" t="s">
        <v>9</v>
      </c>
      <c r="L204" s="205"/>
      <c r="M204" s="205" t="s">
        <v>33</v>
      </c>
      <c r="N204" s="205" t="s">
        <v>9</v>
      </c>
      <c r="O204" s="205" t="s">
        <v>161</v>
      </c>
      <c r="P204" s="1"/>
    </row>
    <row r="205" spans="2:17" x14ac:dyDescent="0.25">
      <c r="B205" s="1"/>
      <c r="C205" s="206">
        <f>IF($K$11=$B$202,(D53*($K$13)/($K$13+$L$13)),0)+IF($L$11=$B$202,(D53*($L$13)/($K$13+$L$13)),0)</f>
        <v>0</v>
      </c>
      <c r="D205" s="207"/>
      <c r="E205" s="207"/>
      <c r="F205" s="207"/>
      <c r="G205" s="192"/>
      <c r="H205" s="192"/>
      <c r="I205" s="192"/>
      <c r="J205" s="192"/>
      <c r="K205" s="192">
        <f>$K$202*(1-Q205)</f>
        <v>2.2749999999999999E-2</v>
      </c>
      <c r="L205" s="192"/>
      <c r="M205" s="208"/>
      <c r="N205" s="208">
        <f>ROUND((C205*K205),2)</f>
        <v>0</v>
      </c>
      <c r="O205" s="193">
        <f>M205+N205</f>
        <v>0</v>
      </c>
      <c r="P205" s="209"/>
      <c r="Q205" s="169">
        <v>0.65</v>
      </c>
    </row>
    <row r="206" spans="2:17" x14ac:dyDescent="0.25">
      <c r="B206" s="1"/>
      <c r="C206" s="206">
        <f>IF($K$11=$B$202,(D54*($K$13)/($K$13+$L$13)),0)+IF($L$11=$B$202,(D54*($L$13)/($K$13+$L$13)),0)</f>
        <v>0</v>
      </c>
      <c r="D206" s="207"/>
      <c r="E206" s="207"/>
      <c r="F206" s="207"/>
      <c r="G206" s="192"/>
      <c r="H206" s="192"/>
      <c r="I206" s="192"/>
      <c r="J206" s="192"/>
      <c r="K206" s="192">
        <f t="shared" ref="K206:K208" si="42">$K$202*(1-Q206)</f>
        <v>3.9E-2</v>
      </c>
      <c r="L206" s="192"/>
      <c r="M206" s="208"/>
      <c r="N206" s="208">
        <f t="shared" ref="N206:N208" si="43">ROUND((C206*K206),2)</f>
        <v>0</v>
      </c>
      <c r="O206" s="193">
        <f>M206+N206</f>
        <v>0</v>
      </c>
      <c r="P206" s="209"/>
      <c r="Q206" s="169">
        <v>0.4</v>
      </c>
    </row>
    <row r="207" spans="2:17" x14ac:dyDescent="0.25">
      <c r="B207" s="1"/>
      <c r="C207" s="206">
        <f>IF($K$11=$B$202,(D55*($K$13)/($K$13+$L$13)),0)+IF($L$11=$B$202,(D55*($L$13)/($K$13+$L$13)),0)</f>
        <v>0</v>
      </c>
      <c r="D207" s="207"/>
      <c r="E207" s="207"/>
      <c r="F207" s="207"/>
      <c r="G207" s="192"/>
      <c r="H207" s="192"/>
      <c r="I207" s="192"/>
      <c r="J207" s="192"/>
      <c r="K207" s="192">
        <f t="shared" si="42"/>
        <v>5.8500000000000003E-2</v>
      </c>
      <c r="L207" s="192"/>
      <c r="M207" s="208"/>
      <c r="N207" s="208">
        <f t="shared" si="43"/>
        <v>0</v>
      </c>
      <c r="O207" s="193">
        <f>M207+N207</f>
        <v>0</v>
      </c>
      <c r="P207" s="209"/>
      <c r="Q207" s="169">
        <v>0.1</v>
      </c>
    </row>
    <row r="208" spans="2:17" x14ac:dyDescent="0.25">
      <c r="B208" s="1"/>
      <c r="C208" s="206">
        <f>IF($K$11=$B$202,(D56*($K$13)/($K$13+$L$13)),0)+IF($L$11=$B$202,(D56*($L$13)/($K$13+$L$13)),0)</f>
        <v>0</v>
      </c>
      <c r="D208" s="207"/>
      <c r="E208" s="207"/>
      <c r="F208" s="207"/>
      <c r="G208" s="192"/>
      <c r="H208" s="192"/>
      <c r="I208" s="192"/>
      <c r="J208" s="192"/>
      <c r="K208" s="192">
        <f t="shared" si="42"/>
        <v>6.5000000000000002E-2</v>
      </c>
      <c r="L208" s="192"/>
      <c r="M208" s="208"/>
      <c r="N208" s="208">
        <f t="shared" si="43"/>
        <v>0</v>
      </c>
      <c r="O208" s="193">
        <f>M208+N208</f>
        <v>0</v>
      </c>
      <c r="P208" s="209"/>
      <c r="Q208" s="169">
        <v>0</v>
      </c>
    </row>
    <row r="209" spans="2:17" x14ac:dyDescent="0.25">
      <c r="B209" s="1"/>
      <c r="C209" s="210" t="s">
        <v>162</v>
      </c>
      <c r="D209" s="211"/>
      <c r="E209" s="211"/>
      <c r="F209" s="211"/>
      <c r="G209" s="211"/>
      <c r="H209" s="211"/>
      <c r="I209" s="211"/>
      <c r="J209" s="211"/>
      <c r="K209" s="211"/>
      <c r="L209" s="211"/>
      <c r="M209" s="211"/>
      <c r="N209" s="212"/>
      <c r="O209" s="213">
        <f>SUM(O205:O208)</f>
        <v>0</v>
      </c>
      <c r="P209" s="1"/>
      <c r="Q209" s="1"/>
    </row>
    <row r="210" spans="2:17" x14ac:dyDescent="0.25">
      <c r="B210" s="105"/>
      <c r="C210" s="105"/>
      <c r="D210" s="105"/>
      <c r="E210" s="105"/>
      <c r="F210" s="105"/>
      <c r="G210" s="105"/>
      <c r="H210" s="116"/>
      <c r="I210" s="116"/>
      <c r="J210" s="117"/>
      <c r="K210" s="117"/>
      <c r="L210" s="117"/>
      <c r="M210" s="106"/>
      <c r="N210" s="106"/>
      <c r="O210" s="118"/>
      <c r="P210" s="1"/>
      <c r="Q210" s="1"/>
    </row>
    <row r="211" spans="2:17" x14ac:dyDescent="0.25">
      <c r="B211" s="105" t="s">
        <v>16</v>
      </c>
      <c r="C211" s="105"/>
      <c r="D211" s="105"/>
      <c r="E211" s="105"/>
      <c r="F211" s="105"/>
      <c r="G211" s="105"/>
      <c r="H211" s="116"/>
      <c r="I211" s="116"/>
      <c r="J211" s="117"/>
      <c r="K211" s="203">
        <f>K172</f>
        <v>9.7949999999999995E-2</v>
      </c>
      <c r="L211" s="204"/>
      <c r="M211" s="106"/>
      <c r="N211" s="106"/>
      <c r="O211" s="118"/>
      <c r="P211" s="1"/>
      <c r="Q211" s="1"/>
    </row>
    <row r="212" spans="2:17" x14ac:dyDescent="0.25">
      <c r="B212" s="1"/>
      <c r="C212" s="166" t="s">
        <v>156</v>
      </c>
      <c r="D212" s="523"/>
      <c r="E212" s="524"/>
      <c r="F212" s="167"/>
      <c r="G212" s="523"/>
      <c r="H212" s="524"/>
      <c r="I212" s="167"/>
      <c r="J212" s="523" t="s">
        <v>32</v>
      </c>
      <c r="K212" s="524"/>
      <c r="L212" s="167"/>
      <c r="M212" s="523" t="s">
        <v>158</v>
      </c>
      <c r="N212" s="524"/>
      <c r="O212" s="168" t="s">
        <v>159</v>
      </c>
      <c r="P212" s="1"/>
      <c r="Q212" s="46"/>
    </row>
    <row r="213" spans="2:17" x14ac:dyDescent="0.25">
      <c r="B213" s="1"/>
      <c r="C213" s="205" t="s">
        <v>160</v>
      </c>
      <c r="D213" s="205"/>
      <c r="E213" s="205"/>
      <c r="F213" s="205"/>
      <c r="G213" s="205" t="s">
        <v>33</v>
      </c>
      <c r="H213" s="205" t="s">
        <v>9</v>
      </c>
      <c r="I213" s="205"/>
      <c r="J213" s="205" t="s">
        <v>33</v>
      </c>
      <c r="K213" s="205" t="s">
        <v>9</v>
      </c>
      <c r="L213" s="205"/>
      <c r="M213" s="205" t="s">
        <v>33</v>
      </c>
      <c r="N213" s="205" t="s">
        <v>9</v>
      </c>
      <c r="O213" s="205" t="s">
        <v>161</v>
      </c>
      <c r="P213" s="1"/>
    </row>
    <row r="214" spans="2:17" x14ac:dyDescent="0.25">
      <c r="B214" s="1"/>
      <c r="C214" s="206">
        <f>IF($K$11=$B$211,(D53*($K$13)/($K$13+$L$13)),0)+IF($L$11=$B$211,(D53*($L$13)/($K$13+$L$13)),0)</f>
        <v>0</v>
      </c>
      <c r="D214" s="207"/>
      <c r="E214" s="207"/>
      <c r="F214" s="207"/>
      <c r="G214" s="192"/>
      <c r="H214" s="192"/>
      <c r="I214" s="192"/>
      <c r="J214" s="192"/>
      <c r="K214" s="192">
        <f>$K$211*(1-Q214)</f>
        <v>3.4282499999999994E-2</v>
      </c>
      <c r="L214" s="192"/>
      <c r="M214" s="208"/>
      <c r="N214" s="208">
        <f>ROUND((C214*K214),2)</f>
        <v>0</v>
      </c>
      <c r="O214" s="193">
        <f>M214+N214</f>
        <v>0</v>
      </c>
      <c r="P214" s="209"/>
      <c r="Q214" s="169">
        <v>0.65</v>
      </c>
    </row>
    <row r="215" spans="2:17" x14ac:dyDescent="0.25">
      <c r="B215" s="1"/>
      <c r="C215" s="206">
        <f>IF($K$11=$B$211,(D54*($K$13)/($K$13+$L$13)),0)+IF($L$11=$B$211,(D54*($L$13)/($K$13+$L$13)),0)</f>
        <v>0</v>
      </c>
      <c r="D215" s="207"/>
      <c r="E215" s="207"/>
      <c r="F215" s="207"/>
      <c r="G215" s="192"/>
      <c r="H215" s="192"/>
      <c r="I215" s="192"/>
      <c r="J215" s="192"/>
      <c r="K215" s="192">
        <f t="shared" ref="K215:K217" si="44">$K$211*(1-Q215)</f>
        <v>5.8769999999999996E-2</v>
      </c>
      <c r="L215" s="192"/>
      <c r="M215" s="208"/>
      <c r="N215" s="208">
        <f t="shared" ref="N215:N217" si="45">ROUND((C215*K215),2)</f>
        <v>0</v>
      </c>
      <c r="O215" s="193">
        <f>M215+N215</f>
        <v>0</v>
      </c>
      <c r="P215" s="209"/>
      <c r="Q215" s="169">
        <v>0.4</v>
      </c>
    </row>
    <row r="216" spans="2:17" x14ac:dyDescent="0.25">
      <c r="B216" s="1"/>
      <c r="C216" s="206">
        <f>IF($K$11=$B$211,(D55*($K$13)/($K$13+$L$13)),0)+IF($L$11=$B$211,(D55*($L$13)/($K$13+$L$13)),0)</f>
        <v>0</v>
      </c>
      <c r="D216" s="207"/>
      <c r="E216" s="207"/>
      <c r="F216" s="207"/>
      <c r="G216" s="192"/>
      <c r="H216" s="192"/>
      <c r="I216" s="192"/>
      <c r="J216" s="192"/>
      <c r="K216" s="192">
        <f t="shared" si="44"/>
        <v>8.8154999999999997E-2</v>
      </c>
      <c r="L216" s="192"/>
      <c r="M216" s="208"/>
      <c r="N216" s="208">
        <f t="shared" si="45"/>
        <v>0</v>
      </c>
      <c r="O216" s="193">
        <f>M216+N216</f>
        <v>0</v>
      </c>
      <c r="P216" s="209"/>
      <c r="Q216" s="169">
        <v>0.1</v>
      </c>
    </row>
    <row r="217" spans="2:17" x14ac:dyDescent="0.25">
      <c r="B217" s="1"/>
      <c r="C217" s="206">
        <f>IF($K$11=$B$211,(D56*($K$13)/($K$13+$L$13)),0)+IF($L$11=$B$211,(D56*($L$13)/($K$13+$L$13)),0)</f>
        <v>0</v>
      </c>
      <c r="D217" s="207"/>
      <c r="E217" s="207"/>
      <c r="F217" s="207"/>
      <c r="G217" s="192"/>
      <c r="H217" s="192"/>
      <c r="I217" s="192"/>
      <c r="J217" s="192"/>
      <c r="K217" s="192">
        <f t="shared" si="44"/>
        <v>9.7949999999999995E-2</v>
      </c>
      <c r="L217" s="192"/>
      <c r="M217" s="208"/>
      <c r="N217" s="208">
        <f t="shared" si="45"/>
        <v>0</v>
      </c>
      <c r="O217" s="193">
        <f>M217+N217</f>
        <v>0</v>
      </c>
      <c r="P217" s="209"/>
      <c r="Q217" s="169">
        <v>0</v>
      </c>
    </row>
    <row r="218" spans="2:17" x14ac:dyDescent="0.25">
      <c r="B218" s="1"/>
      <c r="C218" s="210" t="s">
        <v>162</v>
      </c>
      <c r="D218" s="211"/>
      <c r="E218" s="211"/>
      <c r="F218" s="211"/>
      <c r="G218" s="211"/>
      <c r="H218" s="211"/>
      <c r="I218" s="211"/>
      <c r="J218" s="211"/>
      <c r="K218" s="211"/>
      <c r="L218" s="211"/>
      <c r="M218" s="211"/>
      <c r="N218" s="212"/>
      <c r="O218" s="213">
        <f>SUM(O214:O217)</f>
        <v>0</v>
      </c>
      <c r="P218" s="1"/>
      <c r="Q218" s="1"/>
    </row>
    <row r="219" spans="2:17" x14ac:dyDescent="0.2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2:17" x14ac:dyDescent="0.25">
      <c r="B220" s="1" t="s">
        <v>17</v>
      </c>
      <c r="C220" s="105"/>
      <c r="D220" s="105"/>
      <c r="E220" s="105"/>
      <c r="F220" s="105"/>
      <c r="G220" s="105"/>
      <c r="H220" s="116"/>
      <c r="I220" s="116"/>
      <c r="J220" s="117"/>
      <c r="K220" s="203">
        <f>K181</f>
        <v>0.14199999999999999</v>
      </c>
      <c r="L220" s="204"/>
      <c r="M220" s="106"/>
      <c r="N220" s="106"/>
      <c r="O220" s="118"/>
      <c r="P220" s="1"/>
      <c r="Q220" s="1"/>
    </row>
    <row r="221" spans="2:17" x14ac:dyDescent="0.25">
      <c r="B221" s="1"/>
      <c r="C221" s="166" t="s">
        <v>156</v>
      </c>
      <c r="D221" s="523"/>
      <c r="E221" s="524"/>
      <c r="F221" s="167"/>
      <c r="G221" s="523"/>
      <c r="H221" s="524"/>
      <c r="I221" s="167"/>
      <c r="J221" s="523" t="s">
        <v>32</v>
      </c>
      <c r="K221" s="524"/>
      <c r="L221" s="167"/>
      <c r="M221" s="523" t="s">
        <v>158</v>
      </c>
      <c r="N221" s="524"/>
      <c r="O221" s="168" t="s">
        <v>159</v>
      </c>
      <c r="P221" s="1"/>
      <c r="Q221" s="46"/>
    </row>
    <row r="222" spans="2:17" x14ac:dyDescent="0.25">
      <c r="B222" s="1"/>
      <c r="C222" s="205" t="s">
        <v>160</v>
      </c>
      <c r="D222" s="205"/>
      <c r="E222" s="205"/>
      <c r="F222" s="205"/>
      <c r="G222" s="205" t="s">
        <v>33</v>
      </c>
      <c r="H222" s="205" t="s">
        <v>9</v>
      </c>
      <c r="I222" s="205"/>
      <c r="J222" s="205" t="s">
        <v>33</v>
      </c>
      <c r="K222" s="205" t="s">
        <v>9</v>
      </c>
      <c r="L222" s="205"/>
      <c r="M222" s="205" t="s">
        <v>33</v>
      </c>
      <c r="N222" s="205" t="s">
        <v>9</v>
      </c>
      <c r="O222" s="205" t="s">
        <v>161</v>
      </c>
      <c r="P222" s="1"/>
    </row>
    <row r="223" spans="2:17" x14ac:dyDescent="0.25">
      <c r="B223" s="1"/>
      <c r="C223" s="206">
        <f>IF($K$11=$B$220,(D53*($K$13)/($K$13+$L$13)),0)+IF($L$11=$B$220,(D53*($L$13)/($K$13+$L$13)),0)</f>
        <v>0</v>
      </c>
      <c r="D223" s="207"/>
      <c r="E223" s="207"/>
      <c r="F223" s="207"/>
      <c r="G223" s="192"/>
      <c r="H223" s="192"/>
      <c r="I223" s="192"/>
      <c r="J223" s="192"/>
      <c r="K223" s="192">
        <f>$K$220*(1-Q223)</f>
        <v>4.9699999999999994E-2</v>
      </c>
      <c r="L223" s="192"/>
      <c r="M223" s="208"/>
      <c r="N223" s="208">
        <f>ROUND((C223*K223),2)</f>
        <v>0</v>
      </c>
      <c r="O223" s="193">
        <f>M223+N223</f>
        <v>0</v>
      </c>
      <c r="P223" s="209"/>
      <c r="Q223" s="169">
        <v>0.65</v>
      </c>
    </row>
    <row r="224" spans="2:17" x14ac:dyDescent="0.25">
      <c r="B224" s="1"/>
      <c r="C224" s="206">
        <f>IF($K$11=$B$220,(D54*($K$13)/($K$13+$L$13)),0)+IF($L$11=$B$220,(D54*($L$13)/($K$13+$L$13)),0)</f>
        <v>0</v>
      </c>
      <c r="D224" s="207"/>
      <c r="E224" s="207"/>
      <c r="F224" s="207"/>
      <c r="G224" s="192"/>
      <c r="H224" s="192"/>
      <c r="I224" s="192"/>
      <c r="J224" s="192"/>
      <c r="K224" s="192">
        <f t="shared" ref="K224:K226" si="46">$K$220*(1-Q224)</f>
        <v>8.5199999999999984E-2</v>
      </c>
      <c r="L224" s="192"/>
      <c r="M224" s="208"/>
      <c r="N224" s="208">
        <f t="shared" ref="N224:N226" si="47">ROUND((C224*K224),2)</f>
        <v>0</v>
      </c>
      <c r="O224" s="193">
        <f>M224+N224</f>
        <v>0</v>
      </c>
      <c r="P224" s="209"/>
      <c r="Q224" s="169">
        <v>0.4</v>
      </c>
    </row>
    <row r="225" spans="2:17" x14ac:dyDescent="0.25">
      <c r="B225" s="1"/>
      <c r="C225" s="206">
        <f>IF($K$11=$B$220,(D55*($K$13)/($K$13+$L$13)),0)+IF($L$11=$B$220,(D55*($L$13)/($K$13+$L$13)),0)</f>
        <v>0</v>
      </c>
      <c r="D225" s="207"/>
      <c r="E225" s="207"/>
      <c r="F225" s="207"/>
      <c r="G225" s="192"/>
      <c r="H225" s="192"/>
      <c r="I225" s="192"/>
      <c r="J225" s="192"/>
      <c r="K225" s="192">
        <f t="shared" si="46"/>
        <v>0.1278</v>
      </c>
      <c r="L225" s="192"/>
      <c r="M225" s="208"/>
      <c r="N225" s="208">
        <f t="shared" si="47"/>
        <v>0</v>
      </c>
      <c r="O225" s="193">
        <f>M225+N225</f>
        <v>0</v>
      </c>
      <c r="P225" s="209"/>
      <c r="Q225" s="169">
        <v>0.1</v>
      </c>
    </row>
    <row r="226" spans="2:17" x14ac:dyDescent="0.25">
      <c r="B226" s="1"/>
      <c r="C226" s="206">
        <f>IF($K$11=$B$220,(D56*($K$13)/($K$13+$L$13)),0)+IF($L$11=$B$220,(D56*($L$13)/($K$13+$L$13)),0)</f>
        <v>0</v>
      </c>
      <c r="D226" s="207"/>
      <c r="E226" s="207"/>
      <c r="F226" s="207"/>
      <c r="G226" s="192"/>
      <c r="H226" s="192"/>
      <c r="I226" s="192"/>
      <c r="J226" s="192"/>
      <c r="K226" s="192">
        <f t="shared" si="46"/>
        <v>0.14199999999999999</v>
      </c>
      <c r="L226" s="192"/>
      <c r="M226" s="208"/>
      <c r="N226" s="208">
        <f t="shared" si="47"/>
        <v>0</v>
      </c>
      <c r="O226" s="193">
        <f>M226+N226</f>
        <v>0</v>
      </c>
      <c r="P226" s="209"/>
      <c r="Q226" s="169">
        <v>0</v>
      </c>
    </row>
    <row r="227" spans="2:17" x14ac:dyDescent="0.25">
      <c r="B227" s="1"/>
      <c r="C227" s="210" t="s">
        <v>162</v>
      </c>
      <c r="D227" s="211"/>
      <c r="E227" s="211"/>
      <c r="F227" s="211"/>
      <c r="G227" s="211"/>
      <c r="H227" s="211"/>
      <c r="I227" s="211"/>
      <c r="J227" s="211"/>
      <c r="K227" s="211"/>
      <c r="L227" s="211"/>
      <c r="M227" s="211"/>
      <c r="N227" s="212"/>
      <c r="O227" s="213">
        <f>SUM(O223:O226)</f>
        <v>0</v>
      </c>
      <c r="P227" s="1"/>
      <c r="Q227" s="1"/>
    </row>
  </sheetData>
  <mergeCells count="58">
    <mergeCell ref="U4:W4"/>
    <mergeCell ref="X4:Z4"/>
    <mergeCell ref="K10:L10"/>
    <mergeCell ref="B29:H29"/>
    <mergeCell ref="D118:E118"/>
    <mergeCell ref="G118:H118"/>
    <mergeCell ref="J118:K118"/>
    <mergeCell ref="M118:N118"/>
    <mergeCell ref="B4:B5"/>
    <mergeCell ref="C4:E4"/>
    <mergeCell ref="F4:H4"/>
    <mergeCell ref="I4:K4"/>
    <mergeCell ref="Q4:Q5"/>
    <mergeCell ref="R4:T4"/>
    <mergeCell ref="D127:E127"/>
    <mergeCell ref="G127:H127"/>
    <mergeCell ref="J127:K127"/>
    <mergeCell ref="M127:N127"/>
    <mergeCell ref="D136:E136"/>
    <mergeCell ref="G136:H136"/>
    <mergeCell ref="J136:K136"/>
    <mergeCell ref="M136:N136"/>
    <mergeCell ref="D145:E145"/>
    <mergeCell ref="G145:H145"/>
    <mergeCell ref="J145:K145"/>
    <mergeCell ref="M145:N145"/>
    <mergeCell ref="D155:E155"/>
    <mergeCell ref="G155:H155"/>
    <mergeCell ref="J155:K155"/>
    <mergeCell ref="M155:N155"/>
    <mergeCell ref="D164:E164"/>
    <mergeCell ref="G164:H164"/>
    <mergeCell ref="J164:K164"/>
    <mergeCell ref="M164:N164"/>
    <mergeCell ref="D173:E173"/>
    <mergeCell ref="G173:H173"/>
    <mergeCell ref="J173:K173"/>
    <mergeCell ref="M173:N173"/>
    <mergeCell ref="D182:E182"/>
    <mergeCell ref="G182:H182"/>
    <mergeCell ref="J182:K182"/>
    <mergeCell ref="M182:N182"/>
    <mergeCell ref="D194:E194"/>
    <mergeCell ref="G194:H194"/>
    <mergeCell ref="J194:K194"/>
    <mergeCell ref="M194:N194"/>
    <mergeCell ref="D221:E221"/>
    <mergeCell ref="G221:H221"/>
    <mergeCell ref="J221:K221"/>
    <mergeCell ref="M221:N221"/>
    <mergeCell ref="D203:E203"/>
    <mergeCell ref="G203:H203"/>
    <mergeCell ref="J203:K203"/>
    <mergeCell ref="M203:N203"/>
    <mergeCell ref="D212:E212"/>
    <mergeCell ref="G212:H212"/>
    <mergeCell ref="J212:K212"/>
    <mergeCell ref="M212:N212"/>
  </mergeCells>
  <conditionalFormatting sqref="K11:L11">
    <cfRule type="cellIs" dxfId="13" priority="1" operator="equal">
      <formula>"Escassez Hídrica"</formula>
    </cfRule>
    <cfRule type="cellIs" dxfId="12" priority="2" operator="equal">
      <formula>"VERDE"</formula>
    </cfRule>
    <cfRule type="cellIs" dxfId="11" priority="3" operator="equal">
      <formula>"BVM2"</formula>
    </cfRule>
    <cfRule type="cellIs" dxfId="10" priority="4" operator="equal">
      <formula>"BVM1"</formula>
    </cfRule>
    <cfRule type="cellIs" dxfId="9" priority="5" operator="equal">
      <formula>"BAM"</formula>
    </cfRule>
  </conditionalFormatting>
  <conditionalFormatting sqref="M3">
    <cfRule type="cellIs" dxfId="8" priority="16" operator="equal">
      <formula>"VERDE"</formula>
    </cfRule>
    <cfRule type="cellIs" dxfId="7" priority="17" operator="equal">
      <formula>"BVM2"</formula>
    </cfRule>
    <cfRule type="cellIs" dxfId="6" priority="18" operator="equal">
      <formula>"BVM1"</formula>
    </cfRule>
    <cfRule type="cellIs" dxfId="5" priority="19" operator="equal">
      <formula>"BAM"</formula>
    </cfRule>
  </conditionalFormatting>
  <conditionalFormatting sqref="M7">
    <cfRule type="containsText" dxfId="4" priority="7" operator="containsText" text="Escassez Hídrica">
      <formula>NOT(ISERROR(SEARCH("Escassez Hídrica",M7)))</formula>
    </cfRule>
    <cfRule type="cellIs" dxfId="3" priority="8" operator="equal">
      <formula>"VERDE"</formula>
    </cfRule>
    <cfRule type="cellIs" dxfId="2" priority="9" operator="equal">
      <formula>"BVM2"</formula>
    </cfRule>
    <cfRule type="cellIs" dxfId="1" priority="10" operator="equal">
      <formula>"BVM1"</formula>
    </cfRule>
    <cfRule type="cellIs" dxfId="0" priority="11" operator="equal">
      <formula>"BAM"</formula>
    </cfRule>
  </conditionalFormatting>
  <dataValidations disablePrompts="1" count="2">
    <dataValidation type="list" allowBlank="1" showInputMessage="1" showErrorMessage="1" sqref="K11:L11" xr:uid="{EBDFBB8C-5AF2-4946-872C-7C9F0A986BE8}">
      <formula1>$M$3:$M$7</formula1>
    </dataValidation>
    <dataValidation type="list" allowBlank="1" showInputMessage="1" showErrorMessage="1" sqref="D16" xr:uid="{1BCAE4CD-41C1-4727-B81C-76C08CEE79F0}">
      <formula1>$A$16:$A$18</formula1>
    </dataValidation>
  </dataValidations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891448F6717847BCC1627ECE39252D" ma:contentTypeVersion="16" ma:contentTypeDescription="Crie um novo documento." ma:contentTypeScope="" ma:versionID="73bcb56c385bf2a5bec6d72fb0244d1e">
  <xsd:schema xmlns:xsd="http://www.w3.org/2001/XMLSchema" xmlns:xs="http://www.w3.org/2001/XMLSchema" xmlns:p="http://schemas.microsoft.com/office/2006/metadata/properties" xmlns:ns1="http://schemas.microsoft.com/sharepoint/v3" xmlns:ns2="dee4fbf6-117c-49a8-8347-1ad6b80523b2" xmlns:ns3="8a069c89-97f4-473c-8adf-a00e29b2cc6b" targetNamespace="http://schemas.microsoft.com/office/2006/metadata/properties" ma:root="true" ma:fieldsID="cab4a2184729188c6730d5972d74cc4a" ns1:_="" ns2:_="" ns3:_="">
    <xsd:import namespace="http://schemas.microsoft.com/sharepoint/v3"/>
    <xsd:import namespace="dee4fbf6-117c-49a8-8347-1ad6b80523b2"/>
    <xsd:import namespace="8a069c89-97f4-473c-8adf-a00e29b2cc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e4fbf6-117c-49a8-8347-1ad6b80523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313fef0e-ad1e-4996-aa84-7ac1ebeb22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069c89-97f4-473c-8adf-a00e29b2cc6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6f367be-cbae-4434-adac-9267ed6ec758}" ma:internalName="TaxCatchAll" ma:showField="CatchAllData" ma:web="8a069c89-97f4-473c-8adf-a00e29b2cc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8a069c89-97f4-473c-8adf-a00e29b2cc6b" xsi:nil="true"/>
    <_ip_UnifiedCompliancePolicyProperties xmlns="http://schemas.microsoft.com/sharepoint/v3" xsi:nil="true"/>
    <lcf76f155ced4ddcb4097134ff3c332f xmlns="dee4fbf6-117c-49a8-8347-1ad6b80523b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99B317-A66C-41B0-B6B0-37C6A3C0BE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ee4fbf6-117c-49a8-8347-1ad6b80523b2"/>
    <ds:schemaRef ds:uri="8a069c89-97f4-473c-8adf-a00e29b2cc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E899A35-36F2-4772-978B-5A4F4BC0B40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8a069c89-97f4-473c-8adf-a00e29b2cc6b"/>
    <ds:schemaRef ds:uri="dee4fbf6-117c-49a8-8347-1ad6b80523b2"/>
  </ds:schemaRefs>
</ds:datastoreItem>
</file>

<file path=customXml/itemProps3.xml><?xml version="1.0" encoding="utf-8"?>
<ds:datastoreItem xmlns:ds="http://schemas.openxmlformats.org/officeDocument/2006/customXml" ds:itemID="{28DD342D-4604-4B98-B90F-DE6932D0714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14</vt:i4>
      </vt:variant>
      <vt:variant>
        <vt:lpstr>Intervalos Nomeados</vt:lpstr>
      </vt:variant>
      <vt:variant>
        <vt:i4>1</vt:i4>
      </vt:variant>
    </vt:vector>
  </HeadingPairs>
  <TitlesOfParts>
    <vt:vector size="15" baseType="lpstr">
      <vt:lpstr>FIO B</vt:lpstr>
      <vt:lpstr>TABELA DE TARIFAS ANTIGAS</vt:lpstr>
      <vt:lpstr>TABELA DE TARIFAS NOVAS</vt:lpstr>
      <vt:lpstr>Fatura B1 (GD) OK</vt:lpstr>
      <vt:lpstr>Fatura B1 (GD I)</vt:lpstr>
      <vt:lpstr>Fatura B1CDE (GD) OK</vt:lpstr>
      <vt:lpstr>Fatura B3 (GD) OK</vt:lpstr>
      <vt:lpstr>Fatura B2 (GD) OK</vt:lpstr>
      <vt:lpstr>Fatura B2 IRRIG (GD) OK</vt:lpstr>
      <vt:lpstr>Fatura B1 BRe (GD)</vt:lpstr>
      <vt:lpstr>Fatura B1 BRe (GD) MP 1300 OK</vt:lpstr>
      <vt:lpstr>V4 MMGD GDII</vt:lpstr>
      <vt:lpstr>A4 MMGD GDII</vt:lpstr>
      <vt:lpstr>Fatura B1 (GD II) (Baixa Re (2)</vt:lpstr>
      <vt:lpstr>'TABELA DE TARIFAS NOVAS'!_Ref352134769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Lombardi</dc:creator>
  <cp:lastModifiedBy>Fabiana Alves De Freitas Pinheiro</cp:lastModifiedBy>
  <dcterms:created xsi:type="dcterms:W3CDTF">2022-12-26T17:32:15Z</dcterms:created>
  <dcterms:modified xsi:type="dcterms:W3CDTF">2026-08-06T19:41:45Z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11530c-902c-4b75-8616-d6c82cd1332a_Enabled">
    <vt:lpwstr>true</vt:lpwstr>
  </property>
  <property fmtid="{D5CDD505-2E9C-101B-9397-08002B2CF9AE}" pid="3" name="MSIP_Label_9811530c-902c-4b75-8616-d6c82cd1332a_SetDate">
    <vt:lpwstr>2024-08-04T13:12:39Z</vt:lpwstr>
  </property>
  <property fmtid="{D5CDD505-2E9C-101B-9397-08002B2CF9AE}" pid="4" name="MSIP_Label_9811530c-902c-4b75-8616-d6c82cd1332a_Method">
    <vt:lpwstr>Standard</vt:lpwstr>
  </property>
  <property fmtid="{D5CDD505-2E9C-101B-9397-08002B2CF9AE}" pid="5" name="MSIP_Label_9811530c-902c-4b75-8616-d6c82cd1332a_Name">
    <vt:lpwstr>9811530c-902c-4b75-8616-d6c82cd1332a</vt:lpwstr>
  </property>
  <property fmtid="{D5CDD505-2E9C-101B-9397-08002B2CF9AE}" pid="6" name="MSIP_Label_9811530c-902c-4b75-8616-d6c82cd1332a_SiteId">
    <vt:lpwstr>bf86fbdb-f8c2-440e-923c-05a60dc2bc9b</vt:lpwstr>
  </property>
  <property fmtid="{D5CDD505-2E9C-101B-9397-08002B2CF9AE}" pid="7" name="MSIP_Label_9811530c-902c-4b75-8616-d6c82cd1332a_ActionId">
    <vt:lpwstr>94f1c948-2e1c-4917-a2c0-3295f7539728</vt:lpwstr>
  </property>
  <property fmtid="{D5CDD505-2E9C-101B-9397-08002B2CF9AE}" pid="8" name="MSIP_Label_9811530c-902c-4b75-8616-d6c82cd1332a_ContentBits">
    <vt:lpwstr>0</vt:lpwstr>
  </property>
  <property fmtid="{D5CDD505-2E9C-101B-9397-08002B2CF9AE}" pid="9" name="ContentTypeId">
    <vt:lpwstr>0x010100CA891448F6717847BCC1627ECE39252D</vt:lpwstr>
  </property>
</Properties>
</file>