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coc10.escelsa.br\CGC\CGFA\Faturamento\Gestão Faturamento\15 - Relatório Gerencial - CGC\Arquivos PRT\Processos Tarifarios\2026_RTA_EDP_ES\Planilhas de Validação\EP2\Grupo B\"/>
    </mc:Choice>
  </mc:AlternateContent>
  <xr:revisionPtr revIDLastSave="0" documentId="13_ncr:1_{05E8576A-4F66-4813-BD06-5100836580B2}" xr6:coauthVersionLast="47" xr6:coauthVersionMax="47" xr10:uidLastSave="{00000000-0000-0000-0000-000000000000}"/>
  <bookViews>
    <workbookView xWindow="28692" yWindow="-108" windowWidth="29016" windowHeight="15696" firstSheet="3" activeTab="5" xr2:uid="{3D9428CB-221C-47E8-8C12-1E23CAF7F492}"/>
  </bookViews>
  <sheets>
    <sheet name="FIO B" sheetId="1" state="hidden" r:id="rId1"/>
    <sheet name="TABELA DE TARIFAS ANTIGAS" sheetId="2" state="hidden" r:id="rId2"/>
    <sheet name="TABELA DE TARIFAS NOVAS" sheetId="3" state="hidden" r:id="rId3"/>
    <sheet name="Fatura B1 (GD) OK" sheetId="4" r:id="rId4"/>
    <sheet name="Fatura B3 (GD) OK" sheetId="7" r:id="rId5"/>
    <sheet name="Fatura B2 (GD) Massa OK" sheetId="5" r:id="rId6"/>
    <sheet name="Fatura B2 (GD II) OK" sheetId="8" r:id="rId7"/>
  </sheets>
  <externalReferences>
    <externalReference r:id="rId8"/>
    <externalReference r:id="rId9"/>
    <externalReference r:id="rId10"/>
    <externalReference r:id="rId11"/>
  </externalReferences>
  <calcPr calcId="191029"/>
  <customWorkbookViews>
    <customWorkbookView name="Fabiana Alves De Freitas Pinheiro - Modo de exibição pessoal" guid="{DD040A5E-BAB6-4607-A6FD-72F0B8E25E8D}" mergeInterval="0" personalView="1" maximized="1" xWindow="-8" yWindow="-8" windowWidth="1936" windowHeight="1043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5" l="1"/>
  <c r="N22" i="8"/>
  <c r="N24" i="8"/>
  <c r="Q30" i="7"/>
  <c r="F2" i="8"/>
  <c r="D14" i="8"/>
  <c r="E89" i="8"/>
  <c r="E84" i="8"/>
  <c r="E85" i="8" s="1"/>
  <c r="F75" i="8"/>
  <c r="D72" i="8"/>
  <c r="D70" i="8"/>
  <c r="F68" i="8"/>
  <c r="D65" i="8"/>
  <c r="H65" i="8" s="1"/>
  <c r="D63" i="8"/>
  <c r="D91" i="8" s="1"/>
  <c r="I56" i="8"/>
  <c r="I55" i="8"/>
  <c r="C48" i="8"/>
  <c r="F48" i="8" s="1"/>
  <c r="C44" i="8"/>
  <c r="K33" i="8"/>
  <c r="I29" i="8"/>
  <c r="D29" i="8"/>
  <c r="I28" i="8"/>
  <c r="K26" i="8"/>
  <c r="D26" i="8"/>
  <c r="H26" i="8" s="1"/>
  <c r="J26" i="8" s="1"/>
  <c r="D25" i="8"/>
  <c r="O24" i="8"/>
  <c r="M24" i="8"/>
  <c r="E86" i="8"/>
  <c r="E87" i="8" s="1"/>
  <c r="K23" i="8"/>
  <c r="O22" i="8"/>
  <c r="D22" i="8"/>
  <c r="M14" i="8"/>
  <c r="J14" i="8"/>
  <c r="D75" i="8"/>
  <c r="H75" i="8" s="1"/>
  <c r="U11" i="8"/>
  <c r="G7" i="8" s="1"/>
  <c r="T11" i="8"/>
  <c r="F7" i="8" s="1"/>
  <c r="H11" i="8"/>
  <c r="M10" i="8"/>
  <c r="K14" i="8" s="1"/>
  <c r="U6" i="8"/>
  <c r="R6" i="8"/>
  <c r="Q6" i="8"/>
  <c r="N6" i="8"/>
  <c r="K32" i="8" s="1"/>
  <c r="G6" i="8"/>
  <c r="G8" i="8" s="1"/>
  <c r="F6" i="8"/>
  <c r="H6" i="8" s="1"/>
  <c r="D6" i="8"/>
  <c r="C6" i="8"/>
  <c r="N5" i="8"/>
  <c r="R4" i="8"/>
  <c r="N4" i="8"/>
  <c r="F65" i="8" s="1"/>
  <c r="F72" i="8" s="1"/>
  <c r="F4" i="8"/>
  <c r="U4" i="8" s="1"/>
  <c r="L14" i="8" l="1"/>
  <c r="D24" i="8" s="1"/>
  <c r="G26" i="8"/>
  <c r="E26" i="8" s="1"/>
  <c r="F26" i="8" s="1"/>
  <c r="C14" i="8"/>
  <c r="J8" i="8" s="1"/>
  <c r="X6" i="8"/>
  <c r="H25" i="8"/>
  <c r="J25" i="8" s="1"/>
  <c r="D66" i="8"/>
  <c r="H72" i="8"/>
  <c r="K24" i="8"/>
  <c r="K31" i="8"/>
  <c r="F66" i="8"/>
  <c r="F73" i="8" s="1"/>
  <c r="H7" i="8"/>
  <c r="D32" i="8"/>
  <c r="C49" i="8"/>
  <c r="D73" i="8"/>
  <c r="H73" i="8" s="1"/>
  <c r="E6" i="8"/>
  <c r="K21" i="8"/>
  <c r="D67" i="8"/>
  <c r="H67" i="8" s="1"/>
  <c r="F67" i="8"/>
  <c r="F74" i="8" s="1"/>
  <c r="G25" i="8"/>
  <c r="D30" i="8"/>
  <c r="H30" i="8" s="1"/>
  <c r="J30" i="8" s="1"/>
  <c r="I7" i="8"/>
  <c r="D44" i="8" s="1"/>
  <c r="D23" i="8"/>
  <c r="D68" i="8"/>
  <c r="H68" i="8" s="1"/>
  <c r="I6" i="8"/>
  <c r="E70" i="8" s="1"/>
  <c r="K28" i="8" s="1"/>
  <c r="H28" i="8" s="1"/>
  <c r="J28" i="8" s="1"/>
  <c r="J7" i="8"/>
  <c r="E44" i="8" s="1"/>
  <c r="R21" i="8"/>
  <c r="S21" i="8" s="1"/>
  <c r="K25" i="8"/>
  <c r="D74" i="8"/>
  <c r="H74" i="8" s="1"/>
  <c r="K30" i="8"/>
  <c r="D33" i="8"/>
  <c r="H33" i="8" s="1"/>
  <c r="J33" i="8" s="1"/>
  <c r="E25" i="8" l="1"/>
  <c r="F25" i="8" s="1"/>
  <c r="F44" i="8"/>
  <c r="F91" i="8"/>
  <c r="E91" i="8"/>
  <c r="E63" i="8"/>
  <c r="D31" i="8"/>
  <c r="H31" i="8" s="1"/>
  <c r="J31" i="8" s="1"/>
  <c r="E31" i="8" s="1"/>
  <c r="F31" i="8" s="1"/>
  <c r="J6" i="8"/>
  <c r="K7" i="8"/>
  <c r="H21" i="8"/>
  <c r="G21" i="8"/>
  <c r="E51" i="8"/>
  <c r="F49" i="8"/>
  <c r="E28" i="8"/>
  <c r="F28" i="8" s="1"/>
  <c r="H32" i="8"/>
  <c r="J32" i="8" s="1"/>
  <c r="E32" i="8" s="1"/>
  <c r="F32" i="8" s="1"/>
  <c r="H66" i="8"/>
  <c r="H23" i="8"/>
  <c r="J23" i="8" s="1"/>
  <c r="G23" i="8"/>
  <c r="E30" i="8"/>
  <c r="F30" i="8" s="1"/>
  <c r="H24" i="8"/>
  <c r="J24" i="8" s="1"/>
  <c r="G24" i="8"/>
  <c r="E33" i="8"/>
  <c r="F33" i="8" s="1"/>
  <c r="K6" i="8" l="1"/>
  <c r="K22" i="8"/>
  <c r="F63" i="8"/>
  <c r="H91" i="8"/>
  <c r="E23" i="8"/>
  <c r="F23" i="8" s="1"/>
  <c r="E24" i="8"/>
  <c r="F24" i="8" s="1"/>
  <c r="J21" i="8"/>
  <c r="H22" i="8" l="1"/>
  <c r="J22" i="8" s="1"/>
  <c r="K29" i="8"/>
  <c r="H29" i="8" s="1"/>
  <c r="J29" i="8" s="1"/>
  <c r="E29" i="8" s="1"/>
  <c r="F29" i="8" s="1"/>
  <c r="G22" i="8"/>
  <c r="G42" i="8" s="1"/>
  <c r="H50" i="8"/>
  <c r="D50" i="8" s="1"/>
  <c r="G50" i="8" s="1"/>
  <c r="D48" i="8"/>
  <c r="F70" i="8"/>
  <c r="H63" i="8"/>
  <c r="G63" i="8"/>
  <c r="E21" i="8"/>
  <c r="F21" i="8" s="1"/>
  <c r="J42" i="8" l="1"/>
  <c r="H42" i="8"/>
  <c r="D84" i="8"/>
  <c r="G70" i="8"/>
  <c r="H70" i="8"/>
  <c r="D85" i="8" s="1"/>
  <c r="D89" i="8"/>
  <c r="H89" i="8" s="1"/>
  <c r="E22" i="8"/>
  <c r="F22" i="8" s="1"/>
  <c r="F42" i="8" s="1"/>
  <c r="D49" i="8"/>
  <c r="G49" i="8" s="1"/>
  <c r="G48" i="8"/>
  <c r="E86" i="5"/>
  <c r="D67" i="5"/>
  <c r="F65" i="5"/>
  <c r="F72" i="5" s="1"/>
  <c r="D60" i="5"/>
  <c r="C44" i="5"/>
  <c r="K33" i="5"/>
  <c r="I29" i="5"/>
  <c r="D29" i="5"/>
  <c r="I28" i="5"/>
  <c r="K26" i="5"/>
  <c r="N23" i="5"/>
  <c r="E83" i="5" s="1"/>
  <c r="E84" i="5" s="1"/>
  <c r="D22" i="5"/>
  <c r="N21" i="5"/>
  <c r="E81" i="5" s="1"/>
  <c r="E82" i="5" s="1"/>
  <c r="M14" i="5"/>
  <c r="J14" i="5"/>
  <c r="L12" i="5"/>
  <c r="K12" i="5"/>
  <c r="U11" i="5"/>
  <c r="G7" i="5" s="1"/>
  <c r="T11" i="5"/>
  <c r="H11" i="5"/>
  <c r="M10" i="5"/>
  <c r="G8" i="5"/>
  <c r="F7" i="5"/>
  <c r="H7" i="5" s="1"/>
  <c r="U6" i="5"/>
  <c r="R6" i="5"/>
  <c r="Q6" i="5"/>
  <c r="N6" i="5"/>
  <c r="K25" i="5" s="1"/>
  <c r="G6" i="5"/>
  <c r="F6" i="5"/>
  <c r="H6" i="5" s="1"/>
  <c r="D6" i="5"/>
  <c r="C6" i="5"/>
  <c r="N5" i="5"/>
  <c r="K24" i="5" s="1"/>
  <c r="R4" i="5"/>
  <c r="N4" i="5"/>
  <c r="F62" i="5" s="1"/>
  <c r="F69" i="5" s="1"/>
  <c r="F4" i="5"/>
  <c r="U4" i="5" s="1"/>
  <c r="F2" i="5"/>
  <c r="M21" i="8" l="1"/>
  <c r="H84" i="8"/>
  <c r="D86" i="8"/>
  <c r="H86" i="8" s="1"/>
  <c r="D88" i="8"/>
  <c r="H88" i="8" s="1"/>
  <c r="H81" i="8"/>
  <c r="H85" i="8"/>
  <c r="D87" i="8"/>
  <c r="H87" i="8" s="1"/>
  <c r="C49" i="5"/>
  <c r="F49" i="5" s="1"/>
  <c r="F64" i="5"/>
  <c r="F71" i="5" s="1"/>
  <c r="K31" i="5"/>
  <c r="D88" i="5"/>
  <c r="D72" i="5"/>
  <c r="H72" i="5" s="1"/>
  <c r="L14" i="5"/>
  <c r="K14" i="5"/>
  <c r="D62" i="5" s="1"/>
  <c r="H62" i="5" s="1"/>
  <c r="N24" i="5"/>
  <c r="K23" i="5"/>
  <c r="F63" i="5"/>
  <c r="F70" i="5" s="1"/>
  <c r="D14" i="5"/>
  <c r="E6" i="5"/>
  <c r="C48" i="5"/>
  <c r="D25" i="5"/>
  <c r="C14" i="5"/>
  <c r="D64" i="5"/>
  <c r="H64" i="5" s="1"/>
  <c r="N22" i="5"/>
  <c r="D70" i="5"/>
  <c r="D26" i="5"/>
  <c r="K30" i="5"/>
  <c r="K32" i="5"/>
  <c r="D32" i="5"/>
  <c r="D65" i="5"/>
  <c r="H65" i="5" s="1"/>
  <c r="D71" i="5"/>
  <c r="H71" i="5" s="1"/>
  <c r="D33" i="5"/>
  <c r="U11" i="7"/>
  <c r="T11" i="7"/>
  <c r="U11" i="4"/>
  <c r="T11" i="4"/>
  <c r="G6" i="7"/>
  <c r="F6" i="7"/>
  <c r="D6" i="7"/>
  <c r="C6" i="7"/>
  <c r="U6" i="7"/>
  <c r="R6" i="7"/>
  <c r="U6" i="4"/>
  <c r="R6" i="4"/>
  <c r="Q6" i="7"/>
  <c r="U4" i="7"/>
  <c r="R4" i="7"/>
  <c r="D69" i="5" l="1"/>
  <c r="H69" i="5" s="1"/>
  <c r="D30" i="5"/>
  <c r="H30" i="5" s="1"/>
  <c r="J30" i="5" s="1"/>
  <c r="E30" i="5" s="1"/>
  <c r="F30" i="5" s="1"/>
  <c r="H61" i="8"/>
  <c r="O21" i="8"/>
  <c r="M23" i="8"/>
  <c r="O23" i="8" s="1"/>
  <c r="H33" i="5"/>
  <c r="J33" i="5" s="1"/>
  <c r="E33" i="5" s="1"/>
  <c r="F33" i="5" s="1"/>
  <c r="H70" i="5"/>
  <c r="D24" i="5"/>
  <c r="D63" i="5"/>
  <c r="H63" i="5" s="1"/>
  <c r="D31" i="5"/>
  <c r="H31" i="5" s="1"/>
  <c r="J31" i="5" s="1"/>
  <c r="J6" i="5"/>
  <c r="D23" i="5"/>
  <c r="H23" i="5" s="1"/>
  <c r="J23" i="5" s="1"/>
  <c r="E51" i="5"/>
  <c r="F48" i="5"/>
  <c r="J8" i="5"/>
  <c r="J7" i="5"/>
  <c r="I6" i="5"/>
  <c r="X6" i="5"/>
  <c r="R21" i="5" s="1"/>
  <c r="S21" i="5" s="1"/>
  <c r="I7" i="5"/>
  <c r="H25" i="5"/>
  <c r="J25" i="5" s="1"/>
  <c r="G25" i="5"/>
  <c r="G26" i="5"/>
  <c r="H26" i="5"/>
  <c r="J26" i="5" s="1"/>
  <c r="H32" i="5"/>
  <c r="J32" i="5" s="1"/>
  <c r="E32" i="5" s="1"/>
  <c r="F32" i="5" s="1"/>
  <c r="F2" i="7"/>
  <c r="E31" i="5" l="1"/>
  <c r="F31" i="5" s="1"/>
  <c r="E88" i="5"/>
  <c r="D44" i="5"/>
  <c r="K6" i="5"/>
  <c r="K21" i="5"/>
  <c r="E60" i="5"/>
  <c r="E44" i="5"/>
  <c r="F88" i="5"/>
  <c r="K22" i="5"/>
  <c r="F60" i="5"/>
  <c r="F67" i="5" s="1"/>
  <c r="D86" i="5" s="1"/>
  <c r="H86" i="5" s="1"/>
  <c r="G23" i="5"/>
  <c r="E23" i="5" s="1"/>
  <c r="F23" i="5" s="1"/>
  <c r="H24" i="5"/>
  <c r="J24" i="5" s="1"/>
  <c r="G24" i="5"/>
  <c r="E25" i="5"/>
  <c r="F25" i="5" s="1"/>
  <c r="E26" i="5"/>
  <c r="F26" i="5" s="1"/>
  <c r="K7" i="5"/>
  <c r="H6" i="7"/>
  <c r="G6" i="4"/>
  <c r="F6" i="4"/>
  <c r="D6" i="4"/>
  <c r="C6" i="4"/>
  <c r="E24" i="5" l="1"/>
  <c r="F24" i="5" s="1"/>
  <c r="H50" i="5"/>
  <c r="D50" i="5" s="1"/>
  <c r="G50" i="5" s="1"/>
  <c r="K29" i="5"/>
  <c r="H29" i="5" s="1"/>
  <c r="J29" i="5" s="1"/>
  <c r="E29" i="5" s="1"/>
  <c r="F29" i="5" s="1"/>
  <c r="H22" i="5"/>
  <c r="J22" i="5" s="1"/>
  <c r="G22" i="5"/>
  <c r="E67" i="5"/>
  <c r="H60" i="5"/>
  <c r="G60" i="5"/>
  <c r="G21" i="5"/>
  <c r="H21" i="5"/>
  <c r="J21" i="5" s="1"/>
  <c r="D48" i="5"/>
  <c r="F44" i="5"/>
  <c r="H88" i="5"/>
  <c r="H6" i="4"/>
  <c r="E6" i="7"/>
  <c r="E6" i="4"/>
  <c r="G42" i="5" l="1"/>
  <c r="E22" i="5"/>
  <c r="F22" i="5" s="1"/>
  <c r="D49" i="5"/>
  <c r="G49" i="5" s="1"/>
  <c r="G48" i="5"/>
  <c r="D81" i="5"/>
  <c r="E21" i="5"/>
  <c r="F21" i="5" s="1"/>
  <c r="K28" i="5"/>
  <c r="H28" i="5" s="1"/>
  <c r="J28" i="5" s="1"/>
  <c r="E28" i="5" s="1"/>
  <c r="F28" i="5" s="1"/>
  <c r="H67" i="5"/>
  <c r="D82" i="5" s="1"/>
  <c r="G67" i="5"/>
  <c r="M22" i="5" l="1"/>
  <c r="H82" i="5"/>
  <c r="D84" i="5"/>
  <c r="H84" i="5" s="1"/>
  <c r="F42" i="5"/>
  <c r="H78" i="5"/>
  <c r="D83" i="5"/>
  <c r="H83" i="5" s="1"/>
  <c r="H81" i="5"/>
  <c r="D85" i="5"/>
  <c r="H85" i="5" s="1"/>
  <c r="M21" i="5"/>
  <c r="H42" i="5"/>
  <c r="J42" i="5"/>
  <c r="H58" i="5" l="1"/>
  <c r="M23" i="5"/>
  <c r="O23" i="5" s="1"/>
  <c r="O21" i="5"/>
  <c r="M24" i="5"/>
  <c r="O24" i="5" s="1"/>
  <c r="O22" i="5"/>
  <c r="E75" i="7" l="1"/>
  <c r="F61" i="7"/>
  <c r="D56" i="7"/>
  <c r="F54" i="7"/>
  <c r="D49" i="7"/>
  <c r="K33" i="7"/>
  <c r="I29" i="7"/>
  <c r="D29" i="7"/>
  <c r="K26" i="7"/>
  <c r="E72" i="7"/>
  <c r="E73" i="7" s="1"/>
  <c r="D22" i="7"/>
  <c r="N22" i="7"/>
  <c r="D14" i="7"/>
  <c r="M10" i="7"/>
  <c r="G7" i="7"/>
  <c r="F7" i="7"/>
  <c r="N6" i="7"/>
  <c r="F53" i="7" s="1"/>
  <c r="F60" i="7" s="1"/>
  <c r="N5" i="7"/>
  <c r="K31" i="7" s="1"/>
  <c r="N4" i="7"/>
  <c r="F51" i="7" s="1"/>
  <c r="F58" i="7" s="1"/>
  <c r="F4" i="7"/>
  <c r="E75" i="4"/>
  <c r="E72" i="4"/>
  <c r="E73" i="4" s="1"/>
  <c r="E70" i="4"/>
  <c r="E71" i="4" s="1"/>
  <c r="D61" i="4"/>
  <c r="H61" i="4" s="1"/>
  <c r="D56" i="4"/>
  <c r="F54" i="4"/>
  <c r="F61" i="4" s="1"/>
  <c r="D54" i="4"/>
  <c r="H54" i="4" s="1"/>
  <c r="D49" i="4"/>
  <c r="C43" i="4"/>
  <c r="K33" i="4"/>
  <c r="D33" i="4"/>
  <c r="I29" i="4"/>
  <c r="D29" i="4"/>
  <c r="K26" i="4"/>
  <c r="D26" i="4"/>
  <c r="N24" i="4"/>
  <c r="N22" i="4"/>
  <c r="D22" i="4"/>
  <c r="M14" i="4"/>
  <c r="J14" i="4"/>
  <c r="D14" i="4"/>
  <c r="C14" i="4"/>
  <c r="H11" i="4"/>
  <c r="M10" i="4"/>
  <c r="G8" i="4"/>
  <c r="G7" i="4"/>
  <c r="F7" i="4"/>
  <c r="Q6" i="4"/>
  <c r="N6" i="4"/>
  <c r="K32" i="4" s="1"/>
  <c r="N5" i="4"/>
  <c r="F52" i="4" s="1"/>
  <c r="U4" i="4"/>
  <c r="R4" i="4"/>
  <c r="N4" i="4"/>
  <c r="K30" i="4" s="1"/>
  <c r="H7" i="7" l="1"/>
  <c r="X6" i="4"/>
  <c r="R21" i="4" s="1"/>
  <c r="S21" i="4" s="1"/>
  <c r="I6" i="4"/>
  <c r="J6" i="4"/>
  <c r="D61" i="7"/>
  <c r="H61" i="7" s="1"/>
  <c r="L14" i="4"/>
  <c r="D53" i="4" s="1"/>
  <c r="D77" i="7"/>
  <c r="J8" i="4"/>
  <c r="K25" i="4"/>
  <c r="F51" i="4"/>
  <c r="F58" i="4" s="1"/>
  <c r="D77" i="4"/>
  <c r="H33" i="4"/>
  <c r="J33" i="4" s="1"/>
  <c r="E33" i="4" s="1"/>
  <c r="F33" i="4" s="1"/>
  <c r="H11" i="7"/>
  <c r="M14" i="7"/>
  <c r="L14" i="7" s="1"/>
  <c r="D32" i="7" s="1"/>
  <c r="I7" i="4"/>
  <c r="D43" i="4" s="1"/>
  <c r="J14" i="7"/>
  <c r="K14" i="7" s="1"/>
  <c r="F59" i="4"/>
  <c r="K24" i="7"/>
  <c r="K14" i="4"/>
  <c r="J7" i="4"/>
  <c r="E43" i="4" s="1"/>
  <c r="G26" i="4"/>
  <c r="K23" i="4"/>
  <c r="H26" i="4"/>
  <c r="J26" i="4" s="1"/>
  <c r="F52" i="7"/>
  <c r="F59" i="7" s="1"/>
  <c r="K24" i="4"/>
  <c r="F53" i="4"/>
  <c r="G8" i="7"/>
  <c r="N24" i="7"/>
  <c r="K25" i="7"/>
  <c r="D26" i="7"/>
  <c r="K32" i="7"/>
  <c r="D53" i="7"/>
  <c r="H53" i="7" s="1"/>
  <c r="C14" i="7"/>
  <c r="X6" i="7" s="1"/>
  <c r="D33" i="7"/>
  <c r="E70" i="7"/>
  <c r="E71" i="7" s="1"/>
  <c r="K30" i="7"/>
  <c r="H7" i="4"/>
  <c r="K31" i="4"/>
  <c r="K23" i="7"/>
  <c r="D54" i="7"/>
  <c r="H54" i="7" s="1"/>
  <c r="D60" i="4" l="1"/>
  <c r="D32" i="4"/>
  <c r="H32" i="4" s="1"/>
  <c r="J32" i="4" s="1"/>
  <c r="E32" i="4" s="1"/>
  <c r="F32" i="4" s="1"/>
  <c r="D25" i="4"/>
  <c r="H25" i="4" s="1"/>
  <c r="J25" i="4" s="1"/>
  <c r="D60" i="7"/>
  <c r="H60" i="7" s="1"/>
  <c r="D25" i="7"/>
  <c r="H25" i="7" s="1"/>
  <c r="J25" i="7" s="1"/>
  <c r="E77" i="4"/>
  <c r="F43" i="4"/>
  <c r="K6" i="4"/>
  <c r="F49" i="4"/>
  <c r="F56" i="4" s="1"/>
  <c r="K22" i="4"/>
  <c r="E49" i="4"/>
  <c r="E56" i="4" s="1"/>
  <c r="K21" i="4"/>
  <c r="F77" i="4"/>
  <c r="J6" i="7"/>
  <c r="I6" i="7"/>
  <c r="D31" i="7"/>
  <c r="H31" i="7" s="1"/>
  <c r="J31" i="7" s="1"/>
  <c r="D52" i="7"/>
  <c r="H52" i="7" s="1"/>
  <c r="D24" i="7"/>
  <c r="H24" i="7" s="1"/>
  <c r="J24" i="7" s="1"/>
  <c r="D59" i="7"/>
  <c r="H59" i="7" s="1"/>
  <c r="D52" i="4"/>
  <c r="H52" i="4" s="1"/>
  <c r="D31" i="4"/>
  <c r="H31" i="4" s="1"/>
  <c r="J31" i="4" s="1"/>
  <c r="E31" i="4" s="1"/>
  <c r="F31" i="4" s="1"/>
  <c r="D59" i="4"/>
  <c r="H59" i="4" s="1"/>
  <c r="D24" i="4"/>
  <c r="G24" i="4" s="1"/>
  <c r="D58" i="4"/>
  <c r="H58" i="4" s="1"/>
  <c r="D58" i="7"/>
  <c r="H58" i="7" s="1"/>
  <c r="D30" i="4"/>
  <c r="H30" i="4" s="1"/>
  <c r="J30" i="4" s="1"/>
  <c r="E30" i="4" s="1"/>
  <c r="F30" i="4" s="1"/>
  <c r="D51" i="4"/>
  <c r="H51" i="4" s="1"/>
  <c r="D23" i="7"/>
  <c r="H23" i="7" s="1"/>
  <c r="J23" i="7" s="1"/>
  <c r="D23" i="4"/>
  <c r="G23" i="4" s="1"/>
  <c r="D51" i="7"/>
  <c r="H51" i="7" s="1"/>
  <c r="D30" i="7"/>
  <c r="H30" i="7" s="1"/>
  <c r="J30" i="7" s="1"/>
  <c r="E26" i="4"/>
  <c r="F26" i="4" s="1"/>
  <c r="K7" i="4"/>
  <c r="I7" i="7"/>
  <c r="E77" i="7" s="1"/>
  <c r="J8" i="7"/>
  <c r="J7" i="7"/>
  <c r="F77" i="7" s="1"/>
  <c r="R21" i="7"/>
  <c r="S21" i="7" s="1"/>
  <c r="H26" i="7"/>
  <c r="J26" i="7" s="1"/>
  <c r="G26" i="7"/>
  <c r="F60" i="4"/>
  <c r="H53" i="4"/>
  <c r="H33" i="7"/>
  <c r="J33" i="7" s="1"/>
  <c r="E33" i="7" s="1"/>
  <c r="F33" i="7" s="1"/>
  <c r="H32" i="7"/>
  <c r="J32" i="7" s="1"/>
  <c r="E32" i="7" s="1"/>
  <c r="F32" i="7" s="1"/>
  <c r="G25" i="4" l="1"/>
  <c r="E25" i="4" s="1"/>
  <c r="F25" i="4" s="1"/>
  <c r="H60" i="4"/>
  <c r="D75" i="4" s="1"/>
  <c r="H75" i="4" s="1"/>
  <c r="H77" i="4"/>
  <c r="G25" i="7"/>
  <c r="E25" i="7" s="1"/>
  <c r="F25" i="7" s="1"/>
  <c r="H77" i="7"/>
  <c r="K6" i="7"/>
  <c r="E49" i="7"/>
  <c r="K21" i="7"/>
  <c r="F49" i="7"/>
  <c r="F56" i="7" s="1"/>
  <c r="D75" i="7" s="1"/>
  <c r="H75" i="7" s="1"/>
  <c r="K22" i="7"/>
  <c r="H21" i="4"/>
  <c r="J21" i="4" s="1"/>
  <c r="G21" i="4"/>
  <c r="K28" i="4"/>
  <c r="H49" i="4"/>
  <c r="D70" i="4" s="1"/>
  <c r="G49" i="4"/>
  <c r="K29" i="4"/>
  <c r="H29" i="4" s="1"/>
  <c r="J29" i="4" s="1"/>
  <c r="G22" i="4"/>
  <c r="H22" i="4"/>
  <c r="J22" i="4" s="1"/>
  <c r="G24" i="7"/>
  <c r="E24" i="7" s="1"/>
  <c r="F24" i="7" s="1"/>
  <c r="H24" i="4"/>
  <c r="J24" i="4" s="1"/>
  <c r="E24" i="4" s="1"/>
  <c r="F24" i="4" s="1"/>
  <c r="H23" i="4"/>
  <c r="J23" i="4" s="1"/>
  <c r="G23" i="7"/>
  <c r="E23" i="7" s="1"/>
  <c r="F23" i="7" s="1"/>
  <c r="E30" i="7"/>
  <c r="F30" i="7" s="1"/>
  <c r="E26" i="7"/>
  <c r="F26" i="7" s="1"/>
  <c r="E31" i="7"/>
  <c r="F31" i="7" s="1"/>
  <c r="K7" i="7"/>
  <c r="E21" i="4" l="1"/>
  <c r="F21" i="4" s="1"/>
  <c r="G41" i="4"/>
  <c r="H28" i="4"/>
  <c r="J28" i="4" s="1"/>
  <c r="E28" i="4" s="1"/>
  <c r="F28" i="4" s="1"/>
  <c r="G56" i="4"/>
  <c r="H56" i="4"/>
  <c r="H22" i="7"/>
  <c r="J22" i="7" s="1"/>
  <c r="G22" i="7"/>
  <c r="K29" i="7"/>
  <c r="H21" i="7"/>
  <c r="K28" i="7"/>
  <c r="H28" i="7" s="1"/>
  <c r="J28" i="7" s="1"/>
  <c r="E28" i="7" s="1"/>
  <c r="F28" i="7" s="1"/>
  <c r="G21" i="7"/>
  <c r="E29" i="4"/>
  <c r="F29" i="4" s="1"/>
  <c r="G49" i="7"/>
  <c r="E56" i="7"/>
  <c r="H49" i="7"/>
  <c r="D70" i="7" s="1"/>
  <c r="H70" i="7" s="1"/>
  <c r="E22" i="4"/>
  <c r="F22" i="4" s="1"/>
  <c r="E23" i="4"/>
  <c r="F23" i="4" s="1"/>
  <c r="D72" i="4"/>
  <c r="H72" i="4" s="1"/>
  <c r="D74" i="4"/>
  <c r="H74" i="4" s="1"/>
  <c r="M21" i="4"/>
  <c r="H70" i="4"/>
  <c r="H41" i="4" l="1"/>
  <c r="J41" i="4"/>
  <c r="D72" i="7"/>
  <c r="H72" i="7" s="1"/>
  <c r="M21" i="7"/>
  <c r="M23" i="7" s="1"/>
  <c r="O23" i="7" s="1"/>
  <c r="E22" i="7"/>
  <c r="F22" i="7" s="1"/>
  <c r="D74" i="7"/>
  <c r="H74" i="7" s="1"/>
  <c r="H29" i="7"/>
  <c r="J29" i="7" s="1"/>
  <c r="E29" i="7" s="1"/>
  <c r="F29" i="7" s="1"/>
  <c r="F41" i="4"/>
  <c r="D71" i="4"/>
  <c r="M22" i="4" s="1"/>
  <c r="H67" i="4"/>
  <c r="G41" i="7"/>
  <c r="J21" i="7"/>
  <c r="H56" i="7"/>
  <c r="G56" i="7"/>
  <c r="O21" i="4"/>
  <c r="M23" i="4"/>
  <c r="O23" i="4" s="1"/>
  <c r="O21" i="7" l="1"/>
  <c r="H41" i="7"/>
  <c r="J41" i="7"/>
  <c r="D71" i="7"/>
  <c r="M22" i="7" s="1"/>
  <c r="H67" i="7"/>
  <c r="D73" i="4"/>
  <c r="H73" i="4" s="1"/>
  <c r="H71" i="4"/>
  <c r="E21" i="7"/>
  <c r="F21" i="7" s="1"/>
  <c r="F41" i="7" s="1"/>
  <c r="H47" i="4" l="1"/>
  <c r="M24" i="4"/>
  <c r="O24" i="4" s="1"/>
  <c r="O22" i="4"/>
  <c r="D73" i="7"/>
  <c r="H73" i="7" s="1"/>
  <c r="H71" i="7"/>
  <c r="H47" i="7" l="1"/>
  <c r="O22" i="7"/>
  <c r="M24" i="7"/>
  <c r="O2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6540FC0D-45AB-400D-884E-57D0A6065A96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908BD590-C476-4735-91D3-7D2CEF25CD75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<sst xmlns="http://schemas.openxmlformats.org/spreadsheetml/2006/main" count="1256" uniqueCount="192">
  <si>
    <t xml:space="preserve"> </t>
  </si>
  <si>
    <t>B1 Res</t>
  </si>
  <si>
    <t>Vigência das Tarifas:</t>
  </si>
  <si>
    <t>Bandeira</t>
  </si>
  <si>
    <t>R$/kWh</t>
  </si>
  <si>
    <t>ANEEL em 29/06</t>
  </si>
  <si>
    <t>TUSD FIO B</t>
  </si>
  <si>
    <t>VERDE</t>
  </si>
  <si>
    <t>TARIFA</t>
  </si>
  <si>
    <t>TARIFA NOVA - REH 3241/2023</t>
  </si>
  <si>
    <t>TARIFA NOVA - REH xxxx/2024</t>
  </si>
  <si>
    <t>Tarifas Proporcionalizadas</t>
  </si>
  <si>
    <t>BAM</t>
  </si>
  <si>
    <t>Tusd</t>
  </si>
  <si>
    <t>TE</t>
  </si>
  <si>
    <t>TUSD + TE</t>
  </si>
  <si>
    <t>BVM1</t>
  </si>
  <si>
    <t>Tusd (R$/kWh)</t>
  </si>
  <si>
    <t>B1</t>
  </si>
  <si>
    <t>BVM2</t>
  </si>
  <si>
    <t>CDE Escassez Hídrica</t>
  </si>
  <si>
    <t>Escassez Hídrica</t>
  </si>
  <si>
    <t>TE SCEE</t>
  </si>
  <si>
    <t>CUSTO</t>
  </si>
  <si>
    <t>Part. TUSD (%)</t>
  </si>
  <si>
    <t>Part. TE (%)</t>
  </si>
  <si>
    <t>TE (R$/kWh)</t>
  </si>
  <si>
    <t>CDE CONTAS</t>
  </si>
  <si>
    <t>Fatura</t>
  </si>
  <si>
    <t>Vigência das Tarifas (troca Bandeira):</t>
  </si>
  <si>
    <t>CDE COVID</t>
  </si>
  <si>
    <t>INSTALAÇÃO</t>
  </si>
  <si>
    <t>Altere a bandeira na célula abaixo</t>
  </si>
  <si>
    <t>CDE ESCASSEZ HÍDRICA</t>
  </si>
  <si>
    <t>Leitura Anterior</t>
  </si>
  <si>
    <t>Nº de dias tarifa Anterior</t>
  </si>
  <si>
    <t>Nº de dias tarifa Nova</t>
  </si>
  <si>
    <t>Leitura Atual</t>
  </si>
  <si>
    <t>Perc. de Redução da Energia Injetada</t>
  </si>
  <si>
    <t>TUSD</t>
  </si>
  <si>
    <t>Documento Impressão</t>
  </si>
  <si>
    <t>Descrição</t>
  </si>
  <si>
    <t>Unidade</t>
  </si>
  <si>
    <t>Quantidade</t>
  </si>
  <si>
    <t>Preço Unit (R$)
com tributos</t>
  </si>
  <si>
    <t>Valor Total (R$)</t>
  </si>
  <si>
    <t>PIS/COFINS
(R$)</t>
  </si>
  <si>
    <t>Base de Cálculo ICMS
(R$)</t>
  </si>
  <si>
    <t>Alíquota ICMS
(%)</t>
  </si>
  <si>
    <t>ICMS
(R$)</t>
  </si>
  <si>
    <t>Preço Unit (R$)</t>
  </si>
  <si>
    <t>Tributos</t>
  </si>
  <si>
    <t>Base de Cálc
(R$)</t>
  </si>
  <si>
    <t>Alíquota
(%)</t>
  </si>
  <si>
    <t>Valor
(R$)</t>
  </si>
  <si>
    <t>TUSD Fio B</t>
  </si>
  <si>
    <t>Receita Fio B</t>
  </si>
  <si>
    <t>TUSD - Consumo</t>
  </si>
  <si>
    <t>kWh</t>
  </si>
  <si>
    <t>PIS</t>
  </si>
  <si>
    <t>TE - Consumo</t>
  </si>
  <si>
    <t>PIS Inj</t>
  </si>
  <si>
    <t xml:space="preserve">Adicional BAM </t>
  </si>
  <si>
    <t>COFINS</t>
  </si>
  <si>
    <t xml:space="preserve">Adicional BVM1 </t>
  </si>
  <si>
    <t>COFINS Inj</t>
  </si>
  <si>
    <t>Adicional BVM2</t>
  </si>
  <si>
    <t>Adicional EH</t>
  </si>
  <si>
    <t>TUSD - Consumo inj</t>
  </si>
  <si>
    <t>TE - Consumo inj</t>
  </si>
  <si>
    <t>Adicional BAM inj</t>
  </si>
  <si>
    <t>Adicional BVM1 inj</t>
  </si>
  <si>
    <t>Adicional BVM2 inj</t>
  </si>
  <si>
    <t>Adicional EH inj</t>
  </si>
  <si>
    <t>Multas</t>
  </si>
  <si>
    <t>Juros</t>
  </si>
  <si>
    <t>Doações</t>
  </si>
  <si>
    <t>CIP</t>
  </si>
  <si>
    <t>TOTAL</t>
  </si>
  <si>
    <t>Informativo Escassez</t>
  </si>
  <si>
    <t>Fatura B1 Residencial</t>
  </si>
  <si>
    <t>Qtde</t>
  </si>
  <si>
    <t>R$</t>
  </si>
  <si>
    <t>Fornecimento de Energia Elétrica</t>
  </si>
  <si>
    <t>Energia Fornecida</t>
  </si>
  <si>
    <t>Adicional BVM 1</t>
  </si>
  <si>
    <t>Adicional BVM 2</t>
  </si>
  <si>
    <t>Adicional Escassez Hídrica</t>
  </si>
  <si>
    <t>Energia Injetada</t>
  </si>
  <si>
    <t>Base de Cálculo</t>
  </si>
  <si>
    <t xml:space="preserve">PIS </t>
  </si>
  <si>
    <t>PIS Eneg Inj</t>
  </si>
  <si>
    <t>COFINS Eneg Inj</t>
  </si>
  <si>
    <t>ICMS</t>
  </si>
  <si>
    <t>ICMS Eneg Inj</t>
  </si>
  <si>
    <t>Informativo Escassez Hídrica</t>
  </si>
  <si>
    <t>B3</t>
  </si>
  <si>
    <t>TARIFA ANTIGA - REH 3091/2022</t>
  </si>
  <si>
    <t>B2</t>
  </si>
  <si>
    <t>Se for base reduzida: (célula I18 = 12%)</t>
  </si>
  <si>
    <t>Com tributos</t>
  </si>
  <si>
    <t>x</t>
  </si>
  <si>
    <t>Rural c/ incrição</t>
  </si>
  <si>
    <t>Base de cálculo reduzida     =</t>
  </si>
  <si>
    <t>Importe</t>
  </si>
  <si>
    <t>12% x 4%</t>
  </si>
  <si>
    <t>Fatura B2</t>
  </si>
  <si>
    <t>SUBGRUPO</t>
  </si>
  <si>
    <t>MODALIDADE</t>
  </si>
  <si>
    <t xml:space="preserve">CLASSE </t>
  </si>
  <si>
    <t>SUBCLASSE</t>
  </si>
  <si>
    <t>POSTO</t>
  </si>
  <si>
    <t>TARIFAS DE APLICAÇÃO</t>
  </si>
  <si>
    <t>R$/kW</t>
  </si>
  <si>
    <t>R$/MWh</t>
  </si>
  <si>
    <t>BRANCA</t>
  </si>
  <si>
    <t>RESIDENCIAL</t>
  </si>
  <si>
    <t>P</t>
  </si>
  <si>
    <t>INT</t>
  </si>
  <si>
    <t>FP</t>
  </si>
  <si>
    <t>PRÉ-PAGAMENTO</t>
  </si>
  <si>
    <t>NA</t>
  </si>
  <si>
    <t>CONVENCIONAL</t>
  </si>
  <si>
    <t>BAIXA RENDA</t>
  </si>
  <si>
    <t>RURAL</t>
  </si>
  <si>
    <t>NÃO SE APLICA</t>
  </si>
  <si>
    <t>COOPERATIVA DE ELETRIFICAÇÃO RURAL</t>
  </si>
  <si>
    <t>SERVIÇO PÚBLICO DE IRRIGAÇÃO RURAL</t>
  </si>
  <si>
    <t>B4</t>
  </si>
  <si>
    <t>ILUMINAÇÃO PÚBLICA</t>
  </si>
  <si>
    <t>ILUMINAÇÃO PÚBLICA – B4A</t>
  </si>
  <si>
    <t>ILUMINAÇÃO PÚBLICA – B4B</t>
  </si>
  <si>
    <t>B</t>
  </si>
  <si>
    <t>GERAÇÃO</t>
  </si>
  <si>
    <t>TIPO 01</t>
  </si>
  <si>
    <t>TIPO 02</t>
  </si>
  <si>
    <t>TABELA  1 – TARIFAS DE APLICAÇÃO E BASE ECONÔMICA PARA O GRUPO A.</t>
  </si>
  <si>
    <t>UC</t>
  </si>
  <si>
    <t>BASE ECONÔMICA</t>
  </si>
  <si>
    <t>Reajuste</t>
  </si>
  <si>
    <t>Dia</t>
  </si>
  <si>
    <t>Mês</t>
  </si>
  <si>
    <t>Ano</t>
  </si>
  <si>
    <t xml:space="preserve">TE </t>
  </si>
  <si>
    <t>De</t>
  </si>
  <si>
    <t>07</t>
  </si>
  <si>
    <t>08</t>
  </si>
  <si>
    <t>BVD – R$/MWh</t>
  </si>
  <si>
    <t>BAM – R$/MWh</t>
  </si>
  <si>
    <t>BVM – R$/MWh</t>
  </si>
  <si>
    <t>Até</t>
  </si>
  <si>
    <t>06</t>
  </si>
  <si>
    <t>AZUL</t>
  </si>
  <si>
    <t>A1 (230 kV ou mais)</t>
  </si>
  <si>
    <t>AZUL APE</t>
  </si>
  <si>
    <t>A2 (88 a 138kV)</t>
  </si>
  <si>
    <t>DISTRIBUIÇÃO</t>
  </si>
  <si>
    <t>ELFSM</t>
  </si>
  <si>
    <t>UTE LASA</t>
  </si>
  <si>
    <t>UTE ALCON</t>
  </si>
  <si>
    <t>UTE SOL</t>
  </si>
  <si>
    <t>UHE MASCARENHAS - ENERGEST</t>
  </si>
  <si>
    <t>UHE SUICA</t>
  </si>
  <si>
    <t>PCH SAO JOAQUIM</t>
  </si>
  <si>
    <t>PCH SAO SIMAO</t>
  </si>
  <si>
    <t>PCH FRANCISCO GROSS</t>
  </si>
  <si>
    <t>PCH SAO PEDRO</t>
  </si>
  <si>
    <t>UTE LINHARES</t>
  </si>
  <si>
    <t>UTE ARCEL</t>
  </si>
  <si>
    <t>NOVO GERADOR</t>
  </si>
  <si>
    <t>A3 (69kV)</t>
  </si>
  <si>
    <t>A3a (30 a 44kV)</t>
  </si>
  <si>
    <t>VERDE APE</t>
  </si>
  <si>
    <t>A4 (2,3 a 25kV)</t>
  </si>
  <si>
    <t>COELBA</t>
  </si>
  <si>
    <t>TABELA 2 – TARIFAS DE APLICAÇÃO E BASE ECONÔMICA PARA O GRUPO B.</t>
  </si>
  <si>
    <t>CLASSE</t>
  </si>
  <si>
    <t>TARIFAS BASE ECONÔMICA</t>
  </si>
  <si>
    <r>
      <t>BAIXA RENDA</t>
    </r>
    <r>
      <rPr>
        <vertAlign val="superscript"/>
        <sz val="8"/>
        <color theme="1"/>
        <rFont val="Times New Roman"/>
        <family val="1"/>
      </rPr>
      <t>(1)</t>
    </r>
  </si>
  <si>
    <t>B4a – REDE DE DISTRIBUIÇÃO</t>
  </si>
  <si>
    <t>B4b – BULBO DE LÂMPADA</t>
  </si>
  <si>
    <t>31</t>
  </si>
  <si>
    <t>12</t>
  </si>
  <si>
    <t>UTE POVOACAO 1</t>
  </si>
  <si>
    <t>UTE BIANCOGRES</t>
  </si>
  <si>
    <t>TUSD FIO B (RTP 2025)</t>
  </si>
  <si>
    <t>TUSD FIO B (RTA 2026)</t>
  </si>
  <si>
    <t>RESIDENCIAL DESCONTO SOCIAL</t>
  </si>
  <si>
    <t>DESCONTO SOCIAL</t>
  </si>
  <si>
    <t>não está considerando a energia injetada</t>
  </si>
  <si>
    <t>falta mês11</t>
  </si>
  <si>
    <t>Massa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</si>
</sst>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0.00000"/>
    <numFmt numFmtId="166" formatCode="0.000000"/>
    <numFmt numFmtId="167" formatCode="0.0000000"/>
    <numFmt numFmtId="168" formatCode="_(* #,##0.0000_);_(* \(#,##0.0000\);_(* &quot;-&quot;??_);_(@_)"/>
    <numFmt numFmtId="169" formatCode="0.00000000"/>
    <numFmt numFmtId="170" formatCode="#,##0.00_ ;\-#,##0.00\ "/>
    <numFmt numFmtId="171" formatCode="#,##0.00_ ;[Red]\-#,##0.00\ "/>
    <numFmt numFmtId="172" formatCode="0.00_ ;[Red]\-0.00\ "/>
    <numFmt numFmtId="173" formatCode="0.0000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1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indexed="1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2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1E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31" fillId="0" borderId="0"/>
    <xf numFmtId="43" fontId="1" fillId="0" borderId="0" applyFont="0" applyFill="0" applyBorder="0" applyAlignment="0" applyProtection="0"/>
  </cellStyleXfs>
  <cellXfs count="285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7" fillId="0" borderId="1" xfId="3" applyNumberFormat="1" applyFont="1" applyBorder="1" applyAlignment="1">
      <alignment vertical="center"/>
    </xf>
    <xf numFmtId="166" fontId="7" fillId="5" borderId="1" xfId="3" applyNumberFormat="1" applyFont="1" applyFill="1" applyBorder="1" applyAlignment="1">
      <alignment vertical="center"/>
    </xf>
    <xf numFmtId="0" fontId="11" fillId="7" borderId="3" xfId="0" applyFont="1" applyFill="1" applyBorder="1" applyAlignment="1">
      <alignment horizontal="center" vertical="center"/>
    </xf>
    <xf numFmtId="165" fontId="12" fillId="7" borderId="6" xfId="0" applyNumberFormat="1" applyFont="1" applyFill="1" applyBorder="1" applyAlignment="1">
      <alignment horizontal="center" vertical="center"/>
    </xf>
    <xf numFmtId="10" fontId="0" fillId="2" borderId="0" xfId="2" applyNumberFormat="1" applyFont="1" applyFill="1" applyAlignment="1">
      <alignment vertical="center"/>
    </xf>
    <xf numFmtId="166" fontId="7" fillId="0" borderId="1" xfId="3" applyNumberFormat="1" applyFont="1" applyBorder="1" applyAlignment="1">
      <alignment horizontal="left" vertical="center"/>
    </xf>
    <xf numFmtId="166" fontId="13" fillId="5" borderId="7" xfId="3" applyNumberFormat="1" applyFont="1" applyFill="1" applyBorder="1" applyAlignment="1">
      <alignment vertical="center"/>
    </xf>
    <xf numFmtId="166" fontId="7" fillId="5" borderId="7" xfId="3" applyNumberFormat="1" applyFont="1" applyFill="1" applyBorder="1" applyAlignment="1">
      <alignment vertical="center"/>
    </xf>
    <xf numFmtId="165" fontId="12" fillId="8" borderId="8" xfId="0" applyNumberFormat="1" applyFont="1" applyFill="1" applyBorder="1" applyAlignment="1">
      <alignment horizontal="center" vertical="center"/>
    </xf>
    <xf numFmtId="166" fontId="7" fillId="0" borderId="0" xfId="3" applyNumberFormat="1" applyFont="1" applyAlignment="1">
      <alignment horizontal="center" vertical="center"/>
    </xf>
    <xf numFmtId="166" fontId="7" fillId="0" borderId="0" xfId="3" applyNumberFormat="1" applyFont="1" applyAlignment="1">
      <alignment vertical="center"/>
    </xf>
    <xf numFmtId="166" fontId="7" fillId="5" borderId="0" xfId="3" applyNumberFormat="1" applyFont="1" applyFill="1" applyAlignment="1">
      <alignment horizontal="center" vertical="center"/>
    </xf>
    <xf numFmtId="167" fontId="0" fillId="5" borderId="0" xfId="0" applyNumberFormat="1" applyFill="1" applyAlignment="1">
      <alignment vertical="center"/>
    </xf>
    <xf numFmtId="166" fontId="7" fillId="5" borderId="0" xfId="3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9" fillId="9" borderId="9" xfId="0" applyFont="1" applyFill="1" applyBorder="1" applyAlignment="1">
      <alignment horizontal="left" vertical="center"/>
    </xf>
    <xf numFmtId="0" fontId="9" fillId="9" borderId="10" xfId="0" applyFont="1" applyFill="1" applyBorder="1" applyAlignment="1">
      <alignment horizontal="center" vertical="center"/>
    </xf>
    <xf numFmtId="0" fontId="9" fillId="4" borderId="7" xfId="3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left" vertical="center"/>
    </xf>
    <xf numFmtId="0" fontId="13" fillId="10" borderId="10" xfId="0" applyFont="1" applyFill="1" applyBorder="1" applyAlignment="1">
      <alignment horizontal="center" vertical="center"/>
    </xf>
    <xf numFmtId="10" fontId="13" fillId="10" borderId="7" xfId="2" applyNumberFormat="1" applyFont="1" applyFill="1" applyBorder="1" applyAlignment="1">
      <alignment vertical="center"/>
    </xf>
    <xf numFmtId="166" fontId="13" fillId="10" borderId="7" xfId="3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12" xfId="0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0" fontId="7" fillId="0" borderId="7" xfId="2" applyNumberFormat="1" applyFont="1" applyFill="1" applyBorder="1" applyAlignment="1">
      <alignment vertical="center"/>
    </xf>
    <xf numFmtId="166" fontId="7" fillId="0" borderId="7" xfId="3" applyNumberFormat="1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17" fontId="6" fillId="3" borderId="15" xfId="0" quotePrefix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10" fontId="13" fillId="0" borderId="7" xfId="2" applyNumberFormat="1" applyFont="1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15" xfId="0" applyBorder="1"/>
    <xf numFmtId="0" fontId="13" fillId="10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14" fontId="14" fillId="1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4" fontId="16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10" fontId="18" fillId="12" borderId="0" xfId="2" applyNumberFormat="1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0" fillId="2" borderId="18" xfId="0" applyFill="1" applyBorder="1" applyAlignment="1">
      <alignment vertical="center"/>
    </xf>
    <xf numFmtId="1" fontId="0" fillId="5" borderId="18" xfId="0" applyNumberFormat="1" applyFill="1" applyBorder="1" applyAlignment="1">
      <alignment vertical="center"/>
    </xf>
    <xf numFmtId="0" fontId="3" fillId="0" borderId="0" xfId="0" applyFont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68" fontId="18" fillId="12" borderId="19" xfId="4" applyNumberFormat="1" applyFont="1" applyFill="1" applyBorder="1" applyAlignment="1">
      <alignment vertical="center"/>
    </xf>
    <xf numFmtId="169" fontId="0" fillId="2" borderId="19" xfId="0" applyNumberFormat="1" applyFill="1" applyBorder="1" applyAlignment="1">
      <alignment vertical="center"/>
    </xf>
    <xf numFmtId="164" fontId="0" fillId="2" borderId="19" xfId="0" applyNumberFormat="1" applyFill="1" applyBorder="1" applyAlignment="1">
      <alignment vertical="center"/>
    </xf>
    <xf numFmtId="9" fontId="19" fillId="5" borderId="19" xfId="0" applyNumberFormat="1" applyFont="1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10" fontId="18" fillId="12" borderId="19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vertical="center"/>
    </xf>
    <xf numFmtId="166" fontId="7" fillId="5" borderId="0" xfId="0" applyNumberFormat="1" applyFont="1" applyFill="1" applyAlignment="1">
      <alignment vertical="center"/>
    </xf>
    <xf numFmtId="164" fontId="0" fillId="5" borderId="0" xfId="0" applyNumberFormat="1" applyFill="1" applyAlignment="1">
      <alignment vertical="center"/>
    </xf>
    <xf numFmtId="168" fontId="0" fillId="2" borderId="19" xfId="0" applyNumberFormat="1" applyFill="1" applyBorder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9" fontId="0" fillId="2" borderId="0" xfId="0" applyNumberFormat="1" applyFill="1" applyAlignment="1">
      <alignment vertical="center"/>
    </xf>
    <xf numFmtId="9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164" fontId="18" fillId="12" borderId="19" xfId="4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68" fontId="0" fillId="2" borderId="3" xfId="0" applyNumberFormat="1" applyFill="1" applyBorder="1" applyAlignment="1">
      <alignment vertical="center"/>
    </xf>
    <xf numFmtId="164" fontId="3" fillId="13" borderId="3" xfId="0" applyNumberFormat="1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164" fontId="9" fillId="14" borderId="0" xfId="4" applyFont="1" applyFill="1" applyBorder="1" applyAlignment="1">
      <alignment vertical="center"/>
    </xf>
    <xf numFmtId="4" fontId="16" fillId="14" borderId="0" xfId="0" applyNumberFormat="1" applyFont="1" applyFill="1" applyAlignment="1">
      <alignment vertical="center"/>
    </xf>
    <xf numFmtId="169" fontId="16" fillId="14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15" borderId="13" xfId="0" applyFont="1" applyFill="1" applyBorder="1" applyAlignment="1">
      <alignment vertical="center"/>
    </xf>
    <xf numFmtId="0" fontId="3" fillId="15" borderId="0" xfId="0" applyFont="1" applyFill="1" applyAlignment="1">
      <alignment vertical="center"/>
    </xf>
    <xf numFmtId="0" fontId="3" fillId="15" borderId="0" xfId="0" applyFont="1" applyFill="1" applyAlignment="1">
      <alignment horizontal="center" vertical="center"/>
    </xf>
    <xf numFmtId="4" fontId="3" fillId="15" borderId="15" xfId="0" applyNumberFormat="1" applyFont="1" applyFill="1" applyBorder="1" applyAlignment="1">
      <alignment horizontal="right" vertical="center"/>
    </xf>
    <xf numFmtId="0" fontId="0" fillId="2" borderId="15" xfId="0" applyFill="1" applyBorder="1" applyAlignment="1">
      <alignment horizontal="right" vertical="center"/>
    </xf>
    <xf numFmtId="164" fontId="18" fillId="9" borderId="0" xfId="4" applyFont="1" applyFill="1" applyBorder="1" applyAlignment="1">
      <alignment vertical="center"/>
    </xf>
    <xf numFmtId="169" fontId="0" fillId="0" borderId="0" xfId="0" applyNumberFormat="1" applyAlignment="1">
      <alignment vertical="center"/>
    </xf>
    <xf numFmtId="4" fontId="0" fillId="2" borderId="15" xfId="0" applyNumberFormat="1" applyFill="1" applyBorder="1" applyAlignment="1">
      <alignment vertical="center"/>
    </xf>
    <xf numFmtId="170" fontId="0" fillId="0" borderId="0" xfId="0" applyNumberFormat="1" applyAlignment="1">
      <alignment vertical="center"/>
    </xf>
    <xf numFmtId="164" fontId="18" fillId="2" borderId="0" xfId="4" applyFont="1" applyFill="1" applyBorder="1" applyAlignment="1">
      <alignment vertical="center"/>
    </xf>
    <xf numFmtId="167" fontId="0" fillId="2" borderId="0" xfId="0" applyNumberFormat="1" applyFill="1" applyAlignment="1">
      <alignment vertical="center"/>
    </xf>
    <xf numFmtId="164" fontId="20" fillId="2" borderId="0" xfId="4" applyFont="1" applyFill="1" applyBorder="1" applyAlignment="1">
      <alignment vertical="center"/>
    </xf>
    <xf numFmtId="165" fontId="0" fillId="2" borderId="0" xfId="0" applyNumberFormat="1" applyFill="1" applyAlignment="1">
      <alignment vertical="center"/>
    </xf>
    <xf numFmtId="164" fontId="0" fillId="0" borderId="0" xfId="1" applyFont="1"/>
    <xf numFmtId="0" fontId="18" fillId="2" borderId="0" xfId="0" applyFont="1" applyFill="1" applyAlignment="1">
      <alignment vertical="center"/>
    </xf>
    <xf numFmtId="171" fontId="18" fillId="9" borderId="0" xfId="4" applyNumberFormat="1" applyFont="1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0" xfId="0" applyFill="1" applyAlignment="1">
      <alignment vertical="center"/>
    </xf>
    <xf numFmtId="171" fontId="18" fillId="3" borderId="0" xfId="4" applyNumberFormat="1" applyFont="1" applyFill="1" applyBorder="1" applyAlignment="1">
      <alignment vertical="center"/>
    </xf>
    <xf numFmtId="169" fontId="0" fillId="3" borderId="0" xfId="0" applyNumberFormat="1" applyFill="1" applyAlignment="1">
      <alignment vertical="center"/>
    </xf>
    <xf numFmtId="167" fontId="0" fillId="3" borderId="0" xfId="0" applyNumberFormat="1" applyFill="1" applyAlignment="1">
      <alignment vertical="center"/>
    </xf>
    <xf numFmtId="4" fontId="0" fillId="3" borderId="15" xfId="0" applyNumberForma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20" fillId="3" borderId="0" xfId="4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0" fontId="4" fillId="2" borderId="13" xfId="0" applyFont="1" applyFill="1" applyBorder="1" applyAlignment="1">
      <alignment vertical="center"/>
    </xf>
    <xf numFmtId="4" fontId="4" fillId="2" borderId="15" xfId="0" applyNumberFormat="1" applyFont="1" applyFill="1" applyBorder="1" applyAlignment="1">
      <alignment vertical="center"/>
    </xf>
    <xf numFmtId="4" fontId="0" fillId="5" borderId="8" xfId="0" applyNumberForma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" fontId="3" fillId="2" borderId="15" xfId="0" applyNumberFormat="1" applyFont="1" applyFill="1" applyBorder="1" applyAlignment="1">
      <alignment vertical="center"/>
    </xf>
    <xf numFmtId="4" fontId="3" fillId="2" borderId="0" xfId="0" applyNumberFormat="1" applyFont="1" applyFill="1" applyAlignment="1">
      <alignment vertical="center"/>
    </xf>
    <xf numFmtId="4" fontId="0" fillId="2" borderId="0" xfId="0" applyNumberFormat="1" applyFill="1" applyAlignment="1">
      <alignment vertical="center"/>
    </xf>
    <xf numFmtId="172" fontId="0" fillId="2" borderId="0" xfId="0" applyNumberFormat="1" applyFill="1" applyAlignment="1">
      <alignment vertical="center"/>
    </xf>
    <xf numFmtId="10" fontId="18" fillId="12" borderId="0" xfId="0" applyNumberFormat="1" applyFont="1" applyFill="1" applyAlignment="1">
      <alignment vertical="center"/>
    </xf>
    <xf numFmtId="171" fontId="0" fillId="2" borderId="15" xfId="0" applyNumberFormat="1" applyFill="1" applyBorder="1" applyAlignment="1">
      <alignment vertical="center"/>
    </xf>
    <xf numFmtId="10" fontId="18" fillId="0" borderId="0" xfId="0" applyNumberFormat="1" applyFont="1" applyAlignment="1">
      <alignment vertical="center"/>
    </xf>
    <xf numFmtId="172" fontId="0" fillId="5" borderId="0" xfId="0" applyNumberFormat="1" applyFill="1" applyAlignment="1">
      <alignment vertical="center"/>
    </xf>
    <xf numFmtId="9" fontId="19" fillId="5" borderId="0" xfId="0" applyNumberFormat="1" applyFont="1" applyFill="1" applyAlignment="1">
      <alignment vertical="center"/>
    </xf>
    <xf numFmtId="0" fontId="0" fillId="2" borderId="20" xfId="0" applyFill="1" applyBorder="1" applyAlignment="1">
      <alignment vertical="center"/>
    </xf>
    <xf numFmtId="172" fontId="0" fillId="2" borderId="16" xfId="0" applyNumberFormat="1" applyFill="1" applyBorder="1" applyAlignment="1">
      <alignment vertical="center"/>
    </xf>
    <xf numFmtId="9" fontId="0" fillId="2" borderId="16" xfId="0" applyNumberFormat="1" applyFill="1" applyBorder="1" applyAlignment="1">
      <alignment vertical="center"/>
    </xf>
    <xf numFmtId="172" fontId="0" fillId="2" borderId="17" xfId="0" applyNumberFormat="1" applyFill="1" applyBorder="1" applyAlignment="1">
      <alignment vertical="center"/>
    </xf>
    <xf numFmtId="164" fontId="21" fillId="12" borderId="0" xfId="4" applyFont="1" applyFill="1" applyBorder="1" applyAlignment="1">
      <alignment vertical="center"/>
    </xf>
    <xf numFmtId="164" fontId="14" fillId="12" borderId="0" xfId="4" applyFont="1" applyFill="1" applyBorder="1" applyAlignment="1">
      <alignment vertical="center"/>
    </xf>
    <xf numFmtId="4" fontId="7" fillId="12" borderId="0" xfId="0" applyNumberFormat="1" applyFont="1" applyFill="1" applyAlignment="1">
      <alignment vertical="center"/>
    </xf>
    <xf numFmtId="169" fontId="7" fillId="1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65" fontId="12" fillId="8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0" fontId="24" fillId="0" borderId="21" xfId="2" applyNumberFormat="1" applyFont="1" applyFill="1" applyBorder="1" applyAlignment="1">
      <alignment horizontal="right" vertical="center"/>
    </xf>
    <xf numFmtId="164" fontId="0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164" fontId="3" fillId="0" borderId="0" xfId="4" applyFont="1" applyFill="1" applyAlignment="1">
      <alignment vertical="center"/>
    </xf>
    <xf numFmtId="0" fontId="4" fillId="0" borderId="0" xfId="0" applyFont="1" applyAlignment="1">
      <alignment horizontal="left" vertical="center"/>
    </xf>
    <xf numFmtId="10" fontId="24" fillId="5" borderId="21" xfId="2" quotePrefix="1" applyNumberFormat="1" applyFont="1" applyFill="1" applyBorder="1" applyAlignment="1">
      <alignment horizontal="right" vertical="center"/>
    </xf>
    <xf numFmtId="164" fontId="3" fillId="5" borderId="0" xfId="4" applyFont="1" applyFill="1" applyAlignment="1">
      <alignment vertical="center"/>
    </xf>
    <xf numFmtId="10" fontId="24" fillId="4" borderId="21" xfId="2" quotePrefix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64" fontId="0" fillId="0" borderId="22" xfId="0" applyNumberFormat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6" fillId="0" borderId="23" xfId="0" applyFont="1" applyBorder="1" applyAlignment="1">
      <alignment horizontal="center" vertical="center"/>
    </xf>
    <xf numFmtId="0" fontId="26" fillId="17" borderId="23" xfId="0" applyFont="1" applyFill="1" applyBorder="1" applyAlignment="1">
      <alignment horizontal="center" vertical="center" readingOrder="1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9" fillId="0" borderId="23" xfId="0" applyFont="1" applyBorder="1" applyAlignment="1">
      <alignment horizontal="center" vertical="center"/>
    </xf>
    <xf numFmtId="40" fontId="29" fillId="0" borderId="23" xfId="0" applyNumberFormat="1" applyFont="1" applyBorder="1" applyAlignment="1">
      <alignment horizontal="center" vertical="center"/>
    </xf>
    <xf numFmtId="40" fontId="29" fillId="0" borderId="0" xfId="0" applyNumberFormat="1" applyFont="1" applyAlignment="1">
      <alignment vertical="center"/>
    </xf>
    <xf numFmtId="2" fontId="10" fillId="0" borderId="0" xfId="0" applyNumberFormat="1" applyFont="1"/>
    <xf numFmtId="40" fontId="29" fillId="0" borderId="0" xfId="0" applyNumberFormat="1" applyFont="1" applyAlignment="1">
      <alignment horizontal="left" vertical="center"/>
    </xf>
    <xf numFmtId="40" fontId="29" fillId="5" borderId="23" xfId="0" applyNumberFormat="1" applyFont="1" applyFill="1" applyBorder="1" applyAlignment="1">
      <alignment horizontal="center" vertical="center"/>
    </xf>
    <xf numFmtId="40" fontId="29" fillId="0" borderId="0" xfId="0" applyNumberFormat="1" applyFont="1" applyAlignment="1">
      <alignment horizontal="center" vertical="center"/>
    </xf>
    <xf numFmtId="0" fontId="29" fillId="18" borderId="26" xfId="0" applyFont="1" applyFill="1" applyBorder="1" applyAlignment="1">
      <alignment horizontal="center" vertical="center" wrapText="1"/>
    </xf>
    <xf numFmtId="0" fontId="32" fillId="19" borderId="23" xfId="5" applyFont="1" applyFill="1" applyBorder="1" applyAlignment="1">
      <alignment horizontal="center"/>
    </xf>
    <xf numFmtId="0" fontId="29" fillId="18" borderId="29" xfId="0" applyFont="1" applyFill="1" applyBorder="1" applyAlignment="1">
      <alignment horizontal="center" vertical="center" wrapText="1"/>
    </xf>
    <xf numFmtId="0" fontId="32" fillId="14" borderId="23" xfId="5" applyFont="1" applyFill="1" applyBorder="1" applyAlignment="1">
      <alignment horizontal="center"/>
    </xf>
    <xf numFmtId="49" fontId="33" fillId="20" borderId="23" xfId="5" applyNumberFormat="1" applyFont="1" applyFill="1" applyBorder="1" applyAlignment="1" applyProtection="1">
      <alignment horizontal="center"/>
      <protection locked="0"/>
    </xf>
    <xf numFmtId="0" fontId="33" fillId="20" borderId="23" xfId="5" applyFont="1" applyFill="1" applyBorder="1" applyAlignment="1" applyProtection="1">
      <alignment horizontal="center"/>
      <protection locked="0"/>
    </xf>
    <xf numFmtId="0" fontId="29" fillId="16" borderId="29" xfId="0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0" fontId="29" fillId="7" borderId="29" xfId="0" applyFont="1" applyFill="1" applyBorder="1" applyAlignment="1">
      <alignment horizontal="center" vertical="center" wrapText="1"/>
    </xf>
    <xf numFmtId="49" fontId="33" fillId="14" borderId="23" xfId="5" applyNumberFormat="1" applyFont="1" applyFill="1" applyBorder="1" applyAlignment="1" applyProtection="1">
      <alignment horizontal="center"/>
      <protection locked="0"/>
    </xf>
    <xf numFmtId="0" fontId="33" fillId="14" borderId="23" xfId="5" applyFont="1" applyFill="1" applyBorder="1" applyAlignment="1" applyProtection="1">
      <alignment horizontal="center"/>
      <protection locked="0"/>
    </xf>
    <xf numFmtId="0" fontId="10" fillId="18" borderId="0" xfId="0" applyFont="1" applyFill="1"/>
    <xf numFmtId="0" fontId="34" fillId="0" borderId="29" xfId="0" applyFont="1" applyBorder="1" applyAlignment="1">
      <alignment horizontal="center" vertical="center" wrapText="1"/>
    </xf>
    <xf numFmtId="43" fontId="35" fillId="20" borderId="23" xfId="6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36" fillId="0" borderId="31" xfId="0" applyNumberFormat="1" applyFont="1" applyBorder="1" applyAlignment="1">
      <alignment horizontal="center" vertical="center" wrapText="1"/>
    </xf>
    <xf numFmtId="43" fontId="35" fillId="21" borderId="23" xfId="6" applyFont="1" applyFill="1" applyBorder="1" applyAlignment="1">
      <alignment horizontal="center" vertical="center" wrapText="1"/>
    </xf>
    <xf numFmtId="43" fontId="35" fillId="0" borderId="23" xfId="6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 wrapText="1"/>
    </xf>
    <xf numFmtId="43" fontId="37" fillId="21" borderId="23" xfId="6" applyFont="1" applyFill="1" applyBorder="1" applyAlignment="1">
      <alignment horizontal="right" vertical="center" wrapText="1"/>
    </xf>
    <xf numFmtId="2" fontId="36" fillId="0" borderId="32" xfId="0" applyNumberFormat="1" applyFont="1" applyBorder="1" applyAlignment="1">
      <alignment horizontal="center" vertical="center" wrapText="1"/>
    </xf>
    <xf numFmtId="43" fontId="38" fillId="21" borderId="23" xfId="6" applyFont="1" applyFill="1" applyBorder="1"/>
    <xf numFmtId="43" fontId="29" fillId="21" borderId="23" xfId="6" applyFont="1" applyFill="1" applyBorder="1" applyAlignment="1">
      <alignment horizontal="right" vertical="center"/>
    </xf>
    <xf numFmtId="0" fontId="34" fillId="2" borderId="29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18" borderId="29" xfId="0" applyFont="1" applyFill="1" applyBorder="1" applyAlignment="1">
      <alignment horizontal="center" vertical="center" wrapText="1"/>
    </xf>
    <xf numFmtId="0" fontId="36" fillId="18" borderId="32" xfId="0" applyFont="1" applyFill="1" applyBorder="1" applyAlignment="1">
      <alignment horizontal="center" vertical="center" wrapText="1"/>
    </xf>
    <xf numFmtId="0" fontId="36" fillId="16" borderId="32" xfId="0" applyFont="1" applyFill="1" applyBorder="1" applyAlignment="1">
      <alignment horizontal="center" vertical="center" wrapText="1"/>
    </xf>
    <xf numFmtId="0" fontId="36" fillId="5" borderId="32" xfId="0" applyFont="1" applyFill="1" applyBorder="1" applyAlignment="1">
      <alignment horizontal="center" vertical="center" wrapText="1"/>
    </xf>
    <xf numFmtId="0" fontId="36" fillId="7" borderId="32" xfId="0" applyFont="1" applyFill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43" fontId="37" fillId="2" borderId="23" xfId="6" applyFont="1" applyFill="1" applyBorder="1" applyAlignment="1">
      <alignment horizontal="right" vertical="center" wrapText="1"/>
    </xf>
    <xf numFmtId="173" fontId="0" fillId="0" borderId="0" xfId="0" applyNumberFormat="1"/>
    <xf numFmtId="0" fontId="36" fillId="0" borderId="29" xfId="0" applyFont="1" applyBorder="1" applyAlignment="1">
      <alignment horizontal="center" vertical="center" wrapText="1"/>
    </xf>
    <xf numFmtId="43" fontId="35" fillId="2" borderId="23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2" applyFont="1" applyAlignment="1">
      <alignment vertical="center"/>
    </xf>
    <xf numFmtId="9" fontId="0" fillId="0" borderId="0" xfId="2" applyFont="1"/>
    <xf numFmtId="164" fontId="3" fillId="5" borderId="0" xfId="0" applyNumberFormat="1" applyFont="1" applyFill="1" applyAlignment="1">
      <alignment vertical="center"/>
    </xf>
    <xf numFmtId="0" fontId="36" fillId="0" borderId="32" xfId="0" applyFont="1" applyBorder="1" applyAlignment="1">
      <alignment horizontal="center" vertical="center" wrapText="1"/>
    </xf>
    <xf numFmtId="0" fontId="0" fillId="2" borderId="0" xfId="0" quotePrefix="1" applyFill="1" applyAlignment="1">
      <alignment vertical="center"/>
    </xf>
    <xf numFmtId="0" fontId="2" fillId="5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1" fillId="7" borderId="0" xfId="0" applyFont="1" applyFill="1" applyAlignment="1">
      <alignment vertical="center"/>
    </xf>
    <xf numFmtId="0" fontId="9" fillId="4" borderId="4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17" borderId="23" xfId="0" applyFont="1" applyFill="1" applyBorder="1" applyAlignment="1">
      <alignment horizontal="center" vertical="center"/>
    </xf>
    <xf numFmtId="0" fontId="36" fillId="0" borderId="27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6" fillId="18" borderId="27" xfId="0" applyFont="1" applyFill="1" applyBorder="1" applyAlignment="1">
      <alignment horizontal="center" vertical="center" textRotation="90" wrapText="1"/>
    </xf>
    <xf numFmtId="0" fontId="36" fillId="18" borderId="28" xfId="0" applyFont="1" applyFill="1" applyBorder="1" applyAlignment="1">
      <alignment horizontal="center" vertical="center" textRotation="90" wrapText="1"/>
    </xf>
    <xf numFmtId="0" fontId="36" fillId="18" borderId="30" xfId="0" applyFont="1" applyFill="1" applyBorder="1" applyAlignment="1">
      <alignment horizontal="center" vertical="center" textRotation="90" wrapText="1"/>
    </xf>
    <xf numFmtId="0" fontId="30" fillId="18" borderId="24" xfId="0" applyFont="1" applyFill="1" applyBorder="1" applyAlignment="1">
      <alignment horizontal="center" vertical="center"/>
    </xf>
    <xf numFmtId="0" fontId="30" fillId="18" borderId="25" xfId="0" applyFont="1" applyFill="1" applyBorder="1" applyAlignment="1">
      <alignment horizontal="center" vertical="center"/>
    </xf>
    <xf numFmtId="0" fontId="30" fillId="18" borderId="26" xfId="0" applyFont="1" applyFill="1" applyBorder="1" applyAlignment="1">
      <alignment horizontal="center" vertical="center"/>
    </xf>
    <xf numFmtId="0" fontId="29" fillId="18" borderId="27" xfId="0" applyFont="1" applyFill="1" applyBorder="1" applyAlignment="1">
      <alignment horizontal="center" vertical="center" wrapText="1"/>
    </xf>
    <xf numFmtId="0" fontId="29" fillId="18" borderId="28" xfId="0" applyFont="1" applyFill="1" applyBorder="1" applyAlignment="1">
      <alignment horizontal="center" vertical="center" wrapText="1"/>
    </xf>
    <xf numFmtId="0" fontId="29" fillId="18" borderId="30" xfId="0" applyFont="1" applyFill="1" applyBorder="1" applyAlignment="1">
      <alignment horizontal="center" vertical="center" wrapText="1"/>
    </xf>
    <xf numFmtId="0" fontId="29" fillId="18" borderId="24" xfId="0" applyFont="1" applyFill="1" applyBorder="1" applyAlignment="1">
      <alignment horizontal="center" vertical="center" wrapText="1"/>
    </xf>
    <xf numFmtId="0" fontId="29" fillId="18" borderId="25" xfId="0" applyFont="1" applyFill="1" applyBorder="1" applyAlignment="1">
      <alignment horizontal="center" vertical="center" wrapText="1"/>
    </xf>
    <xf numFmtId="0" fontId="29" fillId="18" borderId="26" xfId="0" applyFont="1" applyFill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6" fillId="18" borderId="24" xfId="0" applyFont="1" applyFill="1" applyBorder="1" applyAlignment="1">
      <alignment horizontal="center" vertical="center" wrapText="1"/>
    </xf>
    <xf numFmtId="0" fontId="36" fillId="18" borderId="25" xfId="0" applyFont="1" applyFill="1" applyBorder="1" applyAlignment="1">
      <alignment horizontal="center" vertical="center" wrapText="1"/>
    </xf>
    <xf numFmtId="0" fontId="36" fillId="18" borderId="26" xfId="0" applyFont="1" applyFill="1" applyBorder="1" applyAlignment="1">
      <alignment horizontal="center" vertical="center" wrapText="1"/>
    </xf>
    <xf numFmtId="0" fontId="36" fillId="18" borderId="27" xfId="0" applyFont="1" applyFill="1" applyBorder="1" applyAlignment="1">
      <alignment horizontal="center" vertical="center" wrapText="1"/>
    </xf>
    <xf numFmtId="0" fontId="36" fillId="18" borderId="28" xfId="0" applyFont="1" applyFill="1" applyBorder="1" applyAlignment="1">
      <alignment horizontal="center" vertical="center" wrapText="1"/>
    </xf>
    <xf numFmtId="0" fontId="36" fillId="18" borderId="30" xfId="0" applyFont="1" applyFill="1" applyBorder="1" applyAlignment="1">
      <alignment horizontal="center" vertical="center" wrapText="1"/>
    </xf>
    <xf numFmtId="0" fontId="39" fillId="18" borderId="24" xfId="0" applyFont="1" applyFill="1" applyBorder="1" applyAlignment="1">
      <alignment horizontal="center" vertical="center" wrapText="1"/>
    </xf>
    <xf numFmtId="0" fontId="39" fillId="18" borderId="25" xfId="0" applyFont="1" applyFill="1" applyBorder="1" applyAlignment="1">
      <alignment horizontal="center" vertical="center" wrapText="1"/>
    </xf>
    <xf numFmtId="0" fontId="39" fillId="18" borderId="26" xfId="0" applyFont="1" applyFill="1" applyBorder="1" applyAlignment="1">
      <alignment horizontal="center" vertical="center" wrapText="1"/>
    </xf>
    <xf numFmtId="0" fontId="34" fillId="2" borderId="27" xfId="0" applyFont="1" applyFill="1" applyBorder="1" applyAlignment="1">
      <alignment horizontal="center" vertical="center" wrapText="1"/>
    </xf>
    <xf numFmtId="0" fontId="34" fillId="2" borderId="28" xfId="0" applyFont="1" applyFill="1" applyBorder="1" applyAlignment="1">
      <alignment horizontal="center" vertical="center" wrapText="1"/>
    </xf>
    <xf numFmtId="0" fontId="34" fillId="2" borderId="30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3" xr:uid="{00AFCD3D-D2B0-4C30-9EC3-B284F7D7B582}"/>
    <cellStyle name="Normal 3" xfId="5" xr:uid="{A166D93F-D480-4D97-BAF2-FC8FF7093319}"/>
    <cellStyle name="Porcentagem" xfId="2" builtinId="5"/>
    <cellStyle name="Vírgula" xfId="1" builtinId="3"/>
    <cellStyle name="Vírgula 2" xfId="4" xr:uid="{CE9BC6EF-8E52-4574-B7B2-07DDF98CD45B}"/>
    <cellStyle name="Vírgula 3" xfId="6" xr:uid="{C6CF70CB-3CCD-4E20-B4E8-DBC786993913}"/>
  </cellStyles>
  <dxfs count="56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355839</xdr:colOff>
      <xdr:row>21</xdr:row>
      <xdr:rowOff>86264</xdr:rowOff>
    </xdr:from>
    <xdr:to>
      <xdr:col>22</xdr:col>
      <xdr:colOff>162068</xdr:colOff>
      <xdr:row>23</xdr:row>
      <xdr:rowOff>159613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181D9D-BA79-D869-CB49-FF8B6A3B9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7679" y="4507302"/>
          <a:ext cx="5909418" cy="439971"/>
        </a:xfrm>
        <a:prstGeom prst="rect">
          <a:avLst/>
        </a:prstGeom>
      </xdr:spPr>
    </xdr:pic>
    <xdr:clientData/>
  </xdr:twoCellAnchor>
  <xdr:twoCellAnchor editAs="oneCell">
    <xdr:from>
      <xdr:col>15</xdr:col>
      <xdr:colOff>1019175</xdr:colOff>
      <xdr:row>27</xdr:row>
      <xdr:rowOff>142875</xdr:rowOff>
    </xdr:from>
    <xdr:to>
      <xdr:col>24</xdr:col>
      <xdr:colOff>76781</xdr:colOff>
      <xdr:row>61</xdr:row>
      <xdr:rowOff>101495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C1BDBE-78FE-2A20-0BE4-B0F03975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2825" y="5610225"/>
          <a:ext cx="6706181" cy="611177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64</xdr:row>
      <xdr:rowOff>57150</xdr:rowOff>
    </xdr:from>
    <xdr:to>
      <xdr:col>28</xdr:col>
      <xdr:colOff>101789</xdr:colOff>
      <xdr:row>94</xdr:row>
      <xdr:rowOff>145258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EFB0E7-B611-1DF1-7AA5-B7088A80E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44750" y="12220575"/>
          <a:ext cx="9502964" cy="5517358"/>
        </a:xfrm>
        <a:prstGeom prst="rect">
          <a:avLst/>
        </a:prstGeom>
      </xdr:spPr>
    </xdr:pic>
    <xdr:clientData/>
  </xdr:twoCellAnchor>
  <xdr:twoCellAnchor editAs="oneCell">
    <xdr:from>
      <xdr:col>17</xdr:col>
      <xdr:colOff>561975</xdr:colOff>
      <xdr:row>11</xdr:row>
      <xdr:rowOff>0</xdr:rowOff>
    </xdr:from>
    <xdr:to>
      <xdr:col>29</xdr:col>
      <xdr:colOff>61731</xdr:colOff>
      <xdr:row>18</xdr:row>
      <xdr:rowOff>489752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29E1CD7-AEB0-5AD1-D527-12959DB2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35375" y="2047875"/>
          <a:ext cx="8900931" cy="1928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539151</xdr:colOff>
      <xdr:row>21</xdr:row>
      <xdr:rowOff>118613</xdr:rowOff>
    </xdr:from>
    <xdr:to>
      <xdr:col>22</xdr:col>
      <xdr:colOff>494190</xdr:colOff>
      <xdr:row>23</xdr:row>
      <xdr:rowOff>105693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953F13-00A0-85EB-5025-8E6D800F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9717" y="4539651"/>
          <a:ext cx="6004313" cy="35370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24</xdr:col>
      <xdr:colOff>593068</xdr:colOff>
      <xdr:row>63</xdr:row>
      <xdr:rowOff>38605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76D57D-F68B-22C6-07A3-6CF87AC9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87700" y="6191250"/>
          <a:ext cx="7079593" cy="582980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66</xdr:row>
      <xdr:rowOff>0</xdr:rowOff>
    </xdr:from>
    <xdr:to>
      <xdr:col>27</xdr:col>
      <xdr:colOff>261770</xdr:colOff>
      <xdr:row>95</xdr:row>
      <xdr:rowOff>70946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4084947-2C38-23C2-6E03-36695530F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7700" y="12525375"/>
          <a:ext cx="9053345" cy="53192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142875</xdr:rowOff>
    </xdr:from>
    <xdr:to>
      <xdr:col>31</xdr:col>
      <xdr:colOff>42688</xdr:colOff>
      <xdr:row>19</xdr:row>
      <xdr:rowOff>175434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E393F22-5581-496A-965C-33426B52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59425" y="2190750"/>
          <a:ext cx="8977138" cy="20042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833887</xdr:colOff>
      <xdr:row>22</xdr:row>
      <xdr:rowOff>28756</xdr:rowOff>
    </xdr:from>
    <xdr:to>
      <xdr:col>22</xdr:col>
      <xdr:colOff>440429</xdr:colOff>
      <xdr:row>24</xdr:row>
      <xdr:rowOff>104500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5975C6-C2B1-FDCB-81D2-1C91ABE8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0868" y="4610340"/>
          <a:ext cx="5918044" cy="439971"/>
        </a:xfrm>
        <a:prstGeom prst="rect">
          <a:avLst/>
        </a:prstGeom>
      </xdr:spPr>
    </xdr:pic>
    <xdr:clientData/>
  </xdr:twoCellAnchor>
  <xdr:twoCellAnchor editAs="oneCell">
    <xdr:from>
      <xdr:col>15</xdr:col>
      <xdr:colOff>592667</xdr:colOff>
      <xdr:row>25</xdr:row>
      <xdr:rowOff>93134</xdr:rowOff>
    </xdr:from>
    <xdr:to>
      <xdr:col>24</xdr:col>
      <xdr:colOff>324931</xdr:colOff>
      <xdr:row>60</xdr:row>
      <xdr:rowOff>5638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3E118A-B48F-6D36-4738-2B9B51297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38400" y="5308601"/>
          <a:ext cx="7597798" cy="643183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</xdr:row>
      <xdr:rowOff>0</xdr:rowOff>
    </xdr:from>
    <xdr:to>
      <xdr:col>25</xdr:col>
      <xdr:colOff>572309</xdr:colOff>
      <xdr:row>91</xdr:row>
      <xdr:rowOff>115624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C3EB6B4-B335-05E8-8D11-91A5A06CA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5733" y="12107333"/>
          <a:ext cx="9335309" cy="5517358"/>
        </a:xfrm>
        <a:prstGeom prst="rect">
          <a:avLst/>
        </a:prstGeom>
      </xdr:spPr>
    </xdr:pic>
    <xdr:clientData/>
  </xdr:twoCellAnchor>
  <xdr:twoCellAnchor editAs="oneCell">
    <xdr:from>
      <xdr:col>19</xdr:col>
      <xdr:colOff>287866</xdr:colOff>
      <xdr:row>11</xdr:row>
      <xdr:rowOff>177800</xdr:rowOff>
    </xdr:from>
    <xdr:to>
      <xdr:col>31</xdr:col>
      <xdr:colOff>249690</xdr:colOff>
      <xdr:row>19</xdr:row>
      <xdr:rowOff>1004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0F41280-EDBC-0D74-4985-41F4F5F3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84333" y="2277533"/>
          <a:ext cx="8885690" cy="18213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787400</xdr:colOff>
      <xdr:row>29</xdr:row>
      <xdr:rowOff>59267</xdr:rowOff>
    </xdr:from>
    <xdr:to>
      <xdr:col>23</xdr:col>
      <xdr:colOff>705885</xdr:colOff>
      <xdr:row>62</xdr:row>
      <xdr:rowOff>115685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F5FD11-26FF-A605-EB8E-78E14F4D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3133" y="6028267"/>
          <a:ext cx="7064352" cy="620321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65</xdr:row>
      <xdr:rowOff>0</xdr:rowOff>
    </xdr:from>
    <xdr:to>
      <xdr:col>27</xdr:col>
      <xdr:colOff>127792</xdr:colOff>
      <xdr:row>92</xdr:row>
      <xdr:rowOff>46160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0C570F-C091-662A-36C3-B62519C06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07267" y="12674600"/>
          <a:ext cx="9144792" cy="5075360"/>
        </a:xfrm>
        <a:prstGeom prst="rect">
          <a:avLst/>
        </a:prstGeom>
      </xdr:spPr>
    </xdr:pic>
    <xdr:clientData/>
  </xdr:twoCellAnchor>
  <xdr:twoCellAnchor editAs="oneCell">
    <xdr:from>
      <xdr:col>16</xdr:col>
      <xdr:colOff>389466</xdr:colOff>
      <xdr:row>11</xdr:row>
      <xdr:rowOff>25400</xdr:rowOff>
    </xdr:from>
    <xdr:to>
      <xdr:col>27</xdr:col>
      <xdr:colOff>220053</xdr:colOff>
      <xdr:row>18</xdr:row>
      <xdr:rowOff>435348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C5F9052-F712-33D3-C766-DD106BA2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6733" y="2125133"/>
          <a:ext cx="8847587" cy="18746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A\EDP_ES_RTA_2024_Modelo_Grupo%20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A/EDP_ES_RTA_2024_Modelo_Grupo%20A.xlsx?EF1E29F3" TargetMode="External"/><Relationship Id="rId1" Type="http://schemas.openxmlformats.org/officeDocument/2006/relationships/externalLinkPath" Target="file:///\\EF1E29F3\EDP_ES_RTA_2024_Modelo_Grupo%20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poncloud-my.sharepoint.com/personal/e711156_edp_com_br/Documents/Documentos/Ivan%20Cavalcante/Faturamento/Contas-Teste/EP2/NF3e%20Grupo%20B/Para%20uso%20no%20Di&#225;rio/EDP_ES_RTA_2024_Modelo_Grupo%20B_MMGD_GD1_L00%20-%20202___.xlsx" TargetMode="External"/><Relationship Id="rId1" Type="http://schemas.openxmlformats.org/officeDocument/2006/relationships/externalLinkPath" Target="file:///\\fscoc10\CGC\personal\e711156_edp_com_br\Documents\Documentos\Ivan%20Cavalcante\Faturamento\Contas-Teste\Di&#225;rio\2025\05%20-%20Maio\Lote%2042\EDP_ES_RTA_2024_Modelo_Grupo%20B_MMGD_GD1_L00%20-%20202___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B\EDP%20ES_Modelo_NFe_Grupo%20B.xlsx" TargetMode="External"/><Relationship Id="rId1" Type="http://schemas.openxmlformats.org/officeDocument/2006/relationships/externalLinkPath" Target="file:///\\fscoc10\CGC\personal\e711156_edp_com_br\Documents\Documentos\Ivan%20Cavalcante\Faturamento\Contas-Teste\Di&#225;rio\2025\05%20-%20Maio\Lote%2042\EDP%20ES_Modelo_NFe_Grupo%20B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.escelsa.br\CGC\CGFA\Faturamento\Gest&#227;o%20Faturamento\15%20-%20Relat&#243;rio%20Gerencial%20-%20CGC\Arquivos%20PRT\Processos%20Tarifarios\2026_RTA_EDP_ES\Planilhas%20de%20Valida&#231;&#227;o\E4Q\Grupo%20B\EDP_ES_RTA_2026_Modelo_Grupo%20B_MMGD_GD1_GERAR.xlsx" TargetMode="External"/><Relationship Id="rId2" Type="http://schemas.microsoft.com/office/2019/04/relationships/externalLinkLongPath" Target="file:///\\fscoc10.escelsa.br\CGC\CGFA\Faturamento\Gest&#227;o%20Faturamento\15%20-%20Relat&#243;rio%20Gerencial%20-%20CGC\Arquivos%20PRT\Processos%20Tarifarios\2026_RTA_EDP_ES\Planilhas%20de%20Valida&#231;&#227;o\E4Q\Grupo%20B\EDP_ES_RTA_2026_Modelo_Grupo%20B_MMGD_GD1_GERAR.xlsx?B19B0BB8" TargetMode="External"/><Relationship Id="rId1" Type="http://schemas.openxmlformats.org/officeDocument/2006/relationships/externalLinkPath" Target="file:///\\B19B0BB8\EDP_ES_RTA_2026_Modelo_Grupo%20B_MMGD_GD1_GER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NDEIRA"/>
      <sheetName val="Grupo A_FIO B"/>
      <sheetName val="TABELA DE TARIFAS ANTIGAS"/>
      <sheetName val="TABELA DE TARIFAS NOVAS"/>
      <sheetName val="A2 Azul"/>
      <sheetName val="A2 Azul (LIVRE) OK"/>
      <sheetName val="A3 Azul"/>
      <sheetName val="A3 Azul (LIVRE)"/>
      <sheetName val="A3a Azul"/>
      <sheetName val="A3a Azul (LIVRE) OK"/>
      <sheetName val="A3a Azul (AES)"/>
      <sheetName val="A3a Verde"/>
      <sheetName val="A3a Verde (LIVRE) OK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5">
          <cell r="D5">
            <v>1.8849999999999999E-2</v>
          </cell>
        </row>
        <row r="6">
          <cell r="D6">
            <v>4.4630000000000003E-2</v>
          </cell>
        </row>
        <row r="7">
          <cell r="D7">
            <v>7.8770000000000007E-2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 B1 (GD I)"/>
      <sheetName val="Fatura B1 (GD)"/>
      <sheetName val="Fatura B3 (GD)"/>
      <sheetName val="Fatura B2 (GD)"/>
      <sheetName val="Fatura B2 IRRIG (GD)"/>
      <sheetName val="Fatura B1 BRe (GD) OK"/>
      <sheetName val="B1 Res (GD) Branca"/>
      <sheetName val="B2 GD Branca"/>
      <sheetName val="B3 GD Branca"/>
      <sheetName val="TABELA DE TARIFAS NOVAS"/>
      <sheetName val="V4 MMGD GDII"/>
      <sheetName val="A4 MMGD GDII"/>
      <sheetName val="Fatura B1 (GD II) (Baixa Re (2)"/>
    </sheetNames>
    <sheetDataSet>
      <sheetData sheetId="0" refreshError="1"/>
      <sheetData sheetId="1">
        <row r="2">
          <cell r="F2">
            <v>45511</v>
          </cell>
        </row>
        <row r="4">
          <cell r="F4" t="str">
            <v>TARIFA NOVA - REH xxxx/2024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 B"/>
      <sheetName val="TABELA DE TARIFAS ANTIGAS"/>
      <sheetName val="TABELA DE TARIFAS NOVAS"/>
      <sheetName val="Fatura B1 (Res) OK"/>
      <sheetName val="Fatura B2 (Rur) OK"/>
      <sheetName val="Fatura B2 (Irr) OK"/>
      <sheetName val="Fatura B3 OK"/>
      <sheetName val="Fatura B3 (AES)"/>
      <sheetName val="Fatura B3 (CP)"/>
      <sheetName val="Fatura B4a"/>
      <sheetName val="Baixa Renda"/>
      <sheetName val="Baixa Renda 1 OK"/>
      <sheetName val="Baixa Renda (INDIG) 1"/>
      <sheetName val="Baixa Renda (IND)"/>
    </sheetNames>
    <sheetDataSet>
      <sheetData sheetId="0">
        <row r="12">
          <cell r="H12">
            <v>176.52</v>
          </cell>
        </row>
      </sheetData>
      <sheetData sheetId="1">
        <row r="71">
          <cell r="G71">
            <v>392.53</v>
          </cell>
        </row>
      </sheetData>
      <sheetData sheetId="2">
        <row r="74">
          <cell r="G74">
            <v>289.35000000000002</v>
          </cell>
        </row>
      </sheetData>
      <sheetData sheetId="3">
        <row r="4">
          <cell r="N4">
            <v>1.8849999999999999E-2</v>
          </cell>
        </row>
        <row r="5">
          <cell r="N5">
            <v>4.4630000000000003E-2</v>
          </cell>
        </row>
        <row r="6">
          <cell r="N6">
            <v>7.8770000000000007E-2</v>
          </cell>
        </row>
      </sheetData>
      <sheetData sheetId="4">
        <row r="6">
          <cell r="R6">
            <v>0.17652000000000001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IO B"/>
      <sheetName val="TABELA DE TARIFAS ANTIGAS"/>
      <sheetName val="TABELA DE TARIFAS NOVAS"/>
      <sheetName val="Fatura B1 (GD) ok"/>
      <sheetName val="Fatura B2 (GD)"/>
      <sheetName val="Fatura B2 (GD II) OK"/>
      <sheetName val="Fatura B3 (GD)"/>
    </sheetNames>
    <sheetDataSet>
      <sheetData sheetId="0">
        <row r="25">
          <cell r="H25">
            <v>203.83072193179135</v>
          </cell>
          <cell r="K25">
            <v>209.151592195582</v>
          </cell>
        </row>
      </sheetData>
      <sheetData sheetId="1">
        <row r="77">
          <cell r="G77">
            <v>468.63</v>
          </cell>
          <cell r="H77">
            <v>320.68</v>
          </cell>
        </row>
      </sheetData>
      <sheetData sheetId="2">
        <row r="79">
          <cell r="G79">
            <v>506.32</v>
          </cell>
          <cell r="H79">
            <v>337.39</v>
          </cell>
        </row>
      </sheetData>
      <sheetData sheetId="3">
        <row r="2">
          <cell r="F2">
            <v>45968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FA07-2B7C-4167-96C4-A29BF621E389}">
  <dimension ref="B2:T45"/>
  <sheetViews>
    <sheetView workbookViewId="0">
      <selection activeCell="E52" sqref="E52"/>
    </sheetView>
  </sheetViews>
  <sheetFormatPr defaultColWidth="9.109375" defaultRowHeight="10.8" x14ac:dyDescent="0.25"/>
  <cols>
    <col min="1" max="1" width="9.109375" style="181"/>
    <col min="2" max="2" width="11.109375" style="180" bestFit="1" customWidth="1"/>
    <col min="3" max="3" width="13.6640625" style="180" bestFit="1" customWidth="1"/>
    <col min="4" max="4" width="16.6640625" style="180" bestFit="1" customWidth="1"/>
    <col min="5" max="5" width="31.6640625" style="180" bestFit="1" customWidth="1"/>
    <col min="6" max="6" width="7" style="180" bestFit="1" customWidth="1"/>
    <col min="7" max="10" width="9.109375" style="180"/>
    <col min="11" max="11" width="13.109375" style="180" customWidth="1"/>
    <col min="12" max="13" width="9.109375" style="181"/>
    <col min="14" max="14" width="25.109375" style="181" bestFit="1" customWidth="1"/>
    <col min="15" max="16" width="9.109375" style="181"/>
    <col min="17" max="17" width="9.44140625" style="181" bestFit="1" customWidth="1"/>
    <col min="18" max="18" width="9.109375" style="181"/>
    <col min="19" max="19" width="9.44140625" style="181" bestFit="1" customWidth="1"/>
    <col min="20" max="16384" width="9.109375" style="181"/>
  </cols>
  <sheetData>
    <row r="2" spans="2:20" x14ac:dyDescent="0.25">
      <c r="B2" s="179" t="s">
        <v>6</v>
      </c>
    </row>
    <row r="3" spans="2:20" x14ac:dyDescent="0.25">
      <c r="K3" s="182"/>
      <c r="L3" s="183"/>
      <c r="M3" s="183"/>
      <c r="N3" s="183"/>
      <c r="O3" s="183"/>
      <c r="P3" s="183"/>
      <c r="Q3" s="183"/>
      <c r="R3" s="183"/>
      <c r="S3" s="183"/>
      <c r="T3" s="183"/>
    </row>
    <row r="4" spans="2:20" x14ac:dyDescent="0.25">
      <c r="B4" s="253" t="s">
        <v>107</v>
      </c>
      <c r="C4" s="253" t="s">
        <v>108</v>
      </c>
      <c r="D4" s="253" t="s">
        <v>109</v>
      </c>
      <c r="E4" s="253" t="s">
        <v>110</v>
      </c>
      <c r="F4" s="253" t="s">
        <v>111</v>
      </c>
      <c r="G4" s="253" t="s">
        <v>112</v>
      </c>
      <c r="H4" s="253"/>
      <c r="I4" s="253"/>
      <c r="J4" s="253"/>
      <c r="K4" s="253"/>
      <c r="L4" s="183"/>
      <c r="M4" s="183"/>
      <c r="N4" s="183"/>
      <c r="O4" s="183"/>
      <c r="P4" s="183"/>
      <c r="Q4" s="183"/>
      <c r="R4" s="183"/>
      <c r="S4" s="183"/>
      <c r="T4" s="183"/>
    </row>
    <row r="5" spans="2:20" x14ac:dyDescent="0.25">
      <c r="B5" s="253"/>
      <c r="C5" s="253"/>
      <c r="D5" s="253"/>
      <c r="E5" s="253"/>
      <c r="F5" s="253"/>
      <c r="G5" s="185" t="s">
        <v>185</v>
      </c>
      <c r="H5" s="185"/>
      <c r="I5" s="181"/>
      <c r="J5" s="254" t="s">
        <v>186</v>
      </c>
      <c r="K5" s="254"/>
      <c r="L5" s="183"/>
      <c r="M5" s="183"/>
      <c r="N5" s="183"/>
      <c r="O5" s="183"/>
      <c r="P5" s="183"/>
      <c r="Q5" s="251"/>
      <c r="R5" s="252"/>
      <c r="S5" s="183"/>
      <c r="T5" s="187"/>
    </row>
    <row r="6" spans="2:20" x14ac:dyDescent="0.25">
      <c r="B6" s="253"/>
      <c r="C6" s="253"/>
      <c r="D6" s="253"/>
      <c r="E6" s="253"/>
      <c r="F6" s="253"/>
      <c r="G6" s="184" t="s">
        <v>113</v>
      </c>
      <c r="H6" s="184" t="s">
        <v>114</v>
      </c>
      <c r="I6" s="181"/>
      <c r="J6" s="184" t="s">
        <v>113</v>
      </c>
      <c r="K6" s="184" t="s">
        <v>114</v>
      </c>
      <c r="L6" s="183"/>
      <c r="M6" s="183"/>
      <c r="N6" s="183"/>
      <c r="O6" s="183"/>
      <c r="P6" s="183"/>
      <c r="Q6" s="186"/>
      <c r="R6" s="186"/>
      <c r="S6" s="186"/>
      <c r="T6" s="186"/>
    </row>
    <row r="7" spans="2:20" x14ac:dyDescent="0.25">
      <c r="B7" s="188" t="s">
        <v>18</v>
      </c>
      <c r="C7" s="188" t="s">
        <v>115</v>
      </c>
      <c r="D7" s="188" t="s">
        <v>116</v>
      </c>
      <c r="E7" s="188" t="s">
        <v>116</v>
      </c>
      <c r="F7" s="188" t="s">
        <v>117</v>
      </c>
      <c r="G7" s="189">
        <v>0</v>
      </c>
      <c r="H7" s="189">
        <v>591.10909360219489</v>
      </c>
      <c r="I7" s="181"/>
      <c r="J7" s="189">
        <v>0</v>
      </c>
      <c r="K7" s="189">
        <v>606.53961736718702</v>
      </c>
      <c r="L7" s="190"/>
      <c r="M7" s="190"/>
      <c r="N7" s="190"/>
      <c r="O7" s="190"/>
      <c r="P7" s="190"/>
      <c r="Q7" s="191"/>
      <c r="S7" s="191"/>
    </row>
    <row r="8" spans="2:20" x14ac:dyDescent="0.25">
      <c r="B8" s="188" t="s">
        <v>18</v>
      </c>
      <c r="C8" s="188" t="s">
        <v>115</v>
      </c>
      <c r="D8" s="188" t="s">
        <v>116</v>
      </c>
      <c r="E8" s="188" t="s">
        <v>116</v>
      </c>
      <c r="F8" s="188" t="s">
        <v>118</v>
      </c>
      <c r="G8" s="189">
        <v>0</v>
      </c>
      <c r="H8" s="189">
        <v>354.66549637373629</v>
      </c>
      <c r="I8" s="181"/>
      <c r="J8" s="189">
        <v>0</v>
      </c>
      <c r="K8" s="189">
        <v>363.923811682451</v>
      </c>
      <c r="L8" s="190"/>
      <c r="M8" s="190"/>
      <c r="N8" s="190"/>
      <c r="O8" s="190"/>
      <c r="P8" s="190"/>
      <c r="Q8" s="191"/>
      <c r="S8" s="191"/>
    </row>
    <row r="9" spans="2:20" x14ac:dyDescent="0.25">
      <c r="B9" s="188" t="s">
        <v>18</v>
      </c>
      <c r="C9" s="188" t="s">
        <v>115</v>
      </c>
      <c r="D9" s="188" t="s">
        <v>116</v>
      </c>
      <c r="E9" s="188" t="s">
        <v>116</v>
      </c>
      <c r="F9" s="188" t="s">
        <v>119</v>
      </c>
      <c r="G9" s="189">
        <v>0</v>
      </c>
      <c r="H9" s="189">
        <v>118.2217986142293</v>
      </c>
      <c r="I9" s="181"/>
      <c r="J9" s="189">
        <v>0</v>
      </c>
      <c r="K9" s="189">
        <v>121.30790284236799</v>
      </c>
      <c r="L9" s="190"/>
      <c r="M9" s="190"/>
      <c r="N9" s="190"/>
      <c r="O9" s="190"/>
      <c r="P9" s="190"/>
      <c r="R9" s="191"/>
      <c r="T9" s="191"/>
    </row>
    <row r="10" spans="2:20" x14ac:dyDescent="0.25">
      <c r="B10" s="188" t="s">
        <v>18</v>
      </c>
      <c r="C10" s="188" t="s">
        <v>120</v>
      </c>
      <c r="D10" s="188" t="s">
        <v>116</v>
      </c>
      <c r="E10" s="188" t="s">
        <v>116</v>
      </c>
      <c r="F10" s="188" t="s">
        <v>121</v>
      </c>
      <c r="G10" s="189">
        <v>0</v>
      </c>
      <c r="H10" s="189">
        <v>203.83072193179135</v>
      </c>
      <c r="I10" s="181"/>
      <c r="J10" s="189">
        <v>0</v>
      </c>
      <c r="K10" s="189">
        <v>209.151592195582</v>
      </c>
      <c r="L10" s="190"/>
      <c r="M10" s="190"/>
      <c r="N10" s="190"/>
      <c r="O10" s="190"/>
      <c r="P10" s="190"/>
      <c r="R10" s="191"/>
      <c r="T10" s="191"/>
    </row>
    <row r="11" spans="2:20" x14ac:dyDescent="0.25">
      <c r="B11" s="188" t="s">
        <v>18</v>
      </c>
      <c r="C11" s="188" t="s">
        <v>122</v>
      </c>
      <c r="D11" s="188" t="s">
        <v>116</v>
      </c>
      <c r="E11" s="188" t="s">
        <v>116</v>
      </c>
      <c r="F11" s="188" t="s">
        <v>121</v>
      </c>
      <c r="G11" s="189">
        <v>0</v>
      </c>
      <c r="H11" s="189">
        <v>203.83072193179135</v>
      </c>
      <c r="I11" s="181"/>
      <c r="J11" s="189">
        <v>0</v>
      </c>
      <c r="K11" s="189">
        <v>209.151592195582</v>
      </c>
      <c r="L11" s="190"/>
      <c r="M11" s="190"/>
      <c r="N11" s="190"/>
      <c r="O11" s="190"/>
      <c r="P11" s="190"/>
      <c r="R11" s="191"/>
      <c r="T11" s="191"/>
    </row>
    <row r="12" spans="2:20" x14ac:dyDescent="0.25">
      <c r="B12" s="188" t="s">
        <v>18</v>
      </c>
      <c r="C12" s="188" t="s">
        <v>120</v>
      </c>
      <c r="D12" s="188" t="s">
        <v>116</v>
      </c>
      <c r="E12" s="188" t="s">
        <v>123</v>
      </c>
      <c r="F12" s="188" t="s">
        <v>121</v>
      </c>
      <c r="G12" s="189">
        <v>0</v>
      </c>
      <c r="H12" s="189">
        <v>203.83072193179135</v>
      </c>
      <c r="I12" s="181"/>
      <c r="J12" s="189">
        <v>0</v>
      </c>
      <c r="K12" s="189">
        <v>209.151592195582</v>
      </c>
      <c r="L12" s="190"/>
      <c r="M12" s="190"/>
      <c r="N12" s="192"/>
      <c r="O12" s="190"/>
      <c r="P12" s="190"/>
      <c r="R12" s="191"/>
      <c r="T12" s="191"/>
    </row>
    <row r="13" spans="2:20" x14ac:dyDescent="0.25">
      <c r="B13" s="188" t="s">
        <v>18</v>
      </c>
      <c r="C13" s="188" t="s">
        <v>122</v>
      </c>
      <c r="D13" s="188" t="s">
        <v>116</v>
      </c>
      <c r="E13" s="188" t="s">
        <v>123</v>
      </c>
      <c r="F13" s="188" t="s">
        <v>121</v>
      </c>
      <c r="G13" s="189">
        <v>0</v>
      </c>
      <c r="H13" s="189">
        <v>203.83072193179135</v>
      </c>
      <c r="I13" s="181"/>
      <c r="J13" s="189">
        <v>0</v>
      </c>
      <c r="K13" s="189">
        <v>209.151592195582</v>
      </c>
      <c r="L13" s="190"/>
      <c r="M13" s="190"/>
      <c r="N13" s="192"/>
      <c r="O13" s="190"/>
      <c r="P13" s="190"/>
      <c r="R13" s="191"/>
      <c r="T13" s="191"/>
    </row>
    <row r="14" spans="2:20" x14ac:dyDescent="0.25">
      <c r="B14" s="188" t="s">
        <v>18</v>
      </c>
      <c r="C14" s="188" t="s">
        <v>120</v>
      </c>
      <c r="D14" s="188" t="s">
        <v>116</v>
      </c>
      <c r="E14" s="188" t="s">
        <v>187</v>
      </c>
      <c r="F14" s="188" t="s">
        <v>121</v>
      </c>
      <c r="G14" s="189">
        <v>0</v>
      </c>
      <c r="H14" s="189">
        <v>203.83072193179135</v>
      </c>
      <c r="I14" s="181"/>
      <c r="J14" s="189">
        <v>0</v>
      </c>
      <c r="K14" s="189">
        <v>209.151592195582</v>
      </c>
      <c r="L14" s="190"/>
      <c r="M14" s="190"/>
      <c r="N14" s="192"/>
      <c r="O14" s="190"/>
      <c r="P14" s="190"/>
      <c r="R14" s="191"/>
      <c r="T14" s="191"/>
    </row>
    <row r="15" spans="2:20" x14ac:dyDescent="0.25">
      <c r="B15" s="188" t="s">
        <v>18</v>
      </c>
      <c r="C15" s="188" t="s">
        <v>122</v>
      </c>
      <c r="D15" s="188" t="s">
        <v>116</v>
      </c>
      <c r="E15" s="188" t="s">
        <v>187</v>
      </c>
      <c r="F15" s="188" t="s">
        <v>121</v>
      </c>
      <c r="G15" s="189">
        <v>0</v>
      </c>
      <c r="H15" s="189">
        <v>203.83072193179135</v>
      </c>
      <c r="I15" s="181"/>
      <c r="J15" s="189">
        <v>0</v>
      </c>
      <c r="K15" s="189">
        <v>209.151592195582</v>
      </c>
      <c r="L15" s="190"/>
      <c r="M15" s="190"/>
      <c r="N15" s="192"/>
      <c r="O15" s="190"/>
      <c r="P15" s="190"/>
      <c r="R15" s="191"/>
      <c r="T15" s="191"/>
    </row>
    <row r="16" spans="2:20" x14ac:dyDescent="0.25">
      <c r="B16" s="188" t="s">
        <v>98</v>
      </c>
      <c r="C16" s="188" t="s">
        <v>115</v>
      </c>
      <c r="D16" s="188" t="s">
        <v>124</v>
      </c>
      <c r="E16" s="188" t="s">
        <v>125</v>
      </c>
      <c r="F16" s="188" t="s">
        <v>117</v>
      </c>
      <c r="G16" s="189">
        <v>0</v>
      </c>
      <c r="H16" s="189">
        <v>693.02445456809062</v>
      </c>
      <c r="I16" s="181"/>
      <c r="J16" s="189">
        <v>0</v>
      </c>
      <c r="K16" s="189">
        <v>711.11541346497802</v>
      </c>
      <c r="L16" s="190"/>
      <c r="M16" s="190"/>
      <c r="N16" s="192"/>
      <c r="O16" s="190"/>
      <c r="P16" s="190"/>
      <c r="R16" s="191"/>
      <c r="T16" s="191"/>
    </row>
    <row r="17" spans="2:20" x14ac:dyDescent="0.25">
      <c r="B17" s="188" t="s">
        <v>98</v>
      </c>
      <c r="C17" s="188" t="s">
        <v>115</v>
      </c>
      <c r="D17" s="188" t="s">
        <v>124</v>
      </c>
      <c r="E17" s="188" t="s">
        <v>125</v>
      </c>
      <c r="F17" s="188" t="s">
        <v>118</v>
      </c>
      <c r="G17" s="189">
        <v>0</v>
      </c>
      <c r="H17" s="189">
        <v>415.81471295327373</v>
      </c>
      <c r="I17" s="181"/>
      <c r="J17" s="189">
        <v>0</v>
      </c>
      <c r="K17" s="189">
        <v>426.66928934112502</v>
      </c>
      <c r="L17" s="190"/>
      <c r="M17" s="190"/>
      <c r="N17" s="192"/>
      <c r="O17" s="190"/>
      <c r="P17" s="190"/>
      <c r="R17" s="191"/>
      <c r="T17" s="191"/>
    </row>
    <row r="18" spans="2:20" x14ac:dyDescent="0.25">
      <c r="B18" s="188" t="s">
        <v>98</v>
      </c>
      <c r="C18" s="188" t="s">
        <v>115</v>
      </c>
      <c r="D18" s="188" t="s">
        <v>124</v>
      </c>
      <c r="E18" s="188" t="s">
        <v>125</v>
      </c>
      <c r="F18" s="188" t="s">
        <v>119</v>
      </c>
      <c r="G18" s="189">
        <v>0</v>
      </c>
      <c r="H18" s="189">
        <v>138.60487080740845</v>
      </c>
      <c r="I18" s="181"/>
      <c r="J18" s="189">
        <v>0</v>
      </c>
      <c r="K18" s="189">
        <v>142.22306206192599</v>
      </c>
      <c r="L18" s="190"/>
      <c r="M18" s="190"/>
      <c r="N18" s="192"/>
      <c r="O18" s="190"/>
      <c r="P18" s="190"/>
      <c r="R18" s="191"/>
      <c r="T18" s="191"/>
    </row>
    <row r="19" spans="2:20" x14ac:dyDescent="0.25">
      <c r="B19" s="188" t="s">
        <v>98</v>
      </c>
      <c r="C19" s="188" t="s">
        <v>120</v>
      </c>
      <c r="D19" s="188" t="s">
        <v>124</v>
      </c>
      <c r="E19" s="188" t="s">
        <v>125</v>
      </c>
      <c r="F19" s="188" t="s">
        <v>121</v>
      </c>
      <c r="G19" s="189">
        <v>0</v>
      </c>
      <c r="H19" s="189">
        <v>203.83072193179135</v>
      </c>
      <c r="I19" s="181"/>
      <c r="J19" s="189">
        <v>0</v>
      </c>
      <c r="K19" s="189">
        <v>209.151592195582</v>
      </c>
      <c r="L19" s="190"/>
      <c r="M19" s="190"/>
      <c r="N19" s="192"/>
      <c r="O19" s="190"/>
      <c r="P19" s="190"/>
      <c r="R19" s="191"/>
      <c r="T19" s="191"/>
    </row>
    <row r="20" spans="2:20" x14ac:dyDescent="0.25">
      <c r="B20" s="188" t="s">
        <v>98</v>
      </c>
      <c r="C20" s="188" t="s">
        <v>122</v>
      </c>
      <c r="D20" s="188" t="s">
        <v>124</v>
      </c>
      <c r="E20" s="188" t="s">
        <v>125</v>
      </c>
      <c r="F20" s="188" t="s">
        <v>121</v>
      </c>
      <c r="G20" s="189">
        <v>0</v>
      </c>
      <c r="H20" s="189">
        <v>203.83072193179135</v>
      </c>
      <c r="I20" s="181"/>
      <c r="J20" s="189">
        <v>0</v>
      </c>
      <c r="K20" s="189">
        <v>209.151592195582</v>
      </c>
      <c r="L20" s="190"/>
      <c r="M20" s="190"/>
      <c r="N20" s="192"/>
      <c r="O20" s="190"/>
      <c r="P20" s="190"/>
      <c r="R20" s="191"/>
      <c r="T20" s="191"/>
    </row>
    <row r="21" spans="2:20" x14ac:dyDescent="0.25">
      <c r="B21" s="188" t="s">
        <v>98</v>
      </c>
      <c r="C21" s="188" t="s">
        <v>115</v>
      </c>
      <c r="D21" s="188" t="s">
        <v>124</v>
      </c>
      <c r="E21" s="188" t="s">
        <v>126</v>
      </c>
      <c r="F21" s="188" t="s">
        <v>117</v>
      </c>
      <c r="G21" s="189">
        <v>0</v>
      </c>
      <c r="H21" s="189">
        <v>693.02445456809062</v>
      </c>
      <c r="I21" s="181"/>
      <c r="J21" s="189">
        <v>0</v>
      </c>
      <c r="K21" s="189">
        <v>711.11541346497802</v>
      </c>
      <c r="L21" s="190"/>
      <c r="M21" s="190"/>
      <c r="N21" s="192"/>
      <c r="O21" s="190"/>
      <c r="P21" s="190"/>
      <c r="R21" s="191"/>
      <c r="T21" s="191"/>
    </row>
    <row r="22" spans="2:20" x14ac:dyDescent="0.25">
      <c r="B22" s="188" t="s">
        <v>98</v>
      </c>
      <c r="C22" s="188" t="s">
        <v>115</v>
      </c>
      <c r="D22" s="188" t="s">
        <v>124</v>
      </c>
      <c r="E22" s="188" t="s">
        <v>126</v>
      </c>
      <c r="F22" s="188" t="s">
        <v>118</v>
      </c>
      <c r="G22" s="189">
        <v>0</v>
      </c>
      <c r="H22" s="189">
        <v>415.81471295327373</v>
      </c>
      <c r="I22" s="181"/>
      <c r="J22" s="189">
        <v>0</v>
      </c>
      <c r="K22" s="189">
        <v>426.66928934112502</v>
      </c>
      <c r="L22" s="190"/>
      <c r="M22" s="190"/>
      <c r="N22" s="192"/>
      <c r="O22" s="190"/>
      <c r="P22" s="190"/>
      <c r="R22" s="191"/>
      <c r="T22" s="191"/>
    </row>
    <row r="23" spans="2:20" x14ac:dyDescent="0.25">
      <c r="B23" s="188" t="s">
        <v>98</v>
      </c>
      <c r="C23" s="188" t="s">
        <v>115</v>
      </c>
      <c r="D23" s="188" t="s">
        <v>124</v>
      </c>
      <c r="E23" s="188" t="s">
        <v>126</v>
      </c>
      <c r="F23" s="188" t="s">
        <v>119</v>
      </c>
      <c r="G23" s="189">
        <v>0</v>
      </c>
      <c r="H23" s="189">
        <v>138.60487080740845</v>
      </c>
      <c r="I23" s="181"/>
      <c r="J23" s="189">
        <v>0</v>
      </c>
      <c r="K23" s="189">
        <v>142.22306206192599</v>
      </c>
      <c r="L23" s="190"/>
      <c r="M23" s="190"/>
      <c r="N23" s="192"/>
      <c r="O23" s="190"/>
      <c r="P23" s="190"/>
      <c r="R23" s="191"/>
      <c r="T23" s="191"/>
    </row>
    <row r="24" spans="2:20" x14ac:dyDescent="0.25">
      <c r="B24" s="188" t="s">
        <v>98</v>
      </c>
      <c r="C24" s="188" t="s">
        <v>120</v>
      </c>
      <c r="D24" s="188" t="s">
        <v>124</v>
      </c>
      <c r="E24" s="188" t="s">
        <v>126</v>
      </c>
      <c r="F24" s="188" t="s">
        <v>121</v>
      </c>
      <c r="G24" s="189">
        <v>0</v>
      </c>
      <c r="H24" s="189">
        <v>203.83072193179135</v>
      </c>
      <c r="I24" s="181"/>
      <c r="J24" s="189">
        <v>0</v>
      </c>
      <c r="K24" s="189">
        <v>209.151592195582</v>
      </c>
      <c r="L24" s="190"/>
      <c r="M24" s="190"/>
      <c r="N24" s="190"/>
      <c r="O24" s="190"/>
      <c r="P24" s="190"/>
      <c r="R24" s="191"/>
      <c r="T24" s="191"/>
    </row>
    <row r="25" spans="2:20" x14ac:dyDescent="0.25">
      <c r="B25" s="188" t="s">
        <v>98</v>
      </c>
      <c r="C25" s="188" t="s">
        <v>122</v>
      </c>
      <c r="D25" s="188" t="s">
        <v>124</v>
      </c>
      <c r="E25" s="188" t="s">
        <v>126</v>
      </c>
      <c r="F25" s="188" t="s">
        <v>121</v>
      </c>
      <c r="G25" s="189">
        <v>0</v>
      </c>
      <c r="H25" s="189">
        <v>203.83072193179135</v>
      </c>
      <c r="I25" s="181"/>
      <c r="J25" s="189">
        <v>0</v>
      </c>
      <c r="K25" s="189">
        <v>209.151592195582</v>
      </c>
      <c r="L25" s="190"/>
      <c r="M25" s="190"/>
      <c r="N25" s="190"/>
      <c r="O25" s="190"/>
      <c r="P25" s="190"/>
      <c r="R25" s="191"/>
      <c r="T25" s="191"/>
    </row>
    <row r="26" spans="2:20" x14ac:dyDescent="0.25">
      <c r="B26" s="188" t="s">
        <v>98</v>
      </c>
      <c r="C26" s="188" t="s">
        <v>115</v>
      </c>
      <c r="D26" s="188" t="s">
        <v>124</v>
      </c>
      <c r="E26" s="188" t="s">
        <v>127</v>
      </c>
      <c r="F26" s="188" t="s">
        <v>117</v>
      </c>
      <c r="G26" s="189">
        <v>0</v>
      </c>
      <c r="H26" s="189">
        <v>693.02445456809062</v>
      </c>
      <c r="I26" s="181"/>
      <c r="J26" s="189">
        <v>0</v>
      </c>
      <c r="K26" s="189">
        <v>711.11541346497802</v>
      </c>
      <c r="L26" s="190"/>
      <c r="M26" s="190"/>
      <c r="N26" s="190"/>
      <c r="O26" s="190"/>
      <c r="P26" s="190"/>
      <c r="R26" s="191"/>
      <c r="T26" s="191"/>
    </row>
    <row r="27" spans="2:20" x14ac:dyDescent="0.25">
      <c r="B27" s="188" t="s">
        <v>98</v>
      </c>
      <c r="C27" s="188" t="s">
        <v>115</v>
      </c>
      <c r="D27" s="188" t="s">
        <v>124</v>
      </c>
      <c r="E27" s="188" t="s">
        <v>127</v>
      </c>
      <c r="F27" s="188" t="s">
        <v>118</v>
      </c>
      <c r="G27" s="189">
        <v>0</v>
      </c>
      <c r="H27" s="189">
        <v>415.81471295327373</v>
      </c>
      <c r="I27" s="181"/>
      <c r="J27" s="189">
        <v>0</v>
      </c>
      <c r="K27" s="189">
        <v>426.66928934112502</v>
      </c>
      <c r="L27" s="192"/>
      <c r="M27" s="190"/>
      <c r="N27" s="192"/>
      <c r="O27" s="190"/>
      <c r="P27" s="190"/>
      <c r="R27" s="191"/>
      <c r="T27" s="191"/>
    </row>
    <row r="28" spans="2:20" x14ac:dyDescent="0.25">
      <c r="B28" s="188" t="s">
        <v>98</v>
      </c>
      <c r="C28" s="188" t="s">
        <v>115</v>
      </c>
      <c r="D28" s="188" t="s">
        <v>124</v>
      </c>
      <c r="E28" s="188" t="s">
        <v>127</v>
      </c>
      <c r="F28" s="188" t="s">
        <v>119</v>
      </c>
      <c r="G28" s="189">
        <v>0</v>
      </c>
      <c r="H28" s="189">
        <v>138.60487080740845</v>
      </c>
      <c r="I28" s="181"/>
      <c r="J28" s="189">
        <v>0</v>
      </c>
      <c r="K28" s="189">
        <v>142.22306206192599</v>
      </c>
      <c r="L28" s="190"/>
      <c r="M28" s="190"/>
      <c r="N28" s="190"/>
      <c r="O28" s="190"/>
      <c r="P28" s="190"/>
      <c r="R28" s="191"/>
      <c r="T28" s="191"/>
    </row>
    <row r="29" spans="2:20" x14ac:dyDescent="0.25">
      <c r="B29" s="188" t="s">
        <v>98</v>
      </c>
      <c r="C29" s="188" t="s">
        <v>120</v>
      </c>
      <c r="D29" s="188" t="s">
        <v>124</v>
      </c>
      <c r="E29" s="188" t="s">
        <v>127</v>
      </c>
      <c r="F29" s="188" t="s">
        <v>121</v>
      </c>
      <c r="G29" s="189">
        <v>0</v>
      </c>
      <c r="H29" s="189">
        <v>203.83072193179135</v>
      </c>
      <c r="I29" s="181"/>
      <c r="J29" s="189">
        <v>0</v>
      </c>
      <c r="K29" s="189">
        <v>209.151592195582</v>
      </c>
      <c r="L29" s="190"/>
      <c r="M29" s="190"/>
      <c r="N29" s="190"/>
      <c r="O29" s="190"/>
      <c r="P29" s="190"/>
      <c r="R29" s="191"/>
      <c r="T29" s="191"/>
    </row>
    <row r="30" spans="2:20" x14ac:dyDescent="0.25">
      <c r="B30" s="188" t="s">
        <v>98</v>
      </c>
      <c r="C30" s="188" t="s">
        <v>122</v>
      </c>
      <c r="D30" s="188" t="s">
        <v>124</v>
      </c>
      <c r="E30" s="188" t="s">
        <v>127</v>
      </c>
      <c r="F30" s="188" t="s">
        <v>121</v>
      </c>
      <c r="G30" s="189">
        <v>0</v>
      </c>
      <c r="H30" s="189">
        <v>203.83072193179135</v>
      </c>
      <c r="I30" s="181"/>
      <c r="J30" s="189">
        <v>0</v>
      </c>
      <c r="K30" s="189">
        <v>209.151592195582</v>
      </c>
      <c r="L30" s="190"/>
      <c r="M30" s="190"/>
      <c r="N30" s="190"/>
      <c r="O30" s="190"/>
      <c r="P30" s="190"/>
      <c r="R30" s="191"/>
      <c r="T30" s="191"/>
    </row>
    <row r="31" spans="2:20" x14ac:dyDescent="0.25">
      <c r="B31" s="188" t="s">
        <v>96</v>
      </c>
      <c r="C31" s="188" t="s">
        <v>115</v>
      </c>
      <c r="D31" s="188" t="s">
        <v>121</v>
      </c>
      <c r="E31" s="188" t="s">
        <v>121</v>
      </c>
      <c r="F31" s="188" t="s">
        <v>117</v>
      </c>
      <c r="G31" s="189">
        <v>0</v>
      </c>
      <c r="H31" s="189">
        <v>693.02445456809062</v>
      </c>
      <c r="I31" s="181"/>
      <c r="J31" s="189">
        <v>0</v>
      </c>
      <c r="K31" s="189">
        <v>711.11541346497802</v>
      </c>
      <c r="L31" s="192"/>
      <c r="M31" s="190"/>
      <c r="N31" s="192"/>
      <c r="O31" s="190"/>
      <c r="P31" s="190"/>
      <c r="R31" s="191"/>
      <c r="T31" s="191"/>
    </row>
    <row r="32" spans="2:20" x14ac:dyDescent="0.25">
      <c r="B32" s="188" t="s">
        <v>96</v>
      </c>
      <c r="C32" s="188" t="s">
        <v>115</v>
      </c>
      <c r="D32" s="188" t="s">
        <v>121</v>
      </c>
      <c r="E32" s="188" t="s">
        <v>121</v>
      </c>
      <c r="F32" s="188" t="s">
        <v>118</v>
      </c>
      <c r="G32" s="189">
        <v>0</v>
      </c>
      <c r="H32" s="189">
        <v>415.81471295327373</v>
      </c>
      <c r="I32" s="181"/>
      <c r="J32" s="189">
        <v>0</v>
      </c>
      <c r="K32" s="189">
        <v>426.66928934112502</v>
      </c>
      <c r="L32" s="190"/>
      <c r="M32" s="190"/>
      <c r="N32" s="190"/>
      <c r="O32" s="190"/>
      <c r="P32" s="190"/>
      <c r="R32" s="191"/>
      <c r="T32" s="191"/>
    </row>
    <row r="33" spans="2:20" x14ac:dyDescent="0.25">
      <c r="B33" s="188" t="s">
        <v>96</v>
      </c>
      <c r="C33" s="188" t="s">
        <v>115</v>
      </c>
      <c r="D33" s="188" t="s">
        <v>121</v>
      </c>
      <c r="E33" s="188" t="s">
        <v>121</v>
      </c>
      <c r="F33" s="188" t="s">
        <v>119</v>
      </c>
      <c r="G33" s="189">
        <v>0</v>
      </c>
      <c r="H33" s="189">
        <v>138.60487080740845</v>
      </c>
      <c r="I33" s="181"/>
      <c r="J33" s="189">
        <v>0</v>
      </c>
      <c r="K33" s="189">
        <v>142.22306206192599</v>
      </c>
      <c r="L33" s="190"/>
      <c r="M33" s="190"/>
      <c r="N33" s="190"/>
      <c r="O33" s="190"/>
      <c r="P33" s="190"/>
      <c r="R33" s="191"/>
      <c r="T33" s="191"/>
    </row>
    <row r="34" spans="2:20" x14ac:dyDescent="0.25">
      <c r="B34" s="188" t="s">
        <v>96</v>
      </c>
      <c r="C34" s="188" t="s">
        <v>120</v>
      </c>
      <c r="D34" s="188" t="s">
        <v>121</v>
      </c>
      <c r="E34" s="188" t="s">
        <v>121</v>
      </c>
      <c r="F34" s="188" t="s">
        <v>121</v>
      </c>
      <c r="G34" s="189">
        <v>0</v>
      </c>
      <c r="H34" s="189">
        <v>203.83072193179135</v>
      </c>
      <c r="I34" s="181"/>
      <c r="J34" s="189">
        <v>0</v>
      </c>
      <c r="K34" s="189">
        <v>209.151592195582</v>
      </c>
      <c r="L34" s="190"/>
      <c r="M34" s="190"/>
      <c r="N34" s="190"/>
      <c r="O34" s="190"/>
      <c r="P34" s="190"/>
      <c r="R34" s="191"/>
      <c r="T34" s="191"/>
    </row>
    <row r="35" spans="2:20" x14ac:dyDescent="0.25">
      <c r="B35" s="188" t="s">
        <v>96</v>
      </c>
      <c r="C35" s="188" t="s">
        <v>122</v>
      </c>
      <c r="D35" s="188" t="s">
        <v>121</v>
      </c>
      <c r="E35" s="188" t="s">
        <v>121</v>
      </c>
      <c r="F35" s="188" t="s">
        <v>121</v>
      </c>
      <c r="G35" s="189">
        <v>0</v>
      </c>
      <c r="H35" s="189">
        <v>203.83072193179135</v>
      </c>
      <c r="I35" s="181"/>
      <c r="J35" s="189">
        <v>0</v>
      </c>
      <c r="K35" s="189">
        <v>209.151592195582</v>
      </c>
      <c r="L35" s="192"/>
      <c r="M35" s="190"/>
      <c r="N35" s="192"/>
      <c r="O35" s="190"/>
      <c r="P35" s="190"/>
      <c r="R35" s="191"/>
      <c r="T35" s="191"/>
    </row>
    <row r="36" spans="2:20" x14ac:dyDescent="0.25">
      <c r="B36" s="188" t="s">
        <v>128</v>
      </c>
      <c r="C36" s="188" t="s">
        <v>122</v>
      </c>
      <c r="D36" s="188" t="s">
        <v>129</v>
      </c>
      <c r="E36" s="188" t="s">
        <v>130</v>
      </c>
      <c r="F36" s="188" t="s">
        <v>121</v>
      </c>
      <c r="G36" s="189">
        <v>0</v>
      </c>
      <c r="H36" s="189">
        <v>112.10689706248526</v>
      </c>
      <c r="I36" s="181"/>
      <c r="J36" s="189">
        <v>0</v>
      </c>
      <c r="K36" s="189">
        <v>115.03337570757</v>
      </c>
      <c r="L36" s="192"/>
      <c r="M36" s="190"/>
      <c r="N36" s="192"/>
      <c r="O36" s="190"/>
      <c r="P36" s="190"/>
      <c r="R36" s="191"/>
      <c r="T36" s="191"/>
    </row>
    <row r="37" spans="2:20" x14ac:dyDescent="0.25">
      <c r="B37" s="188" t="s">
        <v>128</v>
      </c>
      <c r="C37" s="188" t="s">
        <v>122</v>
      </c>
      <c r="D37" s="188" t="s">
        <v>129</v>
      </c>
      <c r="E37" s="188" t="s">
        <v>131</v>
      </c>
      <c r="F37" s="188" t="s">
        <v>121</v>
      </c>
      <c r="G37" s="189">
        <v>0</v>
      </c>
      <c r="H37" s="189">
        <v>122.2984331590748</v>
      </c>
      <c r="I37" s="181"/>
      <c r="J37" s="189">
        <v>0</v>
      </c>
      <c r="K37" s="189">
        <v>125.49095531734901</v>
      </c>
      <c r="L37" s="192"/>
      <c r="M37" s="190"/>
      <c r="N37" s="192"/>
      <c r="O37" s="190"/>
      <c r="P37" s="190"/>
      <c r="R37" s="191"/>
      <c r="T37" s="191"/>
    </row>
    <row r="38" spans="2:20" x14ac:dyDescent="0.25">
      <c r="B38" s="188" t="s">
        <v>132</v>
      </c>
      <c r="C38" s="188" t="s">
        <v>133</v>
      </c>
      <c r="D38" s="188" t="s">
        <v>134</v>
      </c>
      <c r="E38" s="188" t="s">
        <v>121</v>
      </c>
      <c r="F38" s="188" t="s">
        <v>121</v>
      </c>
      <c r="G38" s="189">
        <v>0</v>
      </c>
      <c r="H38" s="193">
        <v>2.9313848411420298</v>
      </c>
      <c r="I38" s="181"/>
      <c r="J38" s="189">
        <v>0</v>
      </c>
      <c r="K38" s="193">
        <v>3.0079067622986302</v>
      </c>
      <c r="L38" s="192"/>
      <c r="M38" s="190"/>
      <c r="N38" s="192"/>
      <c r="O38" s="190"/>
      <c r="P38" s="190"/>
      <c r="R38" s="191"/>
      <c r="T38" s="191"/>
    </row>
    <row r="39" spans="2:20" x14ac:dyDescent="0.25">
      <c r="B39" s="188" t="s">
        <v>132</v>
      </c>
      <c r="C39" s="188" t="s">
        <v>133</v>
      </c>
      <c r="D39" s="188" t="s">
        <v>135</v>
      </c>
      <c r="E39" s="188" t="s">
        <v>121</v>
      </c>
      <c r="F39" s="188" t="s">
        <v>121</v>
      </c>
      <c r="G39" s="189">
        <v>0</v>
      </c>
      <c r="H39" s="193">
        <v>11.6909566839085</v>
      </c>
      <c r="I39" s="181"/>
      <c r="J39" s="189">
        <v>0</v>
      </c>
      <c r="K39" s="193">
        <v>11.996141609836799</v>
      </c>
      <c r="L39" s="190"/>
      <c r="M39" s="190"/>
      <c r="N39" s="190"/>
      <c r="O39" s="190"/>
      <c r="P39" s="190"/>
      <c r="R39" s="191"/>
      <c r="T39" s="191"/>
    </row>
    <row r="40" spans="2:20" x14ac:dyDescent="0.25">
      <c r="K40" s="194"/>
      <c r="L40" s="190"/>
      <c r="M40" s="190"/>
      <c r="N40" s="190"/>
      <c r="O40" s="190"/>
      <c r="P40" s="190"/>
      <c r="R40" s="191"/>
      <c r="T40" s="191"/>
    </row>
    <row r="41" spans="2:20" x14ac:dyDescent="0.25">
      <c r="K41" s="194"/>
      <c r="L41" s="190"/>
      <c r="M41" s="190"/>
      <c r="N41" s="190"/>
      <c r="O41" s="190"/>
      <c r="P41" s="190"/>
      <c r="R41" s="191"/>
      <c r="T41" s="191"/>
    </row>
    <row r="42" spans="2:20" x14ac:dyDescent="0.25">
      <c r="K42" s="194"/>
      <c r="L42" s="192"/>
      <c r="M42" s="192"/>
      <c r="N42" s="192"/>
      <c r="O42" s="190"/>
      <c r="P42" s="190"/>
      <c r="R42" s="191"/>
      <c r="T42" s="191"/>
    </row>
    <row r="43" spans="2:20" x14ac:dyDescent="0.25">
      <c r="K43" s="194"/>
      <c r="L43" s="192"/>
      <c r="M43" s="192"/>
      <c r="N43" s="192"/>
      <c r="O43" s="190"/>
      <c r="P43" s="190"/>
      <c r="R43" s="191"/>
      <c r="T43" s="191"/>
    </row>
    <row r="44" spans="2:20" x14ac:dyDescent="0.25">
      <c r="K44" s="194"/>
      <c r="L44" s="192"/>
      <c r="M44" s="190"/>
      <c r="N44" s="192"/>
      <c r="O44" s="190"/>
      <c r="P44" s="190"/>
      <c r="R44" s="191"/>
      <c r="T44" s="191"/>
    </row>
    <row r="45" spans="2:20" x14ac:dyDescent="0.25">
      <c r="K45" s="194"/>
      <c r="L45" s="192"/>
      <c r="M45" s="190"/>
      <c r="N45" s="190"/>
      <c r="O45" s="190"/>
      <c r="P45" s="190"/>
      <c r="R45" s="191"/>
      <c r="T45" s="191"/>
    </row>
  </sheetData>
  <customSheetViews>
    <customSheetView guid="{DD040A5E-BAB6-4607-A6FD-72F0B8E25E8D}" state="hidden">
      <selection activeCell="E52" sqref="E52"/>
      <pageMargins left="0.511811024" right="0.511811024" top="0.78740157499999996" bottom="0.78740157499999996" header="0.31496062000000002" footer="0.31496062000000002"/>
    </customSheetView>
  </customSheetViews>
  <mergeCells count="8">
    <mergeCell ref="Q5:R5"/>
    <mergeCell ref="B4:B6"/>
    <mergeCell ref="C4:C6"/>
    <mergeCell ref="D4:D6"/>
    <mergeCell ref="E4:E6"/>
    <mergeCell ref="F4:F6"/>
    <mergeCell ref="G4:K4"/>
    <mergeCell ref="J5:K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5B4E-4728-4892-8908-31E57081F147}">
  <dimension ref="A1:Q91"/>
  <sheetViews>
    <sheetView topLeftCell="A61" workbookViewId="0">
      <selection activeCell="E52" sqref="E52"/>
    </sheetView>
  </sheetViews>
  <sheetFormatPr defaultColWidth="15" defaultRowHeight="14.4" x14ac:dyDescent="0.3"/>
  <cols>
    <col min="1" max="1" width="35.44140625" style="231" bestFit="1" customWidth="1"/>
    <col min="2" max="2" width="16" style="231" bestFit="1" customWidth="1"/>
    <col min="3" max="3" width="17.44140625" style="231" bestFit="1" customWidth="1"/>
    <col min="4" max="4" width="17.6640625" style="231" bestFit="1" customWidth="1"/>
    <col min="5" max="5" width="12.6640625" style="231" bestFit="1" customWidth="1"/>
    <col min="6" max="6" width="8.44140625" style="231" bestFit="1" customWidth="1"/>
    <col min="7" max="7" width="12" style="231" bestFit="1" customWidth="1"/>
    <col min="8" max="8" width="12.109375" style="231" bestFit="1" customWidth="1"/>
    <col min="9" max="9" width="12.44140625" style="231" bestFit="1" customWidth="1"/>
    <col min="10" max="10" width="12.33203125" style="231" bestFit="1" customWidth="1"/>
    <col min="11" max="11" width="8.44140625" style="231" bestFit="1" customWidth="1"/>
    <col min="12" max="12" width="7.6640625" style="231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261" t="s">
        <v>136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3"/>
    </row>
    <row r="2" spans="1:17" ht="15.75" customHeight="1" thickBot="1" x14ac:dyDescent="0.35">
      <c r="A2" s="264" t="s">
        <v>107</v>
      </c>
      <c r="B2" s="264" t="s">
        <v>108</v>
      </c>
      <c r="C2" s="264" t="s">
        <v>137</v>
      </c>
      <c r="D2" s="195" t="s">
        <v>111</v>
      </c>
      <c r="E2" s="267" t="s">
        <v>112</v>
      </c>
      <c r="F2" s="268"/>
      <c r="G2" s="268"/>
      <c r="H2" s="268"/>
      <c r="I2" s="269"/>
      <c r="J2" s="267" t="s">
        <v>138</v>
      </c>
      <c r="K2" s="268"/>
      <c r="L2" s="269"/>
      <c r="N2" s="196" t="s">
        <v>139</v>
      </c>
      <c r="O2" s="196" t="s">
        <v>140</v>
      </c>
      <c r="P2" s="196" t="s">
        <v>141</v>
      </c>
      <c r="Q2" s="196" t="s">
        <v>142</v>
      </c>
    </row>
    <row r="3" spans="1:17" ht="15" thickBot="1" x14ac:dyDescent="0.35">
      <c r="A3" s="265"/>
      <c r="B3" s="265"/>
      <c r="C3" s="265"/>
      <c r="D3" s="197"/>
      <c r="E3" s="267" t="s">
        <v>39</v>
      </c>
      <c r="F3" s="269"/>
      <c r="G3" s="267" t="s">
        <v>143</v>
      </c>
      <c r="H3" s="268"/>
      <c r="I3" s="269"/>
      <c r="J3" s="267" t="s">
        <v>39</v>
      </c>
      <c r="K3" s="269"/>
      <c r="L3" s="197" t="s">
        <v>14</v>
      </c>
      <c r="N3" s="198" t="s">
        <v>144</v>
      </c>
      <c r="O3" s="199" t="s">
        <v>145</v>
      </c>
      <c r="P3" s="199" t="s">
        <v>146</v>
      </c>
      <c r="Q3" s="200">
        <v>2025</v>
      </c>
    </row>
    <row r="4" spans="1:17" ht="15" thickBot="1" x14ac:dyDescent="0.35">
      <c r="A4" s="266"/>
      <c r="B4" s="266"/>
      <c r="C4" s="266"/>
      <c r="D4" s="197"/>
      <c r="E4" s="197" t="s">
        <v>113</v>
      </c>
      <c r="F4" s="197" t="s">
        <v>114</v>
      </c>
      <c r="G4" s="201" t="s">
        <v>147</v>
      </c>
      <c r="H4" s="202" t="s">
        <v>148</v>
      </c>
      <c r="I4" s="203" t="s">
        <v>149</v>
      </c>
      <c r="J4" s="197" t="s">
        <v>113</v>
      </c>
      <c r="K4" s="197" t="s">
        <v>114</v>
      </c>
      <c r="L4" s="197" t="s">
        <v>114</v>
      </c>
      <c r="N4" s="198" t="s">
        <v>150</v>
      </c>
      <c r="O4" s="204" t="s">
        <v>151</v>
      </c>
      <c r="P4" s="204" t="s">
        <v>146</v>
      </c>
      <c r="Q4" s="205">
        <v>2026</v>
      </c>
    </row>
    <row r="5" spans="1:17" ht="15" thickBot="1" x14ac:dyDescent="0.35">
      <c r="A5" s="206"/>
      <c r="B5" s="270" t="s">
        <v>152</v>
      </c>
      <c r="C5" s="270" t="s">
        <v>121</v>
      </c>
      <c r="D5" s="207" t="s">
        <v>117</v>
      </c>
      <c r="E5" s="208"/>
      <c r="F5" s="208"/>
      <c r="G5" s="208"/>
      <c r="H5" s="208"/>
      <c r="I5" s="208"/>
      <c r="J5" s="208"/>
      <c r="K5" s="208"/>
      <c r="L5" s="208"/>
      <c r="M5" s="209"/>
      <c r="N5" s="210"/>
      <c r="O5" s="210"/>
    </row>
    <row r="6" spans="1:17" ht="15" thickBot="1" x14ac:dyDescent="0.35">
      <c r="A6" s="206" t="s">
        <v>153</v>
      </c>
      <c r="B6" s="271"/>
      <c r="C6" s="271"/>
      <c r="D6" s="207" t="s">
        <v>119</v>
      </c>
      <c r="E6" s="208"/>
      <c r="F6" s="208"/>
      <c r="G6" s="208"/>
      <c r="H6" s="208"/>
      <c r="I6" s="208"/>
      <c r="J6" s="208"/>
      <c r="K6" s="208"/>
      <c r="L6" s="208"/>
      <c r="M6" s="209"/>
      <c r="N6" s="210"/>
      <c r="O6" s="210"/>
    </row>
    <row r="7" spans="1:17" ht="15" thickBot="1" x14ac:dyDescent="0.35">
      <c r="A7" s="206"/>
      <c r="B7" s="270" t="s">
        <v>154</v>
      </c>
      <c r="C7" s="270" t="s">
        <v>121</v>
      </c>
      <c r="D7" s="207" t="s">
        <v>117</v>
      </c>
      <c r="E7" s="208"/>
      <c r="F7" s="208"/>
      <c r="G7" s="208"/>
      <c r="H7" s="208"/>
      <c r="I7" s="208"/>
      <c r="J7" s="208"/>
      <c r="K7" s="208"/>
      <c r="L7" s="208"/>
      <c r="M7" s="211"/>
      <c r="N7" s="210"/>
      <c r="O7" s="210"/>
    </row>
    <row r="8" spans="1:17" ht="15" thickBot="1" x14ac:dyDescent="0.35">
      <c r="A8" s="206"/>
      <c r="B8" s="271"/>
      <c r="C8" s="271"/>
      <c r="D8" s="207" t="s">
        <v>119</v>
      </c>
      <c r="E8" s="208"/>
      <c r="F8" s="208"/>
      <c r="G8" s="208"/>
      <c r="H8" s="208"/>
      <c r="I8" s="208"/>
      <c r="J8" s="208"/>
      <c r="K8" s="208"/>
      <c r="L8" s="208"/>
      <c r="M8" s="210"/>
      <c r="N8" s="210"/>
      <c r="O8" s="210"/>
    </row>
    <row r="9" spans="1:17" ht="15.75" customHeight="1" thickBot="1" x14ac:dyDescent="0.35">
      <c r="A9" s="258" t="s">
        <v>155</v>
      </c>
      <c r="B9" s="270" t="s">
        <v>152</v>
      </c>
      <c r="C9" s="270" t="s">
        <v>121</v>
      </c>
      <c r="D9" s="207" t="s">
        <v>117</v>
      </c>
      <c r="E9" s="212"/>
      <c r="F9" s="212"/>
      <c r="G9" s="212"/>
      <c r="H9" s="213"/>
      <c r="I9" s="213"/>
      <c r="J9" s="212"/>
      <c r="K9" s="212"/>
      <c r="L9" s="212"/>
      <c r="M9" s="209"/>
      <c r="N9" s="210"/>
      <c r="O9" s="210"/>
    </row>
    <row r="10" spans="1:17" ht="15" thickBot="1" x14ac:dyDescent="0.35">
      <c r="A10" s="259"/>
      <c r="B10" s="271"/>
      <c r="C10" s="271"/>
      <c r="D10" s="207" t="s">
        <v>119</v>
      </c>
      <c r="E10" s="212"/>
      <c r="F10" s="212"/>
      <c r="G10" s="212"/>
      <c r="H10" s="213"/>
      <c r="I10" s="213"/>
      <c r="J10" s="212"/>
      <c r="K10" s="212"/>
      <c r="L10" s="212"/>
      <c r="M10" s="209"/>
      <c r="N10" s="214"/>
      <c r="O10" s="214"/>
    </row>
    <row r="11" spans="1:17" ht="15" thickBot="1" x14ac:dyDescent="0.35">
      <c r="A11" s="259"/>
      <c r="B11" s="270" t="s">
        <v>154</v>
      </c>
      <c r="C11" s="270" t="s">
        <v>121</v>
      </c>
      <c r="D11" s="207" t="s">
        <v>117</v>
      </c>
      <c r="E11" s="212"/>
      <c r="F11" s="212"/>
      <c r="G11" s="212"/>
      <c r="H11" s="213"/>
      <c r="I11" s="213"/>
      <c r="J11" s="212"/>
      <c r="K11" s="212"/>
      <c r="L11" s="212"/>
      <c r="M11" s="209"/>
      <c r="N11" s="210"/>
      <c r="O11" s="210"/>
    </row>
    <row r="12" spans="1:17" ht="15" thickBot="1" x14ac:dyDescent="0.35">
      <c r="A12" s="259"/>
      <c r="B12" s="271"/>
      <c r="C12" s="271"/>
      <c r="D12" s="207" t="s">
        <v>119</v>
      </c>
      <c r="E12" s="212"/>
      <c r="F12" s="212"/>
      <c r="G12" s="212"/>
      <c r="H12" s="213"/>
      <c r="I12" s="213"/>
      <c r="J12" s="212"/>
      <c r="K12" s="212"/>
      <c r="L12" s="212"/>
      <c r="M12" s="210"/>
    </row>
    <row r="13" spans="1:17" ht="15" thickBot="1" x14ac:dyDescent="0.35">
      <c r="A13" s="259"/>
      <c r="B13" s="270" t="s">
        <v>156</v>
      </c>
      <c r="C13" s="270" t="s">
        <v>157</v>
      </c>
      <c r="D13" s="207" t="s">
        <v>117</v>
      </c>
      <c r="E13" s="215"/>
      <c r="F13" s="215"/>
      <c r="G13" s="215"/>
      <c r="H13" s="213"/>
      <c r="I13" s="213"/>
      <c r="J13" s="215"/>
      <c r="K13" s="215"/>
      <c r="L13" s="215"/>
    </row>
    <row r="14" spans="1:17" ht="15" thickBot="1" x14ac:dyDescent="0.35">
      <c r="A14" s="259"/>
      <c r="B14" s="272"/>
      <c r="C14" s="272"/>
      <c r="D14" s="207" t="s">
        <v>119</v>
      </c>
      <c r="E14" s="215"/>
      <c r="F14" s="215"/>
      <c r="G14" s="215"/>
      <c r="H14" s="213"/>
      <c r="I14" s="213"/>
      <c r="J14" s="215"/>
      <c r="K14" s="215"/>
      <c r="L14" s="215"/>
    </row>
    <row r="15" spans="1:17" ht="15" thickBot="1" x14ac:dyDescent="0.35">
      <c r="A15" s="259"/>
      <c r="B15" s="271"/>
      <c r="C15" s="271"/>
      <c r="D15" s="207" t="s">
        <v>121</v>
      </c>
      <c r="E15" s="215"/>
      <c r="F15" s="215"/>
      <c r="G15" s="215"/>
      <c r="H15" s="213"/>
      <c r="I15" s="213"/>
      <c r="J15" s="215"/>
      <c r="K15" s="215"/>
      <c r="L15" s="215"/>
      <c r="M15" s="216"/>
    </row>
    <row r="16" spans="1:17" ht="15" thickBot="1" x14ac:dyDescent="0.35">
      <c r="A16" s="259"/>
      <c r="B16" s="270" t="s">
        <v>133</v>
      </c>
      <c r="C16" s="188" t="s">
        <v>158</v>
      </c>
      <c r="D16" s="207" t="s">
        <v>121</v>
      </c>
      <c r="E16" s="217"/>
      <c r="F16" s="212"/>
      <c r="G16" s="212"/>
      <c r="H16" s="213"/>
      <c r="I16" s="213"/>
      <c r="J16" s="217"/>
      <c r="K16" s="212"/>
      <c r="L16" s="218"/>
      <c r="M16" s="216"/>
      <c r="N16" s="210"/>
    </row>
    <row r="17" spans="1:15" ht="15" thickBot="1" x14ac:dyDescent="0.35">
      <c r="A17" s="259"/>
      <c r="B17" s="272"/>
      <c r="C17" s="188" t="s">
        <v>159</v>
      </c>
      <c r="D17" s="207" t="s">
        <v>121</v>
      </c>
      <c r="E17" s="217"/>
      <c r="F17" s="212"/>
      <c r="G17" s="212"/>
      <c r="H17" s="213"/>
      <c r="I17" s="213"/>
      <c r="J17" s="215"/>
      <c r="K17" s="212"/>
      <c r="L17" s="212"/>
      <c r="M17" s="210"/>
      <c r="N17" s="210"/>
      <c r="O17" s="210"/>
    </row>
    <row r="18" spans="1:15" ht="15" thickBot="1" x14ac:dyDescent="0.35">
      <c r="A18" s="259"/>
      <c r="B18" s="272"/>
      <c r="C18" s="188" t="s">
        <v>160</v>
      </c>
      <c r="D18" s="207" t="s">
        <v>121</v>
      </c>
      <c r="E18" s="217"/>
      <c r="F18" s="212"/>
      <c r="G18" s="212"/>
      <c r="H18" s="213"/>
      <c r="I18" s="213"/>
      <c r="J18" s="217"/>
      <c r="K18" s="212"/>
      <c r="L18" s="212"/>
      <c r="N18" s="210"/>
      <c r="O18" s="210"/>
    </row>
    <row r="19" spans="1:15" ht="15" thickBot="1" x14ac:dyDescent="0.35">
      <c r="A19" s="259"/>
      <c r="B19" s="272"/>
      <c r="C19" s="188" t="s">
        <v>161</v>
      </c>
      <c r="D19" s="207" t="s">
        <v>121</v>
      </c>
      <c r="E19" s="215"/>
      <c r="F19" s="212"/>
      <c r="G19" s="212"/>
      <c r="H19" s="213"/>
      <c r="I19" s="213"/>
      <c r="J19" s="217"/>
      <c r="K19" s="212"/>
      <c r="L19" s="212"/>
      <c r="N19" s="210"/>
      <c r="O19" s="210"/>
    </row>
    <row r="20" spans="1:15" ht="15" thickBot="1" x14ac:dyDescent="0.35">
      <c r="A20" s="259"/>
      <c r="B20" s="272"/>
      <c r="C20" s="188" t="s">
        <v>162</v>
      </c>
      <c r="D20" s="207" t="s">
        <v>121</v>
      </c>
      <c r="E20" s="215"/>
      <c r="F20" s="212"/>
      <c r="G20" s="212"/>
      <c r="H20" s="213"/>
      <c r="I20" s="213"/>
      <c r="J20" s="217"/>
      <c r="K20" s="212"/>
      <c r="L20" s="212"/>
      <c r="N20" s="210"/>
      <c r="O20" s="210"/>
    </row>
    <row r="21" spans="1:15" ht="15" thickBot="1" x14ac:dyDescent="0.35">
      <c r="A21" s="259"/>
      <c r="B21" s="272"/>
      <c r="C21" s="188" t="s">
        <v>163</v>
      </c>
      <c r="D21" s="207" t="s">
        <v>121</v>
      </c>
      <c r="E21" s="215"/>
      <c r="F21" s="212"/>
      <c r="G21" s="212"/>
      <c r="H21" s="213"/>
      <c r="I21" s="213"/>
      <c r="J21" s="217"/>
      <c r="K21" s="212"/>
      <c r="L21" s="212"/>
      <c r="N21" s="210"/>
      <c r="O21" s="210"/>
    </row>
    <row r="22" spans="1:15" ht="15" thickBot="1" x14ac:dyDescent="0.35">
      <c r="A22" s="259"/>
      <c r="B22" s="272"/>
      <c r="C22" s="188" t="s">
        <v>164</v>
      </c>
      <c r="D22" s="207" t="s">
        <v>121</v>
      </c>
      <c r="E22" s="215"/>
      <c r="F22" s="212"/>
      <c r="G22" s="212"/>
      <c r="H22" s="213"/>
      <c r="I22" s="213"/>
      <c r="J22" s="217"/>
      <c r="K22" s="212"/>
      <c r="L22" s="212"/>
      <c r="N22" s="210"/>
      <c r="O22" s="210"/>
    </row>
    <row r="23" spans="1:15" ht="15" thickBot="1" x14ac:dyDescent="0.35">
      <c r="A23" s="259"/>
      <c r="B23" s="272"/>
      <c r="C23" s="188" t="s">
        <v>165</v>
      </c>
      <c r="D23" s="207" t="s">
        <v>121</v>
      </c>
      <c r="E23" s="215"/>
      <c r="F23" s="212"/>
      <c r="G23" s="212"/>
      <c r="H23" s="213"/>
      <c r="I23" s="213"/>
      <c r="J23" s="217"/>
      <c r="K23" s="212"/>
      <c r="L23" s="212"/>
      <c r="N23" s="210"/>
      <c r="O23" s="210"/>
    </row>
    <row r="24" spans="1:15" ht="15" thickBot="1" x14ac:dyDescent="0.35">
      <c r="A24" s="259"/>
      <c r="B24" s="272"/>
      <c r="C24" s="188" t="s">
        <v>166</v>
      </c>
      <c r="D24" s="207" t="s">
        <v>121</v>
      </c>
      <c r="E24" s="217"/>
      <c r="F24" s="212"/>
      <c r="G24" s="212"/>
      <c r="H24" s="213"/>
      <c r="I24" s="213"/>
      <c r="J24" s="217"/>
      <c r="K24" s="212"/>
      <c r="L24" s="212"/>
      <c r="N24" s="210"/>
      <c r="O24" s="210"/>
    </row>
    <row r="25" spans="1:15" ht="15" thickBot="1" x14ac:dyDescent="0.35">
      <c r="A25" s="259"/>
      <c r="B25" s="272"/>
      <c r="C25" s="188" t="s">
        <v>167</v>
      </c>
      <c r="D25" s="207" t="s">
        <v>121</v>
      </c>
      <c r="E25" s="217"/>
      <c r="F25" s="212"/>
      <c r="G25" s="212"/>
      <c r="H25" s="213"/>
      <c r="I25" s="213"/>
      <c r="J25" s="217"/>
      <c r="K25" s="212"/>
      <c r="L25" s="212"/>
      <c r="N25" s="210"/>
      <c r="O25" s="210"/>
    </row>
    <row r="26" spans="1:15" ht="15" thickBot="1" x14ac:dyDescent="0.35">
      <c r="A26" s="259"/>
      <c r="B26" s="272"/>
      <c r="C26" s="188" t="s">
        <v>168</v>
      </c>
      <c r="D26" s="207" t="s">
        <v>121</v>
      </c>
      <c r="E26" s="215"/>
      <c r="F26" s="212"/>
      <c r="G26" s="212"/>
      <c r="H26" s="213"/>
      <c r="I26" s="213"/>
      <c r="J26" s="217"/>
      <c r="K26" s="212"/>
      <c r="L26" s="212"/>
      <c r="N26" s="210"/>
      <c r="O26" s="210"/>
    </row>
    <row r="27" spans="1:15" ht="15" thickBot="1" x14ac:dyDescent="0.35">
      <c r="A27" s="260"/>
      <c r="B27" s="271"/>
      <c r="C27" s="188" t="s">
        <v>169</v>
      </c>
      <c r="D27" s="207" t="s">
        <v>121</v>
      </c>
      <c r="E27" s="217"/>
      <c r="F27" s="212"/>
      <c r="G27" s="212"/>
      <c r="H27" s="213"/>
      <c r="I27" s="213"/>
      <c r="J27" s="217"/>
      <c r="K27" s="212"/>
      <c r="L27" s="212"/>
      <c r="N27" s="210"/>
      <c r="O27" s="210"/>
    </row>
    <row r="28" spans="1:15" ht="15.75" customHeight="1" thickBot="1" x14ac:dyDescent="0.35">
      <c r="A28" s="258" t="s">
        <v>170</v>
      </c>
      <c r="B28" s="270" t="s">
        <v>152</v>
      </c>
      <c r="C28" s="270" t="s">
        <v>121</v>
      </c>
      <c r="D28" s="207" t="s">
        <v>117</v>
      </c>
      <c r="E28" s="215"/>
      <c r="F28" s="215"/>
      <c r="G28" s="215"/>
      <c r="H28" s="213"/>
      <c r="I28" s="213"/>
      <c r="J28" s="215"/>
      <c r="K28" s="215"/>
      <c r="L28" s="215"/>
      <c r="N28" s="210"/>
      <c r="O28" s="210"/>
    </row>
    <row r="29" spans="1:15" ht="15" thickBot="1" x14ac:dyDescent="0.35">
      <c r="A29" s="259"/>
      <c r="B29" s="271"/>
      <c r="C29" s="271"/>
      <c r="D29" s="207" t="s">
        <v>119</v>
      </c>
      <c r="E29" s="215"/>
      <c r="F29" s="215"/>
      <c r="G29" s="215"/>
      <c r="H29" s="213"/>
      <c r="I29" s="213"/>
      <c r="J29" s="215"/>
      <c r="K29" s="215"/>
      <c r="L29" s="215"/>
      <c r="N29" s="210"/>
      <c r="O29" s="210"/>
    </row>
    <row r="30" spans="1:15" ht="15" thickBot="1" x14ac:dyDescent="0.35">
      <c r="A30" s="259"/>
      <c r="B30" s="270" t="s">
        <v>154</v>
      </c>
      <c r="C30" s="270" t="s">
        <v>121</v>
      </c>
      <c r="D30" s="207" t="s">
        <v>117</v>
      </c>
      <c r="E30" s="215"/>
      <c r="F30" s="215"/>
      <c r="G30" s="212"/>
      <c r="H30" s="213"/>
      <c r="I30" s="213"/>
      <c r="J30" s="215"/>
      <c r="K30" s="215"/>
      <c r="L30" s="212"/>
      <c r="N30" s="210"/>
      <c r="O30" s="210"/>
    </row>
    <row r="31" spans="1:15" ht="15" thickBot="1" x14ac:dyDescent="0.35">
      <c r="A31" s="259"/>
      <c r="B31" s="271"/>
      <c r="C31" s="271"/>
      <c r="D31" s="207" t="s">
        <v>119</v>
      </c>
      <c r="E31" s="215"/>
      <c r="F31" s="215"/>
      <c r="G31" s="212"/>
      <c r="H31" s="213"/>
      <c r="I31" s="213"/>
      <c r="J31" s="215"/>
      <c r="K31" s="215"/>
      <c r="L31" s="212"/>
      <c r="N31" s="210"/>
      <c r="O31" s="210"/>
    </row>
    <row r="32" spans="1:15" ht="15" thickBot="1" x14ac:dyDescent="0.35">
      <c r="A32" s="259"/>
      <c r="B32" s="270" t="s">
        <v>156</v>
      </c>
      <c r="C32" s="270"/>
      <c r="D32" s="207" t="s">
        <v>117</v>
      </c>
      <c r="E32" s="215"/>
      <c r="F32" s="215"/>
      <c r="G32" s="215"/>
      <c r="H32" s="213"/>
      <c r="I32" s="213"/>
      <c r="J32" s="215"/>
      <c r="K32" s="215"/>
      <c r="L32" s="215"/>
      <c r="N32" s="210"/>
      <c r="O32" s="210"/>
    </row>
    <row r="33" spans="1:15" ht="15" thickBot="1" x14ac:dyDescent="0.35">
      <c r="A33" s="259"/>
      <c r="B33" s="272"/>
      <c r="C33" s="272"/>
      <c r="D33" s="207" t="s">
        <v>119</v>
      </c>
      <c r="E33" s="215"/>
      <c r="F33" s="215"/>
      <c r="G33" s="215"/>
      <c r="H33" s="213"/>
      <c r="I33" s="213"/>
      <c r="J33" s="215"/>
      <c r="K33" s="215"/>
      <c r="L33" s="215"/>
      <c r="N33" s="210"/>
      <c r="O33" s="210"/>
    </row>
    <row r="34" spans="1:15" ht="15" thickBot="1" x14ac:dyDescent="0.35">
      <c r="A34" s="259"/>
      <c r="B34" s="271"/>
      <c r="C34" s="271"/>
      <c r="D34" s="207" t="s">
        <v>121</v>
      </c>
      <c r="E34" s="215"/>
      <c r="F34" s="215"/>
      <c r="G34" s="215"/>
      <c r="H34" s="213"/>
      <c r="I34" s="213"/>
      <c r="J34" s="215"/>
      <c r="K34" s="215"/>
      <c r="L34" s="215"/>
      <c r="N34" s="210"/>
      <c r="O34" s="210"/>
    </row>
    <row r="35" spans="1:15" ht="15" thickBot="1" x14ac:dyDescent="0.35">
      <c r="A35" s="260"/>
      <c r="B35" s="207" t="s">
        <v>133</v>
      </c>
      <c r="C35" s="207" t="s">
        <v>121</v>
      </c>
      <c r="D35" s="207" t="s">
        <v>121</v>
      </c>
      <c r="E35" s="215"/>
      <c r="F35" s="215"/>
      <c r="G35" s="215"/>
      <c r="H35" s="213"/>
      <c r="I35" s="213"/>
      <c r="J35" s="215"/>
      <c r="K35" s="215"/>
      <c r="L35" s="215"/>
      <c r="N35" s="210"/>
      <c r="O35" s="210"/>
    </row>
    <row r="36" spans="1:15" ht="15.75" customHeight="1" thickBot="1" x14ac:dyDescent="0.35">
      <c r="A36" s="258" t="s">
        <v>171</v>
      </c>
      <c r="B36" s="270" t="s">
        <v>152</v>
      </c>
      <c r="C36" s="270" t="s">
        <v>121</v>
      </c>
      <c r="D36" s="207" t="s">
        <v>117</v>
      </c>
      <c r="E36" s="215"/>
      <c r="F36" s="215"/>
      <c r="G36" s="215"/>
      <c r="H36" s="213"/>
      <c r="I36" s="213"/>
      <c r="J36" s="215"/>
      <c r="K36" s="215"/>
      <c r="L36" s="215"/>
      <c r="M36" s="209"/>
      <c r="N36" s="210"/>
      <c r="O36" s="210"/>
    </row>
    <row r="37" spans="1:15" ht="15" thickBot="1" x14ac:dyDescent="0.35">
      <c r="A37" s="259"/>
      <c r="B37" s="271"/>
      <c r="C37" s="271"/>
      <c r="D37" s="207" t="s">
        <v>119</v>
      </c>
      <c r="E37" s="215"/>
      <c r="F37" s="215"/>
      <c r="G37" s="215"/>
      <c r="H37" s="213"/>
      <c r="I37" s="213"/>
      <c r="J37" s="215"/>
      <c r="K37" s="215"/>
      <c r="L37" s="215"/>
      <c r="M37" s="209"/>
      <c r="N37" s="210"/>
      <c r="O37" s="210"/>
    </row>
    <row r="38" spans="1:15" ht="15" thickBot="1" x14ac:dyDescent="0.35">
      <c r="A38" s="259"/>
      <c r="B38" s="270" t="s">
        <v>154</v>
      </c>
      <c r="C38" s="270" t="s">
        <v>121</v>
      </c>
      <c r="D38" s="207" t="s">
        <v>117</v>
      </c>
      <c r="E38" s="215"/>
      <c r="F38" s="215"/>
      <c r="G38" s="215"/>
      <c r="H38" s="213"/>
      <c r="I38" s="213"/>
      <c r="J38" s="215"/>
      <c r="K38" s="215"/>
      <c r="L38" s="215"/>
      <c r="M38" s="211"/>
      <c r="N38" s="210"/>
      <c r="O38" s="210"/>
    </row>
    <row r="39" spans="1:15" ht="15" thickBot="1" x14ac:dyDescent="0.35">
      <c r="A39" s="259"/>
      <c r="B39" s="271"/>
      <c r="C39" s="271"/>
      <c r="D39" s="207" t="s">
        <v>119</v>
      </c>
      <c r="E39" s="215"/>
      <c r="F39" s="215"/>
      <c r="G39" s="215"/>
      <c r="H39" s="213"/>
      <c r="I39" s="213"/>
      <c r="J39" s="215"/>
      <c r="K39" s="215"/>
      <c r="L39" s="215"/>
      <c r="M39" s="210"/>
      <c r="N39" s="210"/>
      <c r="O39" s="210"/>
    </row>
    <row r="40" spans="1:15" ht="15" thickBot="1" x14ac:dyDescent="0.35">
      <c r="A40" s="259"/>
      <c r="B40" s="270" t="s">
        <v>7</v>
      </c>
      <c r="C40" s="270" t="s">
        <v>121</v>
      </c>
      <c r="D40" s="207" t="s">
        <v>121</v>
      </c>
      <c r="E40" s="215"/>
      <c r="F40" s="215"/>
      <c r="G40" s="215"/>
      <c r="H40" s="213"/>
      <c r="I40" s="213"/>
      <c r="J40" s="215"/>
      <c r="K40" s="215"/>
      <c r="L40" s="215"/>
      <c r="M40" s="209"/>
      <c r="N40" s="210"/>
      <c r="O40" s="210"/>
    </row>
    <row r="41" spans="1:15" ht="15" thickBot="1" x14ac:dyDescent="0.35">
      <c r="A41" s="259"/>
      <c r="B41" s="272"/>
      <c r="C41" s="272"/>
      <c r="D41" s="207" t="s">
        <v>117</v>
      </c>
      <c r="E41" s="215"/>
      <c r="F41" s="215"/>
      <c r="G41" s="215"/>
      <c r="H41" s="213"/>
      <c r="I41" s="213"/>
      <c r="J41" s="215"/>
      <c r="K41" s="215"/>
      <c r="L41" s="215"/>
      <c r="M41" s="209"/>
      <c r="N41" s="210"/>
      <c r="O41" s="210"/>
    </row>
    <row r="42" spans="1:15" ht="15" thickBot="1" x14ac:dyDescent="0.35">
      <c r="A42" s="259"/>
      <c r="B42" s="271"/>
      <c r="C42" s="271"/>
      <c r="D42" s="207" t="s">
        <v>119</v>
      </c>
      <c r="E42" s="215"/>
      <c r="F42" s="215"/>
      <c r="G42" s="215"/>
      <c r="H42" s="213"/>
      <c r="I42" s="213"/>
      <c r="J42" s="215"/>
      <c r="K42" s="215"/>
      <c r="L42" s="215"/>
      <c r="M42" s="209"/>
      <c r="N42" s="210"/>
      <c r="O42" s="210"/>
    </row>
    <row r="43" spans="1:15" ht="15" thickBot="1" x14ac:dyDescent="0.35">
      <c r="A43" s="259"/>
      <c r="B43" s="270" t="s">
        <v>172</v>
      </c>
      <c r="C43" s="270" t="s">
        <v>121</v>
      </c>
      <c r="D43" s="207" t="s">
        <v>121</v>
      </c>
      <c r="E43" s="215"/>
      <c r="F43" s="215"/>
      <c r="G43" s="215"/>
      <c r="H43" s="213"/>
      <c r="I43" s="213"/>
      <c r="J43" s="215"/>
      <c r="K43" s="215"/>
      <c r="L43" s="215"/>
      <c r="M43" s="210"/>
      <c r="N43" s="210"/>
      <c r="O43" s="210"/>
    </row>
    <row r="44" spans="1:15" ht="15" thickBot="1" x14ac:dyDescent="0.35">
      <c r="A44" s="259"/>
      <c r="B44" s="272"/>
      <c r="C44" s="272"/>
      <c r="D44" s="207" t="s">
        <v>117</v>
      </c>
      <c r="E44" s="215"/>
      <c r="F44" s="215"/>
      <c r="G44" s="215"/>
      <c r="H44" s="213"/>
      <c r="I44" s="213"/>
      <c r="J44" s="215"/>
      <c r="K44" s="215"/>
      <c r="L44" s="215"/>
      <c r="N44" s="210"/>
      <c r="O44" s="210"/>
    </row>
    <row r="45" spans="1:15" ht="15" thickBot="1" x14ac:dyDescent="0.35">
      <c r="A45" s="259"/>
      <c r="B45" s="271"/>
      <c r="C45" s="271"/>
      <c r="D45" s="207" t="s">
        <v>119</v>
      </c>
      <c r="E45" s="215"/>
      <c r="F45" s="215"/>
      <c r="G45" s="215"/>
      <c r="H45" s="213"/>
      <c r="I45" s="213"/>
      <c r="J45" s="215"/>
      <c r="K45" s="215"/>
      <c r="L45" s="215"/>
      <c r="N45" s="210"/>
      <c r="O45" s="210"/>
    </row>
    <row r="46" spans="1:15" ht="15" thickBot="1" x14ac:dyDescent="0.35">
      <c r="A46" s="259"/>
      <c r="B46" s="219" t="s">
        <v>122</v>
      </c>
      <c r="C46" s="219" t="s">
        <v>121</v>
      </c>
      <c r="D46" s="219" t="s">
        <v>121</v>
      </c>
      <c r="E46" s="215"/>
      <c r="F46" s="212"/>
      <c r="G46" s="212"/>
      <c r="H46" s="213"/>
      <c r="I46" s="213"/>
      <c r="J46" s="215"/>
      <c r="K46" s="215"/>
      <c r="L46" s="215"/>
      <c r="N46" s="210"/>
      <c r="O46" s="210"/>
    </row>
    <row r="47" spans="1:15" ht="15" thickBot="1" x14ac:dyDescent="0.35">
      <c r="A47" s="260"/>
      <c r="B47" s="207" t="s">
        <v>133</v>
      </c>
      <c r="C47" s="207" t="s">
        <v>121</v>
      </c>
      <c r="D47" s="207" t="s">
        <v>121</v>
      </c>
      <c r="E47" s="215"/>
      <c r="F47" s="215"/>
      <c r="G47" s="215"/>
      <c r="H47" s="213"/>
      <c r="I47" s="213"/>
      <c r="J47" s="215"/>
      <c r="K47" s="215"/>
      <c r="L47" s="215"/>
      <c r="N47" s="210"/>
      <c r="O47" s="210"/>
    </row>
    <row r="48" spans="1:15" ht="15.75" customHeight="1" thickBot="1" x14ac:dyDescent="0.35">
      <c r="A48" s="258" t="s">
        <v>173</v>
      </c>
      <c r="B48" s="270" t="s">
        <v>152</v>
      </c>
      <c r="C48" s="270" t="s">
        <v>121</v>
      </c>
      <c r="D48" s="207" t="s">
        <v>117</v>
      </c>
      <c r="E48" s="215"/>
      <c r="F48" s="215"/>
      <c r="G48" s="215"/>
      <c r="H48" s="213"/>
      <c r="I48" s="213"/>
      <c r="J48" s="215"/>
      <c r="K48" s="215"/>
      <c r="L48" s="215"/>
      <c r="N48" s="210"/>
      <c r="O48" s="210"/>
    </row>
    <row r="49" spans="1:15" ht="15" thickBot="1" x14ac:dyDescent="0.35">
      <c r="A49" s="259"/>
      <c r="B49" s="271"/>
      <c r="C49" s="271"/>
      <c r="D49" s="207" t="s">
        <v>119</v>
      </c>
      <c r="E49" s="215"/>
      <c r="F49" s="215"/>
      <c r="G49" s="215"/>
      <c r="H49" s="213"/>
      <c r="I49" s="213"/>
      <c r="J49" s="215"/>
      <c r="K49" s="215"/>
      <c r="L49" s="215"/>
      <c r="M49" s="209"/>
      <c r="N49" s="210"/>
      <c r="O49" s="210"/>
    </row>
    <row r="50" spans="1:15" ht="15" thickBot="1" x14ac:dyDescent="0.35">
      <c r="A50" s="259"/>
      <c r="B50" s="270" t="s">
        <v>154</v>
      </c>
      <c r="C50" s="270" t="s">
        <v>121</v>
      </c>
      <c r="D50" s="207" t="s">
        <v>117</v>
      </c>
      <c r="E50" s="215"/>
      <c r="F50" s="215"/>
      <c r="G50" s="215"/>
      <c r="H50" s="213"/>
      <c r="I50" s="213"/>
      <c r="J50" s="215"/>
      <c r="K50" s="215"/>
      <c r="L50" s="215"/>
      <c r="M50" s="209"/>
      <c r="N50" s="210"/>
      <c r="O50" s="210"/>
    </row>
    <row r="51" spans="1:15" ht="15" thickBot="1" x14ac:dyDescent="0.35">
      <c r="A51" s="259"/>
      <c r="B51" s="271"/>
      <c r="C51" s="271"/>
      <c r="D51" s="207" t="s">
        <v>119</v>
      </c>
      <c r="E51" s="215"/>
      <c r="F51" s="215"/>
      <c r="G51" s="215"/>
      <c r="H51" s="213"/>
      <c r="I51" s="213"/>
      <c r="J51" s="215"/>
      <c r="K51" s="215"/>
      <c r="L51" s="215"/>
      <c r="M51" s="211"/>
      <c r="N51" s="210"/>
      <c r="O51" s="210"/>
    </row>
    <row r="52" spans="1:15" ht="15" thickBot="1" x14ac:dyDescent="0.35">
      <c r="A52" s="259"/>
      <c r="B52" s="270" t="s">
        <v>7</v>
      </c>
      <c r="C52" s="270" t="s">
        <v>121</v>
      </c>
      <c r="D52" s="207" t="s">
        <v>121</v>
      </c>
      <c r="E52" s="215"/>
      <c r="F52" s="215"/>
      <c r="G52" s="215"/>
      <c r="H52" s="213"/>
      <c r="I52" s="213"/>
      <c r="J52" s="215"/>
      <c r="K52" s="215"/>
      <c r="L52" s="215"/>
      <c r="M52" s="210"/>
      <c r="N52" s="210"/>
      <c r="O52" s="210"/>
    </row>
    <row r="53" spans="1:15" ht="15" thickBot="1" x14ac:dyDescent="0.35">
      <c r="A53" s="259"/>
      <c r="B53" s="272"/>
      <c r="C53" s="272"/>
      <c r="D53" s="207" t="s">
        <v>117</v>
      </c>
      <c r="E53" s="215"/>
      <c r="F53" s="215"/>
      <c r="G53" s="215"/>
      <c r="H53" s="213"/>
      <c r="I53" s="213"/>
      <c r="J53" s="215"/>
      <c r="K53" s="215"/>
      <c r="L53" s="215"/>
      <c r="M53" s="209"/>
      <c r="N53" s="210"/>
      <c r="O53" s="210"/>
    </row>
    <row r="54" spans="1:15" ht="15" thickBot="1" x14ac:dyDescent="0.35">
      <c r="A54" s="259"/>
      <c r="B54" s="271"/>
      <c r="C54" s="271"/>
      <c r="D54" s="207" t="s">
        <v>119</v>
      </c>
      <c r="E54" s="215"/>
      <c r="F54" s="215"/>
      <c r="G54" s="215"/>
      <c r="H54" s="213"/>
      <c r="I54" s="213"/>
      <c r="J54" s="215"/>
      <c r="K54" s="215"/>
      <c r="L54" s="215"/>
      <c r="M54" s="209"/>
      <c r="N54" s="210"/>
      <c r="O54" s="210"/>
    </row>
    <row r="55" spans="1:15" ht="15" thickBot="1" x14ac:dyDescent="0.35">
      <c r="A55" s="259"/>
      <c r="B55" s="270" t="s">
        <v>172</v>
      </c>
      <c r="C55" s="270" t="s">
        <v>121</v>
      </c>
      <c r="D55" s="207" t="s">
        <v>121</v>
      </c>
      <c r="E55" s="215"/>
      <c r="F55" s="215"/>
      <c r="G55" s="215"/>
      <c r="H55" s="213"/>
      <c r="I55" s="213"/>
      <c r="J55" s="215"/>
      <c r="K55" s="215"/>
      <c r="L55" s="215"/>
      <c r="M55" s="209"/>
      <c r="N55" s="210"/>
      <c r="O55" s="210"/>
    </row>
    <row r="56" spans="1:15" ht="15" thickBot="1" x14ac:dyDescent="0.35">
      <c r="A56" s="259"/>
      <c r="B56" s="272"/>
      <c r="C56" s="272"/>
      <c r="D56" s="207" t="s">
        <v>117</v>
      </c>
      <c r="E56" s="215"/>
      <c r="F56" s="215"/>
      <c r="G56" s="215"/>
      <c r="H56" s="213"/>
      <c r="I56" s="213"/>
      <c r="J56" s="215"/>
      <c r="K56" s="215"/>
      <c r="L56" s="215"/>
      <c r="M56" s="210"/>
      <c r="N56" s="210"/>
      <c r="O56" s="210"/>
    </row>
    <row r="57" spans="1:15" ht="15" thickBot="1" x14ac:dyDescent="0.35">
      <c r="A57" s="259"/>
      <c r="B57" s="271"/>
      <c r="C57" s="271"/>
      <c r="D57" s="207" t="s">
        <v>119</v>
      </c>
      <c r="E57" s="215"/>
      <c r="F57" s="215"/>
      <c r="G57" s="215"/>
      <c r="H57" s="213"/>
      <c r="I57" s="213"/>
      <c r="J57" s="215"/>
      <c r="K57" s="215"/>
      <c r="L57" s="215"/>
      <c r="N57" s="210"/>
      <c r="O57" s="210"/>
    </row>
    <row r="58" spans="1:15" ht="15" thickBot="1" x14ac:dyDescent="0.35">
      <c r="A58" s="259"/>
      <c r="B58" s="207" t="s">
        <v>122</v>
      </c>
      <c r="C58" s="207" t="s">
        <v>121</v>
      </c>
      <c r="D58" s="207" t="s">
        <v>121</v>
      </c>
      <c r="E58" s="215"/>
      <c r="F58" s="215"/>
      <c r="G58" s="215"/>
      <c r="H58" s="213"/>
      <c r="I58" s="213"/>
      <c r="J58" s="215"/>
      <c r="K58" s="215"/>
      <c r="L58" s="215"/>
      <c r="N58" s="210"/>
      <c r="O58" s="210"/>
    </row>
    <row r="59" spans="1:15" ht="15" thickBot="1" x14ac:dyDescent="0.35">
      <c r="A59" s="259"/>
      <c r="B59" s="270" t="s">
        <v>156</v>
      </c>
      <c r="C59" s="282" t="s">
        <v>174</v>
      </c>
      <c r="D59" s="207" t="s">
        <v>117</v>
      </c>
      <c r="E59" s="215"/>
      <c r="F59" s="215"/>
      <c r="G59" s="215"/>
      <c r="H59" s="213"/>
      <c r="I59" s="213"/>
      <c r="J59" s="215"/>
      <c r="K59" s="215"/>
      <c r="L59" s="215"/>
      <c r="N59" s="210"/>
      <c r="O59" s="210"/>
    </row>
    <row r="60" spans="1:15" ht="15" thickBot="1" x14ac:dyDescent="0.35">
      <c r="A60" s="259"/>
      <c r="B60" s="272"/>
      <c r="C60" s="283"/>
      <c r="D60" s="207" t="s">
        <v>119</v>
      </c>
      <c r="E60" s="215"/>
      <c r="F60" s="215"/>
      <c r="G60" s="215"/>
      <c r="H60" s="213"/>
      <c r="I60" s="213"/>
      <c r="J60" s="215"/>
      <c r="K60" s="215"/>
      <c r="L60" s="215"/>
      <c r="N60" s="210"/>
      <c r="O60" s="210"/>
    </row>
    <row r="61" spans="1:15" ht="15" thickBot="1" x14ac:dyDescent="0.35">
      <c r="A61" s="259"/>
      <c r="B61" s="271"/>
      <c r="C61" s="284"/>
      <c r="D61" s="207" t="s">
        <v>121</v>
      </c>
      <c r="E61" s="215"/>
      <c r="F61" s="215"/>
      <c r="G61" s="215"/>
      <c r="H61" s="213"/>
      <c r="I61" s="213"/>
      <c r="J61" s="215"/>
      <c r="K61" s="215"/>
      <c r="L61" s="215"/>
      <c r="N61" s="210"/>
      <c r="O61" s="210"/>
    </row>
    <row r="62" spans="1:15" ht="15" thickBot="1" x14ac:dyDescent="0.35">
      <c r="A62" s="260"/>
      <c r="B62" s="207" t="s">
        <v>133</v>
      </c>
      <c r="C62" s="207" t="s">
        <v>121</v>
      </c>
      <c r="D62" s="207" t="s">
        <v>121</v>
      </c>
      <c r="E62" s="215"/>
      <c r="F62" s="215"/>
      <c r="G62" s="215"/>
      <c r="H62" s="213"/>
      <c r="I62" s="213"/>
      <c r="J62" s="215"/>
      <c r="K62" s="215"/>
      <c r="L62" s="215"/>
      <c r="N62" s="210"/>
      <c r="O62" s="210"/>
    </row>
    <row r="63" spans="1:15" ht="15" thickBot="1" x14ac:dyDescent="0.3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</row>
    <row r="64" spans="1:15" ht="15" thickBot="1" x14ac:dyDescent="0.35">
      <c r="A64" s="261" t="s">
        <v>175</v>
      </c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3"/>
    </row>
    <row r="65" spans="1:17" ht="15.75" customHeight="1" thickBot="1" x14ac:dyDescent="0.35">
      <c r="A65" s="276" t="s">
        <v>107</v>
      </c>
      <c r="B65" s="276" t="s">
        <v>108</v>
      </c>
      <c r="C65" s="276" t="s">
        <v>176</v>
      </c>
      <c r="D65" s="276" t="s">
        <v>110</v>
      </c>
      <c r="E65" s="276" t="s">
        <v>111</v>
      </c>
      <c r="F65" s="279" t="s">
        <v>112</v>
      </c>
      <c r="G65" s="280"/>
      <c r="H65" s="280"/>
      <c r="I65" s="280"/>
      <c r="J65" s="281"/>
      <c r="K65" s="279" t="s">
        <v>177</v>
      </c>
      <c r="L65" s="280"/>
      <c r="M65" s="281"/>
    </row>
    <row r="66" spans="1:17" ht="15" thickBot="1" x14ac:dyDescent="0.35">
      <c r="A66" s="277"/>
      <c r="B66" s="277"/>
      <c r="C66" s="277"/>
      <c r="D66" s="277"/>
      <c r="E66" s="277"/>
      <c r="F66" s="273" t="s">
        <v>39</v>
      </c>
      <c r="G66" s="275"/>
      <c r="H66" s="273" t="s">
        <v>14</v>
      </c>
      <c r="I66" s="274"/>
      <c r="J66" s="275"/>
      <c r="K66" s="273" t="s">
        <v>39</v>
      </c>
      <c r="L66" s="275"/>
      <c r="M66" s="221" t="s">
        <v>14</v>
      </c>
    </row>
    <row r="67" spans="1:17" ht="15.75" customHeight="1" thickBot="1" x14ac:dyDescent="0.35">
      <c r="A67" s="278"/>
      <c r="B67" s="278"/>
      <c r="C67" s="278"/>
      <c r="D67" s="278"/>
      <c r="E67" s="278"/>
      <c r="F67" s="222" t="s">
        <v>113</v>
      </c>
      <c r="G67" s="222" t="s">
        <v>114</v>
      </c>
      <c r="H67" s="223" t="s">
        <v>147</v>
      </c>
      <c r="I67" s="224" t="s">
        <v>148</v>
      </c>
      <c r="J67" s="225" t="s">
        <v>149</v>
      </c>
      <c r="K67" s="222" t="s">
        <v>113</v>
      </c>
      <c r="L67" s="222" t="s">
        <v>114</v>
      </c>
      <c r="M67" s="222" t="s">
        <v>114</v>
      </c>
      <c r="O67" s="209"/>
    </row>
    <row r="68" spans="1:17" ht="15" thickBot="1" x14ac:dyDescent="0.35">
      <c r="A68" s="258" t="s">
        <v>18</v>
      </c>
      <c r="B68" s="255" t="s">
        <v>115</v>
      </c>
      <c r="C68" s="255" t="s">
        <v>116</v>
      </c>
      <c r="D68" s="255" t="s">
        <v>116</v>
      </c>
      <c r="E68" s="226" t="s">
        <v>117</v>
      </c>
      <c r="F68" s="227">
        <v>0</v>
      </c>
      <c r="G68" s="215">
        <v>937.61</v>
      </c>
      <c r="H68" s="215">
        <v>484.48</v>
      </c>
      <c r="I68" s="213"/>
      <c r="J68" s="213"/>
      <c r="K68" s="215">
        <v>0</v>
      </c>
      <c r="L68" s="215">
        <v>918.51</v>
      </c>
      <c r="M68" s="215">
        <v>492.47</v>
      </c>
      <c r="O68" s="209"/>
      <c r="P68" s="210"/>
      <c r="Q68" s="228"/>
    </row>
    <row r="69" spans="1:17" ht="15" thickBot="1" x14ac:dyDescent="0.35">
      <c r="A69" s="259"/>
      <c r="B69" s="256"/>
      <c r="C69" s="256"/>
      <c r="D69" s="256"/>
      <c r="E69" s="226" t="s">
        <v>118</v>
      </c>
      <c r="F69" s="227">
        <v>0</v>
      </c>
      <c r="G69" s="215">
        <v>651.29</v>
      </c>
      <c r="H69" s="215">
        <v>305.79000000000002</v>
      </c>
      <c r="I69" s="213"/>
      <c r="J69" s="213"/>
      <c r="K69" s="215">
        <v>0</v>
      </c>
      <c r="L69" s="215">
        <v>634.94000000000005</v>
      </c>
      <c r="M69" s="215">
        <v>316.45999999999998</v>
      </c>
      <c r="O69" s="211"/>
      <c r="P69" s="210"/>
    </row>
    <row r="70" spans="1:17" ht="15" thickBot="1" x14ac:dyDescent="0.35">
      <c r="A70" s="259"/>
      <c r="B70" s="257"/>
      <c r="C70" s="257"/>
      <c r="D70" s="257"/>
      <c r="E70" s="226" t="s">
        <v>119</v>
      </c>
      <c r="F70" s="227">
        <v>0</v>
      </c>
      <c r="G70" s="215">
        <v>364.96</v>
      </c>
      <c r="H70" s="215">
        <v>305.79000000000002</v>
      </c>
      <c r="I70" s="213"/>
      <c r="J70" s="213"/>
      <c r="K70" s="215">
        <v>0</v>
      </c>
      <c r="L70" s="215">
        <v>351.38</v>
      </c>
      <c r="M70" s="215">
        <v>316.45999999999998</v>
      </c>
      <c r="O70" s="210"/>
      <c r="P70" s="210"/>
    </row>
    <row r="71" spans="1:17" ht="15" thickBot="1" x14ac:dyDescent="0.35">
      <c r="A71" s="259"/>
      <c r="B71" s="255" t="s">
        <v>122</v>
      </c>
      <c r="C71" s="255" t="s">
        <v>116</v>
      </c>
      <c r="D71" s="229" t="s">
        <v>116</v>
      </c>
      <c r="E71" s="226" t="s">
        <v>121</v>
      </c>
      <c r="F71" s="230">
        <v>0</v>
      </c>
      <c r="G71" s="215">
        <v>468.63</v>
      </c>
      <c r="H71" s="215">
        <v>320.68</v>
      </c>
      <c r="I71" s="213"/>
      <c r="J71" s="213"/>
      <c r="K71" s="212">
        <v>0</v>
      </c>
      <c r="L71" s="215">
        <v>454.05</v>
      </c>
      <c r="M71" s="215">
        <v>331.12</v>
      </c>
      <c r="O71" s="209"/>
      <c r="P71" s="210"/>
    </row>
    <row r="72" spans="1:17" ht="15" thickBot="1" x14ac:dyDescent="0.35">
      <c r="A72" s="259"/>
      <c r="B72" s="256"/>
      <c r="C72" s="256"/>
      <c r="D72" s="229" t="s">
        <v>178</v>
      </c>
      <c r="E72" s="226" t="s">
        <v>121</v>
      </c>
      <c r="F72" s="230">
        <v>0</v>
      </c>
      <c r="G72" s="215">
        <v>325.43</v>
      </c>
      <c r="H72" s="215">
        <v>282.45</v>
      </c>
      <c r="I72" s="213"/>
      <c r="J72" s="213"/>
      <c r="K72" s="212">
        <v>0</v>
      </c>
      <c r="L72" s="215"/>
      <c r="M72" s="215"/>
      <c r="O72" s="209"/>
      <c r="P72" s="210"/>
    </row>
    <row r="73" spans="1:17" ht="15" thickBot="1" x14ac:dyDescent="0.35">
      <c r="A73" s="260"/>
      <c r="B73" s="257"/>
      <c r="C73" s="257"/>
      <c r="D73" s="235" t="s">
        <v>188</v>
      </c>
      <c r="E73" s="226" t="s">
        <v>121</v>
      </c>
      <c r="F73" s="230"/>
      <c r="G73" s="215">
        <v>340.19</v>
      </c>
      <c r="H73" s="215">
        <v>296.66000000000003</v>
      </c>
      <c r="I73" s="213"/>
      <c r="J73" s="213"/>
      <c r="K73" s="212"/>
      <c r="L73" s="215"/>
      <c r="M73" s="215"/>
      <c r="O73" s="209"/>
      <c r="P73" s="210"/>
    </row>
    <row r="74" spans="1:17" ht="15" thickBot="1" x14ac:dyDescent="0.35">
      <c r="A74" s="258" t="s">
        <v>98</v>
      </c>
      <c r="B74" s="255" t="s">
        <v>115</v>
      </c>
      <c r="C74" s="255" t="s">
        <v>124</v>
      </c>
      <c r="D74" s="255" t="s">
        <v>121</v>
      </c>
      <c r="E74" s="226" t="s">
        <v>117</v>
      </c>
      <c r="F74" s="227">
        <v>0</v>
      </c>
      <c r="G74" s="215">
        <v>1061.03</v>
      </c>
      <c r="H74" s="215">
        <v>484.48</v>
      </c>
      <c r="I74" s="213"/>
      <c r="J74" s="213"/>
      <c r="K74" s="215">
        <v>0</v>
      </c>
      <c r="L74" s="215">
        <v>1040.73</v>
      </c>
      <c r="M74" s="215">
        <v>492.47</v>
      </c>
      <c r="O74" s="209"/>
      <c r="P74" s="210"/>
    </row>
    <row r="75" spans="1:17" ht="15" thickBot="1" x14ac:dyDescent="0.35">
      <c r="A75" s="259"/>
      <c r="B75" s="256"/>
      <c r="C75" s="256"/>
      <c r="D75" s="256"/>
      <c r="E75" s="226" t="s">
        <v>118</v>
      </c>
      <c r="F75" s="227">
        <v>0</v>
      </c>
      <c r="G75" s="215">
        <v>725.34</v>
      </c>
      <c r="H75" s="215">
        <v>305.79000000000002</v>
      </c>
      <c r="I75" s="213"/>
      <c r="J75" s="213"/>
      <c r="K75" s="215">
        <v>0</v>
      </c>
      <c r="L75" s="215">
        <v>708.28</v>
      </c>
      <c r="M75" s="215">
        <v>316.45999999999998</v>
      </c>
      <c r="O75" s="210"/>
      <c r="P75" s="210"/>
    </row>
    <row r="76" spans="1:17" ht="15" thickBot="1" x14ac:dyDescent="0.35">
      <c r="A76" s="259"/>
      <c r="B76" s="257"/>
      <c r="C76" s="257"/>
      <c r="D76" s="257"/>
      <c r="E76" s="226" t="s">
        <v>119</v>
      </c>
      <c r="F76" s="227">
        <v>0</v>
      </c>
      <c r="G76" s="215">
        <v>389.65</v>
      </c>
      <c r="H76" s="215">
        <v>305.79000000000002</v>
      </c>
      <c r="I76" s="213"/>
      <c r="J76" s="213"/>
      <c r="K76" s="215">
        <v>0</v>
      </c>
      <c r="L76" s="215">
        <v>375.82</v>
      </c>
      <c r="M76" s="215">
        <v>316.45999999999998</v>
      </c>
      <c r="O76" s="210"/>
      <c r="P76" s="210"/>
    </row>
    <row r="77" spans="1:17" ht="15" thickBot="1" x14ac:dyDescent="0.35">
      <c r="A77" s="259"/>
      <c r="B77" s="229" t="s">
        <v>122</v>
      </c>
      <c r="C77" s="229" t="s">
        <v>124</v>
      </c>
      <c r="D77" s="229" t="s">
        <v>121</v>
      </c>
      <c r="E77" s="226" t="s">
        <v>121</v>
      </c>
      <c r="F77" s="227">
        <v>0</v>
      </c>
      <c r="G77" s="215">
        <v>468.63</v>
      </c>
      <c r="H77" s="215">
        <v>320.68</v>
      </c>
      <c r="I77" s="213"/>
      <c r="J77" s="213"/>
      <c r="K77" s="215">
        <v>0</v>
      </c>
      <c r="L77" s="215">
        <v>454.05</v>
      </c>
      <c r="M77" s="215">
        <v>331.12</v>
      </c>
      <c r="O77" s="210"/>
      <c r="P77" s="210"/>
    </row>
    <row r="78" spans="1:17" ht="15.75" customHeight="1" thickBot="1" x14ac:dyDescent="0.35">
      <c r="A78" s="259"/>
      <c r="B78" s="255" t="s">
        <v>115</v>
      </c>
      <c r="C78" s="255" t="s">
        <v>124</v>
      </c>
      <c r="D78" s="255" t="s">
        <v>126</v>
      </c>
      <c r="E78" s="226" t="s">
        <v>117</v>
      </c>
      <c r="F78" s="227">
        <v>0</v>
      </c>
      <c r="G78" s="215">
        <v>1061.03</v>
      </c>
      <c r="H78" s="215">
        <v>484.48</v>
      </c>
      <c r="I78" s="213"/>
      <c r="J78" s="213"/>
      <c r="K78" s="215">
        <v>0</v>
      </c>
      <c r="L78" s="215">
        <v>1040.73</v>
      </c>
      <c r="M78" s="215">
        <v>492.47</v>
      </c>
      <c r="O78" s="210"/>
      <c r="P78" s="210"/>
    </row>
    <row r="79" spans="1:17" ht="15" thickBot="1" x14ac:dyDescent="0.35">
      <c r="A79" s="259"/>
      <c r="B79" s="256"/>
      <c r="C79" s="256"/>
      <c r="D79" s="256"/>
      <c r="E79" s="226" t="s">
        <v>118</v>
      </c>
      <c r="F79" s="227">
        <v>0</v>
      </c>
      <c r="G79" s="215">
        <v>725.34</v>
      </c>
      <c r="H79" s="215">
        <v>305.79000000000002</v>
      </c>
      <c r="I79" s="213"/>
      <c r="J79" s="213"/>
      <c r="K79" s="215">
        <v>0</v>
      </c>
      <c r="L79" s="215">
        <v>708.28</v>
      </c>
      <c r="M79" s="215">
        <v>316.45999999999998</v>
      </c>
      <c r="O79" s="210"/>
      <c r="P79" s="210"/>
    </row>
    <row r="80" spans="1:17" ht="15" thickBot="1" x14ac:dyDescent="0.35">
      <c r="A80" s="259"/>
      <c r="B80" s="257"/>
      <c r="C80" s="257"/>
      <c r="D80" s="257"/>
      <c r="E80" s="226" t="s">
        <v>119</v>
      </c>
      <c r="F80" s="227">
        <v>0</v>
      </c>
      <c r="G80" s="215">
        <v>389.65</v>
      </c>
      <c r="H80" s="215">
        <v>305.79000000000002</v>
      </c>
      <c r="I80" s="213"/>
      <c r="J80" s="213"/>
      <c r="K80" s="215">
        <v>0</v>
      </c>
      <c r="L80" s="215">
        <v>375.82</v>
      </c>
      <c r="M80" s="215">
        <v>316.45999999999998</v>
      </c>
      <c r="O80" s="210"/>
      <c r="P80" s="210"/>
    </row>
    <row r="81" spans="1:16" ht="21" thickBot="1" x14ac:dyDescent="0.35">
      <c r="A81" s="259"/>
      <c r="B81" s="229" t="s">
        <v>122</v>
      </c>
      <c r="C81" s="229" t="s">
        <v>124</v>
      </c>
      <c r="D81" s="229" t="s">
        <v>126</v>
      </c>
      <c r="E81" s="226" t="s">
        <v>121</v>
      </c>
      <c r="F81" s="227">
        <v>0</v>
      </c>
      <c r="G81" s="215">
        <v>468.63</v>
      </c>
      <c r="H81" s="215">
        <v>320.68</v>
      </c>
      <c r="I81" s="213"/>
      <c r="J81" s="213"/>
      <c r="K81" s="215">
        <v>0</v>
      </c>
      <c r="L81" s="215">
        <v>454.05</v>
      </c>
      <c r="M81" s="215">
        <v>331.12</v>
      </c>
      <c r="O81" s="209"/>
      <c r="P81" s="210"/>
    </row>
    <row r="82" spans="1:16" ht="15.75" customHeight="1" thickBot="1" x14ac:dyDescent="0.35">
      <c r="A82" s="259"/>
      <c r="B82" s="255" t="s">
        <v>115</v>
      </c>
      <c r="C82" s="255" t="s">
        <v>124</v>
      </c>
      <c r="D82" s="255" t="s">
        <v>127</v>
      </c>
      <c r="E82" s="226" t="s">
        <v>117</v>
      </c>
      <c r="F82" s="227">
        <v>0</v>
      </c>
      <c r="G82" s="215">
        <v>1061.03</v>
      </c>
      <c r="H82" s="215">
        <v>484.48</v>
      </c>
      <c r="I82" s="213"/>
      <c r="J82" s="213"/>
      <c r="K82" s="215">
        <v>0</v>
      </c>
      <c r="L82" s="215">
        <v>1040.73</v>
      </c>
      <c r="M82" s="215">
        <v>492.47</v>
      </c>
      <c r="O82" s="209"/>
      <c r="P82" s="210"/>
    </row>
    <row r="83" spans="1:16" ht="15" thickBot="1" x14ac:dyDescent="0.35">
      <c r="A83" s="259"/>
      <c r="B83" s="256"/>
      <c r="C83" s="256"/>
      <c r="D83" s="256"/>
      <c r="E83" s="226" t="s">
        <v>118</v>
      </c>
      <c r="F83" s="227">
        <v>0</v>
      </c>
      <c r="G83" s="215">
        <v>725.34</v>
      </c>
      <c r="H83" s="215">
        <v>305.79000000000002</v>
      </c>
      <c r="I83" s="213"/>
      <c r="J83" s="213"/>
      <c r="K83" s="215">
        <v>0</v>
      </c>
      <c r="L83" s="215">
        <v>708.28</v>
      </c>
      <c r="M83" s="215">
        <v>316.45999999999998</v>
      </c>
      <c r="O83" s="211"/>
      <c r="P83" s="210"/>
    </row>
    <row r="84" spans="1:16" ht="15" thickBot="1" x14ac:dyDescent="0.35">
      <c r="A84" s="259"/>
      <c r="B84" s="257"/>
      <c r="C84" s="257"/>
      <c r="D84" s="257"/>
      <c r="E84" s="226" t="s">
        <v>119</v>
      </c>
      <c r="F84" s="227">
        <v>0</v>
      </c>
      <c r="G84" s="215">
        <v>389.65</v>
      </c>
      <c r="H84" s="215">
        <v>305.79000000000002</v>
      </c>
      <c r="I84" s="213"/>
      <c r="J84" s="213"/>
      <c r="K84" s="215">
        <v>0</v>
      </c>
      <c r="L84" s="215">
        <v>375.82</v>
      </c>
      <c r="M84" s="215">
        <v>316.45999999999998</v>
      </c>
      <c r="O84" s="210"/>
      <c r="P84" s="210"/>
    </row>
    <row r="85" spans="1:16" ht="21" thickBot="1" x14ac:dyDescent="0.35">
      <c r="A85" s="260"/>
      <c r="B85" s="229" t="s">
        <v>122</v>
      </c>
      <c r="C85" s="229" t="s">
        <v>124</v>
      </c>
      <c r="D85" s="229" t="s">
        <v>127</v>
      </c>
      <c r="E85" s="226" t="s">
        <v>121</v>
      </c>
      <c r="F85" s="227">
        <v>0</v>
      </c>
      <c r="G85" s="215">
        <v>468.63</v>
      </c>
      <c r="H85" s="215">
        <v>320.68</v>
      </c>
      <c r="I85" s="213"/>
      <c r="J85" s="213"/>
      <c r="K85" s="215">
        <v>0</v>
      </c>
      <c r="L85" s="215">
        <v>454.05</v>
      </c>
      <c r="M85" s="215">
        <v>331.12</v>
      </c>
      <c r="O85" s="209"/>
      <c r="P85" s="210"/>
    </row>
    <row r="86" spans="1:16" ht="15" thickBot="1" x14ac:dyDescent="0.35">
      <c r="A86" s="258" t="s">
        <v>96</v>
      </c>
      <c r="B86" s="255" t="s">
        <v>115</v>
      </c>
      <c r="C86" s="255" t="s">
        <v>121</v>
      </c>
      <c r="D86" s="255" t="s">
        <v>121</v>
      </c>
      <c r="E86" s="226" t="s">
        <v>117</v>
      </c>
      <c r="F86" s="227">
        <v>0</v>
      </c>
      <c r="G86" s="215">
        <v>1061.03</v>
      </c>
      <c r="H86" s="215">
        <v>484.48</v>
      </c>
      <c r="I86" s="213"/>
      <c r="J86" s="213"/>
      <c r="K86" s="215">
        <v>0</v>
      </c>
      <c r="L86" s="215">
        <v>1040.73</v>
      </c>
      <c r="M86" s="215">
        <v>492.47</v>
      </c>
      <c r="O86" s="209"/>
      <c r="P86" s="210"/>
    </row>
    <row r="87" spans="1:16" ht="15" thickBot="1" x14ac:dyDescent="0.35">
      <c r="A87" s="259"/>
      <c r="B87" s="256"/>
      <c r="C87" s="256"/>
      <c r="D87" s="256"/>
      <c r="E87" s="226" t="s">
        <v>118</v>
      </c>
      <c r="F87" s="227">
        <v>0</v>
      </c>
      <c r="G87" s="215">
        <v>725.34</v>
      </c>
      <c r="H87" s="215">
        <v>305.79000000000002</v>
      </c>
      <c r="I87" s="213"/>
      <c r="J87" s="213"/>
      <c r="K87" s="215">
        <v>0</v>
      </c>
      <c r="L87" s="215">
        <v>708.28</v>
      </c>
      <c r="M87" s="215">
        <v>316.45999999999998</v>
      </c>
      <c r="O87" s="209"/>
      <c r="P87" s="210"/>
    </row>
    <row r="88" spans="1:16" ht="15" thickBot="1" x14ac:dyDescent="0.35">
      <c r="A88" s="259"/>
      <c r="B88" s="257"/>
      <c r="C88" s="257"/>
      <c r="D88" s="257"/>
      <c r="E88" s="226" t="s">
        <v>119</v>
      </c>
      <c r="F88" s="227">
        <v>0</v>
      </c>
      <c r="G88" s="215">
        <v>389.65</v>
      </c>
      <c r="H88" s="215">
        <v>305.79000000000002</v>
      </c>
      <c r="I88" s="213"/>
      <c r="J88" s="213"/>
      <c r="K88" s="215">
        <v>0</v>
      </c>
      <c r="L88" s="215">
        <v>375.82</v>
      </c>
      <c r="M88" s="215">
        <v>316.45999999999998</v>
      </c>
      <c r="O88" s="210"/>
      <c r="P88" s="210"/>
    </row>
    <row r="89" spans="1:16" ht="15" thickBot="1" x14ac:dyDescent="0.35">
      <c r="A89" s="260"/>
      <c r="B89" s="229" t="s">
        <v>122</v>
      </c>
      <c r="C89" s="229" t="s">
        <v>121</v>
      </c>
      <c r="D89" s="229" t="s">
        <v>121</v>
      </c>
      <c r="E89" s="226" t="s">
        <v>121</v>
      </c>
      <c r="F89" s="227">
        <v>0</v>
      </c>
      <c r="G89" s="215">
        <v>468.63</v>
      </c>
      <c r="H89" s="215">
        <v>320.68</v>
      </c>
      <c r="I89" s="213"/>
      <c r="J89" s="213"/>
      <c r="K89" s="215">
        <v>0</v>
      </c>
      <c r="L89" s="215">
        <v>454.05</v>
      </c>
      <c r="M89" s="215">
        <v>331.12</v>
      </c>
      <c r="O89" s="210"/>
      <c r="P89" s="210"/>
    </row>
    <row r="90" spans="1:16" ht="21" thickBot="1" x14ac:dyDescent="0.35">
      <c r="A90" s="258" t="s">
        <v>128</v>
      </c>
      <c r="B90" s="255" t="s">
        <v>122</v>
      </c>
      <c r="C90" s="255" t="s">
        <v>129</v>
      </c>
      <c r="D90" s="229" t="s">
        <v>179</v>
      </c>
      <c r="E90" s="226" t="s">
        <v>121</v>
      </c>
      <c r="F90" s="227">
        <v>0</v>
      </c>
      <c r="G90" s="215">
        <v>257.75</v>
      </c>
      <c r="H90" s="215">
        <v>176.38</v>
      </c>
      <c r="I90" s="213"/>
      <c r="J90" s="213"/>
      <c r="K90" s="215">
        <v>0</v>
      </c>
      <c r="L90" s="215">
        <v>249.73</v>
      </c>
      <c r="M90" s="215">
        <v>182.12</v>
      </c>
      <c r="O90" s="210"/>
      <c r="P90" s="210"/>
    </row>
    <row r="91" spans="1:16" ht="21" thickBot="1" x14ac:dyDescent="0.35">
      <c r="A91" s="260"/>
      <c r="B91" s="257"/>
      <c r="C91" s="257"/>
      <c r="D91" s="229" t="s">
        <v>180</v>
      </c>
      <c r="E91" s="226" t="s">
        <v>121</v>
      </c>
      <c r="F91" s="227">
        <v>0</v>
      </c>
      <c r="G91" s="215">
        <v>281.18</v>
      </c>
      <c r="H91" s="215">
        <v>192.41</v>
      </c>
      <c r="I91" s="213"/>
      <c r="J91" s="213"/>
      <c r="K91" s="215">
        <v>0</v>
      </c>
      <c r="L91" s="215">
        <v>272.43</v>
      </c>
      <c r="M91" s="215">
        <v>198.67</v>
      </c>
      <c r="O91" s="210"/>
      <c r="P91" s="210"/>
    </row>
  </sheetData>
  <customSheetViews>
    <customSheetView guid="{DD040A5E-BAB6-4607-A6FD-72F0B8E25E8D}" state="hidden" topLeftCell="A61">
      <selection activeCell="E52" sqref="E52"/>
      <pageMargins left="0.511811024" right="0.511811024" top="0.78740157499999996" bottom="0.78740157499999996" header="0.31496062000000002" footer="0.31496062000000002"/>
    </customSheetView>
  </customSheetViews>
  <mergeCells count="82">
    <mergeCell ref="A90:A91"/>
    <mergeCell ref="B90:B91"/>
    <mergeCell ref="C90:C91"/>
    <mergeCell ref="B68:B70"/>
    <mergeCell ref="C68:C70"/>
    <mergeCell ref="D68:D70"/>
    <mergeCell ref="A68:A73"/>
    <mergeCell ref="B71:B73"/>
    <mergeCell ref="C71:C73"/>
    <mergeCell ref="B52:B54"/>
    <mergeCell ref="C52:C54"/>
    <mergeCell ref="B55:B57"/>
    <mergeCell ref="C55:C57"/>
    <mergeCell ref="B59:B61"/>
    <mergeCell ref="C59:C61"/>
    <mergeCell ref="A48:A62"/>
    <mergeCell ref="B48:B49"/>
    <mergeCell ref="C48:C49"/>
    <mergeCell ref="B50:B51"/>
    <mergeCell ref="C50:C51"/>
    <mergeCell ref="H66:J66"/>
    <mergeCell ref="A64:M64"/>
    <mergeCell ref="A65:A67"/>
    <mergeCell ref="B65:B67"/>
    <mergeCell ref="C65:C67"/>
    <mergeCell ref="D65:D67"/>
    <mergeCell ref="E65:E67"/>
    <mergeCell ref="F65:J65"/>
    <mergeCell ref="K65:M65"/>
    <mergeCell ref="F66:G66"/>
    <mergeCell ref="K66:L66"/>
    <mergeCell ref="A36:A47"/>
    <mergeCell ref="B36:B37"/>
    <mergeCell ref="C36:C37"/>
    <mergeCell ref="B38:B39"/>
    <mergeCell ref="C38:C39"/>
    <mergeCell ref="B40:B42"/>
    <mergeCell ref="C40:C42"/>
    <mergeCell ref="B43:B45"/>
    <mergeCell ref="C43:C45"/>
    <mergeCell ref="A28:A35"/>
    <mergeCell ref="B28:B29"/>
    <mergeCell ref="C28:C29"/>
    <mergeCell ref="B30:B31"/>
    <mergeCell ref="C30:C31"/>
    <mergeCell ref="B32:B34"/>
    <mergeCell ref="C32:C34"/>
    <mergeCell ref="B5:B6"/>
    <mergeCell ref="C5:C6"/>
    <mergeCell ref="B7:B8"/>
    <mergeCell ref="C7:C8"/>
    <mergeCell ref="A9:A27"/>
    <mergeCell ref="B9:B10"/>
    <mergeCell ref="C9:C10"/>
    <mergeCell ref="B11:B12"/>
    <mergeCell ref="C11:C12"/>
    <mergeCell ref="B13:B15"/>
    <mergeCell ref="C13:C15"/>
    <mergeCell ref="B16:B27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78:D80"/>
    <mergeCell ref="B82:B84"/>
    <mergeCell ref="C82:C84"/>
    <mergeCell ref="D82:D84"/>
    <mergeCell ref="A86:A89"/>
    <mergeCell ref="B86:B88"/>
    <mergeCell ref="C86:C88"/>
    <mergeCell ref="D86:D88"/>
    <mergeCell ref="A74:A85"/>
    <mergeCell ref="B74:B76"/>
    <mergeCell ref="C74:C76"/>
    <mergeCell ref="D74:D76"/>
    <mergeCell ref="B78:B80"/>
    <mergeCell ref="C78:C8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A4AA-E6A2-4279-8F7B-57222CA85F23}">
  <dimension ref="A1:Q93"/>
  <sheetViews>
    <sheetView topLeftCell="A20" workbookViewId="0">
      <selection activeCell="E52" sqref="E52"/>
    </sheetView>
  </sheetViews>
  <sheetFormatPr defaultColWidth="15" defaultRowHeight="14.4" x14ac:dyDescent="0.3"/>
  <cols>
    <col min="1" max="1" width="35.44140625" style="231" bestFit="1" customWidth="1"/>
    <col min="2" max="2" width="16" style="231" bestFit="1" customWidth="1"/>
    <col min="3" max="3" width="17.44140625" style="231" bestFit="1" customWidth="1"/>
    <col min="4" max="4" width="17.6640625" style="231" bestFit="1" customWidth="1"/>
    <col min="5" max="5" width="12.6640625" style="231" bestFit="1" customWidth="1"/>
    <col min="6" max="6" width="8.44140625" style="231" bestFit="1" customWidth="1"/>
    <col min="7" max="7" width="12" style="231" bestFit="1" customWidth="1"/>
    <col min="8" max="8" width="12.109375" style="231" bestFit="1" customWidth="1"/>
    <col min="9" max="9" width="12.44140625" style="231" bestFit="1" customWidth="1"/>
    <col min="10" max="10" width="12.33203125" style="231" bestFit="1" customWidth="1"/>
    <col min="11" max="11" width="8.44140625" style="231" bestFit="1" customWidth="1"/>
    <col min="12" max="12" width="7.6640625" style="231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261" t="s">
        <v>136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3"/>
    </row>
    <row r="2" spans="1:17" ht="15.75" customHeight="1" thickBot="1" x14ac:dyDescent="0.35">
      <c r="A2" s="264" t="s">
        <v>107</v>
      </c>
      <c r="B2" s="264" t="s">
        <v>108</v>
      </c>
      <c r="C2" s="264" t="s">
        <v>137</v>
      </c>
      <c r="D2" s="195" t="s">
        <v>111</v>
      </c>
      <c r="E2" s="267" t="s">
        <v>112</v>
      </c>
      <c r="F2" s="268"/>
      <c r="G2" s="268"/>
      <c r="H2" s="268"/>
      <c r="I2" s="269"/>
      <c r="J2" s="267" t="s">
        <v>138</v>
      </c>
      <c r="K2" s="268"/>
      <c r="L2" s="269"/>
      <c r="N2" s="196" t="s">
        <v>139</v>
      </c>
      <c r="O2" s="196" t="s">
        <v>140</v>
      </c>
      <c r="P2" s="196" t="s">
        <v>141</v>
      </c>
      <c r="Q2" s="196" t="s">
        <v>142</v>
      </c>
    </row>
    <row r="3" spans="1:17" ht="15" thickBot="1" x14ac:dyDescent="0.35">
      <c r="A3" s="265"/>
      <c r="B3" s="265"/>
      <c r="C3" s="265"/>
      <c r="D3" s="197"/>
      <c r="E3" s="267" t="s">
        <v>39</v>
      </c>
      <c r="F3" s="269"/>
      <c r="G3" s="267" t="s">
        <v>143</v>
      </c>
      <c r="H3" s="268"/>
      <c r="I3" s="269"/>
      <c r="J3" s="267" t="s">
        <v>39</v>
      </c>
      <c r="K3" s="269"/>
      <c r="L3" s="197" t="s">
        <v>14</v>
      </c>
      <c r="N3" s="198" t="s">
        <v>144</v>
      </c>
      <c r="O3" s="199" t="s">
        <v>145</v>
      </c>
      <c r="P3" s="199" t="s">
        <v>146</v>
      </c>
      <c r="Q3" s="200">
        <v>2026</v>
      </c>
    </row>
    <row r="4" spans="1:17" ht="15" thickBot="1" x14ac:dyDescent="0.35">
      <c r="A4" s="266"/>
      <c r="B4" s="266"/>
      <c r="C4" s="266"/>
      <c r="D4" s="197"/>
      <c r="E4" s="197" t="s">
        <v>113</v>
      </c>
      <c r="F4" s="197" t="s">
        <v>114</v>
      </c>
      <c r="G4" s="201" t="s">
        <v>147</v>
      </c>
      <c r="H4" s="202" t="s">
        <v>148</v>
      </c>
      <c r="I4" s="203" t="s">
        <v>149</v>
      </c>
      <c r="J4" s="197" t="s">
        <v>113</v>
      </c>
      <c r="K4" s="197" t="s">
        <v>114</v>
      </c>
      <c r="L4" s="197" t="s">
        <v>114</v>
      </c>
      <c r="N4" s="198" t="s">
        <v>150</v>
      </c>
      <c r="O4" s="204" t="s">
        <v>181</v>
      </c>
      <c r="P4" s="204" t="s">
        <v>182</v>
      </c>
      <c r="Q4" s="205">
        <v>9999</v>
      </c>
    </row>
    <row r="5" spans="1:17" ht="15" thickBot="1" x14ac:dyDescent="0.35">
      <c r="A5" s="206"/>
      <c r="B5" s="270" t="s">
        <v>152</v>
      </c>
      <c r="C5" s="270" t="s">
        <v>121</v>
      </c>
      <c r="D5" s="207" t="s">
        <v>117</v>
      </c>
      <c r="E5" s="208"/>
      <c r="F5" s="208"/>
      <c r="G5" s="208"/>
      <c r="H5" s="208"/>
      <c r="I5" s="208"/>
      <c r="J5" s="208"/>
      <c r="K5" s="208"/>
      <c r="L5" s="208"/>
      <c r="M5" s="209"/>
      <c r="N5" s="210"/>
      <c r="O5" s="210"/>
    </row>
    <row r="6" spans="1:17" ht="15" thickBot="1" x14ac:dyDescent="0.35">
      <c r="A6" s="206" t="s">
        <v>153</v>
      </c>
      <c r="B6" s="271"/>
      <c r="C6" s="271"/>
      <c r="D6" s="207" t="s">
        <v>119</v>
      </c>
      <c r="E6" s="208"/>
      <c r="F6" s="208"/>
      <c r="G6" s="208"/>
      <c r="H6" s="208"/>
      <c r="I6" s="208"/>
      <c r="J6" s="208"/>
      <c r="K6" s="208"/>
      <c r="L6" s="208"/>
      <c r="M6" s="209"/>
      <c r="N6" s="210"/>
      <c r="O6" s="210"/>
    </row>
    <row r="7" spans="1:17" ht="15" thickBot="1" x14ac:dyDescent="0.35">
      <c r="A7" s="206"/>
      <c r="B7" s="270" t="s">
        <v>154</v>
      </c>
      <c r="C7" s="270" t="s">
        <v>121</v>
      </c>
      <c r="D7" s="207" t="s">
        <v>117</v>
      </c>
      <c r="E7" s="208"/>
      <c r="F7" s="208"/>
      <c r="G7" s="208"/>
      <c r="H7" s="208"/>
      <c r="I7" s="208"/>
      <c r="J7" s="208"/>
      <c r="K7" s="208"/>
      <c r="L7" s="208"/>
      <c r="M7" s="211"/>
      <c r="N7" s="210"/>
      <c r="O7" s="210"/>
    </row>
    <row r="8" spans="1:17" ht="15" thickBot="1" x14ac:dyDescent="0.35">
      <c r="A8" s="206"/>
      <c r="B8" s="271"/>
      <c r="C8" s="271"/>
      <c r="D8" s="207" t="s">
        <v>119</v>
      </c>
      <c r="E8" s="208"/>
      <c r="F8" s="208"/>
      <c r="G8" s="208"/>
      <c r="H8" s="208"/>
      <c r="I8" s="208"/>
      <c r="J8" s="208"/>
      <c r="K8" s="208"/>
      <c r="L8" s="208"/>
      <c r="M8" s="210"/>
      <c r="N8" s="210"/>
      <c r="O8" s="210"/>
    </row>
    <row r="9" spans="1:17" ht="15.75" customHeight="1" thickBot="1" x14ac:dyDescent="0.35">
      <c r="A9" s="258" t="s">
        <v>155</v>
      </c>
      <c r="B9" s="270" t="s">
        <v>152</v>
      </c>
      <c r="C9" s="270" t="s">
        <v>121</v>
      </c>
      <c r="D9" s="207" t="s">
        <v>117</v>
      </c>
      <c r="E9" s="212"/>
      <c r="F9" s="212"/>
      <c r="G9" s="212"/>
      <c r="H9" s="213"/>
      <c r="I9" s="213"/>
      <c r="J9" s="212"/>
      <c r="K9" s="212"/>
      <c r="L9" s="212"/>
      <c r="M9" s="209"/>
      <c r="N9" s="210"/>
      <c r="O9" s="210"/>
    </row>
    <row r="10" spans="1:17" ht="15" thickBot="1" x14ac:dyDescent="0.35">
      <c r="A10" s="259"/>
      <c r="B10" s="271"/>
      <c r="C10" s="271"/>
      <c r="D10" s="207" t="s">
        <v>119</v>
      </c>
      <c r="E10" s="212"/>
      <c r="F10" s="212"/>
      <c r="G10" s="212"/>
      <c r="H10" s="213"/>
      <c r="I10" s="213"/>
      <c r="J10" s="212"/>
      <c r="K10" s="212"/>
      <c r="L10" s="212"/>
      <c r="M10" s="209"/>
      <c r="N10" s="214"/>
      <c r="O10" s="214"/>
    </row>
    <row r="11" spans="1:17" ht="15" thickBot="1" x14ac:dyDescent="0.35">
      <c r="A11" s="259"/>
      <c r="B11" s="270" t="s">
        <v>154</v>
      </c>
      <c r="C11" s="270" t="s">
        <v>121</v>
      </c>
      <c r="D11" s="207" t="s">
        <v>117</v>
      </c>
      <c r="E11" s="212"/>
      <c r="F11" s="212"/>
      <c r="G11" s="212"/>
      <c r="H11" s="213"/>
      <c r="I11" s="213"/>
      <c r="J11" s="212"/>
      <c r="K11" s="212"/>
      <c r="L11" s="212"/>
      <c r="M11" s="209"/>
      <c r="N11" s="210"/>
      <c r="O11" s="210"/>
    </row>
    <row r="12" spans="1:17" ht="15" thickBot="1" x14ac:dyDescent="0.35">
      <c r="A12" s="259"/>
      <c r="B12" s="271"/>
      <c r="C12" s="271"/>
      <c r="D12" s="207" t="s">
        <v>119</v>
      </c>
      <c r="E12" s="212"/>
      <c r="F12" s="212"/>
      <c r="G12" s="212"/>
      <c r="H12" s="213"/>
      <c r="I12" s="213"/>
      <c r="J12" s="212"/>
      <c r="K12" s="212"/>
      <c r="L12" s="212"/>
      <c r="M12" s="210"/>
    </row>
    <row r="13" spans="1:17" ht="15" thickBot="1" x14ac:dyDescent="0.35">
      <c r="A13" s="259"/>
      <c r="B13" s="270" t="s">
        <v>156</v>
      </c>
      <c r="C13" s="270" t="s">
        <v>157</v>
      </c>
      <c r="D13" s="207" t="s">
        <v>117</v>
      </c>
      <c r="E13" s="215"/>
      <c r="F13" s="215"/>
      <c r="G13" s="215"/>
      <c r="H13" s="213"/>
      <c r="I13" s="213"/>
      <c r="J13" s="215"/>
      <c r="K13" s="215"/>
      <c r="L13" s="215"/>
    </row>
    <row r="14" spans="1:17" ht="15" thickBot="1" x14ac:dyDescent="0.35">
      <c r="A14" s="259"/>
      <c r="B14" s="272"/>
      <c r="C14" s="272"/>
      <c r="D14" s="207" t="s">
        <v>119</v>
      </c>
      <c r="E14" s="215"/>
      <c r="F14" s="215"/>
      <c r="G14" s="215"/>
      <c r="H14" s="213"/>
      <c r="I14" s="213"/>
      <c r="J14" s="215"/>
      <c r="K14" s="215"/>
      <c r="L14" s="215"/>
    </row>
    <row r="15" spans="1:17" ht="15" thickBot="1" x14ac:dyDescent="0.35">
      <c r="A15" s="259"/>
      <c r="B15" s="271"/>
      <c r="C15" s="271"/>
      <c r="D15" s="207" t="s">
        <v>121</v>
      </c>
      <c r="E15" s="215"/>
      <c r="F15" s="215"/>
      <c r="G15" s="215"/>
      <c r="H15" s="213"/>
      <c r="I15" s="213"/>
      <c r="J15" s="215"/>
      <c r="K15" s="215"/>
      <c r="L15" s="215"/>
      <c r="M15" s="216"/>
    </row>
    <row r="16" spans="1:17" ht="15" thickBot="1" x14ac:dyDescent="0.35">
      <c r="A16" s="259"/>
      <c r="B16" s="270" t="s">
        <v>133</v>
      </c>
      <c r="C16" s="188" t="s">
        <v>158</v>
      </c>
      <c r="D16" s="207" t="s">
        <v>121</v>
      </c>
      <c r="E16" s="217"/>
      <c r="F16" s="212"/>
      <c r="G16" s="212"/>
      <c r="H16" s="213"/>
      <c r="I16" s="213"/>
      <c r="J16" s="217"/>
      <c r="K16" s="212"/>
      <c r="L16" s="218"/>
      <c r="M16" s="216"/>
      <c r="N16" s="210"/>
    </row>
    <row r="17" spans="1:15" ht="15" thickBot="1" x14ac:dyDescent="0.35">
      <c r="A17" s="259"/>
      <c r="B17" s="272"/>
      <c r="C17" s="188" t="s">
        <v>159</v>
      </c>
      <c r="D17" s="207" t="s">
        <v>121</v>
      </c>
      <c r="E17" s="217"/>
      <c r="F17" s="212"/>
      <c r="G17" s="212"/>
      <c r="H17" s="213"/>
      <c r="I17" s="213"/>
      <c r="J17" s="215"/>
      <c r="K17" s="212"/>
      <c r="L17" s="212"/>
      <c r="M17" s="210"/>
      <c r="N17" s="210"/>
      <c r="O17" s="210"/>
    </row>
    <row r="18" spans="1:15" ht="15" thickBot="1" x14ac:dyDescent="0.35">
      <c r="A18" s="259"/>
      <c r="B18" s="272"/>
      <c r="C18" s="188" t="s">
        <v>160</v>
      </c>
      <c r="D18" s="207" t="s">
        <v>121</v>
      </c>
      <c r="E18" s="217"/>
      <c r="F18" s="212"/>
      <c r="G18" s="212"/>
      <c r="H18" s="213"/>
      <c r="I18" s="213"/>
      <c r="J18" s="217"/>
      <c r="K18" s="212"/>
      <c r="L18" s="212"/>
      <c r="N18" s="210"/>
      <c r="O18" s="210"/>
    </row>
    <row r="19" spans="1:15" ht="15" thickBot="1" x14ac:dyDescent="0.35">
      <c r="A19" s="259"/>
      <c r="B19" s="272"/>
      <c r="C19" s="188" t="s">
        <v>161</v>
      </c>
      <c r="D19" s="207" t="s">
        <v>121</v>
      </c>
      <c r="E19" s="215"/>
      <c r="F19" s="212"/>
      <c r="G19" s="212"/>
      <c r="H19" s="213"/>
      <c r="I19" s="213"/>
      <c r="J19" s="217"/>
      <c r="K19" s="212"/>
      <c r="L19" s="212"/>
      <c r="N19" s="210"/>
      <c r="O19" s="210"/>
    </row>
    <row r="20" spans="1:15" ht="15" thickBot="1" x14ac:dyDescent="0.35">
      <c r="A20" s="259"/>
      <c r="B20" s="272"/>
      <c r="C20" s="188" t="s">
        <v>162</v>
      </c>
      <c r="D20" s="207" t="s">
        <v>121</v>
      </c>
      <c r="E20" s="215"/>
      <c r="F20" s="212"/>
      <c r="G20" s="212"/>
      <c r="H20" s="213"/>
      <c r="I20" s="213"/>
      <c r="J20" s="217"/>
      <c r="K20" s="212"/>
      <c r="L20" s="212"/>
      <c r="N20" s="210"/>
      <c r="O20" s="210"/>
    </row>
    <row r="21" spans="1:15" ht="15" thickBot="1" x14ac:dyDescent="0.35">
      <c r="A21" s="259"/>
      <c r="B21" s="272"/>
      <c r="C21" s="188" t="s">
        <v>163</v>
      </c>
      <c r="D21" s="207" t="s">
        <v>121</v>
      </c>
      <c r="E21" s="215"/>
      <c r="F21" s="212"/>
      <c r="G21" s="212"/>
      <c r="H21" s="213"/>
      <c r="I21" s="213"/>
      <c r="J21" s="217"/>
      <c r="K21" s="212"/>
      <c r="L21" s="212"/>
      <c r="N21" s="210"/>
      <c r="O21" s="210"/>
    </row>
    <row r="22" spans="1:15" ht="15" thickBot="1" x14ac:dyDescent="0.35">
      <c r="A22" s="259"/>
      <c r="B22" s="272"/>
      <c r="C22" s="188" t="s">
        <v>164</v>
      </c>
      <c r="D22" s="207" t="s">
        <v>121</v>
      </c>
      <c r="E22" s="215"/>
      <c r="F22" s="212"/>
      <c r="G22" s="212"/>
      <c r="H22" s="213"/>
      <c r="I22" s="213"/>
      <c r="J22" s="217"/>
      <c r="K22" s="212"/>
      <c r="L22" s="212"/>
      <c r="N22" s="210"/>
      <c r="O22" s="210"/>
    </row>
    <row r="23" spans="1:15" ht="15" thickBot="1" x14ac:dyDescent="0.35">
      <c r="A23" s="259"/>
      <c r="B23" s="272"/>
      <c r="C23" s="188" t="s">
        <v>165</v>
      </c>
      <c r="D23" s="207" t="s">
        <v>121</v>
      </c>
      <c r="E23" s="215"/>
      <c r="F23" s="212"/>
      <c r="G23" s="212"/>
      <c r="H23" s="213"/>
      <c r="I23" s="213"/>
      <c r="J23" s="217"/>
      <c r="K23" s="212"/>
      <c r="L23" s="212"/>
      <c r="N23" s="210"/>
      <c r="O23" s="210"/>
    </row>
    <row r="24" spans="1:15" ht="15" thickBot="1" x14ac:dyDescent="0.35">
      <c r="A24" s="259"/>
      <c r="B24" s="272"/>
      <c r="C24" s="188" t="s">
        <v>166</v>
      </c>
      <c r="D24" s="207" t="s">
        <v>121</v>
      </c>
      <c r="E24" s="217"/>
      <c r="F24" s="212"/>
      <c r="G24" s="212"/>
      <c r="H24" s="213"/>
      <c r="I24" s="213"/>
      <c r="J24" s="217"/>
      <c r="K24" s="212"/>
      <c r="L24" s="212"/>
      <c r="N24" s="210"/>
      <c r="O24" s="210"/>
    </row>
    <row r="25" spans="1:15" ht="15" thickBot="1" x14ac:dyDescent="0.35">
      <c r="A25" s="259"/>
      <c r="B25" s="272"/>
      <c r="C25" s="188" t="s">
        <v>167</v>
      </c>
      <c r="D25" s="207" t="s">
        <v>121</v>
      </c>
      <c r="E25" s="217"/>
      <c r="F25" s="212"/>
      <c r="G25" s="212"/>
      <c r="H25" s="213"/>
      <c r="I25" s="213"/>
      <c r="J25" s="217"/>
      <c r="K25" s="212"/>
      <c r="L25" s="212"/>
      <c r="N25" s="210"/>
      <c r="O25" s="210"/>
    </row>
    <row r="26" spans="1:15" ht="15" thickBot="1" x14ac:dyDescent="0.35">
      <c r="A26" s="259"/>
      <c r="B26" s="272"/>
      <c r="C26" s="188" t="s">
        <v>183</v>
      </c>
      <c r="D26" s="207" t="s">
        <v>121</v>
      </c>
      <c r="E26" s="215"/>
      <c r="F26" s="212"/>
      <c r="G26" s="212"/>
      <c r="H26" s="213"/>
      <c r="I26" s="213"/>
      <c r="J26" s="217"/>
      <c r="K26" s="212"/>
      <c r="L26" s="212"/>
      <c r="N26" s="210"/>
      <c r="O26" s="210"/>
    </row>
    <row r="27" spans="1:15" ht="15" thickBot="1" x14ac:dyDescent="0.35">
      <c r="A27" s="259"/>
      <c r="B27" s="272"/>
      <c r="C27" s="188" t="s">
        <v>168</v>
      </c>
      <c r="D27" s="207" t="s">
        <v>121</v>
      </c>
      <c r="E27" s="217"/>
      <c r="F27" s="212"/>
      <c r="G27" s="212"/>
      <c r="H27" s="213"/>
      <c r="I27" s="213"/>
      <c r="J27" s="217"/>
      <c r="K27" s="212"/>
      <c r="L27" s="212"/>
      <c r="N27" s="210"/>
      <c r="O27" s="210"/>
    </row>
    <row r="28" spans="1:15" ht="15" thickBot="1" x14ac:dyDescent="0.35">
      <c r="A28" s="259"/>
      <c r="B28" s="272"/>
      <c r="C28" s="188" t="s">
        <v>184</v>
      </c>
      <c r="D28" s="207" t="s">
        <v>121</v>
      </c>
      <c r="E28" s="217"/>
      <c r="F28" s="212"/>
      <c r="G28" s="212"/>
      <c r="H28" s="213"/>
      <c r="I28" s="213"/>
      <c r="J28" s="217"/>
      <c r="K28" s="212"/>
      <c r="L28" s="212"/>
      <c r="N28" s="210"/>
      <c r="O28" s="210"/>
    </row>
    <row r="29" spans="1:15" ht="15" thickBot="1" x14ac:dyDescent="0.35">
      <c r="A29" s="260"/>
      <c r="B29" s="271"/>
      <c r="C29" s="188" t="s">
        <v>169</v>
      </c>
      <c r="D29" s="207" t="s">
        <v>121</v>
      </c>
      <c r="E29" s="217"/>
      <c r="F29" s="212"/>
      <c r="G29" s="212"/>
      <c r="H29" s="213"/>
      <c r="I29" s="213"/>
      <c r="J29" s="217"/>
      <c r="K29" s="212"/>
      <c r="L29" s="212"/>
      <c r="N29" s="210"/>
      <c r="O29" s="210"/>
    </row>
    <row r="30" spans="1:15" ht="15.75" customHeight="1" thickBot="1" x14ac:dyDescent="0.35">
      <c r="A30" s="258" t="s">
        <v>170</v>
      </c>
      <c r="B30" s="270" t="s">
        <v>152</v>
      </c>
      <c r="C30" s="270" t="s">
        <v>121</v>
      </c>
      <c r="D30" s="207" t="s">
        <v>117</v>
      </c>
      <c r="E30" s="215"/>
      <c r="F30" s="215"/>
      <c r="G30" s="215"/>
      <c r="H30" s="213"/>
      <c r="I30" s="213"/>
      <c r="J30" s="215"/>
      <c r="K30" s="215"/>
      <c r="L30" s="215"/>
      <c r="N30" s="210"/>
      <c r="O30" s="210"/>
    </row>
    <row r="31" spans="1:15" ht="15" thickBot="1" x14ac:dyDescent="0.35">
      <c r="A31" s="259"/>
      <c r="B31" s="271"/>
      <c r="C31" s="271"/>
      <c r="D31" s="207" t="s">
        <v>119</v>
      </c>
      <c r="E31" s="215"/>
      <c r="F31" s="215"/>
      <c r="G31" s="215"/>
      <c r="H31" s="213"/>
      <c r="I31" s="213"/>
      <c r="J31" s="215"/>
      <c r="K31" s="215"/>
      <c r="L31" s="215"/>
      <c r="N31" s="210"/>
      <c r="O31" s="210"/>
    </row>
    <row r="32" spans="1:15" ht="15" thickBot="1" x14ac:dyDescent="0.35">
      <c r="A32" s="259"/>
      <c r="B32" s="270" t="s">
        <v>154</v>
      </c>
      <c r="C32" s="270" t="s">
        <v>121</v>
      </c>
      <c r="D32" s="207" t="s">
        <v>117</v>
      </c>
      <c r="E32" s="215"/>
      <c r="F32" s="215"/>
      <c r="G32" s="212"/>
      <c r="H32" s="213"/>
      <c r="I32" s="213"/>
      <c r="J32" s="215"/>
      <c r="K32" s="215"/>
      <c r="L32" s="212"/>
      <c r="N32" s="210"/>
      <c r="O32" s="210"/>
    </row>
    <row r="33" spans="1:15" ht="15" thickBot="1" x14ac:dyDescent="0.35">
      <c r="A33" s="259"/>
      <c r="B33" s="271"/>
      <c r="C33" s="271"/>
      <c r="D33" s="207" t="s">
        <v>119</v>
      </c>
      <c r="E33" s="215"/>
      <c r="F33" s="215"/>
      <c r="G33" s="212"/>
      <c r="H33" s="213"/>
      <c r="I33" s="213"/>
      <c r="J33" s="215"/>
      <c r="K33" s="215"/>
      <c r="L33" s="212"/>
      <c r="N33" s="210"/>
      <c r="O33" s="210"/>
    </row>
    <row r="34" spans="1:15" ht="15" thickBot="1" x14ac:dyDescent="0.35">
      <c r="A34" s="259"/>
      <c r="B34" s="270" t="s">
        <v>156</v>
      </c>
      <c r="C34" s="270"/>
      <c r="D34" s="207" t="s">
        <v>117</v>
      </c>
      <c r="E34" s="215"/>
      <c r="F34" s="215"/>
      <c r="G34" s="215"/>
      <c r="H34" s="213"/>
      <c r="I34" s="213"/>
      <c r="J34" s="215"/>
      <c r="K34" s="215"/>
      <c r="L34" s="215"/>
      <c r="N34" s="210"/>
      <c r="O34" s="210"/>
    </row>
    <row r="35" spans="1:15" ht="15" thickBot="1" x14ac:dyDescent="0.35">
      <c r="A35" s="259"/>
      <c r="B35" s="272"/>
      <c r="C35" s="272"/>
      <c r="D35" s="207" t="s">
        <v>119</v>
      </c>
      <c r="E35" s="215"/>
      <c r="F35" s="215"/>
      <c r="G35" s="215"/>
      <c r="H35" s="213"/>
      <c r="I35" s="213"/>
      <c r="J35" s="215"/>
      <c r="K35" s="215"/>
      <c r="L35" s="215"/>
      <c r="N35" s="210"/>
      <c r="O35" s="210"/>
    </row>
    <row r="36" spans="1:15" ht="15" thickBot="1" x14ac:dyDescent="0.35">
      <c r="A36" s="259"/>
      <c r="B36" s="271"/>
      <c r="C36" s="271"/>
      <c r="D36" s="207" t="s">
        <v>121</v>
      </c>
      <c r="E36" s="215"/>
      <c r="F36" s="215"/>
      <c r="G36" s="215"/>
      <c r="H36" s="213"/>
      <c r="I36" s="213"/>
      <c r="J36" s="215"/>
      <c r="K36" s="215"/>
      <c r="L36" s="215"/>
      <c r="N36" s="210"/>
      <c r="O36" s="210"/>
    </row>
    <row r="37" spans="1:15" ht="15" thickBot="1" x14ac:dyDescent="0.35">
      <c r="A37" s="260"/>
      <c r="B37" s="207" t="s">
        <v>133</v>
      </c>
      <c r="C37" s="207" t="s">
        <v>121</v>
      </c>
      <c r="D37" s="207" t="s">
        <v>121</v>
      </c>
      <c r="E37" s="215"/>
      <c r="F37" s="215"/>
      <c r="G37" s="215"/>
      <c r="H37" s="213"/>
      <c r="I37" s="213"/>
      <c r="J37" s="215"/>
      <c r="K37" s="215"/>
      <c r="L37" s="215"/>
      <c r="N37" s="210"/>
      <c r="O37" s="210"/>
    </row>
    <row r="38" spans="1:15" ht="15.75" customHeight="1" thickBot="1" x14ac:dyDescent="0.35">
      <c r="A38" s="258" t="s">
        <v>171</v>
      </c>
      <c r="B38" s="270" t="s">
        <v>152</v>
      </c>
      <c r="C38" s="270" t="s">
        <v>121</v>
      </c>
      <c r="D38" s="207" t="s">
        <v>117</v>
      </c>
      <c r="E38" s="215"/>
      <c r="F38" s="215"/>
      <c r="G38" s="215"/>
      <c r="H38" s="213"/>
      <c r="I38" s="213"/>
      <c r="J38" s="215"/>
      <c r="K38" s="215"/>
      <c r="L38" s="215"/>
      <c r="M38" s="209"/>
      <c r="N38" s="210"/>
      <c r="O38" s="210"/>
    </row>
    <row r="39" spans="1:15" ht="15" thickBot="1" x14ac:dyDescent="0.35">
      <c r="A39" s="259"/>
      <c r="B39" s="271"/>
      <c r="C39" s="271"/>
      <c r="D39" s="207" t="s">
        <v>119</v>
      </c>
      <c r="E39" s="215"/>
      <c r="F39" s="215"/>
      <c r="G39" s="215"/>
      <c r="H39" s="213"/>
      <c r="I39" s="213"/>
      <c r="J39" s="215"/>
      <c r="K39" s="215"/>
      <c r="L39" s="215"/>
      <c r="M39" s="209"/>
      <c r="N39" s="210"/>
      <c r="O39" s="210"/>
    </row>
    <row r="40" spans="1:15" ht="15" thickBot="1" x14ac:dyDescent="0.35">
      <c r="A40" s="259"/>
      <c r="B40" s="270" t="s">
        <v>154</v>
      </c>
      <c r="C40" s="270" t="s">
        <v>121</v>
      </c>
      <c r="D40" s="207" t="s">
        <v>117</v>
      </c>
      <c r="E40" s="215"/>
      <c r="F40" s="215"/>
      <c r="G40" s="215"/>
      <c r="H40" s="213"/>
      <c r="I40" s="213"/>
      <c r="J40" s="215"/>
      <c r="K40" s="215"/>
      <c r="L40" s="215"/>
      <c r="M40" s="211"/>
      <c r="N40" s="210"/>
      <c r="O40" s="210"/>
    </row>
    <row r="41" spans="1:15" ht="15" thickBot="1" x14ac:dyDescent="0.35">
      <c r="A41" s="259"/>
      <c r="B41" s="271"/>
      <c r="C41" s="271"/>
      <c r="D41" s="207" t="s">
        <v>119</v>
      </c>
      <c r="E41" s="215"/>
      <c r="F41" s="215"/>
      <c r="G41" s="215"/>
      <c r="H41" s="213"/>
      <c r="I41" s="213"/>
      <c r="J41" s="215"/>
      <c r="K41" s="215"/>
      <c r="L41" s="215"/>
      <c r="M41" s="210"/>
      <c r="N41" s="210"/>
      <c r="O41" s="210"/>
    </row>
    <row r="42" spans="1:15" ht="15" thickBot="1" x14ac:dyDescent="0.35">
      <c r="A42" s="259"/>
      <c r="B42" s="270" t="s">
        <v>7</v>
      </c>
      <c r="C42" s="270" t="s">
        <v>121</v>
      </c>
      <c r="D42" s="207" t="s">
        <v>121</v>
      </c>
      <c r="E42" s="215"/>
      <c r="F42" s="215"/>
      <c r="G42" s="215"/>
      <c r="H42" s="213"/>
      <c r="I42" s="213"/>
      <c r="J42" s="215"/>
      <c r="K42" s="215"/>
      <c r="L42" s="215"/>
      <c r="M42" s="209"/>
      <c r="N42" s="210"/>
      <c r="O42" s="210"/>
    </row>
    <row r="43" spans="1:15" ht="15" thickBot="1" x14ac:dyDescent="0.35">
      <c r="A43" s="259"/>
      <c r="B43" s="272"/>
      <c r="C43" s="272"/>
      <c r="D43" s="207" t="s">
        <v>117</v>
      </c>
      <c r="E43" s="215"/>
      <c r="F43" s="215"/>
      <c r="G43" s="215"/>
      <c r="H43" s="213"/>
      <c r="I43" s="213"/>
      <c r="J43" s="215"/>
      <c r="K43" s="215"/>
      <c r="L43" s="215"/>
      <c r="M43" s="209"/>
      <c r="N43" s="210"/>
      <c r="O43" s="210"/>
    </row>
    <row r="44" spans="1:15" ht="15" thickBot="1" x14ac:dyDescent="0.35">
      <c r="A44" s="259"/>
      <c r="B44" s="271"/>
      <c r="C44" s="271"/>
      <c r="D44" s="207" t="s">
        <v>119</v>
      </c>
      <c r="E44" s="215"/>
      <c r="F44" s="215"/>
      <c r="G44" s="215"/>
      <c r="H44" s="213"/>
      <c r="I44" s="213"/>
      <c r="J44" s="215"/>
      <c r="K44" s="215"/>
      <c r="L44" s="215"/>
      <c r="M44" s="209"/>
      <c r="N44" s="210"/>
      <c r="O44" s="210"/>
    </row>
    <row r="45" spans="1:15" ht="15" thickBot="1" x14ac:dyDescent="0.35">
      <c r="A45" s="259"/>
      <c r="B45" s="270" t="s">
        <v>172</v>
      </c>
      <c r="C45" s="270" t="s">
        <v>121</v>
      </c>
      <c r="D45" s="207" t="s">
        <v>121</v>
      </c>
      <c r="E45" s="215"/>
      <c r="F45" s="215"/>
      <c r="G45" s="215"/>
      <c r="H45" s="213"/>
      <c r="I45" s="213"/>
      <c r="J45" s="215"/>
      <c r="K45" s="215"/>
      <c r="L45" s="215"/>
      <c r="M45" s="210"/>
      <c r="N45" s="210"/>
      <c r="O45" s="210"/>
    </row>
    <row r="46" spans="1:15" ht="15" thickBot="1" x14ac:dyDescent="0.35">
      <c r="A46" s="259"/>
      <c r="B46" s="272"/>
      <c r="C46" s="272"/>
      <c r="D46" s="207" t="s">
        <v>117</v>
      </c>
      <c r="E46" s="215"/>
      <c r="F46" s="215"/>
      <c r="G46" s="215"/>
      <c r="H46" s="213"/>
      <c r="I46" s="213"/>
      <c r="J46" s="215"/>
      <c r="K46" s="215"/>
      <c r="L46" s="215"/>
      <c r="N46" s="210"/>
      <c r="O46" s="210"/>
    </row>
    <row r="47" spans="1:15" ht="15" thickBot="1" x14ac:dyDescent="0.35">
      <c r="A47" s="259"/>
      <c r="B47" s="271"/>
      <c r="C47" s="271"/>
      <c r="D47" s="207" t="s">
        <v>119</v>
      </c>
      <c r="E47" s="215"/>
      <c r="F47" s="215"/>
      <c r="G47" s="215"/>
      <c r="H47" s="213"/>
      <c r="I47" s="213"/>
      <c r="J47" s="215"/>
      <c r="K47" s="215"/>
      <c r="L47" s="215"/>
      <c r="N47" s="210"/>
      <c r="O47" s="210"/>
    </row>
    <row r="48" spans="1:15" ht="15" thickBot="1" x14ac:dyDescent="0.35">
      <c r="A48" s="259"/>
      <c r="B48" s="219" t="s">
        <v>122</v>
      </c>
      <c r="C48" s="219" t="s">
        <v>121</v>
      </c>
      <c r="D48" s="219" t="s">
        <v>121</v>
      </c>
      <c r="E48" s="215"/>
      <c r="F48" s="212"/>
      <c r="G48" s="212"/>
      <c r="H48" s="213"/>
      <c r="I48" s="213"/>
      <c r="J48" s="215"/>
      <c r="K48" s="215"/>
      <c r="L48" s="215"/>
      <c r="N48" s="210"/>
      <c r="O48" s="210"/>
    </row>
    <row r="49" spans="1:15" ht="15" thickBot="1" x14ac:dyDescent="0.35">
      <c r="A49" s="260"/>
      <c r="B49" s="207" t="s">
        <v>133</v>
      </c>
      <c r="C49" s="207" t="s">
        <v>121</v>
      </c>
      <c r="D49" s="207" t="s">
        <v>121</v>
      </c>
      <c r="E49" s="215"/>
      <c r="F49" s="215"/>
      <c r="G49" s="215"/>
      <c r="H49" s="213"/>
      <c r="I49" s="213"/>
      <c r="J49" s="215"/>
      <c r="K49" s="215"/>
      <c r="L49" s="215"/>
      <c r="N49" s="210"/>
      <c r="O49" s="210"/>
    </row>
    <row r="50" spans="1:15" ht="15.75" customHeight="1" thickBot="1" x14ac:dyDescent="0.35">
      <c r="A50" s="258" t="s">
        <v>173</v>
      </c>
      <c r="B50" s="270" t="s">
        <v>152</v>
      </c>
      <c r="C50" s="270" t="s">
        <v>121</v>
      </c>
      <c r="D50" s="207" t="s">
        <v>117</v>
      </c>
      <c r="E50" s="215"/>
      <c r="F50" s="215"/>
      <c r="G50" s="215"/>
      <c r="H50" s="213"/>
      <c r="I50" s="213"/>
      <c r="J50" s="215"/>
      <c r="K50" s="215"/>
      <c r="L50" s="215"/>
      <c r="N50" s="210"/>
      <c r="O50" s="210"/>
    </row>
    <row r="51" spans="1:15" ht="15" thickBot="1" x14ac:dyDescent="0.35">
      <c r="A51" s="259"/>
      <c r="B51" s="271"/>
      <c r="C51" s="271"/>
      <c r="D51" s="207" t="s">
        <v>119</v>
      </c>
      <c r="E51" s="215"/>
      <c r="F51" s="215"/>
      <c r="G51" s="215"/>
      <c r="H51" s="213"/>
      <c r="I51" s="213"/>
      <c r="J51" s="215"/>
      <c r="K51" s="215"/>
      <c r="L51" s="215"/>
      <c r="M51" s="209"/>
      <c r="N51" s="210"/>
      <c r="O51" s="210"/>
    </row>
    <row r="52" spans="1:15" ht="15" thickBot="1" x14ac:dyDescent="0.35">
      <c r="A52" s="259"/>
      <c r="B52" s="270" t="s">
        <v>154</v>
      </c>
      <c r="C52" s="270" t="s">
        <v>121</v>
      </c>
      <c r="D52" s="207" t="s">
        <v>117</v>
      </c>
      <c r="E52" s="215"/>
      <c r="F52" s="215"/>
      <c r="G52" s="215"/>
      <c r="H52" s="213"/>
      <c r="I52" s="213"/>
      <c r="J52" s="215"/>
      <c r="K52" s="215"/>
      <c r="L52" s="215"/>
      <c r="M52" s="209"/>
      <c r="N52" s="210"/>
      <c r="O52" s="210"/>
    </row>
    <row r="53" spans="1:15" ht="15" thickBot="1" x14ac:dyDescent="0.35">
      <c r="A53" s="259"/>
      <c r="B53" s="271"/>
      <c r="C53" s="271"/>
      <c r="D53" s="207" t="s">
        <v>119</v>
      </c>
      <c r="E53" s="215"/>
      <c r="F53" s="215"/>
      <c r="G53" s="215"/>
      <c r="H53" s="213"/>
      <c r="I53" s="213"/>
      <c r="J53" s="215"/>
      <c r="K53" s="215"/>
      <c r="L53" s="215"/>
      <c r="M53" s="211"/>
      <c r="N53" s="210"/>
      <c r="O53" s="210"/>
    </row>
    <row r="54" spans="1:15" ht="15" thickBot="1" x14ac:dyDescent="0.35">
      <c r="A54" s="259"/>
      <c r="B54" s="270" t="s">
        <v>7</v>
      </c>
      <c r="C54" s="270" t="s">
        <v>121</v>
      </c>
      <c r="D54" s="207" t="s">
        <v>121</v>
      </c>
      <c r="E54" s="215"/>
      <c r="F54" s="215"/>
      <c r="G54" s="215"/>
      <c r="H54" s="213"/>
      <c r="I54" s="213"/>
      <c r="J54" s="215"/>
      <c r="K54" s="215"/>
      <c r="L54" s="215"/>
      <c r="M54" s="210"/>
      <c r="N54" s="210"/>
      <c r="O54" s="210"/>
    </row>
    <row r="55" spans="1:15" ht="15" thickBot="1" x14ac:dyDescent="0.35">
      <c r="A55" s="259"/>
      <c r="B55" s="272"/>
      <c r="C55" s="272"/>
      <c r="D55" s="207" t="s">
        <v>117</v>
      </c>
      <c r="E55" s="215"/>
      <c r="F55" s="215"/>
      <c r="G55" s="215"/>
      <c r="H55" s="213"/>
      <c r="I55" s="213"/>
      <c r="J55" s="215"/>
      <c r="K55" s="215"/>
      <c r="L55" s="215"/>
      <c r="M55" s="209"/>
      <c r="N55" s="210"/>
      <c r="O55" s="210"/>
    </row>
    <row r="56" spans="1:15" ht="15" thickBot="1" x14ac:dyDescent="0.35">
      <c r="A56" s="259"/>
      <c r="B56" s="271"/>
      <c r="C56" s="271"/>
      <c r="D56" s="207" t="s">
        <v>119</v>
      </c>
      <c r="E56" s="215"/>
      <c r="F56" s="215"/>
      <c r="G56" s="215"/>
      <c r="H56" s="213"/>
      <c r="I56" s="213"/>
      <c r="J56" s="215"/>
      <c r="K56" s="215"/>
      <c r="L56" s="215"/>
      <c r="M56" s="209"/>
      <c r="N56" s="210"/>
      <c r="O56" s="210"/>
    </row>
    <row r="57" spans="1:15" ht="15" thickBot="1" x14ac:dyDescent="0.35">
      <c r="A57" s="259"/>
      <c r="B57" s="270" t="s">
        <v>172</v>
      </c>
      <c r="C57" s="270" t="s">
        <v>121</v>
      </c>
      <c r="D57" s="207" t="s">
        <v>121</v>
      </c>
      <c r="E57" s="215"/>
      <c r="F57" s="215"/>
      <c r="G57" s="215"/>
      <c r="H57" s="213"/>
      <c r="I57" s="213"/>
      <c r="J57" s="215"/>
      <c r="K57" s="215"/>
      <c r="L57" s="215"/>
      <c r="M57" s="209"/>
      <c r="N57" s="210"/>
      <c r="O57" s="210"/>
    </row>
    <row r="58" spans="1:15" ht="15" thickBot="1" x14ac:dyDescent="0.35">
      <c r="A58" s="259"/>
      <c r="B58" s="272"/>
      <c r="C58" s="272"/>
      <c r="D58" s="207" t="s">
        <v>117</v>
      </c>
      <c r="E58" s="215"/>
      <c r="F58" s="215"/>
      <c r="G58" s="215"/>
      <c r="H58" s="213"/>
      <c r="I58" s="213"/>
      <c r="J58" s="215"/>
      <c r="K58" s="215"/>
      <c r="L58" s="215"/>
      <c r="M58" s="210"/>
      <c r="N58" s="210"/>
      <c r="O58" s="210"/>
    </row>
    <row r="59" spans="1:15" ht="15" thickBot="1" x14ac:dyDescent="0.35">
      <c r="A59" s="259"/>
      <c r="B59" s="271"/>
      <c r="C59" s="271"/>
      <c r="D59" s="207" t="s">
        <v>119</v>
      </c>
      <c r="E59" s="215"/>
      <c r="F59" s="215"/>
      <c r="G59" s="215"/>
      <c r="H59" s="213"/>
      <c r="I59" s="213"/>
      <c r="J59" s="215"/>
      <c r="K59" s="215"/>
      <c r="L59" s="215"/>
      <c r="N59" s="210"/>
      <c r="O59" s="210"/>
    </row>
    <row r="60" spans="1:15" ht="15" thickBot="1" x14ac:dyDescent="0.35">
      <c r="A60" s="259"/>
      <c r="B60" s="207" t="s">
        <v>122</v>
      </c>
      <c r="C60" s="207" t="s">
        <v>121</v>
      </c>
      <c r="D60" s="207" t="s">
        <v>121</v>
      </c>
      <c r="E60" s="215"/>
      <c r="F60" s="215"/>
      <c r="G60" s="215"/>
      <c r="H60" s="213"/>
      <c r="I60" s="213"/>
      <c r="J60" s="215"/>
      <c r="K60" s="215"/>
      <c r="L60" s="215"/>
      <c r="N60" s="210"/>
      <c r="O60" s="210"/>
    </row>
    <row r="61" spans="1:15" ht="15" thickBot="1" x14ac:dyDescent="0.35">
      <c r="A61" s="259"/>
      <c r="B61" s="270" t="s">
        <v>156</v>
      </c>
      <c r="C61" s="282" t="s">
        <v>174</v>
      </c>
      <c r="D61" s="207" t="s">
        <v>117</v>
      </c>
      <c r="E61" s="215"/>
      <c r="F61" s="215"/>
      <c r="G61" s="215"/>
      <c r="H61" s="213"/>
      <c r="I61" s="213"/>
      <c r="J61" s="215"/>
      <c r="K61" s="215"/>
      <c r="L61" s="215"/>
      <c r="N61" s="210"/>
      <c r="O61" s="210"/>
    </row>
    <row r="62" spans="1:15" ht="15" thickBot="1" x14ac:dyDescent="0.35">
      <c r="A62" s="259"/>
      <c r="B62" s="272"/>
      <c r="C62" s="283"/>
      <c r="D62" s="207" t="s">
        <v>119</v>
      </c>
      <c r="E62" s="215"/>
      <c r="F62" s="215"/>
      <c r="G62" s="215"/>
      <c r="H62" s="213"/>
      <c r="I62" s="213"/>
      <c r="J62" s="215"/>
      <c r="K62" s="215"/>
      <c r="L62" s="215"/>
      <c r="N62" s="210"/>
      <c r="O62" s="210"/>
    </row>
    <row r="63" spans="1:15" ht="15" thickBot="1" x14ac:dyDescent="0.35">
      <c r="A63" s="259"/>
      <c r="B63" s="271"/>
      <c r="C63" s="284"/>
      <c r="D63" s="207" t="s">
        <v>121</v>
      </c>
      <c r="E63" s="215"/>
      <c r="F63" s="215"/>
      <c r="G63" s="215"/>
      <c r="H63" s="213"/>
      <c r="I63" s="213"/>
      <c r="J63" s="215"/>
      <c r="K63" s="215"/>
      <c r="L63" s="215"/>
      <c r="N63" s="210"/>
      <c r="O63" s="210"/>
    </row>
    <row r="64" spans="1:15" ht="15" thickBot="1" x14ac:dyDescent="0.35">
      <c r="A64" s="260"/>
      <c r="B64" s="207" t="s">
        <v>133</v>
      </c>
      <c r="C64" s="207" t="s">
        <v>121</v>
      </c>
      <c r="D64" s="207" t="s">
        <v>121</v>
      </c>
      <c r="E64" s="215"/>
      <c r="F64" s="215"/>
      <c r="G64" s="215"/>
      <c r="H64" s="213"/>
      <c r="I64" s="213"/>
      <c r="J64" s="215"/>
      <c r="K64" s="215"/>
      <c r="L64" s="215"/>
      <c r="N64" s="210"/>
      <c r="O64" s="210"/>
    </row>
    <row r="65" spans="1:17" ht="15" thickBot="1" x14ac:dyDescent="0.3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</row>
    <row r="66" spans="1:17" ht="15" thickBot="1" x14ac:dyDescent="0.35">
      <c r="A66" s="261" t="s">
        <v>175</v>
      </c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3"/>
    </row>
    <row r="67" spans="1:17" ht="15.75" customHeight="1" thickBot="1" x14ac:dyDescent="0.35">
      <c r="A67" s="276" t="s">
        <v>107</v>
      </c>
      <c r="B67" s="276" t="s">
        <v>108</v>
      </c>
      <c r="C67" s="276" t="s">
        <v>176</v>
      </c>
      <c r="D67" s="276" t="s">
        <v>110</v>
      </c>
      <c r="E67" s="276" t="s">
        <v>111</v>
      </c>
      <c r="F67" s="279" t="s">
        <v>112</v>
      </c>
      <c r="G67" s="280"/>
      <c r="H67" s="280"/>
      <c r="I67" s="280"/>
      <c r="J67" s="281"/>
      <c r="K67" s="279" t="s">
        <v>177</v>
      </c>
      <c r="L67" s="280"/>
      <c r="M67" s="281"/>
    </row>
    <row r="68" spans="1:17" ht="15" thickBot="1" x14ac:dyDescent="0.35">
      <c r="A68" s="277"/>
      <c r="B68" s="277"/>
      <c r="C68" s="277"/>
      <c r="D68" s="277"/>
      <c r="E68" s="277"/>
      <c r="F68" s="273" t="s">
        <v>39</v>
      </c>
      <c r="G68" s="275"/>
      <c r="H68" s="273" t="s">
        <v>14</v>
      </c>
      <c r="I68" s="274"/>
      <c r="J68" s="275"/>
      <c r="K68" s="273" t="s">
        <v>39</v>
      </c>
      <c r="L68" s="275"/>
      <c r="M68" s="221" t="s">
        <v>14</v>
      </c>
    </row>
    <row r="69" spans="1:17" ht="15.75" customHeight="1" thickBot="1" x14ac:dyDescent="0.35">
      <c r="A69" s="278"/>
      <c r="B69" s="278"/>
      <c r="C69" s="278"/>
      <c r="D69" s="278"/>
      <c r="E69" s="278"/>
      <c r="F69" s="222" t="s">
        <v>113</v>
      </c>
      <c r="G69" s="222" t="s">
        <v>114</v>
      </c>
      <c r="H69" s="223" t="s">
        <v>147</v>
      </c>
      <c r="I69" s="224" t="s">
        <v>148</v>
      </c>
      <c r="J69" s="225" t="s">
        <v>149</v>
      </c>
      <c r="K69" s="222" t="s">
        <v>113</v>
      </c>
      <c r="L69" s="222" t="s">
        <v>114</v>
      </c>
      <c r="M69" s="222" t="s">
        <v>114</v>
      </c>
      <c r="O69" s="209"/>
    </row>
    <row r="70" spans="1:17" ht="15" thickBot="1" x14ac:dyDescent="0.35">
      <c r="A70" s="258" t="s">
        <v>18</v>
      </c>
      <c r="B70" s="255" t="s">
        <v>115</v>
      </c>
      <c r="C70" s="255" t="s">
        <v>116</v>
      </c>
      <c r="D70" s="255" t="s">
        <v>116</v>
      </c>
      <c r="E70" s="226" t="s">
        <v>117</v>
      </c>
      <c r="F70" s="227">
        <v>0</v>
      </c>
      <c r="G70" s="215">
        <v>999.02</v>
      </c>
      <c r="H70" s="215">
        <v>516.91</v>
      </c>
      <c r="I70" s="213"/>
      <c r="J70" s="213"/>
      <c r="K70" s="215">
        <v>0</v>
      </c>
      <c r="L70" s="215">
        <v>956.95</v>
      </c>
      <c r="M70" s="215">
        <v>478.38</v>
      </c>
      <c r="O70" s="209"/>
      <c r="P70" s="210"/>
      <c r="Q70" s="228"/>
    </row>
    <row r="71" spans="1:17" ht="15" thickBot="1" x14ac:dyDescent="0.35">
      <c r="A71" s="259"/>
      <c r="B71" s="256"/>
      <c r="C71" s="256"/>
      <c r="D71" s="256"/>
      <c r="E71" s="226" t="s">
        <v>118</v>
      </c>
      <c r="F71" s="227">
        <v>0</v>
      </c>
      <c r="G71" s="215">
        <v>698.21</v>
      </c>
      <c r="H71" s="215">
        <v>321.07</v>
      </c>
      <c r="I71" s="213"/>
      <c r="J71" s="213"/>
      <c r="K71" s="215">
        <v>0</v>
      </c>
      <c r="L71" s="215">
        <v>662.46</v>
      </c>
      <c r="M71" s="215">
        <v>299.92</v>
      </c>
      <c r="O71" s="211"/>
      <c r="P71" s="210"/>
    </row>
    <row r="72" spans="1:17" ht="15" thickBot="1" x14ac:dyDescent="0.35">
      <c r="A72" s="259"/>
      <c r="B72" s="257"/>
      <c r="C72" s="257"/>
      <c r="D72" s="257"/>
      <c r="E72" s="226" t="s">
        <v>119</v>
      </c>
      <c r="F72" s="227">
        <v>0</v>
      </c>
      <c r="G72" s="215">
        <v>397.41</v>
      </c>
      <c r="H72" s="215">
        <v>321.07</v>
      </c>
      <c r="I72" s="213"/>
      <c r="J72" s="213"/>
      <c r="K72" s="215">
        <v>0</v>
      </c>
      <c r="L72" s="215">
        <v>367.97</v>
      </c>
      <c r="M72" s="215">
        <v>299.92</v>
      </c>
      <c r="O72" s="210"/>
      <c r="P72" s="210"/>
    </row>
    <row r="73" spans="1:17" ht="15" thickBot="1" x14ac:dyDescent="0.35">
      <c r="A73" s="259"/>
      <c r="B73" s="255" t="s">
        <v>122</v>
      </c>
      <c r="C73" s="255" t="s">
        <v>116</v>
      </c>
      <c r="D73" s="229" t="s">
        <v>116</v>
      </c>
      <c r="E73" s="226" t="s">
        <v>121</v>
      </c>
      <c r="F73" s="230">
        <v>0</v>
      </c>
      <c r="G73" s="215">
        <v>506.32</v>
      </c>
      <c r="H73" s="215">
        <v>337.39</v>
      </c>
      <c r="I73" s="213"/>
      <c r="J73" s="213"/>
      <c r="K73" s="212">
        <v>0</v>
      </c>
      <c r="L73" s="215">
        <v>474.59</v>
      </c>
      <c r="M73" s="215">
        <v>314.79000000000002</v>
      </c>
      <c r="O73" s="209"/>
      <c r="P73" s="210"/>
    </row>
    <row r="74" spans="1:17" ht="15" thickBot="1" x14ac:dyDescent="0.35">
      <c r="A74" s="259"/>
      <c r="B74" s="256"/>
      <c r="C74" s="256"/>
      <c r="D74" s="229" t="s">
        <v>178</v>
      </c>
      <c r="E74" s="226" t="s">
        <v>121</v>
      </c>
      <c r="F74" s="230">
        <v>0</v>
      </c>
      <c r="G74" s="215">
        <v>348.95</v>
      </c>
      <c r="H74" s="215">
        <v>325.32</v>
      </c>
      <c r="I74" s="213"/>
      <c r="J74" s="213"/>
      <c r="K74" s="212">
        <v>0</v>
      </c>
      <c r="L74" s="215">
        <v>334.57</v>
      </c>
      <c r="M74" s="215">
        <v>303.57</v>
      </c>
      <c r="O74" s="209"/>
      <c r="P74" s="210"/>
    </row>
    <row r="75" spans="1:17" ht="15" thickBot="1" x14ac:dyDescent="0.35">
      <c r="A75" s="260"/>
      <c r="B75" s="257"/>
      <c r="C75" s="257"/>
      <c r="D75" s="235" t="s">
        <v>188</v>
      </c>
      <c r="E75" s="226" t="s">
        <v>121</v>
      </c>
      <c r="F75" s="230">
        <v>0</v>
      </c>
      <c r="G75" s="215">
        <v>356.42</v>
      </c>
      <c r="H75" s="215">
        <v>337.59</v>
      </c>
      <c r="I75" s="213"/>
      <c r="J75" s="213"/>
      <c r="K75" s="212"/>
      <c r="L75" s="215">
        <v>343.39</v>
      </c>
      <c r="M75" s="215">
        <v>314.79000000000002</v>
      </c>
      <c r="O75" s="209"/>
      <c r="P75" s="210"/>
    </row>
    <row r="76" spans="1:17" ht="15" thickBot="1" x14ac:dyDescent="0.35">
      <c r="A76" s="258" t="s">
        <v>98</v>
      </c>
      <c r="B76" s="255" t="s">
        <v>115</v>
      </c>
      <c r="C76" s="255" t="s">
        <v>124</v>
      </c>
      <c r="D76" s="255" t="s">
        <v>121</v>
      </c>
      <c r="E76" s="226" t="s">
        <v>117</v>
      </c>
      <c r="F76" s="227">
        <v>0</v>
      </c>
      <c r="G76" s="215">
        <v>1128.67</v>
      </c>
      <c r="H76" s="215">
        <v>516.91</v>
      </c>
      <c r="I76" s="213"/>
      <c r="J76" s="213"/>
      <c r="K76" s="215">
        <v>0</v>
      </c>
      <c r="L76" s="215">
        <v>1083.8800000000001</v>
      </c>
      <c r="M76" s="215">
        <v>478.38</v>
      </c>
      <c r="O76" s="209"/>
      <c r="P76" s="210"/>
    </row>
    <row r="77" spans="1:17" ht="15" thickBot="1" x14ac:dyDescent="0.35">
      <c r="A77" s="259"/>
      <c r="B77" s="256"/>
      <c r="C77" s="256"/>
      <c r="D77" s="256"/>
      <c r="E77" s="226" t="s">
        <v>118</v>
      </c>
      <c r="F77" s="227">
        <v>0</v>
      </c>
      <c r="G77" s="215">
        <v>776.01</v>
      </c>
      <c r="H77" s="215">
        <v>321.07</v>
      </c>
      <c r="I77" s="213"/>
      <c r="J77" s="213"/>
      <c r="K77" s="215">
        <v>0</v>
      </c>
      <c r="L77" s="215">
        <v>738.62</v>
      </c>
      <c r="M77" s="215">
        <v>299.92</v>
      </c>
      <c r="O77" s="210"/>
      <c r="P77" s="210"/>
    </row>
    <row r="78" spans="1:17" ht="15" thickBot="1" x14ac:dyDescent="0.35">
      <c r="A78" s="259"/>
      <c r="B78" s="257"/>
      <c r="C78" s="257"/>
      <c r="D78" s="257"/>
      <c r="E78" s="226" t="s">
        <v>119</v>
      </c>
      <c r="F78" s="227">
        <v>0</v>
      </c>
      <c r="G78" s="215">
        <v>423.34</v>
      </c>
      <c r="H78" s="215">
        <v>321.07</v>
      </c>
      <c r="I78" s="213"/>
      <c r="J78" s="213"/>
      <c r="K78" s="215">
        <v>0</v>
      </c>
      <c r="L78" s="215">
        <v>393.35</v>
      </c>
      <c r="M78" s="215">
        <v>299.92</v>
      </c>
      <c r="O78" s="210"/>
      <c r="P78" s="210"/>
    </row>
    <row r="79" spans="1:17" ht="15.75" customHeight="1" thickBot="1" x14ac:dyDescent="0.35">
      <c r="A79" s="259"/>
      <c r="B79" s="229" t="s">
        <v>122</v>
      </c>
      <c r="C79" s="229" t="s">
        <v>124</v>
      </c>
      <c r="D79" s="229" t="s">
        <v>121</v>
      </c>
      <c r="E79" s="226" t="s">
        <v>121</v>
      </c>
      <c r="F79" s="227">
        <v>0</v>
      </c>
      <c r="G79" s="215">
        <v>506.32</v>
      </c>
      <c r="H79" s="215">
        <v>337.39</v>
      </c>
      <c r="I79" s="213"/>
      <c r="J79" s="213"/>
      <c r="K79" s="215">
        <v>0</v>
      </c>
      <c r="L79" s="215">
        <v>474.59</v>
      </c>
      <c r="M79" s="215">
        <v>314.79000000000002</v>
      </c>
      <c r="O79" s="210"/>
      <c r="P79" s="210"/>
    </row>
    <row r="80" spans="1:17" ht="15" thickBot="1" x14ac:dyDescent="0.35">
      <c r="A80" s="259"/>
      <c r="B80" s="255" t="s">
        <v>115</v>
      </c>
      <c r="C80" s="255" t="s">
        <v>124</v>
      </c>
      <c r="D80" s="255" t="s">
        <v>126</v>
      </c>
      <c r="E80" s="226" t="s">
        <v>117</v>
      </c>
      <c r="F80" s="227">
        <v>0</v>
      </c>
      <c r="G80" s="215">
        <v>1128.67</v>
      </c>
      <c r="H80" s="215">
        <v>516.91</v>
      </c>
      <c r="I80" s="213"/>
      <c r="J80" s="213"/>
      <c r="K80" s="215">
        <v>0</v>
      </c>
      <c r="L80" s="215">
        <v>1083.8800000000001</v>
      </c>
      <c r="M80" s="215">
        <v>478.38</v>
      </c>
      <c r="O80" s="210"/>
      <c r="P80" s="210"/>
    </row>
    <row r="81" spans="1:16" ht="15" thickBot="1" x14ac:dyDescent="0.35">
      <c r="A81" s="259"/>
      <c r="B81" s="256"/>
      <c r="C81" s="256"/>
      <c r="D81" s="256"/>
      <c r="E81" s="226" t="s">
        <v>118</v>
      </c>
      <c r="F81" s="227">
        <v>0</v>
      </c>
      <c r="G81" s="215">
        <v>776.01</v>
      </c>
      <c r="H81" s="215">
        <v>321.07</v>
      </c>
      <c r="I81" s="213"/>
      <c r="J81" s="213"/>
      <c r="K81" s="215">
        <v>0</v>
      </c>
      <c r="L81" s="215">
        <v>738.62</v>
      </c>
      <c r="M81" s="215">
        <v>299.92</v>
      </c>
      <c r="O81" s="210"/>
      <c r="P81" s="210"/>
    </row>
    <row r="82" spans="1:16" ht="15" thickBot="1" x14ac:dyDescent="0.35">
      <c r="A82" s="259"/>
      <c r="B82" s="257"/>
      <c r="C82" s="257"/>
      <c r="D82" s="257"/>
      <c r="E82" s="226" t="s">
        <v>119</v>
      </c>
      <c r="F82" s="227">
        <v>0</v>
      </c>
      <c r="G82" s="215">
        <v>423.34</v>
      </c>
      <c r="H82" s="215">
        <v>321.07</v>
      </c>
      <c r="I82" s="213"/>
      <c r="J82" s="213"/>
      <c r="K82" s="215">
        <v>0</v>
      </c>
      <c r="L82" s="215">
        <v>393.35</v>
      </c>
      <c r="M82" s="215">
        <v>299.92</v>
      </c>
      <c r="O82" s="210"/>
      <c r="P82" s="210"/>
    </row>
    <row r="83" spans="1:16" ht="15.75" customHeight="1" thickBot="1" x14ac:dyDescent="0.35">
      <c r="A83" s="259"/>
      <c r="B83" s="229" t="s">
        <v>122</v>
      </c>
      <c r="C83" s="229" t="s">
        <v>124</v>
      </c>
      <c r="D83" s="229" t="s">
        <v>126</v>
      </c>
      <c r="E83" s="226" t="s">
        <v>121</v>
      </c>
      <c r="F83" s="227">
        <v>0</v>
      </c>
      <c r="G83" s="215">
        <v>506.32</v>
      </c>
      <c r="H83" s="215">
        <v>337.39</v>
      </c>
      <c r="I83" s="213"/>
      <c r="J83" s="213"/>
      <c r="K83" s="215">
        <v>0</v>
      </c>
      <c r="L83" s="215">
        <v>474.59</v>
      </c>
      <c r="M83" s="215">
        <v>314.79000000000002</v>
      </c>
      <c r="O83" s="209"/>
      <c r="P83" s="210"/>
    </row>
    <row r="84" spans="1:16" ht="15" thickBot="1" x14ac:dyDescent="0.35">
      <c r="A84" s="259"/>
      <c r="B84" s="255" t="s">
        <v>115</v>
      </c>
      <c r="C84" s="255" t="s">
        <v>124</v>
      </c>
      <c r="D84" s="255" t="s">
        <v>127</v>
      </c>
      <c r="E84" s="226" t="s">
        <v>117</v>
      </c>
      <c r="F84" s="227">
        <v>0</v>
      </c>
      <c r="G84" s="215">
        <v>1128.67</v>
      </c>
      <c r="H84" s="215">
        <v>516.91</v>
      </c>
      <c r="I84" s="213"/>
      <c r="J84" s="213"/>
      <c r="K84" s="215">
        <v>0</v>
      </c>
      <c r="L84" s="215">
        <v>1083.8800000000001</v>
      </c>
      <c r="M84" s="215">
        <v>478.38</v>
      </c>
      <c r="O84" s="209"/>
      <c r="P84" s="210"/>
    </row>
    <row r="85" spans="1:16" ht="15" thickBot="1" x14ac:dyDescent="0.35">
      <c r="A85" s="259"/>
      <c r="B85" s="256"/>
      <c r="C85" s="256"/>
      <c r="D85" s="256"/>
      <c r="E85" s="226" t="s">
        <v>118</v>
      </c>
      <c r="F85" s="227">
        <v>0</v>
      </c>
      <c r="G85" s="215">
        <v>776.01</v>
      </c>
      <c r="H85" s="215">
        <v>321.07</v>
      </c>
      <c r="I85" s="213"/>
      <c r="J85" s="213"/>
      <c r="K85" s="215">
        <v>0</v>
      </c>
      <c r="L85" s="215">
        <v>738.62</v>
      </c>
      <c r="M85" s="215">
        <v>299.92</v>
      </c>
      <c r="O85" s="211"/>
      <c r="P85" s="210"/>
    </row>
    <row r="86" spans="1:16" ht="15" thickBot="1" x14ac:dyDescent="0.35">
      <c r="A86" s="259"/>
      <c r="B86" s="257"/>
      <c r="C86" s="257"/>
      <c r="D86" s="257"/>
      <c r="E86" s="226" t="s">
        <v>119</v>
      </c>
      <c r="F86" s="227">
        <v>0</v>
      </c>
      <c r="G86" s="215">
        <v>423.34</v>
      </c>
      <c r="H86" s="215">
        <v>321.07</v>
      </c>
      <c r="I86" s="213"/>
      <c r="J86" s="213"/>
      <c r="K86" s="215">
        <v>0</v>
      </c>
      <c r="L86" s="215">
        <v>393.35</v>
      </c>
      <c r="M86" s="215">
        <v>299.92</v>
      </c>
      <c r="O86" s="210"/>
      <c r="P86" s="210"/>
    </row>
    <row r="87" spans="1:16" ht="21" thickBot="1" x14ac:dyDescent="0.35">
      <c r="A87" s="260"/>
      <c r="B87" s="229" t="s">
        <v>122</v>
      </c>
      <c r="C87" s="229" t="s">
        <v>124</v>
      </c>
      <c r="D87" s="229" t="s">
        <v>127</v>
      </c>
      <c r="E87" s="226" t="s">
        <v>121</v>
      </c>
      <c r="F87" s="227">
        <v>0</v>
      </c>
      <c r="G87" s="215">
        <v>506.32</v>
      </c>
      <c r="H87" s="215">
        <v>337.39</v>
      </c>
      <c r="I87" s="213"/>
      <c r="J87" s="213"/>
      <c r="K87" s="215">
        <v>0</v>
      </c>
      <c r="L87" s="215">
        <v>474.59</v>
      </c>
      <c r="M87" s="215">
        <v>314.79000000000002</v>
      </c>
      <c r="O87" s="209"/>
      <c r="P87" s="210"/>
    </row>
    <row r="88" spans="1:16" ht="15" thickBot="1" x14ac:dyDescent="0.35">
      <c r="A88" s="258" t="s">
        <v>96</v>
      </c>
      <c r="B88" s="255" t="s">
        <v>115</v>
      </c>
      <c r="C88" s="255" t="s">
        <v>121</v>
      </c>
      <c r="D88" s="255" t="s">
        <v>121</v>
      </c>
      <c r="E88" s="226" t="s">
        <v>117</v>
      </c>
      <c r="F88" s="227">
        <v>0</v>
      </c>
      <c r="G88" s="215">
        <v>1128.67</v>
      </c>
      <c r="H88" s="215">
        <v>516.91</v>
      </c>
      <c r="I88" s="213"/>
      <c r="J88" s="213"/>
      <c r="K88" s="215">
        <v>0</v>
      </c>
      <c r="L88" s="215">
        <v>1083.8800000000001</v>
      </c>
      <c r="M88" s="215">
        <v>478.38</v>
      </c>
      <c r="O88" s="209"/>
      <c r="P88" s="210"/>
    </row>
    <row r="89" spans="1:16" ht="15" thickBot="1" x14ac:dyDescent="0.35">
      <c r="A89" s="259"/>
      <c r="B89" s="256"/>
      <c r="C89" s="256"/>
      <c r="D89" s="256"/>
      <c r="E89" s="226" t="s">
        <v>118</v>
      </c>
      <c r="F89" s="227">
        <v>0</v>
      </c>
      <c r="G89" s="215">
        <v>776.01</v>
      </c>
      <c r="H89" s="215">
        <v>321.07</v>
      </c>
      <c r="I89" s="213"/>
      <c r="J89" s="213"/>
      <c r="K89" s="215">
        <v>0</v>
      </c>
      <c r="L89" s="215">
        <v>738.62</v>
      </c>
      <c r="M89" s="215">
        <v>299.92</v>
      </c>
      <c r="O89" s="209"/>
      <c r="P89" s="210"/>
    </row>
    <row r="90" spans="1:16" ht="15" thickBot="1" x14ac:dyDescent="0.35">
      <c r="A90" s="259"/>
      <c r="B90" s="257"/>
      <c r="C90" s="257"/>
      <c r="D90" s="257"/>
      <c r="E90" s="226" t="s">
        <v>119</v>
      </c>
      <c r="F90" s="227">
        <v>0</v>
      </c>
      <c r="G90" s="215">
        <v>423.34</v>
      </c>
      <c r="H90" s="215">
        <v>321.07</v>
      </c>
      <c r="I90" s="213"/>
      <c r="J90" s="213"/>
      <c r="K90" s="215">
        <v>0</v>
      </c>
      <c r="L90" s="215">
        <v>393.35</v>
      </c>
      <c r="M90" s="215">
        <v>299.92</v>
      </c>
      <c r="O90" s="210"/>
      <c r="P90" s="210"/>
    </row>
    <row r="91" spans="1:16" ht="15" thickBot="1" x14ac:dyDescent="0.35">
      <c r="A91" s="260"/>
      <c r="B91" s="229" t="s">
        <v>122</v>
      </c>
      <c r="C91" s="229" t="s">
        <v>121</v>
      </c>
      <c r="D91" s="229" t="s">
        <v>121</v>
      </c>
      <c r="E91" s="226" t="s">
        <v>121</v>
      </c>
      <c r="F91" s="227">
        <v>0</v>
      </c>
      <c r="G91" s="215">
        <v>506.32</v>
      </c>
      <c r="H91" s="215">
        <v>337.39</v>
      </c>
      <c r="I91" s="213"/>
      <c r="J91" s="213"/>
      <c r="K91" s="215">
        <v>0</v>
      </c>
      <c r="L91" s="215">
        <v>474.59</v>
      </c>
      <c r="M91" s="215">
        <v>314.79000000000002</v>
      </c>
      <c r="O91" s="210"/>
      <c r="P91" s="210"/>
    </row>
    <row r="92" spans="1:16" ht="21" thickBot="1" x14ac:dyDescent="0.35">
      <c r="A92" s="258" t="s">
        <v>128</v>
      </c>
      <c r="B92" s="255" t="s">
        <v>122</v>
      </c>
      <c r="C92" s="255" t="s">
        <v>129</v>
      </c>
      <c r="D92" s="229" t="s">
        <v>179</v>
      </c>
      <c r="E92" s="226" t="s">
        <v>121</v>
      </c>
      <c r="F92" s="227">
        <v>0</v>
      </c>
      <c r="G92" s="215">
        <v>278.48</v>
      </c>
      <c r="H92" s="215">
        <v>185.56</v>
      </c>
      <c r="I92" s="213"/>
      <c r="J92" s="213"/>
      <c r="K92" s="215">
        <v>0</v>
      </c>
      <c r="L92" s="215">
        <v>261.02999999999997</v>
      </c>
      <c r="M92" s="215">
        <v>173.13</v>
      </c>
      <c r="O92" s="210"/>
      <c r="P92" s="210"/>
    </row>
    <row r="93" spans="1:16" ht="21" thickBot="1" x14ac:dyDescent="0.35">
      <c r="A93" s="260"/>
      <c r="B93" s="257"/>
      <c r="C93" s="257"/>
      <c r="D93" s="229" t="s">
        <v>180</v>
      </c>
      <c r="E93" s="226" t="s">
        <v>121</v>
      </c>
      <c r="F93" s="227">
        <v>0</v>
      </c>
      <c r="G93" s="215">
        <v>303.79000000000002</v>
      </c>
      <c r="H93" s="215">
        <v>202.43</v>
      </c>
      <c r="I93" s="213"/>
      <c r="J93" s="213"/>
      <c r="K93" s="215">
        <v>0</v>
      </c>
      <c r="L93" s="215">
        <v>284.76</v>
      </c>
      <c r="M93" s="215">
        <v>188.87</v>
      </c>
      <c r="O93" s="210"/>
      <c r="P93" s="210"/>
    </row>
  </sheetData>
  <customSheetViews>
    <customSheetView guid="{DD040A5E-BAB6-4607-A6FD-72F0B8E25E8D}" state="hidden" topLeftCell="A20">
      <selection activeCell="E52" sqref="E52"/>
      <pageMargins left="0.511811024" right="0.511811024" top="0.78740157499999996" bottom="0.78740157499999996" header="0.31496062000000002" footer="0.31496062000000002"/>
    </customSheetView>
  </customSheetViews>
  <mergeCells count="82">
    <mergeCell ref="A92:A93"/>
    <mergeCell ref="B92:B93"/>
    <mergeCell ref="C92:C93"/>
    <mergeCell ref="B70:B72"/>
    <mergeCell ref="C70:C72"/>
    <mergeCell ref="D70:D72"/>
    <mergeCell ref="A70:A75"/>
    <mergeCell ref="B73:B75"/>
    <mergeCell ref="C73:C75"/>
    <mergeCell ref="B54:B56"/>
    <mergeCell ref="C54:C56"/>
    <mergeCell ref="B57:B59"/>
    <mergeCell ref="C57:C59"/>
    <mergeCell ref="B61:B63"/>
    <mergeCell ref="C61:C63"/>
    <mergeCell ref="A50:A64"/>
    <mergeCell ref="B50:B51"/>
    <mergeCell ref="C50:C51"/>
    <mergeCell ref="B52:B53"/>
    <mergeCell ref="C52:C53"/>
    <mergeCell ref="H68:J68"/>
    <mergeCell ref="A66:M66"/>
    <mergeCell ref="A67:A69"/>
    <mergeCell ref="B67:B69"/>
    <mergeCell ref="C67:C69"/>
    <mergeCell ref="D67:D69"/>
    <mergeCell ref="E67:E69"/>
    <mergeCell ref="F67:J67"/>
    <mergeCell ref="K67:M67"/>
    <mergeCell ref="F68:G68"/>
    <mergeCell ref="K68:L68"/>
    <mergeCell ref="A38:A49"/>
    <mergeCell ref="B38:B39"/>
    <mergeCell ref="C38:C39"/>
    <mergeCell ref="B40:B41"/>
    <mergeCell ref="C40:C41"/>
    <mergeCell ref="B42:B44"/>
    <mergeCell ref="C42:C44"/>
    <mergeCell ref="B45:B47"/>
    <mergeCell ref="C45:C47"/>
    <mergeCell ref="A30:A37"/>
    <mergeCell ref="B30:B31"/>
    <mergeCell ref="C30:C31"/>
    <mergeCell ref="B32:B33"/>
    <mergeCell ref="C32:C33"/>
    <mergeCell ref="B34:B36"/>
    <mergeCell ref="C34:C36"/>
    <mergeCell ref="B5:B6"/>
    <mergeCell ref="C5:C6"/>
    <mergeCell ref="B7:B8"/>
    <mergeCell ref="C7:C8"/>
    <mergeCell ref="A9:A29"/>
    <mergeCell ref="B9:B10"/>
    <mergeCell ref="C9:C10"/>
    <mergeCell ref="B11:B12"/>
    <mergeCell ref="C11:C12"/>
    <mergeCell ref="B13:B15"/>
    <mergeCell ref="C13:C15"/>
    <mergeCell ref="B16:B29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80:D82"/>
    <mergeCell ref="B84:B86"/>
    <mergeCell ref="C84:C86"/>
    <mergeCell ref="D84:D86"/>
    <mergeCell ref="A88:A91"/>
    <mergeCell ref="B88:B90"/>
    <mergeCell ref="C88:C90"/>
    <mergeCell ref="D88:D90"/>
    <mergeCell ref="A76:A87"/>
    <mergeCell ref="B76:B78"/>
    <mergeCell ref="C76:C78"/>
    <mergeCell ref="D76:D78"/>
    <mergeCell ref="B80:B82"/>
    <mergeCell ref="C80:C8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8058-6527-4CFD-9260-575DFB593008}">
  <sheetPr>
    <tabColor rgb="FF00B050"/>
  </sheetPr>
  <dimension ref="A1:Z77"/>
  <sheetViews>
    <sheetView showGridLines="0" zoomScale="80" zoomScaleNormal="80" workbookViewId="0">
      <selection activeCell="O18" sqref="O18"/>
    </sheetView>
  </sheetViews>
  <sheetFormatPr defaultColWidth="9.109375" defaultRowHeight="14.4" x14ac:dyDescent="0.3"/>
  <cols>
    <col min="1" max="1" width="5.44140625" style="1" customWidth="1"/>
    <col min="2" max="2" width="21" style="1" customWidth="1"/>
    <col min="3" max="3" width="13.88671875" style="1" customWidth="1"/>
    <col min="4" max="4" width="12.6640625" style="1" customWidth="1"/>
    <col min="5" max="5" width="14.44140625" style="1" customWidth="1"/>
    <col min="6" max="6" width="14.6640625" style="1" customWidth="1"/>
    <col min="7" max="10" width="12.6640625" style="1" customWidth="1"/>
    <col min="11" max="12" width="13.88671875" style="1" customWidth="1"/>
    <col min="13" max="13" width="15.33203125" style="1" customWidth="1"/>
    <col min="14" max="14" width="12.6640625" style="1" customWidth="1"/>
    <col min="15" max="15" width="15.33203125" style="1" bestFit="1" customWidth="1"/>
    <col min="16" max="16" width="16.88671875" style="1" customWidth="1"/>
    <col min="17" max="17" width="9.44140625" style="1" bestFit="1" customWidth="1"/>
    <col min="18" max="18" width="12.109375" style="1" bestFit="1" customWidth="1"/>
    <col min="19" max="19" width="13.109375" style="1" bestFit="1" customWidth="1"/>
    <col min="20" max="20" width="11.33203125" style="1" bestFit="1" customWidth="1"/>
    <col min="21" max="21" width="12.109375" style="1" bestFit="1" customWidth="1"/>
    <col min="22" max="22" width="13.109375" style="1" bestFit="1" customWidth="1"/>
    <col min="23" max="23" width="11.33203125" style="1" bestFit="1" customWidth="1"/>
    <col min="24" max="24" width="12.109375" style="1" bestFit="1" customWidth="1"/>
    <col min="25" max="25" width="13.109375" style="1" bestFit="1" customWidth="1"/>
    <col min="26" max="26" width="11.33203125" style="1" bestFit="1" customWidth="1"/>
    <col min="27" max="16384" width="9.109375" style="1"/>
  </cols>
  <sheetData>
    <row r="1" spans="1:26" x14ac:dyDescent="0.3">
      <c r="A1" s="1" t="s">
        <v>0</v>
      </c>
      <c r="B1" s="1" t="s">
        <v>0</v>
      </c>
      <c r="F1" s="2"/>
      <c r="G1" s="3"/>
      <c r="H1" s="3" t="s">
        <v>0</v>
      </c>
      <c r="I1" s="3"/>
      <c r="J1" s="3"/>
      <c r="K1" s="3"/>
      <c r="L1" s="1" t="s">
        <v>0</v>
      </c>
    </row>
    <row r="2" spans="1:26" ht="18" x14ac:dyDescent="0.3">
      <c r="A2" s="1" t="s">
        <v>0</v>
      </c>
      <c r="B2" s="4" t="s">
        <v>1</v>
      </c>
      <c r="E2" s="5" t="s">
        <v>2</v>
      </c>
      <c r="F2" s="6">
        <v>46241</v>
      </c>
      <c r="G2" s="3" t="s">
        <v>0</v>
      </c>
      <c r="I2"/>
      <c r="J2" s="3"/>
      <c r="K2" s="3"/>
      <c r="M2" s="7" t="s">
        <v>3</v>
      </c>
      <c r="N2" s="7" t="s">
        <v>4</v>
      </c>
      <c r="O2" s="1" t="s">
        <v>5</v>
      </c>
      <c r="Q2" s="8" t="s">
        <v>6</v>
      </c>
      <c r="R2" s="9"/>
    </row>
    <row r="3" spans="1:26" x14ac:dyDescent="0.3">
      <c r="M3" s="10" t="s">
        <v>7</v>
      </c>
      <c r="N3" s="11">
        <v>0</v>
      </c>
    </row>
    <row r="4" spans="1:26" ht="15" customHeight="1" x14ac:dyDescent="0.3">
      <c r="B4" s="247" t="s">
        <v>8</v>
      </c>
      <c r="C4" s="249" t="s">
        <v>9</v>
      </c>
      <c r="D4" s="249"/>
      <c r="E4" s="249"/>
      <c r="F4" s="249" t="s">
        <v>10</v>
      </c>
      <c r="G4" s="249"/>
      <c r="H4" s="249"/>
      <c r="I4" s="250" t="s">
        <v>11</v>
      </c>
      <c r="J4" s="250"/>
      <c r="K4" s="250"/>
      <c r="M4" s="12" t="s">
        <v>12</v>
      </c>
      <c r="N4" s="13">
        <f>[1]BANDEIRA!$D$5</f>
        <v>1.8849999999999999E-2</v>
      </c>
      <c r="Q4" s="247" t="s">
        <v>8</v>
      </c>
      <c r="R4" s="240" t="str">
        <f>C4</f>
        <v>TARIFA NOVA - REH 3241/2023</v>
      </c>
      <c r="S4" s="241"/>
      <c r="T4" s="242"/>
      <c r="U4" s="240" t="str">
        <f>F4</f>
        <v>TARIFA NOVA - REH xxxx/2024</v>
      </c>
      <c r="V4" s="241"/>
      <c r="W4" s="242"/>
      <c r="X4" s="240" t="s">
        <v>11</v>
      </c>
      <c r="Y4" s="241"/>
      <c r="Z4" s="242"/>
    </row>
    <row r="5" spans="1:26" x14ac:dyDescent="0.3">
      <c r="B5" s="248"/>
      <c r="C5" s="14" t="s">
        <v>13</v>
      </c>
      <c r="D5" s="14" t="s">
        <v>14</v>
      </c>
      <c r="E5" s="14" t="s">
        <v>15</v>
      </c>
      <c r="F5" s="14" t="s">
        <v>13</v>
      </c>
      <c r="G5" s="14" t="s">
        <v>14</v>
      </c>
      <c r="H5" s="14" t="s">
        <v>15</v>
      </c>
      <c r="I5" s="15" t="s">
        <v>13</v>
      </c>
      <c r="J5" s="15" t="s">
        <v>14</v>
      </c>
      <c r="K5" s="15" t="s">
        <v>15</v>
      </c>
      <c r="M5" s="16" t="s">
        <v>16</v>
      </c>
      <c r="N5" s="17">
        <f>[1]BANDEIRA!$D$6</f>
        <v>4.4630000000000003E-2</v>
      </c>
      <c r="Q5" s="248"/>
      <c r="R5" s="14" t="s">
        <v>17</v>
      </c>
      <c r="S5"/>
      <c r="T5"/>
      <c r="U5" s="14" t="s">
        <v>17</v>
      </c>
      <c r="V5"/>
      <c r="W5"/>
      <c r="X5" s="14" t="s">
        <v>17</v>
      </c>
      <c r="Y5"/>
      <c r="Z5"/>
    </row>
    <row r="6" spans="1:26" x14ac:dyDescent="0.3">
      <c r="B6" s="18" t="s">
        <v>18</v>
      </c>
      <c r="C6" s="19">
        <f>'TABELA DE TARIFAS ANTIGAS'!G71/1000</f>
        <v>0.46862999999999999</v>
      </c>
      <c r="D6" s="19">
        <f>'TABELA DE TARIFAS ANTIGAS'!H71/1000</f>
        <v>0.32068000000000002</v>
      </c>
      <c r="E6" s="19">
        <f t="shared" ref="E6" si="0">C6+D6</f>
        <v>0.78930999999999996</v>
      </c>
      <c r="F6" s="19">
        <f>'TABELA DE TARIFAS NOVAS'!G73/1000</f>
        <v>0.50631999999999999</v>
      </c>
      <c r="G6" s="19">
        <f>'TABELA DE TARIFAS NOVAS'!H73/1000</f>
        <v>0.33738999999999997</v>
      </c>
      <c r="H6" s="19">
        <f t="shared" ref="H6" si="1">F6+G6</f>
        <v>0.84370999999999996</v>
      </c>
      <c r="I6" s="19">
        <f>((C6*$C$14)+(F6*$D$14))/($D$14+$C$14)</f>
        <v>0.48621866666666663</v>
      </c>
      <c r="J6" s="19">
        <f>((D6*$C$14)+(G6*$D$14))/($D$14+$C$14)</f>
        <v>0.32847799999999999</v>
      </c>
      <c r="K6" s="20">
        <f t="shared" ref="K6" si="2">I6+J6</f>
        <v>0.81469666666666662</v>
      </c>
      <c r="M6" s="21" t="s">
        <v>19</v>
      </c>
      <c r="N6" s="22">
        <f>[1]BANDEIRA!$D$7</f>
        <v>7.8770000000000007E-2</v>
      </c>
      <c r="P6" s="23"/>
      <c r="Q6" s="18" t="str">
        <f>B6</f>
        <v>B1</v>
      </c>
      <c r="R6" s="19">
        <f>'FIO B'!H11/1000</f>
        <v>0.20383072193179136</v>
      </c>
      <c r="S6"/>
      <c r="T6"/>
      <c r="U6" s="19">
        <f>'FIO B'!K11/1000</f>
        <v>0.20915159219558199</v>
      </c>
      <c r="V6"/>
      <c r="W6"/>
      <c r="X6" s="19">
        <f>((R6*$C$14)+(U6*$D$14))/($D$14+$C$14)</f>
        <v>0.20631379472156031</v>
      </c>
      <c r="Y6"/>
      <c r="Z6"/>
    </row>
    <row r="7" spans="1:26" x14ac:dyDescent="0.3">
      <c r="B7" s="24" t="s">
        <v>20</v>
      </c>
      <c r="C7" s="25">
        <v>1.8774721494831901E-4</v>
      </c>
      <c r="D7" s="26">
        <v>-4.4031307414479802E-3</v>
      </c>
      <c r="E7" s="20">
        <v>3.6054083865702689E-3</v>
      </c>
      <c r="F7" s="20">
        <f>T11</f>
        <v>1.84189231569235E-4</v>
      </c>
      <c r="G7" s="20">
        <f>U11</f>
        <v>-5.3182974871251499E-4</v>
      </c>
      <c r="H7" s="20">
        <f>F7+G7</f>
        <v>-3.4764051714327999E-4</v>
      </c>
      <c r="I7" s="19">
        <f>((C7*$C$14)+(F7*$D$14))/($D$14+$C$14)</f>
        <v>1.8608682270474647E-4</v>
      </c>
      <c r="J7" s="19">
        <f>((D7*$C$14)+(G7*$D$14))/($D$14+$C$14)</f>
        <v>-2.5965236115047629E-3</v>
      </c>
      <c r="K7" s="20">
        <f t="shared" ref="K7" si="3">I7+J7</f>
        <v>-2.4104367888000164E-3</v>
      </c>
      <c r="M7" s="10" t="s">
        <v>21</v>
      </c>
      <c r="N7" s="27">
        <v>0.14199999999999999</v>
      </c>
      <c r="P7" s="23"/>
      <c r="Q7" s="28"/>
      <c r="R7" s="29"/>
      <c r="S7"/>
      <c r="T7"/>
      <c r="U7" s="29"/>
      <c r="V7"/>
      <c r="W7"/>
      <c r="X7" s="29"/>
      <c r="Y7"/>
      <c r="Z7"/>
    </row>
    <row r="8" spans="1:26" x14ac:dyDescent="0.3">
      <c r="B8" s="30" t="s">
        <v>22</v>
      </c>
      <c r="C8" s="29"/>
      <c r="D8" s="29"/>
      <c r="E8" s="29"/>
      <c r="F8" s="29"/>
      <c r="G8" s="31">
        <f>G6*15%</f>
        <v>5.0608499999999994E-2</v>
      </c>
      <c r="H8" s="29"/>
      <c r="I8" s="29"/>
      <c r="J8" s="19">
        <f>((D8*$C$14)+(G8*$D$14))/($D$14+$C$14)</f>
        <v>2.3617299999999997E-2</v>
      </c>
      <c r="K8" s="32"/>
      <c r="M8" s="33"/>
      <c r="N8" s="34"/>
      <c r="P8" s="35" t="s">
        <v>23</v>
      </c>
      <c r="Q8" s="36"/>
      <c r="R8" s="37" t="s">
        <v>24</v>
      </c>
      <c r="S8" s="37" t="s">
        <v>25</v>
      </c>
      <c r="T8" s="37" t="s">
        <v>17</v>
      </c>
      <c r="U8" s="37" t="s">
        <v>26</v>
      </c>
      <c r="V8"/>
      <c r="W8"/>
      <c r="X8" s="29"/>
      <c r="Y8"/>
      <c r="Z8"/>
    </row>
    <row r="9" spans="1:26" x14ac:dyDescent="0.3">
      <c r="A9" s="1" t="s">
        <v>0</v>
      </c>
      <c r="G9" s="3"/>
      <c r="H9" s="3"/>
      <c r="I9" s="3"/>
      <c r="J9" s="3"/>
      <c r="K9" s="3"/>
      <c r="O9" s="5"/>
      <c r="P9" s="38" t="s">
        <v>27</v>
      </c>
      <c r="Q9" s="39"/>
      <c r="R9" s="40"/>
      <c r="S9" s="40"/>
      <c r="T9" s="41"/>
      <c r="U9" s="41"/>
      <c r="V9"/>
      <c r="W9"/>
      <c r="X9"/>
      <c r="Y9"/>
      <c r="Z9"/>
    </row>
    <row r="10" spans="1:26" x14ac:dyDescent="0.3">
      <c r="B10" s="42"/>
      <c r="C10" s="43"/>
      <c r="D10" s="44"/>
      <c r="E10" s="43"/>
      <c r="F10" s="43"/>
      <c r="G10" s="43"/>
      <c r="H10" s="45" t="s">
        <v>28</v>
      </c>
      <c r="I10" s="3"/>
      <c r="L10" s="5" t="s">
        <v>29</v>
      </c>
      <c r="M10" s="6">
        <f>EOMONTH(B14,0)+1</f>
        <v>46235</v>
      </c>
      <c r="P10" s="46" t="s">
        <v>30</v>
      </c>
      <c r="Q10" s="47"/>
      <c r="R10" s="48"/>
      <c r="S10" s="48"/>
      <c r="T10" s="49"/>
      <c r="U10" s="26">
        <v>0</v>
      </c>
      <c r="V10"/>
      <c r="W10"/>
      <c r="X10"/>
      <c r="Y10"/>
      <c r="Z10"/>
    </row>
    <row r="11" spans="1:26" x14ac:dyDescent="0.3">
      <c r="B11" s="50" t="s">
        <v>31</v>
      </c>
      <c r="C11" s="51">
        <v>7735</v>
      </c>
      <c r="E11" s="3"/>
      <c r="F11" s="3"/>
      <c r="G11" s="3"/>
      <c r="H11" s="52">
        <f>E14</f>
        <v>46254</v>
      </c>
      <c r="K11" s="243" t="s">
        <v>32</v>
      </c>
      <c r="L11" s="243"/>
      <c r="P11" s="53" t="s">
        <v>33</v>
      </c>
      <c r="Q11" s="54"/>
      <c r="R11" s="55"/>
      <c r="S11" s="55"/>
      <c r="T11" s="25">
        <f>0.184189231569235/1000</f>
        <v>1.84189231569235E-4</v>
      </c>
      <c r="U11" s="26">
        <f>-0.531829748712515/1000</f>
        <v>-5.3182974871251499E-4</v>
      </c>
      <c r="V11"/>
      <c r="W11"/>
      <c r="X11"/>
      <c r="Y11"/>
      <c r="Z11"/>
    </row>
    <row r="12" spans="1:26" x14ac:dyDescent="0.3">
      <c r="A12" s="1" t="s">
        <v>0</v>
      </c>
      <c r="B12" s="56"/>
      <c r="H12" s="57"/>
      <c r="K12" s="10" t="s">
        <v>12</v>
      </c>
      <c r="L12" s="10" t="s">
        <v>12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6" x14ac:dyDescent="0.3">
      <c r="B13" s="58" t="s">
        <v>34</v>
      </c>
      <c r="C13" s="58" t="s">
        <v>35</v>
      </c>
      <c r="D13" s="58" t="s">
        <v>36</v>
      </c>
      <c r="E13" s="58" t="s">
        <v>37</v>
      </c>
      <c r="F13" s="3"/>
      <c r="G13" s="3"/>
      <c r="H13" s="59"/>
      <c r="J13" s="58" t="s">
        <v>34</v>
      </c>
      <c r="K13" s="58" t="s">
        <v>35</v>
      </c>
      <c r="L13" s="58" t="s">
        <v>36</v>
      </c>
      <c r="M13" s="58" t="s">
        <v>37</v>
      </c>
    </row>
    <row r="14" spans="1:26" x14ac:dyDescent="0.3">
      <c r="B14" s="60">
        <v>46224</v>
      </c>
      <c r="C14" s="61">
        <f>IF((F2-B14-1)&lt;0,0,(F2-B14-1))</f>
        <v>16</v>
      </c>
      <c r="D14" s="61">
        <f>E14-F2+1</f>
        <v>14</v>
      </c>
      <c r="E14" s="60">
        <v>46254</v>
      </c>
      <c r="F14" s="62"/>
      <c r="G14" s="62"/>
      <c r="H14" s="63"/>
      <c r="J14" s="64">
        <f>B14</f>
        <v>46224</v>
      </c>
      <c r="K14" s="65">
        <f>IF((M10-J14-1)&lt;0,0,(M10-J14-1))</f>
        <v>10</v>
      </c>
      <c r="L14" s="65">
        <f>M14-M10+1</f>
        <v>20</v>
      </c>
      <c r="M14" s="64">
        <f>E14</f>
        <v>46254</v>
      </c>
      <c r="P14" s="9">
        <v>160881579</v>
      </c>
    </row>
    <row r="15" spans="1:26" x14ac:dyDescent="0.3">
      <c r="P15" s="1">
        <v>160890575</v>
      </c>
      <c r="Q15" s="1" t="s">
        <v>190</v>
      </c>
    </row>
    <row r="16" spans="1:26" x14ac:dyDescent="0.3">
      <c r="B16" s="3"/>
      <c r="F16" s="66"/>
      <c r="G16"/>
      <c r="H16" s="67"/>
      <c r="P16" s="1">
        <v>160890581</v>
      </c>
      <c r="Q16" s="1" t="s">
        <v>190</v>
      </c>
    </row>
    <row r="17" spans="2:20" x14ac:dyDescent="0.3">
      <c r="B17" s="68" t="s">
        <v>38</v>
      </c>
      <c r="E17" s="8" t="s">
        <v>39</v>
      </c>
      <c r="F17" s="69">
        <v>1</v>
      </c>
      <c r="G17" s="70" t="s">
        <v>14</v>
      </c>
      <c r="H17" s="69">
        <v>1</v>
      </c>
      <c r="M17" s="71" t="s">
        <v>40</v>
      </c>
      <c r="N17" s="72"/>
      <c r="O17" s="73">
        <v>1025310622</v>
      </c>
      <c r="P17" s="1">
        <v>161102501</v>
      </c>
      <c r="Q17" s="1" t="s">
        <v>190</v>
      </c>
    </row>
    <row r="18" spans="2:20" s="3" customFormat="1" x14ac:dyDescent="0.3">
      <c r="B18" s="68"/>
      <c r="E18" s="74"/>
      <c r="F18" s="75"/>
      <c r="G18" s="76"/>
      <c r="H18" s="75"/>
      <c r="P18" s="3">
        <v>161104228</v>
      </c>
      <c r="Q18" s="3" t="s">
        <v>190</v>
      </c>
    </row>
    <row r="19" spans="2:20" ht="42" customHeight="1" x14ac:dyDescent="0.3">
      <c r="B19" s="77" t="s">
        <v>41</v>
      </c>
      <c r="C19" s="77" t="s">
        <v>42</v>
      </c>
      <c r="D19" s="77" t="s">
        <v>43</v>
      </c>
      <c r="E19" s="78" t="s">
        <v>44</v>
      </c>
      <c r="F19" s="78" t="s">
        <v>45</v>
      </c>
      <c r="G19" s="78" t="s">
        <v>46</v>
      </c>
      <c r="H19" s="78" t="s">
        <v>47</v>
      </c>
      <c r="I19" s="78" t="s">
        <v>48</v>
      </c>
      <c r="J19" s="78" t="s">
        <v>49</v>
      </c>
      <c r="K19" s="79" t="s">
        <v>50</v>
      </c>
      <c r="L19" s="77" t="s">
        <v>51</v>
      </c>
      <c r="M19" s="78" t="s">
        <v>52</v>
      </c>
      <c r="N19" s="78" t="s">
        <v>53</v>
      </c>
      <c r="O19" s="78" t="s">
        <v>54</v>
      </c>
    </row>
    <row r="20" spans="2:20" x14ac:dyDescent="0.3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1"/>
      <c r="M20" s="82"/>
      <c r="N20" s="82"/>
      <c r="O20" s="82"/>
      <c r="R20" s="8" t="s">
        <v>55</v>
      </c>
      <c r="S20" s="8" t="s">
        <v>56</v>
      </c>
    </row>
    <row r="21" spans="2:20" x14ac:dyDescent="0.3">
      <c r="B21" s="82" t="s">
        <v>57</v>
      </c>
      <c r="C21" s="83" t="s">
        <v>58</v>
      </c>
      <c r="D21" s="84">
        <v>263</v>
      </c>
      <c r="E21" s="85">
        <f>(ROUND(D21*K21,2)+ROUND(G21,2)+ROUND(J21,2))/ROUND(D21,4)</f>
        <v>0.62433460076045622</v>
      </c>
      <c r="F21" s="86">
        <f>ROUND(D21*E21,2)</f>
        <v>164.2</v>
      </c>
      <c r="G21" s="86">
        <f>((D21*K21)/(1-$N$21-$N$23))*($N$21+$N$23)</f>
        <v>8.4087380644427867</v>
      </c>
      <c r="H21" s="86">
        <f>((D21*K21)/(1-$N$21-$N$23)/(1-$I$21))</f>
        <v>164.19788843105556</v>
      </c>
      <c r="I21" s="87">
        <v>0.17</v>
      </c>
      <c r="J21" s="86">
        <f>(H21*$I$21)</f>
        <v>27.913641033279447</v>
      </c>
      <c r="K21" s="85">
        <f>IF(AND($B$14&lt;$F$2,$E$14&lt;$F$2),C6,IF($B$14&lt;$F$2,I6,F6))</f>
        <v>0.48621866666666663</v>
      </c>
      <c r="L21" s="88" t="s">
        <v>59</v>
      </c>
      <c r="M21" s="86">
        <f>D70</f>
        <v>233.64595545134816</v>
      </c>
      <c r="N21" s="89">
        <v>1.0999999999999999E-2</v>
      </c>
      <c r="O21" s="90">
        <f>ROUND(M21*N21,2)</f>
        <v>2.57</v>
      </c>
      <c r="R21" s="91">
        <f>IF(AND($B14&lt;$F$2,$E$14&lt;$F$2),R6,IF($B$14&lt;$F$2,X6,U6))</f>
        <v>0.20631379472156031</v>
      </c>
      <c r="S21" s="92">
        <f>D21*R21</f>
        <v>54.260528011770361</v>
      </c>
      <c r="T21" s="237" t="s">
        <v>189</v>
      </c>
    </row>
    <row r="22" spans="2:20" x14ac:dyDescent="0.3">
      <c r="B22" s="82" t="s">
        <v>60</v>
      </c>
      <c r="C22" s="83" t="s">
        <v>58</v>
      </c>
      <c r="D22" s="93">
        <f>D21</f>
        <v>263</v>
      </c>
      <c r="E22" s="85">
        <f>(ROUND(D22*K22,2)+ROUND(G22,2)+ROUND(J22,2))/ROUND(D22,4)</f>
        <v>0.421787072243346</v>
      </c>
      <c r="F22" s="86">
        <f>ROUND(D22*E22,2)</f>
        <v>110.93</v>
      </c>
      <c r="G22" s="86">
        <f>((D22*K22)/(1-$N$21-$N$23))*($N$21+$N$23)</f>
        <v>5.6807474728764786</v>
      </c>
      <c r="H22" s="86">
        <f>ROUND((D22*K22)/(1-$N$21-$N$23)/(1-$I$21),8)</f>
        <v>110.92826683</v>
      </c>
      <c r="I22" s="82"/>
      <c r="J22" s="86">
        <f>ROUND(H22*$I$21,2)</f>
        <v>18.86</v>
      </c>
      <c r="K22" s="85">
        <f>IF(AND($B$14&lt;$F$2,$E$14&lt;$F$2),D6,IF($B$14&lt;$F$2,J6,G6))</f>
        <v>0.32847799999999999</v>
      </c>
      <c r="L22" s="88" t="s">
        <v>61</v>
      </c>
      <c r="M22" s="86">
        <f>D71*0</f>
        <v>0</v>
      </c>
      <c r="N22" s="89">
        <f>N21</f>
        <v>1.0999999999999999E-2</v>
      </c>
      <c r="O22" s="90">
        <f>ROUND(M22*N22,2)</f>
        <v>0</v>
      </c>
    </row>
    <row r="23" spans="2:20" x14ac:dyDescent="0.3">
      <c r="B23" s="82" t="s">
        <v>62</v>
      </c>
      <c r="C23" s="83" t="s">
        <v>58</v>
      </c>
      <c r="D23" s="93">
        <f>IF($K$12=M4,($D$21*($K$14)/($L$14+$K$14)),0)+IF($L$12=M4,($D$21*($L$14)/($L$14+$K$14)),0)</f>
        <v>263</v>
      </c>
      <c r="E23" s="85">
        <f>IFERROR((ROUND(D23*K23,2)+ROUND(G23,2)+ROUND(J23,2))/ROUND(D23,4), 0)</f>
        <v>2.4220532319391634E-2</v>
      </c>
      <c r="F23" s="86">
        <f>ROUND(D23*E23,2)</f>
        <v>6.37</v>
      </c>
      <c r="G23" s="86">
        <f>((D23*K23)/(1-$N$21-$N$23))*($N$21+$N$23)</f>
        <v>0.32599470851540013</v>
      </c>
      <c r="H23" s="86">
        <f>ROUND((D23*K23)/(1-$N$21-$N$23)/(1-$I$21),8)</f>
        <v>6.3657165200000003</v>
      </c>
      <c r="I23" s="82"/>
      <c r="J23" s="86">
        <f>ROUND(H23*$I$21,2)</f>
        <v>1.08</v>
      </c>
      <c r="K23" s="85">
        <f>N4</f>
        <v>1.8849999999999999E-2</v>
      </c>
      <c r="L23" s="88" t="s">
        <v>63</v>
      </c>
      <c r="M23" s="86">
        <f>M21</f>
        <v>233.64595545134816</v>
      </c>
      <c r="N23" s="89">
        <v>5.0700000000000002E-2</v>
      </c>
      <c r="O23" s="90">
        <f>ROUND(M23*N23,2)</f>
        <v>11.85</v>
      </c>
      <c r="R23" s="94"/>
    </row>
    <row r="24" spans="2:20" x14ac:dyDescent="0.3">
      <c r="B24" s="82" t="s">
        <v>64</v>
      </c>
      <c r="C24" s="83" t="s">
        <v>58</v>
      </c>
      <c r="D24" s="93">
        <f t="shared" ref="D24:D26" si="4">IF($K$12=M5,($D$21*($K$14)/($L$14+$K$14)),0)+IF($L$12=M5,($D$21*($L$14)/($L$14+$K$14)),0)</f>
        <v>0</v>
      </c>
      <c r="E24" s="85">
        <f t="shared" ref="E24:E26" si="5">IFERROR((ROUND(D24*K24,2)+ROUND(G24,2)+ROUND(J24,2))/ROUND(D24,4), 0)</f>
        <v>0</v>
      </c>
      <c r="F24" s="86">
        <f t="shared" ref="F24:F26" si="6">ROUND(D24*E24,2)</f>
        <v>0</v>
      </c>
      <c r="G24" s="86">
        <f t="shared" ref="G24:G26" si="7">((D24*K24)/(1-$N$21-$N$23))*($N$21+$N$23)</f>
        <v>0</v>
      </c>
      <c r="H24" s="86">
        <f t="shared" ref="H24:H28" si="8">ROUND((D24*K24)/(1-$N$21-$N$23)/(1-$I$21),8)</f>
        <v>0</v>
      </c>
      <c r="I24" s="82"/>
      <c r="J24" s="86">
        <f t="shared" ref="J24:J26" si="9">ROUND(H24*$I$21,2)</f>
        <v>0</v>
      </c>
      <c r="K24" s="85">
        <f t="shared" ref="K24:K26" si="10">N5</f>
        <v>4.4630000000000003E-2</v>
      </c>
      <c r="L24" s="88" t="s">
        <v>65</v>
      </c>
      <c r="M24" s="86">
        <f>M22</f>
        <v>0</v>
      </c>
      <c r="N24" s="89">
        <f>N23</f>
        <v>5.0700000000000002E-2</v>
      </c>
      <c r="O24" s="90">
        <f>ROUND(M24*N24,2)</f>
        <v>0</v>
      </c>
    </row>
    <row r="25" spans="2:20" x14ac:dyDescent="0.3">
      <c r="B25" s="82" t="s">
        <v>66</v>
      </c>
      <c r="C25" s="83" t="s">
        <v>58</v>
      </c>
      <c r="D25" s="93">
        <f t="shared" si="4"/>
        <v>0</v>
      </c>
      <c r="E25" s="85">
        <f t="shared" si="5"/>
        <v>0</v>
      </c>
      <c r="F25" s="86">
        <f t="shared" si="6"/>
        <v>0</v>
      </c>
      <c r="G25" s="86">
        <f t="shared" si="7"/>
        <v>0</v>
      </c>
      <c r="H25" s="86">
        <f t="shared" si="8"/>
        <v>0</v>
      </c>
      <c r="I25" s="82"/>
      <c r="J25" s="86">
        <f t="shared" si="9"/>
        <v>0</v>
      </c>
      <c r="K25" s="85">
        <f t="shared" si="10"/>
        <v>7.8770000000000007E-2</v>
      </c>
      <c r="L25" s="88"/>
      <c r="M25" s="86"/>
      <c r="N25" s="89"/>
      <c r="O25" s="90"/>
    </row>
    <row r="26" spans="2:20" x14ac:dyDescent="0.3">
      <c r="B26" s="82" t="s">
        <v>67</v>
      </c>
      <c r="C26" s="83" t="s">
        <v>58</v>
      </c>
      <c r="D26" s="93">
        <f t="shared" si="4"/>
        <v>0</v>
      </c>
      <c r="E26" s="85">
        <f t="shared" si="5"/>
        <v>0</v>
      </c>
      <c r="F26" s="86">
        <f t="shared" si="6"/>
        <v>0</v>
      </c>
      <c r="G26" s="86">
        <f t="shared" si="7"/>
        <v>0</v>
      </c>
      <c r="H26" s="86">
        <f t="shared" si="8"/>
        <v>0</v>
      </c>
      <c r="I26" s="82"/>
      <c r="J26" s="86">
        <f t="shared" si="9"/>
        <v>0</v>
      </c>
      <c r="K26" s="85">
        <f t="shared" si="10"/>
        <v>0.14199999999999999</v>
      </c>
      <c r="L26" s="88"/>
      <c r="M26" s="86"/>
      <c r="N26" s="89"/>
      <c r="O26" s="90"/>
    </row>
    <row r="27" spans="2:20" x14ac:dyDescent="0.3">
      <c r="B27" s="82"/>
      <c r="C27" s="83"/>
      <c r="D27" s="93"/>
      <c r="E27" s="85"/>
      <c r="F27" s="86"/>
      <c r="G27" s="86"/>
      <c r="H27" s="86"/>
      <c r="I27" s="82"/>
      <c r="J27" s="86"/>
      <c r="K27" s="85"/>
      <c r="L27" s="88"/>
      <c r="M27" s="86"/>
      <c r="N27" s="89"/>
      <c r="O27" s="90"/>
    </row>
    <row r="28" spans="2:20" x14ac:dyDescent="0.3">
      <c r="B28" s="82" t="s">
        <v>68</v>
      </c>
      <c r="C28" s="83" t="s">
        <v>58</v>
      </c>
      <c r="D28" s="84">
        <v>-233.0001</v>
      </c>
      <c r="E28" s="85">
        <f t="shared" ref="E28:E29" si="11">IFERROR((ROUND(D28*K28,2)+ROUND(G28,2)+ROUND(J28,2))/ROUND(D28,4),0)</f>
        <v>0.5923602607895877</v>
      </c>
      <c r="F28" s="86">
        <f>ROUND(D28*E28,2)</f>
        <v>-138.02000000000001</v>
      </c>
      <c r="G28" s="86">
        <v>0</v>
      </c>
      <c r="H28" s="86">
        <f t="shared" si="8"/>
        <v>-145.46815369999999</v>
      </c>
      <c r="I28" s="87">
        <v>0.17</v>
      </c>
      <c r="J28" s="86">
        <f>H28*$I$21</f>
        <v>-24.729586129000001</v>
      </c>
      <c r="K28" s="85">
        <f>K21</f>
        <v>0.48621866666666663</v>
      </c>
      <c r="L28" s="88"/>
      <c r="M28" s="86"/>
      <c r="N28" s="89"/>
      <c r="O28" s="90"/>
    </row>
    <row r="29" spans="2:20" x14ac:dyDescent="0.3">
      <c r="B29" s="82" t="s">
        <v>69</v>
      </c>
      <c r="C29" s="83" t="s">
        <v>58</v>
      </c>
      <c r="D29" s="84">
        <f>D28</f>
        <v>-233.0001</v>
      </c>
      <c r="E29" s="85">
        <f t="shared" si="11"/>
        <v>0.40021442050883238</v>
      </c>
      <c r="F29" s="86">
        <f>ROUND(D29*E29,2)</f>
        <v>-93.25</v>
      </c>
      <c r="G29" s="86">
        <v>0</v>
      </c>
      <c r="H29" s="86">
        <f>ROUND((D29*K29)/(1-$N$22-$N$24)/(1-$I$21),8)</f>
        <v>-98.274894540000005</v>
      </c>
      <c r="I29" s="87">
        <f>I21</f>
        <v>0.17</v>
      </c>
      <c r="J29" s="86">
        <f>H29*$I$21</f>
        <v>-16.706732071800001</v>
      </c>
      <c r="K29" s="85">
        <f>K22</f>
        <v>0.32847799999999999</v>
      </c>
      <c r="L29" s="88"/>
      <c r="M29" s="86"/>
      <c r="N29" s="89"/>
      <c r="O29" s="90"/>
    </row>
    <row r="30" spans="2:20" x14ac:dyDescent="0.3">
      <c r="B30" s="82" t="s">
        <v>70</v>
      </c>
      <c r="C30" s="83" t="s">
        <v>58</v>
      </c>
      <c r="D30" s="93">
        <f>IF($K$12=M4,($D$28*($K$14)/($K$14+$L$14)),0)+IF($L$12=M4,($D$28*($L$14)/($K$14+$L$14)),0)</f>
        <v>-233.00010000000003</v>
      </c>
      <c r="E30" s="85">
        <f>IFERROR((ROUND(D30*K30,2)+ROUND(G30,2)+ROUND(J30,2))/ROUND(D30,4),0)</f>
        <v>2.2961363535895476E-2</v>
      </c>
      <c r="F30" s="86">
        <f t="shared" ref="F30:F33" si="12">ROUND(D30*E30,2)</f>
        <v>-5.35</v>
      </c>
      <c r="G30" s="86">
        <v>0</v>
      </c>
      <c r="H30" s="86">
        <f>(D30*K30)/(1-$N$22-$N$24)/(1-$I$21)</f>
        <v>-5.6395915774362502</v>
      </c>
      <c r="I30" s="82"/>
      <c r="J30" s="86">
        <f>H30*$I$21</f>
        <v>-0.95873056816416258</v>
      </c>
      <c r="K30" s="85">
        <f>N4</f>
        <v>1.8849999999999999E-2</v>
      </c>
      <c r="L30" s="95"/>
      <c r="M30" s="96"/>
      <c r="N30" s="96"/>
      <c r="O30" s="96"/>
      <c r="R30" s="94"/>
    </row>
    <row r="31" spans="2:20" x14ac:dyDescent="0.3">
      <c r="B31" s="82" t="s">
        <v>71</v>
      </c>
      <c r="C31" s="83" t="s">
        <v>58</v>
      </c>
      <c r="D31" s="93">
        <f t="shared" ref="D31:D33" si="13">IF($K$12=M5,($D$28*($K$14)/($K$14+$L$14)),0)+IF($L$12=M5,($D$28*($L$14)/($K$14+$L$14)),0)</f>
        <v>0</v>
      </c>
      <c r="E31" s="85">
        <f t="shared" ref="E31:E33" si="14">IFERROR((ROUND(D31*K31,2)+ROUND(G31,2)+ROUND(J31,2))/ROUND(D31,4),0)</f>
        <v>0</v>
      </c>
      <c r="F31" s="86">
        <f t="shared" si="12"/>
        <v>0</v>
      </c>
      <c r="G31" s="86">
        <v>0</v>
      </c>
      <c r="H31" s="86">
        <f t="shared" ref="H31:H33" si="15">(D31*K31)/(1-$N$22-$N$24)/(1-$I$21)</f>
        <v>0</v>
      </c>
      <c r="I31" s="82"/>
      <c r="J31" s="86">
        <f t="shared" ref="J31:J33" si="16">H31*$I$21</f>
        <v>0</v>
      </c>
      <c r="K31" s="85">
        <f t="shared" ref="K31:K33" si="17">N5</f>
        <v>4.4630000000000003E-2</v>
      </c>
      <c r="O31" s="81"/>
      <c r="Q31" s="97"/>
      <c r="R31" s="98"/>
      <c r="S31" s="99"/>
      <c r="T31" s="97"/>
    </row>
    <row r="32" spans="2:20" x14ac:dyDescent="0.3">
      <c r="B32" s="82" t="s">
        <v>72</v>
      </c>
      <c r="C32" s="83" t="s">
        <v>58</v>
      </c>
      <c r="D32" s="93">
        <f t="shared" si="13"/>
        <v>0</v>
      </c>
      <c r="E32" s="85">
        <f t="shared" si="14"/>
        <v>0</v>
      </c>
      <c r="F32" s="86">
        <f t="shared" si="12"/>
        <v>0</v>
      </c>
      <c r="G32" s="86">
        <v>0</v>
      </c>
      <c r="H32" s="86">
        <f t="shared" si="15"/>
        <v>0</v>
      </c>
      <c r="I32" s="82"/>
      <c r="J32" s="86">
        <f t="shared" si="16"/>
        <v>0</v>
      </c>
      <c r="K32" s="85">
        <f t="shared" si="17"/>
        <v>7.8770000000000007E-2</v>
      </c>
      <c r="O32" s="81"/>
      <c r="S32" s="99"/>
    </row>
    <row r="33" spans="1:22" x14ac:dyDescent="0.3">
      <c r="B33" s="82" t="s">
        <v>73</v>
      </c>
      <c r="C33" s="83" t="s">
        <v>58</v>
      </c>
      <c r="D33" s="93">
        <f t="shared" si="13"/>
        <v>0</v>
      </c>
      <c r="E33" s="85">
        <f t="shared" si="14"/>
        <v>0</v>
      </c>
      <c r="F33" s="86">
        <f t="shared" si="12"/>
        <v>0</v>
      </c>
      <c r="G33" s="86">
        <v>0</v>
      </c>
      <c r="H33" s="86">
        <f t="shared" si="15"/>
        <v>0</v>
      </c>
      <c r="I33" s="82"/>
      <c r="J33" s="86">
        <f t="shared" si="16"/>
        <v>0</v>
      </c>
      <c r="K33" s="85">
        <f t="shared" si="17"/>
        <v>0.14199999999999999</v>
      </c>
      <c r="O33" s="81"/>
      <c r="R33" s="236"/>
      <c r="S33" s="99"/>
    </row>
    <row r="34" spans="1:22" x14ac:dyDescent="0.3">
      <c r="B34" s="82"/>
      <c r="C34" s="83"/>
      <c r="D34" s="93"/>
      <c r="E34" s="85"/>
      <c r="F34" s="86"/>
      <c r="G34" s="86"/>
      <c r="H34" s="86"/>
      <c r="I34" s="82"/>
      <c r="J34" s="86"/>
      <c r="K34" s="85"/>
      <c r="O34" s="81"/>
      <c r="R34" s="236"/>
      <c r="S34" s="99"/>
    </row>
    <row r="35" spans="1:22" x14ac:dyDescent="0.3">
      <c r="B35" s="82" t="s">
        <v>74</v>
      </c>
      <c r="C35" s="82"/>
      <c r="D35" s="93"/>
      <c r="E35" s="82"/>
      <c r="F35" s="100"/>
      <c r="G35" s="82"/>
      <c r="H35" s="82"/>
      <c r="I35" s="82"/>
      <c r="J35" s="82"/>
      <c r="K35" s="82"/>
      <c r="O35" s="81"/>
      <c r="R35" s="236"/>
      <c r="S35" s="99"/>
    </row>
    <row r="36" spans="1:22" x14ac:dyDescent="0.3">
      <c r="B36" s="82" t="s">
        <v>75</v>
      </c>
      <c r="C36" s="82"/>
      <c r="D36" s="93"/>
      <c r="E36" s="82"/>
      <c r="F36" s="100">
        <v>-2.4700000000000002</v>
      </c>
      <c r="G36" s="82"/>
      <c r="H36" s="82"/>
      <c r="I36" s="82"/>
      <c r="J36" s="82"/>
      <c r="K36" s="82"/>
      <c r="O36" s="81"/>
      <c r="S36" s="99"/>
    </row>
    <row r="37" spans="1:22" x14ac:dyDescent="0.3">
      <c r="B37" s="82" t="s">
        <v>76</v>
      </c>
      <c r="C37" s="82"/>
      <c r="D37" s="93"/>
      <c r="E37" s="82"/>
      <c r="F37" s="100"/>
      <c r="G37" s="82"/>
      <c r="H37" s="82"/>
      <c r="I37" s="82"/>
      <c r="J37" s="82"/>
      <c r="K37" s="82"/>
      <c r="O37" s="81"/>
      <c r="S37" s="99"/>
    </row>
    <row r="38" spans="1:22" x14ac:dyDescent="0.3">
      <c r="B38" s="82" t="s">
        <v>77</v>
      </c>
      <c r="C38" s="82"/>
      <c r="D38" s="93"/>
      <c r="E38" s="82"/>
      <c r="F38" s="100">
        <v>27.91</v>
      </c>
      <c r="G38" s="82"/>
      <c r="H38" s="82"/>
      <c r="I38" s="82"/>
      <c r="J38" s="82"/>
      <c r="K38" s="82"/>
      <c r="O38" s="81"/>
    </row>
    <row r="39" spans="1:22" x14ac:dyDescent="0.3">
      <c r="B39" s="82"/>
      <c r="C39" s="82"/>
      <c r="D39" s="93"/>
      <c r="E39" s="82"/>
      <c r="F39" s="82"/>
      <c r="G39" s="82"/>
      <c r="H39" s="82"/>
      <c r="I39" s="82"/>
      <c r="J39" s="82"/>
      <c r="K39" s="82"/>
      <c r="O39" s="81"/>
    </row>
    <row r="40" spans="1:22" x14ac:dyDescent="0.3">
      <c r="B40" s="82"/>
      <c r="C40" s="82"/>
      <c r="D40" s="93"/>
      <c r="E40" s="82"/>
      <c r="F40" s="82"/>
      <c r="G40" s="82"/>
      <c r="H40" s="82"/>
      <c r="I40" s="82"/>
      <c r="J40" s="82"/>
      <c r="K40" s="82"/>
      <c r="O40" s="81"/>
    </row>
    <row r="41" spans="1:22" x14ac:dyDescent="0.3">
      <c r="B41" s="101" t="s">
        <v>78</v>
      </c>
      <c r="C41" s="96"/>
      <c r="D41" s="102"/>
      <c r="E41" s="96"/>
      <c r="F41" s="103">
        <f>SUM(F21:F40)</f>
        <v>70.319999999999993</v>
      </c>
      <c r="G41" s="104">
        <f>SUM(G21:G40)</f>
        <v>14.415480245834667</v>
      </c>
      <c r="H41" s="105">
        <f>SUM(H21:H40)</f>
        <v>32.10923196361928</v>
      </c>
      <c r="I41" s="96"/>
      <c r="J41" s="105">
        <f>SUM(J21:J40)</f>
        <v>5.4585922643152793</v>
      </c>
      <c r="K41" s="96"/>
      <c r="L41" s="106"/>
      <c r="M41" s="106"/>
      <c r="N41" s="106"/>
      <c r="O41" s="95"/>
    </row>
    <row r="43" spans="1:22" x14ac:dyDescent="0.3">
      <c r="B43" s="107" t="s">
        <v>79</v>
      </c>
      <c r="C43" s="108">
        <f>(D21+D28)</f>
        <v>29.999899999999997</v>
      </c>
      <c r="D43" s="109">
        <f>IF(AND($B$14&lt;$F$2,$E$14&lt;$F$2),C7,IF($B$14&lt;$F$2,I7,F7))</f>
        <v>1.8608682270474647E-4</v>
      </c>
      <c r="E43" s="109">
        <f>IF(AND($B$14&lt;$F$2,$E$14&lt;$F$2),D7,IF($B$14&lt;$F$2,J7,G7))</f>
        <v>-2.5965236115047629E-3</v>
      </c>
      <c r="F43" s="107">
        <f>C43*(D43+E43)</f>
        <v>-7.2312862620321605E-2</v>
      </c>
    </row>
    <row r="44" spans="1:22" x14ac:dyDescent="0.3"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x14ac:dyDescent="0.3">
      <c r="B45" s="244" t="s">
        <v>80</v>
      </c>
      <c r="C45" s="245"/>
      <c r="D45" s="245"/>
      <c r="E45" s="245"/>
      <c r="F45" s="245"/>
      <c r="G45" s="245"/>
      <c r="H45" s="246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x14ac:dyDescent="0.3">
      <c r="B46" s="56"/>
      <c r="D46" s="110" t="s">
        <v>81</v>
      </c>
      <c r="E46" s="110" t="s">
        <v>39</v>
      </c>
      <c r="F46" s="110" t="s">
        <v>14</v>
      </c>
      <c r="G46" s="110" t="s">
        <v>15</v>
      </c>
      <c r="H46" s="88" t="s">
        <v>82</v>
      </c>
      <c r="I46"/>
      <c r="J46" s="110" t="s">
        <v>0</v>
      </c>
      <c r="K46"/>
      <c r="L46"/>
      <c r="M46"/>
      <c r="N46"/>
      <c r="O46"/>
      <c r="P46"/>
      <c r="Q46"/>
      <c r="R46"/>
      <c r="S46"/>
      <c r="T46"/>
      <c r="U46"/>
      <c r="V46"/>
    </row>
    <row r="47" spans="1:22" x14ac:dyDescent="0.3">
      <c r="A47" s="1" t="s">
        <v>0</v>
      </c>
      <c r="B47" s="111" t="s">
        <v>83</v>
      </c>
      <c r="C47" s="112"/>
      <c r="D47" s="113"/>
      <c r="E47" s="113"/>
      <c r="F47" s="113"/>
      <c r="G47" s="113"/>
      <c r="H47" s="114">
        <f>SUM(H49:H65)+SUM(H70:H75)</f>
        <v>56.844769039976143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x14ac:dyDescent="0.3">
      <c r="A48" s="1" t="s">
        <v>0</v>
      </c>
      <c r="B48" s="56"/>
      <c r="D48" s="110"/>
      <c r="E48" s="110"/>
      <c r="F48" s="110"/>
      <c r="G48" s="110"/>
      <c r="H48" s="115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3">
      <c r="A49" s="1" t="s">
        <v>0</v>
      </c>
      <c r="B49" s="56" t="s">
        <v>84</v>
      </c>
      <c r="D49" s="116">
        <f>D21</f>
        <v>263</v>
      </c>
      <c r="E49" s="117">
        <f>IF(AND($B$14&lt;$F$2,$E$14&lt;$F$2),C6,IF($B$14&lt;$F$2,I6,F6))</f>
        <v>0.48621866666666663</v>
      </c>
      <c r="F49" s="117">
        <f>IF(AND($B$14&lt;$F$2,$E$14&lt;$F$2),D6,IF($B$14&lt;$F$2,J6,G6))</f>
        <v>0.32847799999999999</v>
      </c>
      <c r="G49" s="117">
        <f>E49+F49</f>
        <v>0.81469666666666662</v>
      </c>
      <c r="H49" s="118">
        <f>ROUND((D49*E49),2)+ROUND((D49*F49),2)</f>
        <v>214.26999999999998</v>
      </c>
      <c r="I49"/>
      <c r="J49"/>
      <c r="K49"/>
      <c r="L49"/>
      <c r="M49" s="119"/>
      <c r="N49"/>
      <c r="O49"/>
      <c r="P49"/>
      <c r="Q49"/>
      <c r="R49"/>
      <c r="S49"/>
      <c r="T49"/>
      <c r="U49"/>
      <c r="V49"/>
    </row>
    <row r="50" spans="1:22" x14ac:dyDescent="0.3">
      <c r="B50" s="56"/>
      <c r="D50" s="120"/>
      <c r="E50" s="97"/>
      <c r="F50" s="121"/>
      <c r="G50" s="121"/>
      <c r="H50" s="118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x14ac:dyDescent="0.3">
      <c r="B51" s="56" t="s">
        <v>62</v>
      </c>
      <c r="D51" s="122">
        <f>IF($K$12=M4,(D49*(K14)/(K14+L14)),0)+IF($L$12=M4,(D49*(L14)/(K14+L14)),0)</f>
        <v>263</v>
      </c>
      <c r="F51" s="123">
        <f>N4</f>
        <v>1.8849999999999999E-2</v>
      </c>
      <c r="G51" s="123"/>
      <c r="H51" s="118">
        <f>ROUND(D51*(E51+F51),2)</f>
        <v>4.96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3">
      <c r="B52" s="56" t="s">
        <v>85</v>
      </c>
      <c r="D52" s="122">
        <f>IF($K$12=M5,(D49*(K14)/(K14+L14)),0)+IF($L$12=M5,(D49*(L14)/(K14+L14)),0)</f>
        <v>0</v>
      </c>
      <c r="F52" s="123">
        <f>N5</f>
        <v>4.4630000000000003E-2</v>
      </c>
      <c r="G52" s="123"/>
      <c r="H52" s="118">
        <f>ROUND(D52*(E52+F52),2)</f>
        <v>0</v>
      </c>
      <c r="I52"/>
      <c r="J52"/>
      <c r="K52"/>
      <c r="L52" s="124"/>
      <c r="M52"/>
      <c r="N52"/>
      <c r="O52"/>
      <c r="P52"/>
      <c r="Q52"/>
      <c r="R52"/>
      <c r="S52"/>
      <c r="T52"/>
      <c r="U52"/>
      <c r="V52"/>
    </row>
    <row r="53" spans="1:22" x14ac:dyDescent="0.3">
      <c r="B53" s="56" t="s">
        <v>86</v>
      </c>
      <c r="D53" s="122">
        <f>IF($K$12=M6,(D49*(K14)/(K14+L14)),0)+IF($L$12=M6,(D49*(L14)/(K14+L14)),0)</f>
        <v>0</v>
      </c>
      <c r="F53" s="123">
        <f>N6</f>
        <v>7.8770000000000007E-2</v>
      </c>
      <c r="G53" s="123"/>
      <c r="H53" s="118">
        <f>ROUND(D53*(E53+F53),2)</f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x14ac:dyDescent="0.3">
      <c r="B54" s="56" t="s">
        <v>87</v>
      </c>
      <c r="D54" s="122">
        <f>IF($K$12=M8,(D49*(K14)/(K14+L14)),0)+IF($L$12=M8,(D49*(L14)/(K14+L14)),0)</f>
        <v>0</v>
      </c>
      <c r="F54" s="123">
        <f>N8</f>
        <v>0</v>
      </c>
      <c r="G54" s="123"/>
      <c r="H54" s="118">
        <f>ROUND(D54*(E54+F54),2)</f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B55" s="56"/>
      <c r="D55" s="125"/>
      <c r="H55" s="118"/>
      <c r="I55" s="3"/>
      <c r="J55" s="3"/>
      <c r="K55" s="119"/>
      <c r="L55" s="3"/>
      <c r="M55" s="3"/>
      <c r="N55" s="3"/>
      <c r="O55" s="3"/>
      <c r="P55" s="3"/>
    </row>
    <row r="56" spans="1:22" x14ac:dyDescent="0.3">
      <c r="B56" s="56" t="s">
        <v>88</v>
      </c>
      <c r="D56" s="126">
        <f>D28</f>
        <v>-233.0001</v>
      </c>
      <c r="E56" s="117">
        <f>E49*F17</f>
        <v>0.48621866666666663</v>
      </c>
      <c r="F56" s="117">
        <f>F49</f>
        <v>0.32847799999999999</v>
      </c>
      <c r="G56" s="117">
        <f>E56+F56</f>
        <v>0.81469666666666662</v>
      </c>
      <c r="H56" s="118">
        <f>ROUND((D56*E56),2)+ROUND((D56*F56),2)</f>
        <v>-189.83</v>
      </c>
      <c r="I56" s="3"/>
      <c r="J56" s="3"/>
      <c r="K56" s="119"/>
      <c r="L56" s="3"/>
      <c r="M56" s="119"/>
      <c r="N56" s="3"/>
      <c r="O56" s="3"/>
      <c r="P56" s="3"/>
    </row>
    <row r="57" spans="1:22" x14ac:dyDescent="0.3">
      <c r="B57" s="56"/>
      <c r="D57" s="120"/>
      <c r="E57" s="97"/>
      <c r="F57" s="121"/>
      <c r="G57" s="121"/>
      <c r="H57" s="118"/>
      <c r="I57" s="3"/>
      <c r="J57" s="3"/>
      <c r="K57" s="119"/>
      <c r="L57" s="3"/>
      <c r="M57" s="3"/>
      <c r="N57" s="3"/>
      <c r="O57" s="3"/>
      <c r="P57" s="3"/>
    </row>
    <row r="58" spans="1:22" x14ac:dyDescent="0.3">
      <c r="B58" s="56" t="s">
        <v>62</v>
      </c>
      <c r="D58" s="122">
        <f>IF($K$12=M4,(D56*(K14)/(K14+L14)),0)+IF($L$12=M4,(D56*(L14)/(K14+L14)),0)</f>
        <v>-233.00010000000003</v>
      </c>
      <c r="F58" s="123">
        <f>F51</f>
        <v>1.8849999999999999E-2</v>
      </c>
      <c r="G58" s="123"/>
      <c r="H58" s="118">
        <f>ROUND(D58*(E58+F58),2)</f>
        <v>-4.3899999999999997</v>
      </c>
      <c r="I58" s="3"/>
      <c r="J58" s="3"/>
      <c r="K58" s="3"/>
      <c r="L58" s="3"/>
      <c r="M58" s="3"/>
      <c r="N58" s="3"/>
      <c r="O58" s="3"/>
      <c r="P58" s="3"/>
    </row>
    <row r="59" spans="1:22" x14ac:dyDescent="0.3">
      <c r="B59" s="56" t="s">
        <v>85</v>
      </c>
      <c r="D59" s="122">
        <f>IF($K$12=M5,(D56*(K14)/(K14+L14)),0)+IF($L$12=M5,(D56*(L14)/(K14+L14)),0)</f>
        <v>0</v>
      </c>
      <c r="F59" s="123">
        <f t="shared" ref="F59:F61" si="18">F52</f>
        <v>4.4630000000000003E-2</v>
      </c>
      <c r="G59" s="123"/>
      <c r="H59" s="118">
        <f>ROUND(D59*(E59+F59),2)</f>
        <v>0</v>
      </c>
      <c r="I59" s="3"/>
      <c r="J59" s="3"/>
      <c r="K59" s="3"/>
      <c r="L59" s="3"/>
      <c r="M59" s="3"/>
      <c r="N59" s="3"/>
      <c r="O59" s="3"/>
      <c r="P59" s="3"/>
    </row>
    <row r="60" spans="1:22" x14ac:dyDescent="0.3">
      <c r="B60" s="56" t="s">
        <v>86</v>
      </c>
      <c r="D60" s="122">
        <f>IF($K$12=M6,(D56*(K14)/(K14+L14)),0)+IF($L$12=M6,(D56*(L14)/(K14+L14)),0)</f>
        <v>0</v>
      </c>
      <c r="F60" s="123">
        <f t="shared" si="18"/>
        <v>7.8770000000000007E-2</v>
      </c>
      <c r="G60" s="123"/>
      <c r="H60" s="118">
        <f>ROUND(D60*(E60+F60),2)</f>
        <v>0</v>
      </c>
      <c r="I60" s="3"/>
      <c r="J60" s="3"/>
      <c r="K60" s="3"/>
      <c r="L60" s="3"/>
      <c r="M60" s="3"/>
      <c r="N60" s="3"/>
      <c r="O60" s="3"/>
      <c r="P60" s="3"/>
    </row>
    <row r="61" spans="1:22" x14ac:dyDescent="0.3">
      <c r="B61" s="56" t="s">
        <v>87</v>
      </c>
      <c r="D61" s="122">
        <f>IF($K$12=M8,(D56*(K14)/(K14+L14)),0)+IF($L$12=M8,(D56*(L14)/(K14+L14)),0)</f>
        <v>0</v>
      </c>
      <c r="F61" s="123">
        <f t="shared" si="18"/>
        <v>0</v>
      </c>
      <c r="G61" s="123"/>
      <c r="H61" s="118">
        <f>ROUND(D61*(E61+F61),2)</f>
        <v>0</v>
      </c>
      <c r="J61" s="3"/>
      <c r="K61" s="3"/>
      <c r="L61" s="3"/>
      <c r="M61" s="3"/>
      <c r="N61" s="3"/>
      <c r="O61" s="3"/>
      <c r="P61" s="3"/>
    </row>
    <row r="62" spans="1:22" x14ac:dyDescent="0.3">
      <c r="B62" s="56"/>
      <c r="D62" s="122"/>
      <c r="F62" s="123"/>
      <c r="G62" s="123"/>
      <c r="H62" s="118"/>
      <c r="J62" s="3"/>
      <c r="K62" s="3"/>
      <c r="L62" s="3"/>
      <c r="M62" s="3"/>
      <c r="N62" s="3"/>
      <c r="O62" s="3"/>
      <c r="P62" s="3"/>
    </row>
    <row r="63" spans="1:22" x14ac:dyDescent="0.3">
      <c r="B63" s="127"/>
      <c r="C63" s="128"/>
      <c r="D63" s="129"/>
      <c r="E63" s="130"/>
      <c r="F63" s="131"/>
      <c r="G63" s="130"/>
      <c r="H63" s="132"/>
      <c r="I63" s="133"/>
      <c r="J63" s="3"/>
      <c r="K63" s="3"/>
      <c r="L63" s="3"/>
      <c r="M63" s="3"/>
      <c r="N63" s="3"/>
      <c r="O63" s="3"/>
      <c r="P63" s="3"/>
    </row>
    <row r="64" spans="1:22" x14ac:dyDescent="0.3">
      <c r="B64" s="127"/>
      <c r="C64" s="128"/>
      <c r="D64" s="134"/>
      <c r="E64" s="128"/>
      <c r="F64" s="135"/>
      <c r="G64" s="135"/>
      <c r="H64" s="132"/>
      <c r="I64" s="3"/>
      <c r="J64" s="3"/>
      <c r="K64" s="3"/>
      <c r="L64" s="3"/>
      <c r="M64" s="3"/>
      <c r="N64" s="3"/>
      <c r="O64" s="3"/>
      <c r="P64" s="3"/>
    </row>
    <row r="65" spans="2:16" x14ac:dyDescent="0.3">
      <c r="B65" s="127"/>
      <c r="C65" s="128"/>
      <c r="D65" s="129"/>
      <c r="E65" s="130"/>
      <c r="F65" s="131"/>
      <c r="G65" s="130"/>
      <c r="H65" s="132"/>
      <c r="I65" s="136"/>
      <c r="K65" s="3"/>
      <c r="L65" s="3"/>
      <c r="M65" s="3"/>
      <c r="N65" s="3"/>
      <c r="O65" s="3"/>
      <c r="P65" s="3"/>
    </row>
    <row r="66" spans="2:16" x14ac:dyDescent="0.3">
      <c r="B66" s="137"/>
      <c r="C66" s="2"/>
      <c r="D66" s="2"/>
      <c r="E66" s="2"/>
      <c r="F66" s="2"/>
      <c r="G66" s="2"/>
      <c r="H66" s="138"/>
      <c r="I66"/>
      <c r="J66" s="3"/>
      <c r="K66" s="3"/>
      <c r="L66" s="3"/>
      <c r="M66" s="3"/>
      <c r="N66" s="3"/>
      <c r="O66" s="3"/>
      <c r="P66" s="3"/>
    </row>
    <row r="67" spans="2:16" x14ac:dyDescent="0.3">
      <c r="B67" s="42"/>
      <c r="C67" s="43"/>
      <c r="D67" s="43"/>
      <c r="E67" s="43"/>
      <c r="F67" s="43"/>
      <c r="G67" s="43"/>
      <c r="H67" s="139">
        <f>SUM(H49:H66)</f>
        <v>25.009999999999977</v>
      </c>
      <c r="I67" s="3"/>
      <c r="L67" s="3"/>
      <c r="M67" s="3"/>
      <c r="N67" s="3"/>
      <c r="O67" s="3"/>
      <c r="P67" s="3"/>
    </row>
    <row r="68" spans="2:16" x14ac:dyDescent="0.3">
      <c r="B68" s="140"/>
      <c r="C68" s="3"/>
      <c r="D68" s="3"/>
      <c r="E68" s="3"/>
      <c r="F68" s="3"/>
      <c r="G68" s="3"/>
      <c r="H68" s="59"/>
      <c r="I68" s="3"/>
      <c r="L68" s="3"/>
      <c r="M68" s="3"/>
      <c r="N68" s="3"/>
      <c r="O68" s="3"/>
      <c r="P68" s="3"/>
    </row>
    <row r="69" spans="2:16" x14ac:dyDescent="0.3">
      <c r="B69" s="56"/>
      <c r="D69" s="141" t="s">
        <v>89</v>
      </c>
      <c r="E69" s="142"/>
      <c r="F69" s="142"/>
      <c r="G69" s="142"/>
      <c r="H69" s="143"/>
      <c r="I69" s="144"/>
      <c r="K69" s="145"/>
      <c r="L69" s="3"/>
      <c r="M69" s="3"/>
      <c r="N69" s="3"/>
      <c r="O69" s="3"/>
      <c r="P69" s="3"/>
    </row>
    <row r="70" spans="2:16" x14ac:dyDescent="0.3">
      <c r="B70" s="56" t="s">
        <v>90</v>
      </c>
      <c r="D70" s="146">
        <f>(H49+H51+H52+H53+H54)/(1-E70-E72)</f>
        <v>233.64595545134816</v>
      </c>
      <c r="E70" s="147">
        <f>N21</f>
        <v>1.0999999999999999E-2</v>
      </c>
      <c r="H70" s="148">
        <f>D70*E70</f>
        <v>2.5701055099648298</v>
      </c>
      <c r="I70" s="145"/>
      <c r="L70" s="3"/>
      <c r="M70" s="3"/>
      <c r="N70" s="3"/>
      <c r="O70" s="3"/>
      <c r="P70" s="3"/>
    </row>
    <row r="71" spans="2:16" x14ac:dyDescent="0.3">
      <c r="B71" s="56" t="s">
        <v>91</v>
      </c>
      <c r="D71" s="146">
        <f>(H56+H58+H59+H60+H61+H63+H65)/(1-E70-E72)</f>
        <v>-206.99136736651391</v>
      </c>
      <c r="E71" s="149">
        <f>E70</f>
        <v>1.0999999999999999E-2</v>
      </c>
      <c r="H71" s="148">
        <f t="shared" ref="H71:H73" si="19">D71*E71</f>
        <v>-2.2769050410316529</v>
      </c>
      <c r="I71" s="145"/>
      <c r="L71" s="3"/>
      <c r="M71" s="3"/>
      <c r="N71" s="3"/>
      <c r="O71" s="3"/>
      <c r="P71" s="3"/>
    </row>
    <row r="72" spans="2:16" x14ac:dyDescent="0.3">
      <c r="B72" s="56" t="s">
        <v>63</v>
      </c>
      <c r="D72" s="146">
        <f>D70</f>
        <v>233.64595545134816</v>
      </c>
      <c r="E72" s="147">
        <f>N23</f>
        <v>5.0700000000000002E-2</v>
      </c>
      <c r="H72" s="148">
        <f t="shared" si="19"/>
        <v>11.845849941383353</v>
      </c>
      <c r="I72" s="145"/>
      <c r="L72" s="3"/>
      <c r="M72" s="3"/>
      <c r="N72" s="3"/>
      <c r="O72" s="3"/>
      <c r="P72" s="3"/>
    </row>
    <row r="73" spans="2:16" x14ac:dyDescent="0.3">
      <c r="B73" s="56" t="s">
        <v>92</v>
      </c>
      <c r="D73" s="146">
        <f>D71</f>
        <v>-206.99136736651391</v>
      </c>
      <c r="E73" s="149">
        <f>E72</f>
        <v>5.0700000000000002E-2</v>
      </c>
      <c r="H73" s="148">
        <f t="shared" si="19"/>
        <v>-10.494462325482257</v>
      </c>
      <c r="I73" s="145"/>
      <c r="L73" s="3"/>
      <c r="M73" s="3"/>
      <c r="N73" s="3"/>
      <c r="O73" s="3"/>
      <c r="P73" s="3"/>
    </row>
    <row r="74" spans="2:16" x14ac:dyDescent="0.3">
      <c r="B74" s="56" t="s">
        <v>93</v>
      </c>
      <c r="D74" s="150">
        <f>D70/(1-E74)</f>
        <v>281.50115114620263</v>
      </c>
      <c r="E74" s="151">
        <v>0.17</v>
      </c>
      <c r="H74" s="148">
        <f>D74*E74</f>
        <v>47.855195694854451</v>
      </c>
      <c r="I74" s="145"/>
      <c r="L74" s="3"/>
      <c r="M74" s="3"/>
      <c r="N74" s="3"/>
      <c r="O74" s="3"/>
      <c r="P74" s="3"/>
    </row>
    <row r="75" spans="2:16" x14ac:dyDescent="0.3">
      <c r="B75" s="152" t="s">
        <v>94</v>
      </c>
      <c r="C75" s="106"/>
      <c r="D75" s="153">
        <f>((D56*F56)+(H58+H59+H60+H61)+(D63*F63)+(D65*F65))/(1-E71-E73)/(1-E75)</f>
        <v>-103.91185141007385</v>
      </c>
      <c r="E75" s="154">
        <f>E74</f>
        <v>0.17</v>
      </c>
      <c r="F75" s="106"/>
      <c r="G75" s="106"/>
      <c r="H75" s="155">
        <f>D75*E75</f>
        <v>-17.665014739712557</v>
      </c>
      <c r="L75" s="3"/>
      <c r="M75" s="3"/>
      <c r="N75" s="3"/>
      <c r="O75" s="3"/>
      <c r="P75" s="3"/>
    </row>
    <row r="76" spans="2:16" x14ac:dyDescent="0.3">
      <c r="L76" s="3"/>
      <c r="M76" s="3"/>
      <c r="N76" s="3"/>
      <c r="O76" s="3"/>
      <c r="P76" s="3"/>
    </row>
    <row r="77" spans="2:16" x14ac:dyDescent="0.3">
      <c r="B77" s="156" t="s">
        <v>95</v>
      </c>
      <c r="C77" s="157"/>
      <c r="D77" s="158">
        <f>D49+D56</f>
        <v>29.999899999999997</v>
      </c>
      <c r="E77" s="159">
        <f>IF(AND($B$14&lt;$F$2,$E$14&lt;$F$2),C7,IF($B$14&lt;$F$2,I7,F7))</f>
        <v>1.8608682270474647E-4</v>
      </c>
      <c r="F77" s="159">
        <f>IF(AND($B$14&lt;$F$2,$E$14&lt;$F$2),D7,IF($B$14&lt;$F$2,J7,G7))</f>
        <v>-2.5965236115047629E-3</v>
      </c>
      <c r="G77" s="157"/>
      <c r="H77" s="156">
        <f>D77*(E77+F77)</f>
        <v>-7.2312862620321605E-2</v>
      </c>
      <c r="L77" s="3"/>
      <c r="M77" s="3"/>
      <c r="N77" s="3"/>
      <c r="O77" s="3"/>
      <c r="P77" s="3"/>
    </row>
  </sheetData>
  <customSheetViews>
    <customSheetView guid="{DD040A5E-BAB6-4607-A6FD-72F0B8E25E8D}" scale="80" showGridLines="0">
      <selection activeCell="P26" sqref="P26"/>
      <pageMargins left="0.511811024" right="0.511811024" top="0.78740157499999996" bottom="0.78740157499999996" header="0.31496062000000002" footer="0.31496062000000002"/>
      <pageSetup orientation="portrait" r:id="rId1"/>
    </customSheetView>
  </customSheetViews>
  <mergeCells count="10">
    <mergeCell ref="U4:W4"/>
    <mergeCell ref="X4:Z4"/>
    <mergeCell ref="K11:L11"/>
    <mergeCell ref="B45:H45"/>
    <mergeCell ref="B4:B5"/>
    <mergeCell ref="C4:E4"/>
    <mergeCell ref="F4:H4"/>
    <mergeCell ref="I4:K4"/>
    <mergeCell ref="Q4:Q5"/>
    <mergeCell ref="R4:T4"/>
  </mergeCells>
  <conditionalFormatting sqref="K12:L12">
    <cfRule type="cellIs" dxfId="55" priority="1" operator="equal">
      <formula>"Escassez Hídrica"</formula>
    </cfRule>
    <cfRule type="cellIs" dxfId="54" priority="2" operator="equal">
      <formula>"VERDE"</formula>
    </cfRule>
    <cfRule type="cellIs" dxfId="53" priority="3" operator="equal">
      <formula>"BVM2"</formula>
    </cfRule>
    <cfRule type="cellIs" dxfId="52" priority="4" operator="equal">
      <formula>"BVM1"</formula>
    </cfRule>
    <cfRule type="cellIs" dxfId="51" priority="5" operator="equal">
      <formula>"BAM"</formula>
    </cfRule>
  </conditionalFormatting>
  <conditionalFormatting sqref="M3">
    <cfRule type="cellIs" dxfId="50" priority="11" operator="equal">
      <formula>"VERDE"</formula>
    </cfRule>
    <cfRule type="cellIs" dxfId="49" priority="12" operator="equal">
      <formula>"BVM2"</formula>
    </cfRule>
    <cfRule type="cellIs" dxfId="48" priority="13" operator="equal">
      <formula>"BVM1"</formula>
    </cfRule>
    <cfRule type="cellIs" dxfId="47" priority="14" operator="equal">
      <formula>"BAM"</formula>
    </cfRule>
  </conditionalFormatting>
  <conditionalFormatting sqref="M7:M8">
    <cfRule type="containsText" dxfId="46" priority="6" operator="containsText" text="Escassez Hídrica">
      <formula>NOT(ISERROR(SEARCH("Escassez Hídrica",M7)))</formula>
    </cfRule>
    <cfRule type="cellIs" dxfId="45" priority="7" operator="equal">
      <formula>"VERDE"</formula>
    </cfRule>
    <cfRule type="cellIs" dxfId="44" priority="8" operator="equal">
      <formula>"BVM2"</formula>
    </cfRule>
    <cfRule type="cellIs" dxfId="43" priority="9" operator="equal">
      <formula>"BVM1"</formula>
    </cfRule>
    <cfRule type="cellIs" dxfId="42" priority="10" operator="equal">
      <formula>"BAM"</formula>
    </cfRule>
  </conditionalFormatting>
  <dataValidations count="1">
    <dataValidation type="list" allowBlank="1" showInputMessage="1" showErrorMessage="1" sqref="K12:L12" xr:uid="{631BE64E-380A-4927-9A66-98E53EE62F6C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B276-0F74-42D5-8720-90EEC2F57E85}">
  <sheetPr>
    <tabColor rgb="FF00B050"/>
  </sheetPr>
  <dimension ref="A1:Z77"/>
  <sheetViews>
    <sheetView showGridLines="0" zoomScale="80" zoomScaleNormal="80" workbookViewId="0">
      <selection activeCell="S26" sqref="S26:S29"/>
    </sheetView>
  </sheetViews>
  <sheetFormatPr defaultColWidth="9.109375" defaultRowHeight="14.4" x14ac:dyDescent="0.3"/>
  <cols>
    <col min="1" max="1" width="5.44140625" style="1" customWidth="1"/>
    <col min="2" max="2" width="21" style="1" customWidth="1"/>
    <col min="3" max="3" width="13.88671875" style="1" customWidth="1"/>
    <col min="4" max="4" width="15.109375" style="1" customWidth="1"/>
    <col min="5" max="5" width="21.6640625" style="1" bestFit="1" customWidth="1"/>
    <col min="6" max="6" width="16" style="1" customWidth="1"/>
    <col min="7" max="10" width="12.6640625" style="1" customWidth="1"/>
    <col min="11" max="12" width="13.88671875" style="1" customWidth="1"/>
    <col min="13" max="13" width="17.44140625" style="1" customWidth="1"/>
    <col min="14" max="14" width="12.6640625" style="1" customWidth="1"/>
    <col min="15" max="15" width="14" style="1" customWidth="1"/>
    <col min="16" max="16" width="16.109375" style="1" customWidth="1"/>
    <col min="17" max="17" width="9.44140625" style="1" bestFit="1" customWidth="1"/>
    <col min="18" max="18" width="12.109375" style="1" bestFit="1" customWidth="1"/>
    <col min="19" max="19" width="13.109375" style="1" bestFit="1" customWidth="1"/>
    <col min="20" max="20" width="11.33203125" style="1" bestFit="1" customWidth="1"/>
    <col min="21" max="21" width="12.109375" style="1" bestFit="1" customWidth="1"/>
    <col min="22" max="22" width="13.109375" style="1" bestFit="1" customWidth="1"/>
    <col min="23" max="23" width="11.33203125" style="1" bestFit="1" customWidth="1"/>
    <col min="24" max="24" width="12.109375" style="1" bestFit="1" customWidth="1"/>
    <col min="25" max="25" width="13.109375" style="1" bestFit="1" customWidth="1"/>
    <col min="26" max="26" width="11.33203125" style="1" bestFit="1" customWidth="1"/>
    <col min="27" max="16384" width="9.109375" style="1"/>
  </cols>
  <sheetData>
    <row r="1" spans="1:26" x14ac:dyDescent="0.3">
      <c r="A1" s="1" t="s">
        <v>0</v>
      </c>
      <c r="B1" s="1" t="s">
        <v>0</v>
      </c>
      <c r="F1" s="2"/>
      <c r="G1" s="3"/>
      <c r="H1" s="3" t="s">
        <v>0</v>
      </c>
      <c r="I1" s="3"/>
      <c r="J1" s="3"/>
      <c r="K1" s="3"/>
      <c r="L1" s="1" t="s">
        <v>0</v>
      </c>
    </row>
    <row r="2" spans="1:26" ht="18" x14ac:dyDescent="0.3">
      <c r="A2" s="1" t="s">
        <v>0</v>
      </c>
      <c r="B2" s="4" t="s">
        <v>96</v>
      </c>
      <c r="E2" s="5" t="s">
        <v>2</v>
      </c>
      <c r="F2" s="6">
        <f>'Fatura B1 (GD) OK'!F2</f>
        <v>46241</v>
      </c>
      <c r="G2" s="3" t="s">
        <v>0</v>
      </c>
      <c r="I2"/>
      <c r="J2" s="3"/>
      <c r="K2" s="3"/>
      <c r="M2" s="7" t="s">
        <v>3</v>
      </c>
      <c r="N2" s="7" t="s">
        <v>4</v>
      </c>
      <c r="O2" s="1" t="s">
        <v>5</v>
      </c>
      <c r="Q2" s="8" t="s">
        <v>6</v>
      </c>
      <c r="R2" s="9"/>
    </row>
    <row r="3" spans="1:26" x14ac:dyDescent="0.3">
      <c r="M3" s="10" t="s">
        <v>7</v>
      </c>
      <c r="N3" s="11">
        <v>0</v>
      </c>
    </row>
    <row r="4" spans="1:26" ht="15" customHeight="1" x14ac:dyDescent="0.3">
      <c r="B4" s="247" t="s">
        <v>8</v>
      </c>
      <c r="C4" s="249" t="s">
        <v>97</v>
      </c>
      <c r="D4" s="249"/>
      <c r="E4" s="249"/>
      <c r="F4" s="249" t="str">
        <f>'Fatura B1 (GD) OK'!F4</f>
        <v>TARIFA NOVA - REH xxxx/2024</v>
      </c>
      <c r="G4" s="249"/>
      <c r="H4" s="249"/>
      <c r="I4" s="250" t="s">
        <v>11</v>
      </c>
      <c r="J4" s="250"/>
      <c r="K4" s="250"/>
      <c r="M4" s="12" t="s">
        <v>12</v>
      </c>
      <c r="N4" s="13">
        <f>[1]BANDEIRA!$D$5</f>
        <v>1.8849999999999999E-2</v>
      </c>
      <c r="Q4" s="247" t="s">
        <v>8</v>
      </c>
      <c r="R4" s="240" t="str">
        <f>C4</f>
        <v>TARIFA ANTIGA - REH 3091/2022</v>
      </c>
      <c r="S4" s="241"/>
      <c r="T4" s="242"/>
      <c r="U4" s="240" t="str">
        <f>F4</f>
        <v>TARIFA NOVA - REH xxxx/2024</v>
      </c>
      <c r="V4" s="241"/>
      <c r="W4" s="242"/>
      <c r="X4" s="240" t="s">
        <v>11</v>
      </c>
      <c r="Y4" s="241"/>
      <c r="Z4" s="242"/>
    </row>
    <row r="5" spans="1:26" x14ac:dyDescent="0.3">
      <c r="B5" s="248"/>
      <c r="C5" s="14" t="s">
        <v>13</v>
      </c>
      <c r="D5" s="14" t="s">
        <v>14</v>
      </c>
      <c r="E5" s="14" t="s">
        <v>15</v>
      </c>
      <c r="F5" s="14" t="s">
        <v>13</v>
      </c>
      <c r="G5" s="14" t="s">
        <v>14</v>
      </c>
      <c r="H5" s="14" t="s">
        <v>15</v>
      </c>
      <c r="I5" s="15" t="s">
        <v>13</v>
      </c>
      <c r="J5" s="15" t="s">
        <v>14</v>
      </c>
      <c r="K5" s="15" t="s">
        <v>15</v>
      </c>
      <c r="M5" s="16" t="s">
        <v>16</v>
      </c>
      <c r="N5" s="17">
        <f>[1]BANDEIRA!$D$6</f>
        <v>4.4630000000000003E-2</v>
      </c>
      <c r="Q5" s="248"/>
      <c r="R5" s="14" t="s">
        <v>17</v>
      </c>
      <c r="S5"/>
      <c r="T5"/>
      <c r="U5" s="14" t="s">
        <v>17</v>
      </c>
      <c r="V5"/>
      <c r="W5"/>
      <c r="X5" s="14" t="s">
        <v>17</v>
      </c>
      <c r="Y5"/>
      <c r="Z5"/>
    </row>
    <row r="6" spans="1:26" x14ac:dyDescent="0.3">
      <c r="B6" s="18" t="s">
        <v>96</v>
      </c>
      <c r="C6" s="19">
        <f>'TABELA DE TARIFAS ANTIGAS'!G89/1000</f>
        <v>0.46862999999999999</v>
      </c>
      <c r="D6" s="19">
        <f>'TABELA DE TARIFAS ANTIGAS'!H89/1000</f>
        <v>0.32068000000000002</v>
      </c>
      <c r="E6" s="19">
        <f t="shared" ref="E6" si="0">C6+D6</f>
        <v>0.78930999999999996</v>
      </c>
      <c r="F6" s="19">
        <f>'TABELA DE TARIFAS NOVAS'!G91/1000</f>
        <v>0.50631999999999999</v>
      </c>
      <c r="G6" s="19">
        <f>'TABELA DE TARIFAS NOVAS'!H91/1000</f>
        <v>0.33738999999999997</v>
      </c>
      <c r="H6" s="19">
        <f t="shared" ref="H6" si="1">F6+G6</f>
        <v>0.84370999999999996</v>
      </c>
      <c r="I6" s="19">
        <f>((C6*$C$14)+(F6*$D$14))/($D$14+$C$14)</f>
        <v>0.48983062499999996</v>
      </c>
      <c r="J6" s="19">
        <f>((D6*$C$14)+(G6*$D$14))/($D$14+$C$14)</f>
        <v>0.33007937500000001</v>
      </c>
      <c r="K6" s="20">
        <f t="shared" ref="K6" si="2">I6+J6</f>
        <v>0.81990999999999992</v>
      </c>
      <c r="M6" s="21" t="s">
        <v>19</v>
      </c>
      <c r="N6" s="22">
        <f>[1]BANDEIRA!$D$7</f>
        <v>7.8770000000000007E-2</v>
      </c>
      <c r="P6" s="23"/>
      <c r="Q6" s="18" t="str">
        <f>B6</f>
        <v>B3</v>
      </c>
      <c r="R6" s="19">
        <f>'FIO B'!H35/1000</f>
        <v>0.20383072193179136</v>
      </c>
      <c r="S6"/>
      <c r="T6"/>
      <c r="U6" s="19">
        <f>'FIO B'!K35/1000</f>
        <v>0.20915159219558199</v>
      </c>
      <c r="V6"/>
      <c r="W6"/>
      <c r="X6" s="19">
        <f>((R6*$C$14)+(U6*$D$14))/($D$14+$C$14)</f>
        <v>0.20682371145517359</v>
      </c>
      <c r="Y6"/>
      <c r="Z6"/>
    </row>
    <row r="7" spans="1:26" x14ac:dyDescent="0.3">
      <c r="B7" s="24" t="s">
        <v>20</v>
      </c>
      <c r="C7" s="25">
        <v>1.8774721494831901E-4</v>
      </c>
      <c r="D7" s="26">
        <v>-4.4031307414479802E-3</v>
      </c>
      <c r="E7" s="20">
        <v>3.6054083865702689E-3</v>
      </c>
      <c r="F7" s="20">
        <f>T11</f>
        <v>1.84189231569235E-4</v>
      </c>
      <c r="G7" s="20">
        <f>U11</f>
        <v>-5.3182974871251499E-4</v>
      </c>
      <c r="H7" s="20">
        <f t="shared" ref="H7" si="3">F7+G7</f>
        <v>-3.4764051714327999E-4</v>
      </c>
      <c r="I7" s="19">
        <f>((C7*$C$14)+(F7*$D$14))/($D$14+$C$14)</f>
        <v>1.8574584929758426E-4</v>
      </c>
      <c r="J7" s="19">
        <f>((D7*$C$14)+(G7*$D$14))/($D$14+$C$14)</f>
        <v>-2.225523933034281E-3</v>
      </c>
      <c r="K7" s="20">
        <f t="shared" ref="K7" si="4">I7+J7</f>
        <v>-2.0397780837366967E-3</v>
      </c>
      <c r="M7" s="10" t="s">
        <v>21</v>
      </c>
      <c r="N7" s="27">
        <v>0.14199999999999999</v>
      </c>
      <c r="P7" s="23"/>
      <c r="Q7" s="28"/>
      <c r="R7" s="29"/>
      <c r="S7"/>
      <c r="T7"/>
      <c r="U7" s="29"/>
      <c r="V7"/>
      <c r="W7"/>
      <c r="X7" s="29"/>
      <c r="Y7"/>
      <c r="Z7"/>
    </row>
    <row r="8" spans="1:26" x14ac:dyDescent="0.3">
      <c r="B8" s="30" t="s">
        <v>22</v>
      </c>
      <c r="C8" s="29"/>
      <c r="D8" s="29"/>
      <c r="E8" s="29"/>
      <c r="F8" s="29"/>
      <c r="G8" s="31">
        <f>G6*15%</f>
        <v>5.0608499999999994E-2</v>
      </c>
      <c r="H8" s="29"/>
      <c r="I8" s="29"/>
      <c r="J8" s="19">
        <f>((D8*$C$14)+(G8*$D$14))/($D$14+$C$14)</f>
        <v>2.8467281249999997E-2</v>
      </c>
      <c r="K8" s="32"/>
      <c r="M8" s="160"/>
      <c r="N8" s="34"/>
      <c r="P8" s="35" t="s">
        <v>23</v>
      </c>
      <c r="Q8" s="36"/>
      <c r="R8" s="37" t="s">
        <v>24</v>
      </c>
      <c r="S8" s="37" t="s">
        <v>25</v>
      </c>
      <c r="T8" s="37" t="s">
        <v>17</v>
      </c>
      <c r="U8" s="37" t="s">
        <v>26</v>
      </c>
      <c r="V8"/>
      <c r="W8"/>
      <c r="X8" s="29"/>
      <c r="Y8"/>
      <c r="Z8"/>
    </row>
    <row r="9" spans="1:26" x14ac:dyDescent="0.3">
      <c r="A9" s="1" t="s">
        <v>0</v>
      </c>
      <c r="G9" s="3"/>
      <c r="H9" s="3"/>
      <c r="I9" s="3"/>
      <c r="J9" s="3"/>
      <c r="K9" s="3"/>
      <c r="O9" s="5"/>
      <c r="P9" s="38" t="s">
        <v>27</v>
      </c>
      <c r="Q9" s="39"/>
      <c r="R9" s="40"/>
      <c r="S9" s="40"/>
      <c r="T9" s="41"/>
      <c r="U9" s="41"/>
      <c r="V9"/>
      <c r="W9"/>
      <c r="X9"/>
      <c r="Y9"/>
      <c r="Z9"/>
    </row>
    <row r="10" spans="1:26" x14ac:dyDescent="0.3">
      <c r="B10" s="42"/>
      <c r="C10" s="43"/>
      <c r="D10" s="44"/>
      <c r="E10" s="43"/>
      <c r="F10" s="43"/>
      <c r="G10" s="43"/>
      <c r="H10" s="45" t="s">
        <v>28</v>
      </c>
      <c r="I10" s="3"/>
      <c r="L10" s="5" t="s">
        <v>29</v>
      </c>
      <c r="M10" s="6">
        <f>EOMONTH(B14,0)+1</f>
        <v>46235</v>
      </c>
      <c r="P10" s="46" t="s">
        <v>30</v>
      </c>
      <c r="Q10" s="47"/>
      <c r="R10" s="48"/>
      <c r="S10" s="48"/>
      <c r="T10" s="49"/>
      <c r="U10" s="26">
        <v>0</v>
      </c>
      <c r="V10"/>
      <c r="W10"/>
      <c r="X10"/>
      <c r="Y10"/>
      <c r="Z10"/>
    </row>
    <row r="11" spans="1:26" x14ac:dyDescent="0.3">
      <c r="B11" s="50" t="s">
        <v>31</v>
      </c>
      <c r="C11" s="51">
        <v>1185290</v>
      </c>
      <c r="E11" s="3"/>
      <c r="F11" s="3"/>
      <c r="G11" s="3"/>
      <c r="H11" s="52">
        <f>E14</f>
        <v>46258</v>
      </c>
      <c r="K11" s="243" t="s">
        <v>32</v>
      </c>
      <c r="L11" s="243"/>
      <c r="P11" s="53" t="s">
        <v>33</v>
      </c>
      <c r="Q11" s="54"/>
      <c r="R11" s="55"/>
      <c r="S11" s="55"/>
      <c r="T11" s="25">
        <f>'Fatura B1 (GD) OK'!T11</f>
        <v>1.84189231569235E-4</v>
      </c>
      <c r="U11" s="25">
        <f>'Fatura B1 (GD) OK'!U11</f>
        <v>-5.3182974871251499E-4</v>
      </c>
      <c r="V11"/>
      <c r="W11"/>
      <c r="X11"/>
      <c r="Y11"/>
      <c r="Z11"/>
    </row>
    <row r="12" spans="1:26" x14ac:dyDescent="0.3">
      <c r="A12" s="1" t="s">
        <v>0</v>
      </c>
      <c r="B12" s="56"/>
      <c r="H12" s="57"/>
      <c r="K12" s="10" t="s">
        <v>12</v>
      </c>
      <c r="L12" s="10" t="s">
        <v>12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6" x14ac:dyDescent="0.3">
      <c r="B13" s="58" t="s">
        <v>34</v>
      </c>
      <c r="C13" s="58" t="s">
        <v>35</v>
      </c>
      <c r="D13" s="58" t="s">
        <v>36</v>
      </c>
      <c r="E13" s="58" t="s">
        <v>37</v>
      </c>
      <c r="F13" s="3"/>
      <c r="G13" s="3"/>
      <c r="H13" s="59"/>
      <c r="J13" s="58" t="s">
        <v>34</v>
      </c>
      <c r="K13" s="58" t="s">
        <v>35</v>
      </c>
      <c r="L13" s="58" t="s">
        <v>36</v>
      </c>
      <c r="M13" s="58" t="s">
        <v>37</v>
      </c>
    </row>
    <row r="14" spans="1:26" x14ac:dyDescent="0.3">
      <c r="B14" s="60">
        <v>46226</v>
      </c>
      <c r="C14" s="61">
        <f>IF((F2-B14-1)&lt;0,0,(F2-B14-1))</f>
        <v>14</v>
      </c>
      <c r="D14" s="61">
        <f>E14-F2+1</f>
        <v>18</v>
      </c>
      <c r="E14" s="60">
        <v>46258</v>
      </c>
      <c r="F14" s="62"/>
      <c r="G14" s="62"/>
      <c r="H14" s="63"/>
      <c r="J14" s="64">
        <f>B14</f>
        <v>46226</v>
      </c>
      <c r="K14" s="65">
        <f>IF((M10-J14-1)&lt;0,0,(M10-J14-1))</f>
        <v>8</v>
      </c>
      <c r="L14" s="65">
        <f>M14-M10+1</f>
        <v>24</v>
      </c>
      <c r="M14" s="64">
        <f>E14</f>
        <v>46258</v>
      </c>
    </row>
    <row r="16" spans="1:26" x14ac:dyDescent="0.3">
      <c r="B16" s="3"/>
      <c r="F16" s="66"/>
      <c r="G16"/>
      <c r="H16" s="67"/>
    </row>
    <row r="17" spans="2:20" x14ac:dyDescent="0.3">
      <c r="B17" s="68" t="s">
        <v>38</v>
      </c>
      <c r="E17" s="8" t="s">
        <v>39</v>
      </c>
      <c r="F17" s="69">
        <v>1</v>
      </c>
      <c r="G17" s="70" t="s">
        <v>14</v>
      </c>
      <c r="H17" s="69">
        <v>1</v>
      </c>
      <c r="M17" s="71" t="s">
        <v>40</v>
      </c>
      <c r="N17" s="72"/>
      <c r="O17" s="73">
        <v>1025310624</v>
      </c>
    </row>
    <row r="18" spans="2:20" x14ac:dyDescent="0.3">
      <c r="B18" s="68"/>
    </row>
    <row r="19" spans="2:20" ht="42" customHeight="1" x14ac:dyDescent="0.3">
      <c r="B19" s="77" t="s">
        <v>41</v>
      </c>
      <c r="C19" s="77" t="s">
        <v>42</v>
      </c>
      <c r="D19" s="77" t="s">
        <v>43</v>
      </c>
      <c r="E19" s="78" t="s">
        <v>44</v>
      </c>
      <c r="F19" s="78" t="s">
        <v>45</v>
      </c>
      <c r="G19" s="78" t="s">
        <v>46</v>
      </c>
      <c r="H19" s="78" t="s">
        <v>47</v>
      </c>
      <c r="I19" s="78" t="s">
        <v>48</v>
      </c>
      <c r="J19" s="78" t="s">
        <v>49</v>
      </c>
      <c r="K19" s="79" t="s">
        <v>50</v>
      </c>
      <c r="L19" s="77" t="s">
        <v>51</v>
      </c>
      <c r="M19" s="78" t="s">
        <v>52</v>
      </c>
      <c r="N19" s="78" t="s">
        <v>53</v>
      </c>
      <c r="O19" s="78" t="s">
        <v>54</v>
      </c>
    </row>
    <row r="20" spans="2:20" x14ac:dyDescent="0.3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1"/>
      <c r="M20" s="82"/>
      <c r="N20" s="82"/>
      <c r="O20" s="82"/>
      <c r="R20" s="8" t="s">
        <v>55</v>
      </c>
      <c r="S20" s="8" t="s">
        <v>56</v>
      </c>
    </row>
    <row r="21" spans="2:20" x14ac:dyDescent="0.3">
      <c r="B21" s="82" t="s">
        <v>57</v>
      </c>
      <c r="C21" s="83" t="s">
        <v>58</v>
      </c>
      <c r="D21" s="84">
        <v>987</v>
      </c>
      <c r="E21" s="85">
        <f>(ROUND(D21*K21,2)+ROUND(G21,2)+ROUND(J21,2))/ROUND(D21,4)</f>
        <v>0.62895643363728471</v>
      </c>
      <c r="F21" s="86">
        <f t="shared" ref="F21:F26" si="5">ROUND(D21*E21,2)</f>
        <v>620.78</v>
      </c>
      <c r="G21" s="86">
        <f t="shared" ref="G21:G26" si="6">((D21*K21)/(1-$N$21-$N$23))*($N$21+$N$23)</f>
        <v>31.79117171287168</v>
      </c>
      <c r="H21" s="86">
        <f>((D21*K21)/(1-$N$21-$N$23)/(1-$I$21))</f>
        <v>620.78795010586941</v>
      </c>
      <c r="I21" s="87">
        <v>0.17</v>
      </c>
      <c r="J21" s="86">
        <f>(H21*$I$21)</f>
        <v>105.53395151799781</v>
      </c>
      <c r="K21" s="85">
        <f>IF(AND($B$14&lt;$F$2,$E$14&lt;$F$2),C6,IF($B$14&lt;$F$2,I6,F6))</f>
        <v>0.48983062499999996</v>
      </c>
      <c r="L21" s="88" t="s">
        <v>59</v>
      </c>
      <c r="M21" s="86">
        <f>D70</f>
        <v>882.28711499520409</v>
      </c>
      <c r="N21" s="89">
        <v>1.0999999999999999E-2</v>
      </c>
      <c r="O21" s="90">
        <f>ROUND(M21*N21,2)</f>
        <v>9.7100000000000009</v>
      </c>
      <c r="R21" s="91">
        <f>IF(AND($B$14&lt;$F$2,$E$14&lt;$F$2),R6,IF($B$14&lt;$F$2,X6,U6))</f>
        <v>0.20682371145517359</v>
      </c>
      <c r="S21" s="92">
        <f>D21*R21</f>
        <v>204.13500320625633</v>
      </c>
      <c r="T21" s="237" t="s">
        <v>189</v>
      </c>
    </row>
    <row r="22" spans="2:20" x14ac:dyDescent="0.3">
      <c r="B22" s="82" t="s">
        <v>60</v>
      </c>
      <c r="C22" s="83" t="s">
        <v>58</v>
      </c>
      <c r="D22" s="93">
        <f>D21</f>
        <v>987</v>
      </c>
      <c r="E22" s="85">
        <f>(ROUND(D22*K22,2)+ROUND(G22,2)+ROUND(J22,2))/ROUND(D22,4)</f>
        <v>0.42383991894630196</v>
      </c>
      <c r="F22" s="86">
        <f t="shared" si="5"/>
        <v>418.33</v>
      </c>
      <c r="G22" s="86">
        <f t="shared" si="6"/>
        <v>21.422935916884256</v>
      </c>
      <c r="H22" s="86">
        <f>ROUND((D22*K22)/(1-$N$21-$N$23)/(1-$I$21),8)</f>
        <v>418.32684222</v>
      </c>
      <c r="I22" s="82"/>
      <c r="J22" s="86">
        <f>ROUND(H22*$I$21,2)</f>
        <v>71.12</v>
      </c>
      <c r="K22" s="85">
        <f>IF(AND($B$14&lt;$F$2,$E$14&lt;$F$2),D6,IF($B$14&lt;$F$2,J6,G6))</f>
        <v>0.33007937500000001</v>
      </c>
      <c r="L22" s="88" t="s">
        <v>61</v>
      </c>
      <c r="M22" s="86">
        <f>D71*0</f>
        <v>0</v>
      </c>
      <c r="N22" s="89">
        <f>N21</f>
        <v>1.0999999999999999E-2</v>
      </c>
      <c r="O22" s="90">
        <f>ROUND(M22*N22,2)</f>
        <v>0</v>
      </c>
    </row>
    <row r="23" spans="2:20" x14ac:dyDescent="0.3">
      <c r="B23" s="82" t="s">
        <v>62</v>
      </c>
      <c r="C23" s="83" t="s">
        <v>58</v>
      </c>
      <c r="D23" s="93">
        <f>IF($K$12=M4,($D$21*($K$14)/($K$14+$L$14)),0)+IF($L$12=M4,($D$21*($L$14)/($K$14+$L$14)),0)</f>
        <v>987</v>
      </c>
      <c r="E23" s="85">
        <f>IFERROR((ROUND(D23*K23,2)+ROUND(G23,2)+ROUND(J23,2))/ROUND(D23,4), 0)</f>
        <v>2.4194528875379939E-2</v>
      </c>
      <c r="F23" s="86">
        <f t="shared" si="5"/>
        <v>23.88</v>
      </c>
      <c r="G23" s="86">
        <f t="shared" si="6"/>
        <v>1.2234097996376425</v>
      </c>
      <c r="H23" s="86">
        <f>ROUND((D23*K23)/(1-$N$21-$N$23)/(1-$I$21),8)</f>
        <v>23.889590120000001</v>
      </c>
      <c r="I23" s="82"/>
      <c r="J23" s="86">
        <f>ROUND(H23*$I$21,2)</f>
        <v>4.0599999999999996</v>
      </c>
      <c r="K23" s="85">
        <f>N4</f>
        <v>1.8849999999999999E-2</v>
      </c>
      <c r="L23" s="88" t="s">
        <v>63</v>
      </c>
      <c r="M23" s="86">
        <f>M21</f>
        <v>882.28711499520409</v>
      </c>
      <c r="N23" s="89">
        <v>5.0700000000000002E-2</v>
      </c>
      <c r="O23" s="90">
        <f>ROUND(M23*N23,2)</f>
        <v>44.73</v>
      </c>
      <c r="R23" s="94"/>
    </row>
    <row r="24" spans="2:20" x14ac:dyDescent="0.3">
      <c r="B24" s="82" t="s">
        <v>64</v>
      </c>
      <c r="C24" s="83" t="s">
        <v>58</v>
      </c>
      <c r="D24" s="93">
        <f>IF($K$12=M5,($D$21*($K$14)/($K$14+$L$14)),0)+IF($L$12=M5,($D$21*($L$14)/($K$14+$L$14)),0)</f>
        <v>0</v>
      </c>
      <c r="E24" s="85">
        <f>IFERROR((ROUND(D24*K24,2)+ROUND(G24,2)+ROUND(J24,2))/ROUND(D24,4), 0)</f>
        <v>0</v>
      </c>
      <c r="F24" s="86">
        <f t="shared" si="5"/>
        <v>0</v>
      </c>
      <c r="G24" s="86">
        <f t="shared" si="6"/>
        <v>0</v>
      </c>
      <c r="H24" s="86">
        <f>ROUND((D24*K24)/(1-$N$21-$N$23)/(1-$I$21),8)</f>
        <v>0</v>
      </c>
      <c r="I24" s="82"/>
      <c r="J24" s="86">
        <f>ROUND(H24*$I$21,2)</f>
        <v>0</v>
      </c>
      <c r="K24" s="85">
        <f>N5</f>
        <v>4.4630000000000003E-2</v>
      </c>
      <c r="L24" s="88" t="s">
        <v>65</v>
      </c>
      <c r="M24" s="86">
        <f>M22</f>
        <v>0</v>
      </c>
      <c r="N24" s="89">
        <f>N23</f>
        <v>5.0700000000000002E-2</v>
      </c>
      <c r="O24" s="90">
        <f>ROUND(M24*N24,2)</f>
        <v>0</v>
      </c>
    </row>
    <row r="25" spans="2:20" x14ac:dyDescent="0.3">
      <c r="B25" s="82" t="s">
        <v>66</v>
      </c>
      <c r="C25" s="83" t="s">
        <v>58</v>
      </c>
      <c r="D25" s="93">
        <f>IF($K$12=M6,($D$21*($K$14)/($K$14+$L$14)),0)+IF($L$12=M6,($D$21*($L$14)/($K$14+$L$14)),0)</f>
        <v>0</v>
      </c>
      <c r="E25" s="85">
        <f>IFERROR((ROUND(D25*K25,2)+ROUND(G25,2)+ROUND(J25,2))/ROUND(D25,4), 0)</f>
        <v>0</v>
      </c>
      <c r="F25" s="86">
        <f t="shared" si="5"/>
        <v>0</v>
      </c>
      <c r="G25" s="86">
        <f t="shared" si="6"/>
        <v>0</v>
      </c>
      <c r="H25" s="86">
        <f>ROUND((D25*K25)/(1-$N$21-$N$23)/(1-$I$21),8)</f>
        <v>0</v>
      </c>
      <c r="I25" s="82"/>
      <c r="J25" s="86">
        <f>ROUND(H25*$I$21,2)</f>
        <v>0</v>
      </c>
      <c r="K25" s="85">
        <f>N6</f>
        <v>7.8770000000000007E-2</v>
      </c>
      <c r="L25" s="88"/>
      <c r="M25" s="86"/>
      <c r="N25" s="89"/>
      <c r="O25" s="90"/>
    </row>
    <row r="26" spans="2:20" x14ac:dyDescent="0.3">
      <c r="B26" s="82" t="s">
        <v>67</v>
      </c>
      <c r="C26" s="83" t="s">
        <v>58</v>
      </c>
      <c r="D26" s="93">
        <f>IF($K$12=M7,($D$21*($K$14)/($K$14+$L$14)),0)+IF($L$12=M7,($D$21*($L$14)/($K$14+$L$14)),0)</f>
        <v>0</v>
      </c>
      <c r="E26" s="85">
        <f>IFERROR((ROUND(D26*K26,2)+ROUND(G26,2)+ROUND(J26,2))/ROUND(D26,4), 0)</f>
        <v>0</v>
      </c>
      <c r="F26" s="86">
        <f t="shared" si="5"/>
        <v>0</v>
      </c>
      <c r="G26" s="86">
        <f t="shared" si="6"/>
        <v>0</v>
      </c>
      <c r="H26" s="86">
        <f>ROUND((D26*K26)/(1-$N$21-$N$23)/(1-$I$21),8)</f>
        <v>0</v>
      </c>
      <c r="I26" s="82"/>
      <c r="J26" s="86">
        <f>ROUND(H26*$I$21,2)</f>
        <v>0</v>
      </c>
      <c r="K26" s="85">
        <f>N7</f>
        <v>0.14199999999999999</v>
      </c>
      <c r="L26" s="88"/>
      <c r="M26" s="86"/>
      <c r="N26" s="89"/>
      <c r="O26" s="90"/>
      <c r="S26" s="1">
        <v>1827762</v>
      </c>
    </row>
    <row r="27" spans="2:20" x14ac:dyDescent="0.3">
      <c r="B27" s="82"/>
      <c r="C27" s="83"/>
      <c r="D27" s="93"/>
      <c r="E27" s="85"/>
      <c r="F27" s="86"/>
      <c r="G27" s="86"/>
      <c r="H27" s="86"/>
      <c r="I27" s="82"/>
      <c r="J27" s="86"/>
      <c r="K27" s="85"/>
      <c r="L27" s="88"/>
      <c r="M27" s="86"/>
      <c r="N27" s="89"/>
      <c r="O27" s="90"/>
      <c r="Q27" s="1">
        <v>342.99110000000002</v>
      </c>
      <c r="S27" s="1">
        <v>160147060</v>
      </c>
    </row>
    <row r="28" spans="2:20" x14ac:dyDescent="0.3">
      <c r="B28" s="82" t="s">
        <v>68</v>
      </c>
      <c r="C28" s="83" t="s">
        <v>58</v>
      </c>
      <c r="D28" s="84">
        <v>-887</v>
      </c>
      <c r="E28" s="85">
        <f t="shared" ref="E28:E29" si="7">IFERROR((ROUND(D28*K28,2)+ROUND(G28,2)+ROUND(J28,2))/ROUND(D28,4),0)</f>
        <v>0.59675310033821882</v>
      </c>
      <c r="F28" s="86">
        <f>ROUND(D28*E28,2)</f>
        <v>-529.32000000000005</v>
      </c>
      <c r="G28" s="86">
        <v>0</v>
      </c>
      <c r="H28" s="86">
        <f>ROUND((D28*K28)/(1-$N$22-$N$24)/(1-$I$21),8)</f>
        <v>-557.89150126000004</v>
      </c>
      <c r="I28" s="87">
        <v>0</v>
      </c>
      <c r="J28" s="86">
        <f t="shared" ref="J28:J33" si="8">H28*$I$21</f>
        <v>-94.841555214200014</v>
      </c>
      <c r="K28" s="85">
        <f>K21</f>
        <v>0.48983062499999996</v>
      </c>
      <c r="L28" s="88"/>
      <c r="M28" s="86"/>
      <c r="N28" s="89"/>
      <c r="O28" s="90"/>
      <c r="Q28" s="1">
        <v>316.11709999999999</v>
      </c>
      <c r="S28" s="1">
        <v>1494523</v>
      </c>
    </row>
    <row r="29" spans="2:20" x14ac:dyDescent="0.3">
      <c r="B29" s="82" t="s">
        <v>69</v>
      </c>
      <c r="C29" s="83" t="s">
        <v>58</v>
      </c>
      <c r="D29" s="84">
        <f>D28</f>
        <v>-887</v>
      </c>
      <c r="E29" s="85">
        <f t="shared" si="7"/>
        <v>0.40213077790304391</v>
      </c>
      <c r="F29" s="86">
        <f>ROUND(D29*E29,2)</f>
        <v>-356.69</v>
      </c>
      <c r="G29" s="86">
        <v>0</v>
      </c>
      <c r="H29" s="86">
        <f>ROUND((D29*K29)/(1-$N$22-$N$24)/(1-$I$21),8)</f>
        <v>-375.94317025999999</v>
      </c>
      <c r="I29" s="87">
        <f>I21</f>
        <v>0.17</v>
      </c>
      <c r="J29" s="86">
        <f t="shared" si="8"/>
        <v>-63.910338944199999</v>
      </c>
      <c r="K29" s="85">
        <f>K22</f>
        <v>0.33007937500000001</v>
      </c>
      <c r="L29" s="88"/>
      <c r="M29" s="86"/>
      <c r="N29" s="89"/>
      <c r="O29" s="90"/>
      <c r="Q29" s="1">
        <v>227.89179999999999</v>
      </c>
      <c r="S29" s="1">
        <v>160832701</v>
      </c>
    </row>
    <row r="30" spans="2:20" x14ac:dyDescent="0.3">
      <c r="B30" s="82" t="s">
        <v>70</v>
      </c>
      <c r="C30" s="83" t="s">
        <v>58</v>
      </c>
      <c r="D30" s="93">
        <f>IF($K$12=M4,($D$28*($K$14)/($K$14+$L$14)),0)+IF($L$12=M4,($D$28*($L$14)/($K$14+$L$14)),0)</f>
        <v>-887</v>
      </c>
      <c r="E30" s="85">
        <f>IFERROR((ROUND(D30*K30,2)+ROUND(G30,2)+ROUND(J30,2))/ROUND(D30,4),0)</f>
        <v>2.2965050732807211E-2</v>
      </c>
      <c r="F30" s="86">
        <f t="shared" ref="F30:F33" si="9">ROUND(D30*E30,2)</f>
        <v>-20.37</v>
      </c>
      <c r="G30" s="86">
        <v>0</v>
      </c>
      <c r="H30" s="86">
        <f>(D30*K30)/(1-$N$22-$N$24)/(1-$I$21)</f>
        <v>-21.469165589139035</v>
      </c>
      <c r="I30" s="82"/>
      <c r="J30" s="86">
        <f t="shared" si="8"/>
        <v>-3.649758150153636</v>
      </c>
      <c r="K30" s="85">
        <f>N4</f>
        <v>1.8849999999999999E-2</v>
      </c>
      <c r="L30" s="95"/>
      <c r="M30" s="96"/>
      <c r="N30" s="96"/>
      <c r="O30" s="96"/>
      <c r="Q30" s="1">
        <f>SUM(Q27:Q29)</f>
        <v>887</v>
      </c>
      <c r="R30" s="94"/>
    </row>
    <row r="31" spans="2:20" x14ac:dyDescent="0.3">
      <c r="B31" s="82" t="s">
        <v>71</v>
      </c>
      <c r="C31" s="83" t="s">
        <v>58</v>
      </c>
      <c r="D31" s="93">
        <f>IF($K$12=M5,($D$28*($K$14)/($K$14+$L$14)),0)+IF($L$12=M5,($D$28*($L$14)/($K$14+$L$14)),0)</f>
        <v>0</v>
      </c>
      <c r="E31" s="85">
        <f t="shared" ref="E31:E33" si="10">IFERROR((ROUND(D31*K31,2)+ROUND(G31,2)+ROUND(J31,2))/ROUND(D31,4),0)</f>
        <v>0</v>
      </c>
      <c r="F31" s="86">
        <f t="shared" si="9"/>
        <v>0</v>
      </c>
      <c r="G31" s="86">
        <v>0</v>
      </c>
      <c r="H31" s="86">
        <f>(D31*K31)/(1-$N$22-$N$24)/(1-$I$21)</f>
        <v>0</v>
      </c>
      <c r="I31" s="82"/>
      <c r="J31" s="86">
        <f t="shared" si="8"/>
        <v>0</v>
      </c>
      <c r="K31" s="85">
        <f>N5</f>
        <v>4.4630000000000003E-2</v>
      </c>
      <c r="O31" s="81"/>
      <c r="R31" s="94"/>
    </row>
    <row r="32" spans="2:20" x14ac:dyDescent="0.3">
      <c r="B32" s="82" t="s">
        <v>72</v>
      </c>
      <c r="C32" s="83" t="s">
        <v>58</v>
      </c>
      <c r="D32" s="93">
        <f>IF($K$12=M6,($D$28*($K$14)/($K$14+$L$14)),0)+IF($L$12=M6,($D$28*($L$14)/($K$14+$L$14)),0)</f>
        <v>0</v>
      </c>
      <c r="E32" s="85">
        <f t="shared" si="10"/>
        <v>0</v>
      </c>
      <c r="F32" s="86">
        <f t="shared" si="9"/>
        <v>0</v>
      </c>
      <c r="G32" s="86">
        <v>0</v>
      </c>
      <c r="H32" s="86">
        <f>(D32*K32)/(1-$N$22-$N$24)/(1-$I$21)</f>
        <v>0</v>
      </c>
      <c r="I32" s="82"/>
      <c r="J32" s="86">
        <f t="shared" si="8"/>
        <v>0</v>
      </c>
      <c r="K32" s="85">
        <f>N6</f>
        <v>7.8770000000000007E-2</v>
      </c>
      <c r="O32" s="81"/>
      <c r="R32" s="94"/>
    </row>
    <row r="33" spans="1:23" x14ac:dyDescent="0.3">
      <c r="B33" s="82" t="s">
        <v>73</v>
      </c>
      <c r="C33" s="83" t="s">
        <v>58</v>
      </c>
      <c r="D33" s="93">
        <f>IF($K$12=M7,($D$28*($K$14)/($K$14+$L$14)),0)+IF($L$12=M7,($D$28*($L$14)/($K$14+$L$14)),0)</f>
        <v>0</v>
      </c>
      <c r="E33" s="85">
        <f t="shared" si="10"/>
        <v>0</v>
      </c>
      <c r="F33" s="86">
        <f t="shared" si="9"/>
        <v>0</v>
      </c>
      <c r="G33" s="86">
        <v>0</v>
      </c>
      <c r="H33" s="86">
        <f>(D33*K33)/(1-$N$22-$N$24)/(1-$I$21)</f>
        <v>0</v>
      </c>
      <c r="I33" s="82"/>
      <c r="J33" s="86">
        <f t="shared" si="8"/>
        <v>0</v>
      </c>
      <c r="K33" s="85">
        <f>N7</f>
        <v>0.14199999999999999</v>
      </c>
      <c r="O33" s="81"/>
      <c r="R33" s="94"/>
    </row>
    <row r="34" spans="1:23" x14ac:dyDescent="0.3">
      <c r="B34" s="82"/>
      <c r="C34" s="83"/>
      <c r="D34" s="93"/>
      <c r="E34" s="85"/>
      <c r="F34" s="86"/>
      <c r="G34" s="86"/>
      <c r="H34" s="86"/>
      <c r="I34" s="82"/>
      <c r="J34" s="86"/>
      <c r="K34" s="85"/>
      <c r="O34" s="81"/>
      <c r="Q34" s="97"/>
      <c r="R34" s="98"/>
      <c r="S34" s="99"/>
      <c r="T34" s="97"/>
    </row>
    <row r="35" spans="1:23" x14ac:dyDescent="0.3">
      <c r="B35" s="82" t="s">
        <v>74</v>
      </c>
      <c r="C35" s="82"/>
      <c r="D35" s="93"/>
      <c r="E35" s="82"/>
      <c r="F35" s="100"/>
      <c r="G35" s="82"/>
      <c r="H35" s="82"/>
      <c r="I35" s="82"/>
      <c r="J35" s="82"/>
      <c r="K35" s="82"/>
      <c r="O35" s="81"/>
      <c r="S35" s="99"/>
      <c r="W35" s="1">
        <v>1827762</v>
      </c>
    </row>
    <row r="36" spans="1:23" x14ac:dyDescent="0.3">
      <c r="B36" s="82" t="s">
        <v>75</v>
      </c>
      <c r="C36" s="82"/>
      <c r="D36" s="93"/>
      <c r="E36" s="82"/>
      <c r="F36" s="100"/>
      <c r="G36" s="82"/>
      <c r="H36" s="82"/>
      <c r="I36" s="82"/>
      <c r="J36" s="82"/>
      <c r="K36" s="82"/>
      <c r="O36" s="81"/>
      <c r="S36" s="99"/>
      <c r="W36" s="1">
        <v>160147060</v>
      </c>
    </row>
    <row r="37" spans="1:23" x14ac:dyDescent="0.3">
      <c r="B37" s="82" t="s">
        <v>76</v>
      </c>
      <c r="C37" s="82"/>
      <c r="D37" s="93"/>
      <c r="E37" s="82"/>
      <c r="F37" s="100"/>
      <c r="G37" s="82"/>
      <c r="H37" s="82"/>
      <c r="I37" s="82"/>
      <c r="J37" s="82"/>
      <c r="K37" s="82"/>
      <c r="O37" s="81"/>
      <c r="S37" s="99"/>
      <c r="W37" s="1">
        <v>1494523</v>
      </c>
    </row>
    <row r="38" spans="1:23" x14ac:dyDescent="0.3">
      <c r="B38" s="82" t="s">
        <v>77</v>
      </c>
      <c r="C38" s="82"/>
      <c r="D38" s="93"/>
      <c r="E38" s="82"/>
      <c r="F38" s="100">
        <v>92.81</v>
      </c>
      <c r="G38" s="82"/>
      <c r="H38" s="82"/>
      <c r="I38" s="82"/>
      <c r="J38" s="82"/>
      <c r="K38" s="82"/>
      <c r="O38" s="81"/>
      <c r="W38" s="1">
        <v>160832701</v>
      </c>
    </row>
    <row r="39" spans="1:23" x14ac:dyDescent="0.3">
      <c r="B39" s="82"/>
      <c r="C39" s="82"/>
      <c r="D39" s="93"/>
      <c r="E39" s="82"/>
      <c r="F39" s="82"/>
      <c r="G39" s="82"/>
      <c r="H39" s="82"/>
      <c r="I39" s="82"/>
      <c r="J39" s="82"/>
      <c r="K39" s="82"/>
      <c r="O39" s="81"/>
    </row>
    <row r="40" spans="1:23" x14ac:dyDescent="0.3">
      <c r="B40" s="82"/>
      <c r="C40" s="82"/>
      <c r="D40" s="93"/>
      <c r="E40" s="82"/>
      <c r="F40" s="82"/>
      <c r="G40" s="82"/>
      <c r="H40" s="82"/>
      <c r="I40" s="82"/>
      <c r="J40" s="82"/>
      <c r="K40" s="82"/>
      <c r="O40" s="81"/>
    </row>
    <row r="41" spans="1:23" x14ac:dyDescent="0.3">
      <c r="B41" s="101" t="s">
        <v>78</v>
      </c>
      <c r="C41" s="96"/>
      <c r="D41" s="102"/>
      <c r="E41" s="96"/>
      <c r="F41" s="103">
        <f>SUM(F21:F40)</f>
        <v>249.41999999999996</v>
      </c>
      <c r="G41" s="104">
        <f>SUM(G21:G40)</f>
        <v>54.43751742939358</v>
      </c>
      <c r="H41" s="105">
        <f>SUM(H21:H40)</f>
        <v>107.70054533673056</v>
      </c>
      <c r="I41" s="96"/>
      <c r="J41" s="105">
        <f>SUM(J21:J40)</f>
        <v>18.312299209444177</v>
      </c>
      <c r="K41" s="96"/>
      <c r="L41" s="106"/>
      <c r="M41" s="106"/>
      <c r="N41" s="106"/>
      <c r="O41" s="95"/>
    </row>
    <row r="42" spans="1:23" x14ac:dyDescent="0.3">
      <c r="B42" s="68"/>
    </row>
    <row r="43" spans="1:23" x14ac:dyDescent="0.3">
      <c r="B43" s="68"/>
    </row>
    <row r="44" spans="1:23" x14ac:dyDescent="0.3"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3" x14ac:dyDescent="0.3">
      <c r="B45" s="244" t="s">
        <v>80</v>
      </c>
      <c r="C45" s="245"/>
      <c r="D45" s="245"/>
      <c r="E45" s="245"/>
      <c r="F45" s="245"/>
      <c r="G45" s="245"/>
      <c r="H45" s="246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3" x14ac:dyDescent="0.3">
      <c r="B46" s="56"/>
      <c r="D46" s="110" t="s">
        <v>81</v>
      </c>
      <c r="E46" s="110" t="s">
        <v>39</v>
      </c>
      <c r="F46" s="110" t="s">
        <v>14</v>
      </c>
      <c r="G46" s="110" t="s">
        <v>15</v>
      </c>
      <c r="H46" s="88" t="s">
        <v>82</v>
      </c>
      <c r="I46"/>
      <c r="J46" s="110" t="s">
        <v>0</v>
      </c>
      <c r="K46"/>
      <c r="L46"/>
      <c r="M46"/>
      <c r="N46"/>
      <c r="O46"/>
      <c r="P46"/>
      <c r="Q46"/>
      <c r="R46"/>
      <c r="S46"/>
      <c r="T46"/>
      <c r="U46"/>
      <c r="V46"/>
    </row>
    <row r="47" spans="1:23" x14ac:dyDescent="0.3">
      <c r="A47" s="1" t="s">
        <v>0</v>
      </c>
      <c r="B47" s="111" t="s">
        <v>83</v>
      </c>
      <c r="C47" s="112"/>
      <c r="D47" s="113"/>
      <c r="E47" s="113"/>
      <c r="F47" s="113"/>
      <c r="G47" s="113"/>
      <c r="H47" s="114">
        <f>SUM(H49:H65)+SUM(H70:H75)</f>
        <v>202.53435917013468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3" x14ac:dyDescent="0.3">
      <c r="A48" s="1" t="s">
        <v>0</v>
      </c>
      <c r="B48" s="56"/>
      <c r="D48" s="110"/>
      <c r="E48" s="110"/>
      <c r="F48" s="110"/>
      <c r="G48" s="110"/>
      <c r="H48" s="115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3">
      <c r="A49" s="1" t="s">
        <v>0</v>
      </c>
      <c r="B49" s="56" t="s">
        <v>84</v>
      </c>
      <c r="D49" s="116">
        <f>D21</f>
        <v>987</v>
      </c>
      <c r="E49" s="117">
        <f>IF(AND($B$14&lt;$F$2,$E$14&lt;$F$2),C6,IF($B$14&lt;$F$2,I6,F6))</f>
        <v>0.48983062499999996</v>
      </c>
      <c r="F49" s="117">
        <f>IF(AND($B$14&lt;$F$2,$E$14&lt;$F$2),D6,IF($B$14&lt;$F$2,J6,G6))</f>
        <v>0.33007937500000001</v>
      </c>
      <c r="G49" s="117">
        <f>E49+F49</f>
        <v>0.81990999999999992</v>
      </c>
      <c r="H49" s="118">
        <f>ROUND((D49*E49),2)+ROUND((D49*F49),2)</f>
        <v>809.25</v>
      </c>
      <c r="I49"/>
      <c r="J49"/>
      <c r="K49"/>
      <c r="L49"/>
      <c r="M49" s="119"/>
      <c r="N49"/>
      <c r="O49"/>
      <c r="P49"/>
      <c r="Q49"/>
      <c r="R49"/>
      <c r="S49"/>
      <c r="T49"/>
      <c r="U49"/>
      <c r="V49"/>
    </row>
    <row r="50" spans="1:22" x14ac:dyDescent="0.3">
      <c r="B50" s="56"/>
      <c r="D50" s="120"/>
      <c r="E50" s="97"/>
      <c r="F50" s="121"/>
      <c r="G50" s="121"/>
      <c r="H50" s="118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x14ac:dyDescent="0.3">
      <c r="B51" s="56" t="s">
        <v>62</v>
      </c>
      <c r="D51" s="122">
        <f>IF($K$12=M4,(D49*(K14)/(K14+L14)),0)+IF($L$12=M4,(D49*(L14)/(K14+L14)),0)</f>
        <v>987</v>
      </c>
      <c r="F51" s="123">
        <f>N4</f>
        <v>1.8849999999999999E-2</v>
      </c>
      <c r="G51" s="123"/>
      <c r="H51" s="118">
        <f>ROUND(D51*(E51+F51),2)</f>
        <v>18.600000000000001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3">
      <c r="B52" s="56" t="s">
        <v>85</v>
      </c>
      <c r="D52" s="122">
        <f>IF($K$12=M5,(D49*(K14)/(K14+L14)),0)+IF($L$12=M5,(D49*(L14)/(K14+L14)),0)</f>
        <v>0</v>
      </c>
      <c r="F52" s="123">
        <f>N5</f>
        <v>4.4630000000000003E-2</v>
      </c>
      <c r="G52" s="123"/>
      <c r="H52" s="118">
        <f>ROUND(D52*(E52+F52),2)</f>
        <v>0</v>
      </c>
      <c r="I52"/>
      <c r="J52"/>
      <c r="K52"/>
      <c r="L52" s="124"/>
      <c r="M52"/>
      <c r="N52"/>
      <c r="O52"/>
      <c r="P52"/>
      <c r="Q52"/>
      <c r="R52"/>
      <c r="S52"/>
      <c r="T52"/>
      <c r="U52"/>
      <c r="V52"/>
    </row>
    <row r="53" spans="1:22" x14ac:dyDescent="0.3">
      <c r="B53" s="56" t="s">
        <v>86</v>
      </c>
      <c r="D53" s="122">
        <f>IF($K$12=M6,(D49*(K14)/(K14+L14)),0)+IF($L$12=M6,(D49*(L14)/(K14+L14)),0)</f>
        <v>0</v>
      </c>
      <c r="F53" s="123">
        <f>N6</f>
        <v>7.8770000000000007E-2</v>
      </c>
      <c r="G53" s="123"/>
      <c r="H53" s="118">
        <f>ROUND(D53*(E53+F53),2)</f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x14ac:dyDescent="0.3">
      <c r="B54" s="56" t="s">
        <v>87</v>
      </c>
      <c r="D54" s="122">
        <f>IF($K$12=M8,(D49*(K14)/(K14+L14)),0)+IF($L$12=M8,(D49*(L14)/(K14+L14)),0)</f>
        <v>0</v>
      </c>
      <c r="F54" s="123">
        <f>N8</f>
        <v>0</v>
      </c>
      <c r="G54" s="123"/>
      <c r="H54" s="118">
        <f>ROUND(D54*(E54+F54),2)</f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B55" s="56"/>
      <c r="D55" s="125"/>
      <c r="H55" s="118"/>
      <c r="I55" s="3"/>
      <c r="J55" s="3"/>
      <c r="K55" s="119"/>
      <c r="L55" s="3"/>
      <c r="M55" s="3"/>
      <c r="N55" s="3"/>
      <c r="O55" s="3"/>
      <c r="P55" s="3"/>
    </row>
    <row r="56" spans="1:22" x14ac:dyDescent="0.3">
      <c r="B56" s="56" t="s">
        <v>88</v>
      </c>
      <c r="D56" s="126">
        <f>D28</f>
        <v>-887</v>
      </c>
      <c r="E56" s="117">
        <f>E49*F17</f>
        <v>0.48983062499999996</v>
      </c>
      <c r="F56" s="117">
        <f>F49</f>
        <v>0.33007937500000001</v>
      </c>
      <c r="G56" s="117">
        <f>E56+F56</f>
        <v>0.81990999999999992</v>
      </c>
      <c r="H56" s="118">
        <f>ROUND((D56*E56),2)+ROUND((D56*F56),2)</f>
        <v>-727.26</v>
      </c>
      <c r="I56" s="3"/>
      <c r="J56" s="3"/>
      <c r="K56" s="119"/>
      <c r="L56" s="3"/>
      <c r="M56" s="119"/>
      <c r="N56" s="3"/>
      <c r="O56" s="3"/>
      <c r="P56" s="3"/>
    </row>
    <row r="57" spans="1:22" x14ac:dyDescent="0.3">
      <c r="B57" s="56"/>
      <c r="D57" s="120"/>
      <c r="E57" s="97"/>
      <c r="F57" s="121"/>
      <c r="G57" s="121"/>
      <c r="H57" s="118"/>
      <c r="I57" s="3"/>
      <c r="J57" s="3"/>
      <c r="K57" s="119"/>
      <c r="L57" s="3"/>
      <c r="M57" s="3"/>
      <c r="N57" s="3"/>
      <c r="O57" s="3"/>
      <c r="P57" s="3"/>
    </row>
    <row r="58" spans="1:22" x14ac:dyDescent="0.3">
      <c r="B58" s="56" t="s">
        <v>62</v>
      </c>
      <c r="D58" s="122">
        <f>IF($K$12=M4,(D56*(K14)/(K14+L14)),0)+IF($L$12=M4,(D56*(L14)/(K14+L14)),0)</f>
        <v>-887</v>
      </c>
      <c r="F58" s="123">
        <f>F51</f>
        <v>1.8849999999999999E-2</v>
      </c>
      <c r="G58" s="123"/>
      <c r="H58" s="118">
        <f>ROUND(D58*(E58+F58),2)</f>
        <v>-16.72</v>
      </c>
      <c r="I58" s="3"/>
      <c r="J58" s="3"/>
      <c r="K58" s="3"/>
      <c r="L58" s="3"/>
      <c r="M58" s="3"/>
      <c r="N58" s="3"/>
      <c r="O58" s="3"/>
      <c r="P58" s="3"/>
    </row>
    <row r="59" spans="1:22" x14ac:dyDescent="0.3">
      <c r="B59" s="56" t="s">
        <v>85</v>
      </c>
      <c r="D59" s="122">
        <f>IF($K$12=M5,(D56*(K14)/(K14+L14)),0)+IF($L$12=M5,(D56*(L14)/(K14+L14)),0)</f>
        <v>0</v>
      </c>
      <c r="F59" s="123">
        <f t="shared" ref="F59:F61" si="11">F52</f>
        <v>4.4630000000000003E-2</v>
      </c>
      <c r="G59" s="123"/>
      <c r="H59" s="118">
        <f>ROUND(D59*(E59+F59),2)</f>
        <v>0</v>
      </c>
      <c r="I59" s="3"/>
      <c r="J59" s="3"/>
      <c r="K59" s="3"/>
      <c r="L59" s="3"/>
      <c r="M59" s="3"/>
      <c r="N59" s="3"/>
      <c r="O59" s="3"/>
      <c r="P59" s="3"/>
    </row>
    <row r="60" spans="1:22" x14ac:dyDescent="0.3">
      <c r="B60" s="56" t="s">
        <v>86</v>
      </c>
      <c r="D60" s="122">
        <f>IF($K$12=M6,(D56*(K14)/(K14+L14)),0)+IF($L$12=M6,(D56*(L14)/(K14+L14)),0)</f>
        <v>0</v>
      </c>
      <c r="F60" s="123">
        <f t="shared" si="11"/>
        <v>7.8770000000000007E-2</v>
      </c>
      <c r="G60" s="123"/>
      <c r="H60" s="118">
        <f>ROUND(D60*(E60+F60),2)</f>
        <v>0</v>
      </c>
      <c r="I60" s="3"/>
      <c r="J60" s="3"/>
      <c r="K60" s="3"/>
      <c r="L60" s="3"/>
      <c r="M60" s="3"/>
      <c r="N60" s="3"/>
      <c r="O60" s="3"/>
      <c r="P60" s="3"/>
    </row>
    <row r="61" spans="1:22" x14ac:dyDescent="0.3">
      <c r="B61" s="56" t="s">
        <v>87</v>
      </c>
      <c r="D61" s="122">
        <f>IF($K$12=M8,(D56*(K14)/(K14+L14)),0)+IF($L$12=M8,(D56*(L14)/(K14+L14)),0)</f>
        <v>0</v>
      </c>
      <c r="F61" s="123">
        <f t="shared" si="11"/>
        <v>0</v>
      </c>
      <c r="G61" s="123"/>
      <c r="H61" s="118">
        <f>ROUND(D61*(E61+F61),2)</f>
        <v>0</v>
      </c>
      <c r="J61" s="3"/>
      <c r="K61" s="3"/>
      <c r="L61" s="3"/>
      <c r="M61" s="3"/>
      <c r="N61" s="3"/>
      <c r="O61" s="3"/>
      <c r="P61" s="3"/>
    </row>
    <row r="62" spans="1:22" x14ac:dyDescent="0.3">
      <c r="B62" s="56"/>
      <c r="D62" s="122"/>
      <c r="F62" s="123"/>
      <c r="G62" s="123"/>
      <c r="H62" s="118"/>
      <c r="J62" s="3"/>
      <c r="K62" s="3"/>
      <c r="L62" s="3"/>
      <c r="M62" s="3"/>
      <c r="N62" s="3"/>
      <c r="O62" s="3"/>
      <c r="P62" s="3"/>
    </row>
    <row r="63" spans="1:22" x14ac:dyDescent="0.3">
      <c r="B63" s="127"/>
      <c r="C63" s="128"/>
      <c r="D63" s="129"/>
      <c r="E63" s="130"/>
      <c r="F63" s="131"/>
      <c r="G63" s="130"/>
      <c r="H63" s="132"/>
      <c r="I63" s="133"/>
      <c r="J63" s="3"/>
      <c r="K63" s="3"/>
      <c r="L63" s="3"/>
      <c r="M63" s="3"/>
      <c r="N63" s="3"/>
      <c r="O63" s="3"/>
      <c r="P63" s="3"/>
    </row>
    <row r="64" spans="1:22" x14ac:dyDescent="0.3">
      <c r="B64" s="127"/>
      <c r="C64" s="128"/>
      <c r="D64" s="134"/>
      <c r="E64" s="128"/>
      <c r="F64" s="135"/>
      <c r="G64" s="135"/>
      <c r="H64" s="132"/>
      <c r="I64" s="3"/>
      <c r="J64" s="3"/>
      <c r="K64" s="3"/>
      <c r="L64" s="3"/>
      <c r="M64" s="3"/>
      <c r="N64" s="3"/>
      <c r="O64" s="3"/>
      <c r="P64" s="3"/>
    </row>
    <row r="65" spans="2:16" x14ac:dyDescent="0.3">
      <c r="B65" s="127"/>
      <c r="C65" s="128"/>
      <c r="D65" s="129"/>
      <c r="E65" s="130"/>
      <c r="F65" s="131"/>
      <c r="G65" s="130"/>
      <c r="H65" s="132"/>
      <c r="I65" s="136"/>
      <c r="K65" s="3"/>
      <c r="L65" s="3"/>
      <c r="M65" s="3"/>
      <c r="N65" s="3"/>
      <c r="O65" s="3"/>
      <c r="P65" s="3"/>
    </row>
    <row r="66" spans="2:16" x14ac:dyDescent="0.3">
      <c r="B66" s="137"/>
      <c r="C66" s="2"/>
      <c r="D66" s="2"/>
      <c r="E66" s="2"/>
      <c r="F66" s="2"/>
      <c r="G66" s="2"/>
      <c r="H66" s="138"/>
      <c r="I66"/>
      <c r="J66" s="3"/>
      <c r="K66" s="3"/>
      <c r="L66" s="3"/>
      <c r="M66" s="3"/>
      <c r="N66" s="3"/>
      <c r="O66" s="3"/>
      <c r="P66" s="3"/>
    </row>
    <row r="67" spans="2:16" x14ac:dyDescent="0.3">
      <c r="B67" s="42"/>
      <c r="C67" s="43"/>
      <c r="D67" s="43"/>
      <c r="E67" s="43"/>
      <c r="F67" s="43"/>
      <c r="G67" s="43"/>
      <c r="H67" s="139">
        <f>SUM(H49:H66)</f>
        <v>83.870000000000033</v>
      </c>
      <c r="I67" s="3"/>
      <c r="L67" s="3"/>
      <c r="M67" s="3"/>
      <c r="N67" s="3"/>
      <c r="O67" s="3"/>
      <c r="P67" s="3"/>
    </row>
    <row r="68" spans="2:16" x14ac:dyDescent="0.3">
      <c r="B68" s="140"/>
      <c r="C68" s="3"/>
      <c r="D68" s="3"/>
      <c r="E68" s="3"/>
      <c r="F68" s="3"/>
      <c r="G68" s="3"/>
      <c r="H68" s="59"/>
      <c r="I68" s="3"/>
      <c r="L68" s="3"/>
      <c r="M68" s="3"/>
      <c r="N68" s="3"/>
      <c r="O68" s="3"/>
      <c r="P68" s="3"/>
    </row>
    <row r="69" spans="2:16" x14ac:dyDescent="0.3">
      <c r="B69" s="56"/>
      <c r="D69" s="141" t="s">
        <v>89</v>
      </c>
      <c r="E69" s="142"/>
      <c r="F69" s="142"/>
      <c r="G69" s="142"/>
      <c r="H69" s="143"/>
      <c r="I69" s="144"/>
      <c r="K69" s="145"/>
      <c r="L69" s="3"/>
      <c r="M69" s="3"/>
      <c r="N69" s="3"/>
      <c r="O69" s="3"/>
      <c r="P69" s="3"/>
    </row>
    <row r="70" spans="2:16" x14ac:dyDescent="0.3">
      <c r="B70" s="56" t="s">
        <v>90</v>
      </c>
      <c r="D70" s="146">
        <f>(H49+H51+H52+H53+H54)/(1-E70-E72)</f>
        <v>882.28711499520409</v>
      </c>
      <c r="E70" s="147">
        <f>N21</f>
        <v>1.0999999999999999E-2</v>
      </c>
      <c r="H70" s="148">
        <f>D70*E70</f>
        <v>9.7051582649472437</v>
      </c>
      <c r="I70" s="145"/>
      <c r="L70" s="3"/>
      <c r="M70" s="3"/>
      <c r="N70" s="3"/>
      <c r="O70" s="3"/>
      <c r="P70" s="3"/>
    </row>
    <row r="71" spans="2:16" x14ac:dyDescent="0.3">
      <c r="B71" s="56" t="s">
        <v>91</v>
      </c>
      <c r="D71" s="146">
        <f>(H56+H58+H59+H60+H61+H63+H65)/(1-E70-E72)</f>
        <v>-792.90205691143558</v>
      </c>
      <c r="E71" s="149">
        <f>E70</f>
        <v>1.0999999999999999E-2</v>
      </c>
      <c r="H71" s="148">
        <f t="shared" ref="H71:H73" si="12">D71*E71</f>
        <v>-8.7219226260257905</v>
      </c>
      <c r="I71" s="145"/>
      <c r="L71" s="3"/>
      <c r="M71" s="3"/>
      <c r="N71" s="3"/>
      <c r="O71" s="3"/>
      <c r="P71" s="3"/>
    </row>
    <row r="72" spans="2:16" x14ac:dyDescent="0.3">
      <c r="B72" s="56" t="s">
        <v>63</v>
      </c>
      <c r="D72" s="146">
        <f>D70</f>
        <v>882.28711499520409</v>
      </c>
      <c r="E72" s="147">
        <f>N23</f>
        <v>5.0700000000000002E-2</v>
      </c>
      <c r="H72" s="148">
        <f t="shared" si="12"/>
        <v>44.731956730256847</v>
      </c>
      <c r="I72" s="145"/>
      <c r="L72" s="3"/>
      <c r="M72" s="3"/>
      <c r="N72" s="3"/>
      <c r="O72" s="3"/>
      <c r="P72" s="3"/>
    </row>
    <row r="73" spans="2:16" x14ac:dyDescent="0.3">
      <c r="B73" s="56" t="s">
        <v>92</v>
      </c>
      <c r="D73" s="146">
        <f>D71</f>
        <v>-792.90205691143558</v>
      </c>
      <c r="E73" s="149">
        <f>E72</f>
        <v>5.0700000000000002E-2</v>
      </c>
      <c r="H73" s="148">
        <f t="shared" si="12"/>
        <v>-40.200134285409789</v>
      </c>
      <c r="I73" s="145"/>
      <c r="L73" s="3"/>
      <c r="M73" s="3"/>
      <c r="N73" s="3"/>
      <c r="O73" s="3"/>
      <c r="P73" s="3"/>
    </row>
    <row r="74" spans="2:16" x14ac:dyDescent="0.3">
      <c r="B74" s="56" t="s">
        <v>93</v>
      </c>
      <c r="D74" s="150">
        <f>D70/(1-E74)</f>
        <v>1062.9965240906074</v>
      </c>
      <c r="E74" s="151">
        <v>0.17</v>
      </c>
      <c r="H74" s="148">
        <f>D74*E74</f>
        <v>180.70940909540326</v>
      </c>
      <c r="I74" s="145"/>
      <c r="L74" s="3"/>
      <c r="M74" s="3"/>
      <c r="N74" s="3"/>
      <c r="O74" s="3"/>
      <c r="P74" s="3"/>
    </row>
    <row r="75" spans="2:16" x14ac:dyDescent="0.3">
      <c r="B75" s="152" t="s">
        <v>94</v>
      </c>
      <c r="C75" s="106"/>
      <c r="D75" s="153">
        <f>((D56*F56)+(H58+H59+H60+H61)+(D63*F63)+(D65*F65))/(1-E71-E73)/(1-E75)</f>
        <v>-397.4124000531595</v>
      </c>
      <c r="E75" s="154">
        <f>E74</f>
        <v>0.17</v>
      </c>
      <c r="F75" s="106"/>
      <c r="G75" s="106"/>
      <c r="H75" s="155">
        <f>D75*E75</f>
        <v>-67.560108009037123</v>
      </c>
      <c r="L75" s="3"/>
      <c r="M75" s="3"/>
      <c r="N75" s="3"/>
      <c r="O75" s="3"/>
      <c r="P75" s="3"/>
    </row>
    <row r="76" spans="2:16" x14ac:dyDescent="0.3">
      <c r="L76" s="3"/>
      <c r="M76" s="3"/>
      <c r="N76" s="3"/>
      <c r="O76" s="3"/>
      <c r="P76" s="3"/>
    </row>
    <row r="77" spans="2:16" x14ac:dyDescent="0.3">
      <c r="B77" s="156" t="s">
        <v>95</v>
      </c>
      <c r="C77" s="157"/>
      <c r="D77" s="158">
        <f>D49+D56</f>
        <v>100</v>
      </c>
      <c r="E77" s="159">
        <f>IF(AND($B$14&lt;$F$2,$E$14&lt;$F$2),C7,IF($B$14&lt;$F$2,I7,F7))</f>
        <v>1.8574584929758426E-4</v>
      </c>
      <c r="F77" s="159">
        <f>IF(AND($B$14&lt;$F$2,$E$14&lt;$F$2),D7,IF($B$14&lt;$F$2,J7,G7))</f>
        <v>-2.225523933034281E-3</v>
      </c>
      <c r="G77" s="157"/>
      <c r="H77" s="156">
        <f>D77*(E77+F77)</f>
        <v>-0.20397780837366966</v>
      </c>
      <c r="L77" s="3"/>
      <c r="M77" s="3"/>
      <c r="N77" s="3"/>
      <c r="O77" s="3"/>
      <c r="P77" s="3"/>
    </row>
  </sheetData>
  <customSheetViews>
    <customSheetView guid="{DD040A5E-BAB6-4607-A6FD-72F0B8E25E8D}" scale="80" showGridLines="0">
      <selection activeCell="E56" sqref="E56"/>
      <pageMargins left="0.511811024" right="0.511811024" top="0.78740157499999996" bottom="0.78740157499999996" header="0.31496062000000002" footer="0.31496062000000002"/>
      <pageSetup orientation="portrait" r:id="rId1"/>
    </customSheetView>
  </customSheetViews>
  <mergeCells count="10">
    <mergeCell ref="U4:W4"/>
    <mergeCell ref="X4:Z4"/>
    <mergeCell ref="K11:L11"/>
    <mergeCell ref="B45:H45"/>
    <mergeCell ref="B4:B5"/>
    <mergeCell ref="C4:E4"/>
    <mergeCell ref="F4:H4"/>
    <mergeCell ref="I4:K4"/>
    <mergeCell ref="Q4:Q5"/>
    <mergeCell ref="R4:T4"/>
  </mergeCells>
  <conditionalFormatting sqref="K12:L12">
    <cfRule type="cellIs" dxfId="41" priority="1" operator="equal">
      <formula>"Escassez Hídrica"</formula>
    </cfRule>
    <cfRule type="cellIs" dxfId="40" priority="2" operator="equal">
      <formula>"VERDE"</formula>
    </cfRule>
    <cfRule type="cellIs" dxfId="39" priority="3" operator="equal">
      <formula>"BVM2"</formula>
    </cfRule>
    <cfRule type="cellIs" dxfId="38" priority="4" operator="equal">
      <formula>"BVM1"</formula>
    </cfRule>
    <cfRule type="cellIs" dxfId="37" priority="5" operator="equal">
      <formula>"BAM"</formula>
    </cfRule>
  </conditionalFormatting>
  <conditionalFormatting sqref="M3">
    <cfRule type="cellIs" dxfId="36" priority="11" operator="equal">
      <formula>"VERDE"</formula>
    </cfRule>
    <cfRule type="cellIs" dxfId="35" priority="12" operator="equal">
      <formula>"BVM2"</formula>
    </cfRule>
    <cfRule type="cellIs" dxfId="34" priority="13" operator="equal">
      <formula>"BVM1"</formula>
    </cfRule>
    <cfRule type="cellIs" dxfId="33" priority="14" operator="equal">
      <formula>"BAM"</formula>
    </cfRule>
  </conditionalFormatting>
  <conditionalFormatting sqref="M7:M8">
    <cfRule type="containsText" dxfId="32" priority="6" operator="containsText" text="Escassez Hídrica">
      <formula>NOT(ISERROR(SEARCH("Escassez Hídrica",M7)))</formula>
    </cfRule>
    <cfRule type="cellIs" dxfId="31" priority="7" operator="equal">
      <formula>"VERDE"</formula>
    </cfRule>
    <cfRule type="cellIs" dxfId="30" priority="8" operator="equal">
      <formula>"BVM2"</formula>
    </cfRule>
    <cfRule type="cellIs" dxfId="29" priority="9" operator="equal">
      <formula>"BVM1"</formula>
    </cfRule>
    <cfRule type="cellIs" dxfId="28" priority="10" operator="equal">
      <formula>"BAM"</formula>
    </cfRule>
  </conditionalFormatting>
  <dataValidations count="1">
    <dataValidation type="list" allowBlank="1" showInputMessage="1" showErrorMessage="1" sqref="K12:L12" xr:uid="{B6E66BCF-8F10-40E4-A154-FE2472998B35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7542-E110-4309-98BB-7519FCEEDF9B}">
  <sheetPr>
    <tabColor rgb="FF00B050"/>
  </sheetPr>
  <dimension ref="A1:Z88"/>
  <sheetViews>
    <sheetView showGridLines="0" tabSelected="1" topLeftCell="E38" zoomScale="90" zoomScaleNormal="90" workbookViewId="0">
      <selection activeCell="N58" sqref="N58"/>
    </sheetView>
  </sheetViews>
  <sheetFormatPr defaultColWidth="9.109375" defaultRowHeight="14.4" x14ac:dyDescent="0.3"/>
  <cols>
    <col min="1" max="1" width="5.44140625" style="1" customWidth="1"/>
    <col min="2" max="2" width="20" style="1" customWidth="1"/>
    <col min="3" max="3" width="13.88671875" style="1" customWidth="1"/>
    <col min="4" max="4" width="15" style="1" customWidth="1"/>
    <col min="5" max="5" width="21.6640625" style="1" bestFit="1" customWidth="1"/>
    <col min="6" max="6" width="15.109375" style="1" bestFit="1" customWidth="1"/>
    <col min="7" max="10" width="12.6640625" style="1" customWidth="1"/>
    <col min="11" max="12" width="13.88671875" style="1" customWidth="1"/>
    <col min="13" max="13" width="14.109375" style="1" customWidth="1"/>
    <col min="14" max="14" width="12.6640625" style="1" customWidth="1"/>
    <col min="15" max="15" width="15.33203125" style="1" bestFit="1" customWidth="1"/>
    <col min="16" max="16" width="18.44140625" style="1" customWidth="1"/>
    <col min="17" max="17" width="11.109375" style="1" bestFit="1" customWidth="1"/>
    <col min="18" max="18" width="12.109375" style="1" bestFit="1" customWidth="1"/>
    <col min="19" max="19" width="13.109375" style="1" bestFit="1" customWidth="1"/>
    <col min="20" max="20" width="11.33203125" style="1" bestFit="1" customWidth="1"/>
    <col min="21" max="21" width="12.109375" style="1" bestFit="1" customWidth="1"/>
    <col min="22" max="22" width="13.109375" style="1" bestFit="1" customWidth="1"/>
    <col min="23" max="23" width="11.33203125" style="1" bestFit="1" customWidth="1"/>
    <col min="24" max="24" width="12.109375" style="1" bestFit="1" customWidth="1"/>
    <col min="25" max="25" width="13.109375" style="1" bestFit="1" customWidth="1"/>
    <col min="26" max="26" width="11.33203125" style="1" bestFit="1" customWidth="1"/>
    <col min="27" max="16384" width="9.109375" style="1"/>
  </cols>
  <sheetData>
    <row r="1" spans="1:26" x14ac:dyDescent="0.3">
      <c r="A1" s="1" t="s">
        <v>0</v>
      </c>
      <c r="B1" s="1" t="s">
        <v>0</v>
      </c>
      <c r="F1" s="2"/>
      <c r="G1" s="3"/>
      <c r="H1" s="3" t="s">
        <v>0</v>
      </c>
      <c r="I1" s="3"/>
      <c r="J1" s="3"/>
      <c r="K1" s="3"/>
      <c r="L1" s="1" t="s">
        <v>0</v>
      </c>
    </row>
    <row r="2" spans="1:26" ht="18" x14ac:dyDescent="0.3">
      <c r="A2" s="1" t="s">
        <v>0</v>
      </c>
      <c r="B2" s="4" t="s">
        <v>98</v>
      </c>
      <c r="E2" s="5" t="s">
        <v>2</v>
      </c>
      <c r="F2" s="6">
        <f>'Fatura B1 (GD) OK'!F2</f>
        <v>46241</v>
      </c>
      <c r="G2" s="3" t="s">
        <v>0</v>
      </c>
      <c r="I2" s="233"/>
      <c r="J2" s="232"/>
      <c r="K2" s="3"/>
      <c r="M2" s="7" t="s">
        <v>3</v>
      </c>
      <c r="N2" s="7" t="s">
        <v>4</v>
      </c>
      <c r="O2" s="1" t="s">
        <v>5</v>
      </c>
      <c r="Q2" s="8" t="s">
        <v>6</v>
      </c>
      <c r="R2" s="9"/>
    </row>
    <row r="3" spans="1:26" x14ac:dyDescent="0.3">
      <c r="M3" s="10" t="s">
        <v>7</v>
      </c>
      <c r="N3" s="11">
        <v>0</v>
      </c>
    </row>
    <row r="4" spans="1:26" ht="15" customHeight="1" x14ac:dyDescent="0.3">
      <c r="B4" s="247" t="s">
        <v>8</v>
      </c>
      <c r="C4" s="249" t="s">
        <v>97</v>
      </c>
      <c r="D4" s="249"/>
      <c r="E4" s="249"/>
      <c r="F4" s="249" t="str">
        <f>'[2]Fatura B1 (GD)'!F4</f>
        <v>TARIFA NOVA - REH xxxx/2024</v>
      </c>
      <c r="G4" s="249"/>
      <c r="H4" s="249"/>
      <c r="I4" s="250" t="s">
        <v>11</v>
      </c>
      <c r="J4" s="250"/>
      <c r="K4" s="250"/>
      <c r="M4" s="12" t="s">
        <v>12</v>
      </c>
      <c r="N4" s="13">
        <f>'[3]Fatura B1 (Res) OK'!$N$4</f>
        <v>1.8849999999999999E-2</v>
      </c>
      <c r="Q4" s="247" t="s">
        <v>8</v>
      </c>
      <c r="R4" s="240" t="str">
        <f>C4</f>
        <v>TARIFA ANTIGA - REH 3091/2022</v>
      </c>
      <c r="S4" s="241"/>
      <c r="T4" s="242"/>
      <c r="U4" s="240" t="str">
        <f>F4</f>
        <v>TARIFA NOVA - REH xxxx/2024</v>
      </c>
      <c r="V4" s="241"/>
      <c r="W4" s="242"/>
      <c r="X4" s="240" t="s">
        <v>11</v>
      </c>
      <c r="Y4" s="241"/>
      <c r="Z4" s="242"/>
    </row>
    <row r="5" spans="1:26" x14ac:dyDescent="0.3">
      <c r="B5" s="248"/>
      <c r="C5" s="14" t="s">
        <v>13</v>
      </c>
      <c r="D5" s="14" t="s">
        <v>14</v>
      </c>
      <c r="E5" s="14" t="s">
        <v>15</v>
      </c>
      <c r="F5" s="14" t="s">
        <v>13</v>
      </c>
      <c r="G5" s="14" t="s">
        <v>14</v>
      </c>
      <c r="H5" s="14" t="s">
        <v>15</v>
      </c>
      <c r="I5" s="15" t="s">
        <v>13</v>
      </c>
      <c r="J5" s="15" t="s">
        <v>14</v>
      </c>
      <c r="K5" s="15" t="s">
        <v>15</v>
      </c>
      <c r="M5" s="16" t="s">
        <v>16</v>
      </c>
      <c r="N5" s="17">
        <f>'[3]Fatura B1 (Res) OK'!$N$5</f>
        <v>4.4630000000000003E-2</v>
      </c>
      <c r="Q5" s="248"/>
      <c r="R5" s="14" t="s">
        <v>17</v>
      </c>
      <c r="S5"/>
      <c r="T5"/>
      <c r="U5" s="14" t="s">
        <v>17</v>
      </c>
      <c r="V5"/>
      <c r="W5"/>
      <c r="X5" s="14" t="s">
        <v>17</v>
      </c>
      <c r="Y5"/>
      <c r="Z5"/>
    </row>
    <row r="6" spans="1:26" x14ac:dyDescent="0.3">
      <c r="B6" s="18" t="s">
        <v>98</v>
      </c>
      <c r="C6" s="19">
        <f>'TABELA DE TARIFAS ANTIGAS'!G77/1000</f>
        <v>0.46862999999999999</v>
      </c>
      <c r="D6" s="19">
        <f>'TABELA DE TARIFAS ANTIGAS'!H77/1000</f>
        <v>0.32068000000000002</v>
      </c>
      <c r="E6" s="19">
        <f t="shared" ref="E6" si="0">C6+D6</f>
        <v>0.78930999999999996</v>
      </c>
      <c r="F6" s="19">
        <f>'TABELA DE TARIFAS NOVAS'!G79/1000</f>
        <v>0.50631999999999999</v>
      </c>
      <c r="G6" s="19">
        <f>'TABELA DE TARIFAS NOVAS'!H79/1000</f>
        <v>0.33738999999999997</v>
      </c>
      <c r="H6" s="19">
        <f t="shared" ref="H6:H7" si="1">F6+G6</f>
        <v>0.84370999999999996</v>
      </c>
      <c r="I6" s="19">
        <f t="shared" ref="I6:J6" si="2">((C6*$C$14)+(F6*$D$14))/($D$14+$C$14)</f>
        <v>0.47742433333333334</v>
      </c>
      <c r="J6" s="19">
        <f t="shared" si="2"/>
        <v>0.32457900000000001</v>
      </c>
      <c r="K6" s="20">
        <f t="shared" ref="K6:K7" si="3">I6+J6</f>
        <v>0.8020033333333334</v>
      </c>
      <c r="M6" s="21" t="s">
        <v>19</v>
      </c>
      <c r="N6" s="22">
        <f>'[3]Fatura B1 (Res) OK'!$N$6</f>
        <v>7.8770000000000007E-2</v>
      </c>
      <c r="P6" s="23"/>
      <c r="Q6" s="18" t="str">
        <f>B6</f>
        <v>B2</v>
      </c>
      <c r="R6" s="19">
        <f>'FIO B'!H25/1000</f>
        <v>0.20383072193179136</v>
      </c>
      <c r="S6"/>
      <c r="T6"/>
      <c r="U6" s="19">
        <f>'FIO B'!K25/1000</f>
        <v>0.20915159219558199</v>
      </c>
      <c r="V6"/>
      <c r="W6"/>
      <c r="X6" s="19">
        <f>((R6*$C$14)+(U6*$D$14))/($D$14+$C$14)</f>
        <v>0.20507225832667586</v>
      </c>
      <c r="Y6"/>
      <c r="Z6"/>
    </row>
    <row r="7" spans="1:26" x14ac:dyDescent="0.3">
      <c r="B7" s="24" t="s">
        <v>20</v>
      </c>
      <c r="C7" s="25">
        <v>1.8774721494831901E-4</v>
      </c>
      <c r="D7" s="26">
        <v>-4.4031307414479802E-3</v>
      </c>
      <c r="E7" s="20">
        <v>3.6054083865702689E-3</v>
      </c>
      <c r="F7" s="20">
        <f>T11</f>
        <v>1.84189231569235E-4</v>
      </c>
      <c r="G7" s="20">
        <f>U11</f>
        <v>-5.3182974871251499E-4</v>
      </c>
      <c r="H7" s="20">
        <f t="shared" si="1"/>
        <v>-3.4764051714327999E-4</v>
      </c>
      <c r="I7" s="19">
        <f>((C7*$C$14)+(F7*$D$14))/($D$14+$C$14)</f>
        <v>1.8691701882653274E-4</v>
      </c>
      <c r="J7" s="19">
        <f>((D7*$C$14)+(G7*$D$14))/($D$14+$C$14)</f>
        <v>-3.4998271764763713E-3</v>
      </c>
      <c r="K7" s="20">
        <f t="shared" si="3"/>
        <v>-3.3129101576498386E-3</v>
      </c>
      <c r="M7" s="10" t="s">
        <v>21</v>
      </c>
      <c r="N7" s="161">
        <v>0.14199999999999999</v>
      </c>
      <c r="P7" s="23"/>
      <c r="Q7" s="28"/>
      <c r="R7" s="29"/>
      <c r="S7"/>
      <c r="T7"/>
      <c r="U7" s="29"/>
      <c r="V7"/>
      <c r="W7"/>
      <c r="X7" s="29"/>
      <c r="Y7"/>
      <c r="Z7"/>
    </row>
    <row r="8" spans="1:26" x14ac:dyDescent="0.3">
      <c r="B8" s="30" t="s">
        <v>22</v>
      </c>
      <c r="C8" s="29"/>
      <c r="D8" s="29"/>
      <c r="E8" s="29"/>
      <c r="F8" s="29"/>
      <c r="G8" s="31">
        <f>G6*15%</f>
        <v>5.0608499999999994E-2</v>
      </c>
      <c r="H8" s="29"/>
      <c r="I8" s="29"/>
      <c r="J8" s="19">
        <f>((D8*$C$14)+(G8*$D$14))/($D$14+$C$14)</f>
        <v>1.1808649999999999E-2</v>
      </c>
      <c r="K8" s="32"/>
      <c r="P8" s="35" t="s">
        <v>23</v>
      </c>
      <c r="Q8" s="36"/>
      <c r="R8" s="37" t="s">
        <v>24</v>
      </c>
      <c r="S8" s="37" t="s">
        <v>25</v>
      </c>
      <c r="T8" s="37" t="s">
        <v>17</v>
      </c>
      <c r="U8" s="37" t="s">
        <v>26</v>
      </c>
      <c r="V8"/>
      <c r="W8"/>
      <c r="X8" s="29"/>
      <c r="Y8"/>
      <c r="Z8"/>
    </row>
    <row r="9" spans="1:26" x14ac:dyDescent="0.3">
      <c r="A9" s="1" t="s">
        <v>0</v>
      </c>
      <c r="G9" s="3"/>
      <c r="H9" s="3"/>
      <c r="I9" s="3"/>
      <c r="J9" s="3"/>
      <c r="K9" s="3"/>
      <c r="O9" s="5"/>
      <c r="P9" s="38" t="s">
        <v>27</v>
      </c>
      <c r="Q9" s="39"/>
      <c r="R9" s="40"/>
      <c r="S9" s="40"/>
      <c r="T9" s="41"/>
      <c r="U9" s="41"/>
      <c r="V9"/>
      <c r="W9"/>
      <c r="X9"/>
      <c r="Y9"/>
      <c r="Z9"/>
    </row>
    <row r="10" spans="1:26" x14ac:dyDescent="0.3">
      <c r="B10" s="42"/>
      <c r="C10" s="43"/>
      <c r="D10" s="44"/>
      <c r="E10" s="43"/>
      <c r="F10" s="43"/>
      <c r="G10" s="43"/>
      <c r="H10" s="45" t="s">
        <v>28</v>
      </c>
      <c r="I10" s="3"/>
      <c r="L10" s="5" t="s">
        <v>29</v>
      </c>
      <c r="M10" s="6">
        <f>EOMONTH(B14,0)+1</f>
        <v>46235</v>
      </c>
      <c r="P10" s="46" t="s">
        <v>30</v>
      </c>
      <c r="Q10" s="47"/>
      <c r="R10" s="48"/>
      <c r="S10" s="48"/>
      <c r="T10" s="49"/>
      <c r="U10" s="26">
        <v>0</v>
      </c>
      <c r="V10"/>
      <c r="W10"/>
      <c r="X10"/>
      <c r="Y10"/>
      <c r="Z10"/>
    </row>
    <row r="11" spans="1:26" x14ac:dyDescent="0.3">
      <c r="B11" s="50" t="s">
        <v>31</v>
      </c>
      <c r="E11" s="3"/>
      <c r="F11" s="3"/>
      <c r="G11" s="3"/>
      <c r="H11" s="52">
        <f>E14</f>
        <v>46247</v>
      </c>
      <c r="K11" s="243" t="s">
        <v>32</v>
      </c>
      <c r="L11" s="243"/>
      <c r="P11" s="53" t="s">
        <v>33</v>
      </c>
      <c r="Q11" s="54"/>
      <c r="R11" s="55"/>
      <c r="S11" s="55"/>
      <c r="T11" s="25">
        <f>'Fatura B1 (GD) OK'!T11</f>
        <v>1.84189231569235E-4</v>
      </c>
      <c r="U11" s="25">
        <f>'Fatura B1 (GD) OK'!U11</f>
        <v>-5.3182974871251499E-4</v>
      </c>
      <c r="V11"/>
      <c r="W11"/>
      <c r="X11"/>
      <c r="Y11"/>
      <c r="Z11"/>
    </row>
    <row r="12" spans="1:26" x14ac:dyDescent="0.3">
      <c r="A12" s="1" t="s">
        <v>0</v>
      </c>
      <c r="B12" s="56"/>
      <c r="C12" s="51">
        <v>1494523</v>
      </c>
      <c r="H12" s="57"/>
      <c r="K12" s="10" t="str">
        <f>'Fatura B1 (GD) OK'!K12</f>
        <v>BAM</v>
      </c>
      <c r="L12" s="10" t="str">
        <f>'Fatura B1 (GD) OK'!L12</f>
        <v>BAM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6" x14ac:dyDescent="0.3">
      <c r="B13" s="58" t="s">
        <v>34</v>
      </c>
      <c r="C13" s="58" t="s">
        <v>35</v>
      </c>
      <c r="D13" s="58" t="s">
        <v>36</v>
      </c>
      <c r="E13" s="58" t="s">
        <v>37</v>
      </c>
      <c r="F13" s="3"/>
      <c r="G13" s="3"/>
      <c r="H13" s="59"/>
      <c r="J13" s="58" t="s">
        <v>34</v>
      </c>
      <c r="K13" s="58" t="s">
        <v>35</v>
      </c>
      <c r="L13" s="58" t="s">
        <v>36</v>
      </c>
      <c r="M13" s="58" t="s">
        <v>37</v>
      </c>
    </row>
    <row r="14" spans="1:26" x14ac:dyDescent="0.3">
      <c r="B14" s="60">
        <v>46217</v>
      </c>
      <c r="C14" s="61">
        <f>IF((F2-B14-1)&lt;0,0,(F2-B14-1))</f>
        <v>23</v>
      </c>
      <c r="D14" s="61">
        <f>E14-F2+1</f>
        <v>7</v>
      </c>
      <c r="E14" s="60">
        <v>46247</v>
      </c>
      <c r="F14" s="62"/>
      <c r="G14" s="62"/>
      <c r="H14" s="63"/>
      <c r="J14" s="64">
        <f>B14</f>
        <v>46217</v>
      </c>
      <c r="K14" s="65">
        <f>IF((M10-J14-1)&lt;0,0,(M10-J14-1))</f>
        <v>17</v>
      </c>
      <c r="L14" s="65">
        <f>M14-M10+1</f>
        <v>13</v>
      </c>
      <c r="M14" s="64">
        <f>E14</f>
        <v>46247</v>
      </c>
    </row>
    <row r="16" spans="1:26" x14ac:dyDescent="0.3">
      <c r="B16" s="3"/>
      <c r="F16" s="66"/>
      <c r="G16"/>
      <c r="H16" s="67"/>
    </row>
    <row r="17" spans="2:22" x14ac:dyDescent="0.3">
      <c r="B17" s="68" t="s">
        <v>38</v>
      </c>
      <c r="E17" s="8" t="s">
        <v>39</v>
      </c>
      <c r="F17" s="69">
        <v>1</v>
      </c>
      <c r="G17" s="70" t="s">
        <v>14</v>
      </c>
      <c r="H17" s="69">
        <v>1</v>
      </c>
      <c r="M17" s="71" t="s">
        <v>40</v>
      </c>
      <c r="N17" s="72"/>
      <c r="O17" s="73">
        <v>1025310636</v>
      </c>
    </row>
    <row r="18" spans="2:22" x14ac:dyDescent="0.3"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42" customHeight="1" x14ac:dyDescent="0.3">
      <c r="B19" s="77" t="s">
        <v>41</v>
      </c>
      <c r="C19" s="77" t="s">
        <v>42</v>
      </c>
      <c r="D19" s="77" t="s">
        <v>43</v>
      </c>
      <c r="E19" s="78" t="s">
        <v>44</v>
      </c>
      <c r="F19" s="78" t="s">
        <v>45</v>
      </c>
      <c r="G19" s="78" t="s">
        <v>46</v>
      </c>
      <c r="H19" s="78" t="s">
        <v>47</v>
      </c>
      <c r="I19" s="78" t="s">
        <v>48</v>
      </c>
      <c r="J19" s="78" t="s">
        <v>49</v>
      </c>
      <c r="K19" s="79" t="s">
        <v>50</v>
      </c>
      <c r="L19" s="77" t="s">
        <v>51</v>
      </c>
      <c r="M19" s="78" t="s">
        <v>52</v>
      </c>
      <c r="N19" s="78" t="s">
        <v>53</v>
      </c>
      <c r="O19" s="78" t="s">
        <v>54</v>
      </c>
    </row>
    <row r="20" spans="2:22" x14ac:dyDescent="0.3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1"/>
      <c r="M20" s="82"/>
      <c r="N20" s="82"/>
      <c r="O20" s="82"/>
      <c r="R20" s="8" t="s">
        <v>55</v>
      </c>
      <c r="S20" s="8" t="s">
        <v>56</v>
      </c>
    </row>
    <row r="21" spans="2:22" x14ac:dyDescent="0.3">
      <c r="B21" s="82" t="s">
        <v>57</v>
      </c>
      <c r="C21" s="83" t="s">
        <v>58</v>
      </c>
      <c r="D21" s="84">
        <v>1409</v>
      </c>
      <c r="E21" s="85">
        <f>(ROUND(D21*K21,2)+ROUND(G21,2)+ROUND(J21,2))/ROUND(D21,4)</f>
        <v>0.61303051809794185</v>
      </c>
      <c r="F21" s="86">
        <f>ROUND(D21*E21,2)</f>
        <v>863.76</v>
      </c>
      <c r="G21" s="86">
        <f>((D21*K21)/(1-$N$21-$N$23))*($N$21+$N$23)</f>
        <v>44.234282900600377</v>
      </c>
      <c r="H21" s="86">
        <f t="shared" ref="H21:H26" si="4">(IF($I$21=12%,(D21*K21)/(1-$N$21-$N$23)/(1-$C$50)/$F$50*$C$50,(D21*K21)/(1-$N$21-$N$23)/(1-$I$21)))</f>
        <v>863.76526333405661</v>
      </c>
      <c r="I21" s="87">
        <v>0.17</v>
      </c>
      <c r="J21" s="86">
        <f>(H21*$I$21)</f>
        <v>146.84009476678963</v>
      </c>
      <c r="K21" s="85">
        <f>IF(AND($B$14&lt;$F$2,$E$14&lt;$F$2),C6,IF($B$14&lt;$F$2,I6,F6))</f>
        <v>0.47742433333333334</v>
      </c>
      <c r="L21" s="88" t="s">
        <v>59</v>
      </c>
      <c r="M21" s="86">
        <f>D81</f>
        <v>1232.6334860918682</v>
      </c>
      <c r="N21" s="89">
        <f>'Fatura B1 (GD) OK'!N21</f>
        <v>1.0999999999999999E-2</v>
      </c>
      <c r="O21" s="90">
        <f>ROUND(M21*N21,2)</f>
        <v>13.56</v>
      </c>
      <c r="R21" s="91">
        <f>IF(AND($B14&lt;$F$2,$E$14&lt;$F$2),R6,IF($B$14&lt;$F$2,X6,U6))</f>
        <v>0.20507225832667586</v>
      </c>
      <c r="S21" s="234">
        <f>D21*R21</f>
        <v>288.94681198228631</v>
      </c>
      <c r="T21" s="237" t="s">
        <v>189</v>
      </c>
    </row>
    <row r="22" spans="2:22" x14ac:dyDescent="0.3">
      <c r="B22" s="82" t="s">
        <v>60</v>
      </c>
      <c r="C22" s="83" t="s">
        <v>58</v>
      </c>
      <c r="D22" s="93">
        <f>D21</f>
        <v>1409</v>
      </c>
      <c r="E22" s="85">
        <f>(ROUND(D22*K22,2)+ROUND(G22,2)+ROUND(J22,2))/ROUND(D22,4)</f>
        <v>0.41677075940383251</v>
      </c>
      <c r="F22" s="86">
        <f>ROUND(D22*E22,2)</f>
        <v>587.23</v>
      </c>
      <c r="G22" s="86">
        <f>((D22*K22)/(1-$N$21-$N$23))*($N$21+$N$23)</f>
        <v>30.072868739955243</v>
      </c>
      <c r="H22" s="86">
        <f t="shared" si="4"/>
        <v>587.2345539035606</v>
      </c>
      <c r="I22" s="82"/>
      <c r="J22" s="86">
        <f>ROUND(H22*$I$21,2)</f>
        <v>99.83</v>
      </c>
      <c r="K22" s="85">
        <f>IF(AND($B$14&lt;$F$2,$E$14&lt;$F$2),D6,IF($B$14&lt;$F$2,J6,G6))</f>
        <v>0.32457900000000001</v>
      </c>
      <c r="L22" s="88" t="s">
        <v>61</v>
      </c>
      <c r="M22" s="86">
        <f>D82*0</f>
        <v>0</v>
      </c>
      <c r="N22" s="89">
        <f>N21</f>
        <v>1.0999999999999999E-2</v>
      </c>
      <c r="O22" s="90">
        <f>ROUND(M22*N22,2)</f>
        <v>0</v>
      </c>
    </row>
    <row r="23" spans="2:22" x14ac:dyDescent="0.3">
      <c r="B23" s="82" t="s">
        <v>62</v>
      </c>
      <c r="C23" s="83" t="s">
        <v>58</v>
      </c>
      <c r="D23" s="93">
        <f>IF($K$12=M4,($D$21*($K$14)/($K$14+$L$14)),0)+IF($L$12=M4,($D$21*($L$14)/($K$14+$L$14)),0)</f>
        <v>1409</v>
      </c>
      <c r="E23" s="85">
        <f>IFERROR((ROUND(D23*K23,2)+ROUND(G23,2)+ROUND(J23,2))/ROUND(D23,4), 0)</f>
        <v>2.4208658623136977E-2</v>
      </c>
      <c r="F23" s="86">
        <f>ROUND(D23*E23,2)</f>
        <v>34.11</v>
      </c>
      <c r="G23" s="86">
        <f>((D23*K23)/(1-$N$21-$N$23))*($N$21+$N$23)</f>
        <v>1.7464887615901097</v>
      </c>
      <c r="H23" s="86">
        <f t="shared" si="4"/>
        <v>34.103781640470011</v>
      </c>
      <c r="I23" s="82"/>
      <c r="J23" s="86">
        <f>ROUND(H23*$I$21,2)</f>
        <v>5.8</v>
      </c>
      <c r="K23" s="85">
        <f>N4</f>
        <v>1.8849999999999999E-2</v>
      </c>
      <c r="L23" s="88" t="s">
        <v>63</v>
      </c>
      <c r="M23" s="86">
        <f>M21</f>
        <v>1232.6334860918682</v>
      </c>
      <c r="N23" s="89">
        <f>'Fatura B1 (GD) OK'!N23</f>
        <v>5.0700000000000002E-2</v>
      </c>
      <c r="O23" s="90">
        <f>ROUND(M23*N23,2)</f>
        <v>62.49</v>
      </c>
      <c r="R23" s="94"/>
    </row>
    <row r="24" spans="2:22" x14ac:dyDescent="0.3">
      <c r="B24" s="82" t="s">
        <v>62</v>
      </c>
      <c r="C24" s="83" t="s">
        <v>58</v>
      </c>
      <c r="D24" s="93">
        <f t="shared" ref="D24:D26" si="5">IF($K$12=M5,($D$21*($K$14)/($K$14+$L$14)),0)+IF($L$12=M5,($D$21*($L$14)/($K$14+$L$14)),0)</f>
        <v>0</v>
      </c>
      <c r="E24" s="85">
        <f t="shared" ref="E24:E26" si="6">IFERROR((ROUND(D24*K24,2)+ROUND(G24,2)+ROUND(J24,2))/ROUND(D24,4), 0)</f>
        <v>0</v>
      </c>
      <c r="F24" s="86">
        <f t="shared" ref="F24:F26" si="7">ROUND(D24*E24,2)</f>
        <v>0</v>
      </c>
      <c r="G24" s="86">
        <f t="shared" ref="G24:G26" si="8">((D24*K24)/(1-$N$21-$N$23))*($N$21+$N$23)</f>
        <v>0</v>
      </c>
      <c r="H24" s="86">
        <f t="shared" si="4"/>
        <v>0</v>
      </c>
      <c r="I24" s="82"/>
      <c r="J24" s="86">
        <f t="shared" ref="J24:J26" si="9">ROUND(H24*$I$21,2)</f>
        <v>0</v>
      </c>
      <c r="K24" s="85">
        <f t="shared" ref="K24:K26" si="10">N5</f>
        <v>4.4630000000000003E-2</v>
      </c>
      <c r="L24" s="88" t="s">
        <v>65</v>
      </c>
      <c r="M24" s="86">
        <f>M22</f>
        <v>0</v>
      </c>
      <c r="N24" s="89">
        <f>N23</f>
        <v>5.0700000000000002E-2</v>
      </c>
      <c r="O24" s="90">
        <f>ROUND(M24*N24,2)</f>
        <v>0</v>
      </c>
    </row>
    <row r="25" spans="2:22" x14ac:dyDescent="0.3">
      <c r="B25" s="82" t="s">
        <v>62</v>
      </c>
      <c r="C25" s="83" t="s">
        <v>58</v>
      </c>
      <c r="D25" s="93">
        <f t="shared" si="5"/>
        <v>0</v>
      </c>
      <c r="E25" s="85">
        <f t="shared" si="6"/>
        <v>0</v>
      </c>
      <c r="F25" s="86">
        <f t="shared" si="7"/>
        <v>0</v>
      </c>
      <c r="G25" s="86">
        <f t="shared" si="8"/>
        <v>0</v>
      </c>
      <c r="H25" s="86">
        <f t="shared" si="4"/>
        <v>0</v>
      </c>
      <c r="I25" s="82"/>
      <c r="J25" s="86">
        <f t="shared" si="9"/>
        <v>0</v>
      </c>
      <c r="K25" s="85">
        <f t="shared" si="10"/>
        <v>7.8770000000000007E-2</v>
      </c>
      <c r="L25" s="88"/>
      <c r="M25" s="86"/>
      <c r="N25" s="89"/>
      <c r="O25" s="90"/>
    </row>
    <row r="26" spans="2:22" x14ac:dyDescent="0.3">
      <c r="B26" s="82" t="s">
        <v>62</v>
      </c>
      <c r="C26" s="83" t="s">
        <v>58</v>
      </c>
      <c r="D26" s="93">
        <f t="shared" si="5"/>
        <v>0</v>
      </c>
      <c r="E26" s="85">
        <f t="shared" si="6"/>
        <v>0</v>
      </c>
      <c r="F26" s="86">
        <f t="shared" si="7"/>
        <v>0</v>
      </c>
      <c r="G26" s="86">
        <f t="shared" si="8"/>
        <v>0</v>
      </c>
      <c r="H26" s="86">
        <f t="shared" si="4"/>
        <v>0</v>
      </c>
      <c r="I26" s="82"/>
      <c r="J26" s="86">
        <f t="shared" si="9"/>
        <v>0</v>
      </c>
      <c r="K26" s="85">
        <f t="shared" si="10"/>
        <v>0.14199999999999999</v>
      </c>
      <c r="L26" s="88"/>
      <c r="M26" s="86"/>
      <c r="N26" s="89"/>
      <c r="O26" s="90"/>
    </row>
    <row r="27" spans="2:22" x14ac:dyDescent="0.3">
      <c r="B27" s="82"/>
      <c r="C27" s="83"/>
      <c r="D27" s="93"/>
      <c r="E27" s="85"/>
      <c r="F27" s="86"/>
      <c r="G27" s="86"/>
      <c r="H27" s="86"/>
      <c r="I27" s="82"/>
      <c r="J27" s="86"/>
      <c r="K27" s="85"/>
      <c r="L27" s="88"/>
      <c r="M27" s="86"/>
      <c r="N27" s="89"/>
      <c r="O27" s="90"/>
    </row>
    <row r="28" spans="2:22" x14ac:dyDescent="0.3">
      <c r="B28" s="82" t="s">
        <v>68</v>
      </c>
      <c r="C28" s="83" t="s">
        <v>58</v>
      </c>
      <c r="D28" s="84">
        <v>-1379</v>
      </c>
      <c r="E28" s="85">
        <f>IFERROR((ROUND(D28*K28,2)+ROUND(G28,2)+ROUND(J28,2))/ROUND(D28,4), 0)</f>
        <v>0.58163886874546777</v>
      </c>
      <c r="F28" s="86">
        <f>ROUND(D28*E28,2)</f>
        <v>-802.08</v>
      </c>
      <c r="G28" s="86">
        <v>0</v>
      </c>
      <c r="H28" s="86">
        <f t="shared" ref="H28:H33" si="11">(IF($I$29=12%,(D28*K28)/(1-$N$22-$N$24)/(1-$C$50)/$F$50*$C$50,(D28*K28)/(1-$N$22-$N$24)/(1-$I$29)))</f>
        <v>-845.37423572580849</v>
      </c>
      <c r="I28" s="87">
        <f>I21</f>
        <v>0.17</v>
      </c>
      <c r="J28" s="86">
        <f>H28*$I$21</f>
        <v>-143.71362007338746</v>
      </c>
      <c r="K28" s="85">
        <f>E67</f>
        <v>0.47742433333333334</v>
      </c>
      <c r="L28" s="88"/>
      <c r="M28" s="86"/>
      <c r="N28" s="89"/>
      <c r="O28" s="90"/>
      <c r="Q28" s="1">
        <v>571.65179999999998</v>
      </c>
    </row>
    <row r="29" spans="2:22" x14ac:dyDescent="0.3">
      <c r="B29" s="82" t="s">
        <v>69</v>
      </c>
      <c r="C29" s="83" t="s">
        <v>58</v>
      </c>
      <c r="D29" s="84">
        <f>D28</f>
        <v>-1379</v>
      </c>
      <c r="E29" s="85">
        <f>IFERROR((ROUND(D29*K29,2)+ROUND(G29,2)+ROUND(J29,2))/ROUND(D29,4), 0)</f>
        <v>0.39542422044960113</v>
      </c>
      <c r="F29" s="86">
        <f>ROUND(D29*E29,2)</f>
        <v>-545.29</v>
      </c>
      <c r="G29" s="86">
        <v>0</v>
      </c>
      <c r="H29" s="86">
        <f t="shared" si="11"/>
        <v>-574.73133416111432</v>
      </c>
      <c r="I29" s="87">
        <f>I21</f>
        <v>0.17</v>
      </c>
      <c r="J29" s="86">
        <f>H29*$I$21</f>
        <v>-97.704326807389435</v>
      </c>
      <c r="K29" s="85">
        <f>K22</f>
        <v>0.32457900000000001</v>
      </c>
      <c r="L29" s="88"/>
      <c r="M29" s="86"/>
      <c r="N29" s="89"/>
      <c r="O29" s="90"/>
      <c r="Q29" s="1">
        <v>526.86189999999999</v>
      </c>
    </row>
    <row r="30" spans="2:22" x14ac:dyDescent="0.3">
      <c r="B30" s="82" t="s">
        <v>70</v>
      </c>
      <c r="C30" s="83" t="s">
        <v>58</v>
      </c>
      <c r="D30" s="93">
        <f>IF($K$12=M4,($D$28*($K$14)/($K$14+$L$14)),0)+IF($L$12=M4,($D$28*($L$14)/($K$14+$L$14)),0)</f>
        <v>-1379</v>
      </c>
      <c r="E30" s="85">
        <f>IFERROR((ROUND(D30*K30,2)+ROUND(G30,2)+ROUND(J30,2))/ROUND(D30,4), 0)</f>
        <v>2.2958665699782447E-2</v>
      </c>
      <c r="F30" s="86">
        <f t="shared" ref="F30:F33" si="12">ROUND(D30*E30,2)</f>
        <v>-31.66</v>
      </c>
      <c r="G30" s="86">
        <v>0</v>
      </c>
      <c r="H30" s="86">
        <f t="shared" si="11"/>
        <v>-33.377654281198112</v>
      </c>
      <c r="I30" s="82"/>
      <c r="J30" s="86">
        <f>H30*$I$21</f>
        <v>-5.6742012278036791</v>
      </c>
      <c r="K30" s="85">
        <f>N4</f>
        <v>1.8849999999999999E-2</v>
      </c>
      <c r="L30" s="95"/>
      <c r="M30" s="96"/>
      <c r="N30" s="96"/>
      <c r="O30" s="96"/>
      <c r="Q30" s="1">
        <v>280.48630000000003</v>
      </c>
      <c r="R30" s="94"/>
    </row>
    <row r="31" spans="2:22" x14ac:dyDescent="0.3">
      <c r="B31" s="82" t="s">
        <v>70</v>
      </c>
      <c r="C31" s="83" t="s">
        <v>58</v>
      </c>
      <c r="D31" s="93">
        <f t="shared" ref="D31:D33" si="13">IF($K$12=M5,($D$28*($K$14)/($K$14+$L$14)),0)+IF($L$12=M5,($D$28*($L$14)/($K$14+$L$14)),0)</f>
        <v>0</v>
      </c>
      <c r="E31" s="85">
        <f t="shared" ref="E31:E33" si="14">IFERROR((ROUND(D31*K31,2)+ROUND(G31,2)+ROUND(J31,2))/ROUND(D31,4), 0)</f>
        <v>0</v>
      </c>
      <c r="F31" s="86">
        <f t="shared" si="12"/>
        <v>0</v>
      </c>
      <c r="G31" s="86">
        <v>0</v>
      </c>
      <c r="H31" s="86">
        <f t="shared" si="11"/>
        <v>0</v>
      </c>
      <c r="I31" s="82"/>
      <c r="J31" s="86">
        <f t="shared" ref="J31:J33" si="15">H31*$I$21</f>
        <v>0</v>
      </c>
      <c r="K31" s="85">
        <f t="shared" ref="K31:K33" si="16">N5</f>
        <v>4.4630000000000003E-2</v>
      </c>
      <c r="O31" s="81"/>
      <c r="R31" s="98"/>
      <c r="S31" s="99"/>
      <c r="T31" s="97"/>
    </row>
    <row r="32" spans="2:22" x14ac:dyDescent="0.3">
      <c r="B32" s="82" t="s">
        <v>70</v>
      </c>
      <c r="C32" s="83" t="s">
        <v>58</v>
      </c>
      <c r="D32" s="93">
        <f t="shared" si="13"/>
        <v>0</v>
      </c>
      <c r="E32" s="85">
        <f t="shared" si="14"/>
        <v>0</v>
      </c>
      <c r="F32" s="86">
        <f t="shared" si="12"/>
        <v>0</v>
      </c>
      <c r="G32" s="86">
        <v>0</v>
      </c>
      <c r="H32" s="86">
        <f t="shared" si="11"/>
        <v>0</v>
      </c>
      <c r="I32" s="82"/>
      <c r="J32" s="86">
        <f t="shared" si="15"/>
        <v>0</v>
      </c>
      <c r="K32" s="85">
        <f t="shared" si="16"/>
        <v>7.8770000000000007E-2</v>
      </c>
      <c r="O32" s="81"/>
      <c r="R32" s="98"/>
      <c r="S32" s="99"/>
      <c r="T32" s="97"/>
    </row>
    <row r="33" spans="2:26" x14ac:dyDescent="0.3">
      <c r="B33" s="82" t="s">
        <v>70</v>
      </c>
      <c r="C33" s="83" t="s">
        <v>58</v>
      </c>
      <c r="D33" s="93">
        <f t="shared" si="13"/>
        <v>0</v>
      </c>
      <c r="E33" s="85">
        <f t="shared" si="14"/>
        <v>0</v>
      </c>
      <c r="F33" s="86">
        <f t="shared" si="12"/>
        <v>0</v>
      </c>
      <c r="G33" s="86">
        <v>0</v>
      </c>
      <c r="H33" s="86">
        <f t="shared" si="11"/>
        <v>0</v>
      </c>
      <c r="I33" s="82"/>
      <c r="J33" s="86">
        <f t="shared" si="15"/>
        <v>0</v>
      </c>
      <c r="K33" s="85">
        <f t="shared" si="16"/>
        <v>0.14199999999999999</v>
      </c>
      <c r="O33" s="81"/>
      <c r="Q33" s="1">
        <f>SUM(Q28:Q32)</f>
        <v>1379</v>
      </c>
      <c r="R33" s="98"/>
      <c r="S33" s="99"/>
      <c r="T33" s="97"/>
    </row>
    <row r="34" spans="2:26" x14ac:dyDescent="0.3">
      <c r="B34" s="82"/>
      <c r="C34" s="83"/>
      <c r="D34" s="93"/>
      <c r="E34" s="85"/>
      <c r="F34" s="86"/>
      <c r="G34" s="86"/>
      <c r="H34" s="86"/>
      <c r="I34" s="82"/>
      <c r="J34" s="86"/>
      <c r="K34" s="85"/>
      <c r="O34" s="81"/>
      <c r="S34" s="99"/>
    </row>
    <row r="35" spans="2:26" x14ac:dyDescent="0.3">
      <c r="B35" s="82" t="s">
        <v>75</v>
      </c>
      <c r="C35" s="82"/>
      <c r="D35" s="93"/>
      <c r="E35" s="82"/>
      <c r="F35" s="100"/>
      <c r="G35" s="82"/>
      <c r="H35" s="82"/>
      <c r="I35" s="82"/>
      <c r="J35" s="82"/>
      <c r="K35" s="82"/>
      <c r="O35" s="81"/>
      <c r="S35" s="99"/>
    </row>
    <row r="36" spans="2:26" x14ac:dyDescent="0.3">
      <c r="B36" s="82" t="s">
        <v>74</v>
      </c>
      <c r="C36" s="82"/>
      <c r="D36" s="93"/>
      <c r="E36" s="82"/>
      <c r="F36" s="100">
        <v>-355.76</v>
      </c>
      <c r="G36" s="82"/>
      <c r="H36" s="82"/>
      <c r="I36" s="82"/>
      <c r="J36" s="82"/>
      <c r="K36" s="82"/>
      <c r="O36" s="81"/>
      <c r="S36" s="99"/>
    </row>
    <row r="37" spans="2:26" x14ac:dyDescent="0.3">
      <c r="B37" s="82" t="s">
        <v>76</v>
      </c>
      <c r="C37" s="82"/>
      <c r="D37" s="93"/>
      <c r="E37" s="82"/>
      <c r="F37" s="100">
        <v>-3.28</v>
      </c>
      <c r="G37" s="82"/>
      <c r="H37" s="82"/>
      <c r="I37" s="82"/>
      <c r="J37" s="82"/>
      <c r="K37" s="82"/>
      <c r="O37" s="81"/>
      <c r="S37" s="99"/>
    </row>
    <row r="38" spans="2:26" x14ac:dyDescent="0.3">
      <c r="B38" s="82" t="s">
        <v>77</v>
      </c>
      <c r="C38" s="82"/>
      <c r="D38" s="93"/>
      <c r="E38" s="82"/>
      <c r="F38" s="100"/>
      <c r="G38" s="82"/>
      <c r="H38" s="82"/>
      <c r="I38" s="82"/>
      <c r="J38" s="82"/>
      <c r="K38" s="82"/>
      <c r="O38" s="81"/>
      <c r="S38" s="99"/>
    </row>
    <row r="39" spans="2:26" x14ac:dyDescent="0.3">
      <c r="B39" s="82"/>
      <c r="C39" s="82"/>
      <c r="D39" s="93"/>
      <c r="E39" s="82"/>
      <c r="F39" s="82"/>
      <c r="G39" s="82"/>
      <c r="H39" s="82"/>
      <c r="I39" s="82"/>
      <c r="J39" s="82"/>
      <c r="K39" s="82"/>
      <c r="O39" s="81"/>
    </row>
    <row r="40" spans="2:26" x14ac:dyDescent="0.3">
      <c r="B40" s="82"/>
      <c r="C40" s="82"/>
      <c r="D40" s="93"/>
      <c r="E40" s="82"/>
      <c r="F40" s="82"/>
      <c r="G40" s="82"/>
      <c r="H40" s="82"/>
      <c r="I40" s="82"/>
      <c r="J40" s="82"/>
      <c r="K40" s="82"/>
      <c r="O40" s="81"/>
    </row>
    <row r="41" spans="2:26" x14ac:dyDescent="0.3">
      <c r="B41" s="82"/>
      <c r="C41" s="82"/>
      <c r="D41" s="93"/>
      <c r="E41" s="82"/>
      <c r="F41" s="82"/>
      <c r="G41" s="82"/>
      <c r="H41" s="82"/>
      <c r="I41" s="82"/>
      <c r="J41" s="82"/>
      <c r="K41" s="82"/>
      <c r="O41" s="81"/>
    </row>
    <row r="42" spans="2:26" x14ac:dyDescent="0.3">
      <c r="B42" s="101" t="s">
        <v>78</v>
      </c>
      <c r="C42" s="96"/>
      <c r="D42" s="102"/>
      <c r="E42" s="96"/>
      <c r="F42" s="103">
        <f>SUM(F21:F41)</f>
        <v>-252.97000000000008</v>
      </c>
      <c r="G42" s="104">
        <f>SUM(G21:G41)</f>
        <v>76.053640402145732</v>
      </c>
      <c r="H42" s="105">
        <f>SUM(H21:H41)</f>
        <v>31.620374709966349</v>
      </c>
      <c r="I42" s="96"/>
      <c r="J42" s="105">
        <f>SUM(J21:J41)</f>
        <v>5.3779466582090825</v>
      </c>
      <c r="K42" s="96"/>
      <c r="L42" s="106"/>
      <c r="M42" s="106"/>
      <c r="N42" s="106"/>
      <c r="O42" s="95"/>
    </row>
    <row r="43" spans="2:26" x14ac:dyDescent="0.3"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26" s="3" customFormat="1" x14ac:dyDescent="0.3">
      <c r="B44" s="107" t="s">
        <v>79</v>
      </c>
      <c r="C44" s="108">
        <f>D21+D28</f>
        <v>30</v>
      </c>
      <c r="D44" s="109">
        <f>IF(AND($B$14&lt;$F$2,$E$14&lt;$F$2),C7,IF($B$14&lt;$F$2,I7,F7))</f>
        <v>1.8691701882653274E-4</v>
      </c>
      <c r="E44" s="109">
        <f>IF(AND($B$14&lt;$F$2,$E$14&lt;$F$2),D7,IF($B$14&lt;$F$2,J7,G7))</f>
        <v>-3.4998271764763713E-3</v>
      </c>
      <c r="F44" s="107">
        <f>C44*(D44+E44)</f>
        <v>-9.9387304729495154E-2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s="3" customFormat="1" x14ac:dyDescent="0.3">
      <c r="B45" s="162"/>
      <c r="C45" s="162"/>
      <c r="D45" s="163"/>
      <c r="E45" s="16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">
      <c r="B46" s="1" t="s">
        <v>99</v>
      </c>
    </row>
    <row r="47" spans="2:26" x14ac:dyDescent="0.3">
      <c r="B47" s="164"/>
      <c r="C47" s="164"/>
      <c r="D47" s="165" t="s">
        <v>100</v>
      </c>
      <c r="F47" s="165"/>
    </row>
    <row r="48" spans="2:26" x14ac:dyDescent="0.3">
      <c r="B48" s="166" t="s">
        <v>59</v>
      </c>
      <c r="C48" s="167">
        <f>N21</f>
        <v>1.0999999999999999E-2</v>
      </c>
      <c r="D48" s="168">
        <f>((D21*K21)+(D22*K22)+(D23*K23)+(D24*K24)+(D25*K25)+(D26*K26))/(1-$N$21-$N$23)</f>
        <v>1232.6359870688123</v>
      </c>
      <c r="E48" s="169" t="s">
        <v>101</v>
      </c>
      <c r="F48" s="167">
        <f>C48</f>
        <v>1.0999999999999999E-2</v>
      </c>
      <c r="G48" s="170">
        <f>D48*F48</f>
        <v>13.558995857756933</v>
      </c>
    </row>
    <row r="49" spans="1:26" x14ac:dyDescent="0.3">
      <c r="B49" s="166" t="s">
        <v>63</v>
      </c>
      <c r="C49" s="167">
        <f>N23</f>
        <v>5.0700000000000002E-2</v>
      </c>
      <c r="D49" s="168">
        <f>D48</f>
        <v>1232.6359870688123</v>
      </c>
      <c r="E49" s="169" t="s">
        <v>101</v>
      </c>
      <c r="F49" s="167">
        <f>C49</f>
        <v>5.0700000000000002E-2</v>
      </c>
      <c r="G49" s="170">
        <f>D49*F49</f>
        <v>62.494644544388784</v>
      </c>
    </row>
    <row r="50" spans="1:26" x14ac:dyDescent="0.3">
      <c r="A50" s="171" t="s">
        <v>102</v>
      </c>
      <c r="B50" s="166" t="s">
        <v>93</v>
      </c>
      <c r="C50" s="172">
        <v>0.04</v>
      </c>
      <c r="D50" s="173">
        <f>H50/F50*C50</f>
        <v>427.99860662111541</v>
      </c>
      <c r="E50" s="169" t="s">
        <v>101</v>
      </c>
      <c r="F50" s="174">
        <v>0.12</v>
      </c>
      <c r="G50" s="170">
        <f>D50*F50</f>
        <v>51.359832794533851</v>
      </c>
      <c r="H50" s="170">
        <f>((D21*K21)+(D22*K22)+(D23*K23)+(D24*K24)+(D25*K25)+(D26*K26))/(1-F48-F49)/(1-(C50))</f>
        <v>1283.9958198633462</v>
      </c>
      <c r="I50" s="175"/>
    </row>
    <row r="51" spans="1:26" x14ac:dyDescent="0.3">
      <c r="B51" s="164"/>
      <c r="C51" s="164"/>
      <c r="D51" s="164"/>
      <c r="E51" s="170">
        <f>(O40)/(1-C48-C49-C50)</f>
        <v>0</v>
      </c>
      <c r="F51" s="133"/>
      <c r="G51" s="133"/>
      <c r="H51" s="164"/>
      <c r="I51" s="164"/>
      <c r="J51" s="176"/>
      <c r="K51" s="176"/>
      <c r="L51" s="176"/>
      <c r="M51" s="165"/>
      <c r="N51" s="165"/>
      <c r="O51" s="74"/>
    </row>
    <row r="52" spans="1:26" x14ac:dyDescent="0.3">
      <c r="C52" s="177" t="s">
        <v>103</v>
      </c>
      <c r="D52" s="178" t="s">
        <v>104</v>
      </c>
      <c r="F52"/>
      <c r="G52"/>
      <c r="H52"/>
    </row>
    <row r="53" spans="1:26" x14ac:dyDescent="0.3">
      <c r="C53" s="3"/>
      <c r="D53" s="169" t="s">
        <v>105</v>
      </c>
      <c r="F53" s="3"/>
      <c r="G53" s="3"/>
      <c r="H53" s="3"/>
      <c r="J53" s="3"/>
    </row>
    <row r="54" spans="1:26" s="3" customFormat="1" x14ac:dyDescent="0.3">
      <c r="B54" s="162"/>
      <c r="C54" s="162"/>
      <c r="D54" s="163"/>
      <c r="E54" s="16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6" x14ac:dyDescent="0.3">
      <c r="B56" s="244" t="s">
        <v>106</v>
      </c>
      <c r="C56" s="245"/>
      <c r="D56" s="245"/>
      <c r="E56" s="245"/>
      <c r="F56" s="245"/>
      <c r="G56" s="245"/>
      <c r="H56" s="24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6" x14ac:dyDescent="0.3">
      <c r="B57" s="56"/>
      <c r="D57" s="110" t="s">
        <v>81</v>
      </c>
      <c r="E57" s="110" t="s">
        <v>39</v>
      </c>
      <c r="F57" s="110" t="s">
        <v>14</v>
      </c>
      <c r="G57" s="110" t="s">
        <v>15</v>
      </c>
      <c r="H57" s="88" t="s">
        <v>82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6" x14ac:dyDescent="0.3">
      <c r="A58" s="1" t="s">
        <v>0</v>
      </c>
      <c r="B58" s="111" t="s">
        <v>83</v>
      </c>
      <c r="C58" s="112"/>
      <c r="D58" s="113"/>
      <c r="E58" s="113"/>
      <c r="F58" s="113"/>
      <c r="G58" s="113"/>
      <c r="H58" s="114">
        <f>SUM(H60:H76)+SUM(H81:H86)</f>
        <v>175.33907776047164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6" x14ac:dyDescent="0.3">
      <c r="A59" s="1" t="s">
        <v>0</v>
      </c>
      <c r="B59" s="56"/>
      <c r="D59" s="110"/>
      <c r="E59" s="110"/>
      <c r="F59" s="110"/>
      <c r="G59" s="110"/>
      <c r="H59" s="115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6" x14ac:dyDescent="0.3">
      <c r="A60" s="1" t="s">
        <v>0</v>
      </c>
      <c r="B60" s="56" t="s">
        <v>84</v>
      </c>
      <c r="D60" s="116">
        <f>D21</f>
        <v>1409</v>
      </c>
      <c r="E60" s="117">
        <f>IF(AND($B$14&lt;$F$2,$E$14&lt;$F$2),C6,IF($B$14&lt;$F$2,I6,F6))</f>
        <v>0.47742433333333334</v>
      </c>
      <c r="F60" s="117">
        <f>IF(AND($B$14&lt;$F$2,$E$14&lt;$F$2),D6,IF($B$14&lt;$F$2,J6,G6))</f>
        <v>0.32457900000000001</v>
      </c>
      <c r="G60" s="117">
        <f>E60+F60</f>
        <v>0.8020033333333334</v>
      </c>
      <c r="H60" s="118">
        <f>ROUND((D60*E60),2)+ROUND((D60*F60),2)</f>
        <v>1130.02</v>
      </c>
      <c r="I60"/>
      <c r="J60"/>
      <c r="K60"/>
      <c r="L60"/>
      <c r="M60" s="119"/>
      <c r="N60"/>
      <c r="O60"/>
      <c r="P60"/>
      <c r="Q60"/>
      <c r="R60"/>
      <c r="S60"/>
      <c r="T60"/>
      <c r="U60"/>
      <c r="V60"/>
    </row>
    <row r="61" spans="1:26" x14ac:dyDescent="0.3">
      <c r="B61" s="56"/>
      <c r="D61" s="120"/>
      <c r="E61" s="97"/>
      <c r="F61" s="121"/>
      <c r="G61" s="121"/>
      <c r="H61" s="118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6" x14ac:dyDescent="0.3">
      <c r="B62" s="56" t="s">
        <v>62</v>
      </c>
      <c r="D62" s="122">
        <f>IF($K$12=M4,(D60*(K14)/(K14+L14)),0)+IF($L$12=M4,(D60*(L14)/(K14+L14)),0)</f>
        <v>1409</v>
      </c>
      <c r="F62" s="123">
        <f>N4</f>
        <v>1.8849999999999999E-2</v>
      </c>
      <c r="G62" s="123"/>
      <c r="H62" s="118">
        <f>ROUND(D62*(E62+F62),2)</f>
        <v>26.56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6" x14ac:dyDescent="0.3">
      <c r="B63" s="56" t="s">
        <v>85</v>
      </c>
      <c r="D63" s="122">
        <f>IF($K$12=M5,(D60*(K14)/(K14+L14)),0)+IF($L$12=M5,(D60*(L14)/(K14+L14)),0)</f>
        <v>0</v>
      </c>
      <c r="F63" s="123">
        <f>N5</f>
        <v>4.4630000000000003E-2</v>
      </c>
      <c r="G63" s="123"/>
      <c r="H63" s="118">
        <f>ROUND(D63*(E63+F63),2)</f>
        <v>0</v>
      </c>
      <c r="I63"/>
      <c r="J63"/>
      <c r="K63"/>
      <c r="L63" s="124"/>
      <c r="M63"/>
      <c r="N63"/>
      <c r="O63"/>
      <c r="P63"/>
      <c r="Q63"/>
      <c r="R63"/>
      <c r="S63"/>
      <c r="T63"/>
      <c r="U63"/>
      <c r="V63"/>
    </row>
    <row r="64" spans="1:26" x14ac:dyDescent="0.3">
      <c r="B64" s="56" t="s">
        <v>86</v>
      </c>
      <c r="D64" s="122">
        <f>IF($K$12=M6,(D60*(K14)/(K14+L14)),0)+IF($L$12=M6,(D60*(L14)/(K14+L14)),0)</f>
        <v>0</v>
      </c>
      <c r="F64" s="123">
        <f>N6</f>
        <v>7.8770000000000007E-2</v>
      </c>
      <c r="G64" s="123"/>
      <c r="H64" s="118">
        <f>ROUND(D64*(E64+F64),2)</f>
        <v>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2:22" x14ac:dyDescent="0.3">
      <c r="B65" s="56" t="s">
        <v>87</v>
      </c>
      <c r="D65" s="122">
        <f>IF($K$12=M7,(D60*(K14)/(K14+L14)),0)+IF($L$12=M7,(D60*(L14)/(K14+L14)),0)</f>
        <v>0</v>
      </c>
      <c r="F65" s="123">
        <f>N7</f>
        <v>0.14199999999999999</v>
      </c>
      <c r="G65" s="123"/>
      <c r="H65" s="118">
        <f>ROUND(D65*(E65+F65),2)</f>
        <v>0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3">
      <c r="B66" s="56"/>
      <c r="D66" s="125"/>
      <c r="H66" s="118"/>
      <c r="I66" s="3"/>
      <c r="J66" s="3"/>
      <c r="K66" s="119"/>
      <c r="L66" s="3"/>
      <c r="M66" s="3"/>
      <c r="N66" s="3"/>
      <c r="O66" s="3"/>
      <c r="P66" s="3"/>
    </row>
    <row r="67" spans="2:22" x14ac:dyDescent="0.3">
      <c r="B67" s="56" t="s">
        <v>88</v>
      </c>
      <c r="D67" s="126">
        <f>D28</f>
        <v>-1379</v>
      </c>
      <c r="E67" s="117">
        <f>E60*F17</f>
        <v>0.47742433333333334</v>
      </c>
      <c r="F67" s="117">
        <f>F60</f>
        <v>0.32457900000000001</v>
      </c>
      <c r="G67" s="117">
        <f>E67+F67</f>
        <v>0.8020033333333334</v>
      </c>
      <c r="H67" s="118">
        <f>ROUND((D67*E67),2)+ROUND((D67*F67),2)</f>
        <v>-1105.96</v>
      </c>
      <c r="I67" s="3"/>
      <c r="J67" s="3"/>
      <c r="K67" s="119"/>
      <c r="L67" s="3"/>
      <c r="M67" s="119"/>
      <c r="N67" s="3"/>
      <c r="O67" s="3"/>
      <c r="P67" s="3"/>
    </row>
    <row r="68" spans="2:22" x14ac:dyDescent="0.3">
      <c r="B68" s="56"/>
      <c r="D68" s="120"/>
      <c r="E68" s="97"/>
      <c r="F68" s="121"/>
      <c r="G68" s="121"/>
      <c r="H68" s="118"/>
      <c r="I68" s="3"/>
      <c r="J68" s="3"/>
      <c r="K68" s="119"/>
      <c r="L68" s="3"/>
      <c r="M68" s="3"/>
      <c r="N68" s="3"/>
      <c r="O68" s="3"/>
      <c r="P68" s="3"/>
    </row>
    <row r="69" spans="2:22" x14ac:dyDescent="0.3">
      <c r="B69" s="56" t="s">
        <v>62</v>
      </c>
      <c r="D69" s="122">
        <f>IF($K$12=M4,(D67*(K14)/(K14+L14)),0)+IF($L$12=M4,(D67*(L14)/(K14+L14)),0)</f>
        <v>-1379</v>
      </c>
      <c r="F69" s="123">
        <f>F62</f>
        <v>1.8849999999999999E-2</v>
      </c>
      <c r="G69" s="123"/>
      <c r="H69" s="118">
        <f>ROUND(D69*(E69+F69),2)</f>
        <v>-25.99</v>
      </c>
      <c r="I69" s="3"/>
      <c r="J69" s="3"/>
      <c r="K69" s="3"/>
      <c r="L69" s="3"/>
      <c r="M69" s="3"/>
      <c r="N69" s="3"/>
      <c r="O69" s="3"/>
      <c r="P69" s="3"/>
    </row>
    <row r="70" spans="2:22" x14ac:dyDescent="0.3">
      <c r="B70" s="56" t="s">
        <v>85</v>
      </c>
      <c r="D70" s="122">
        <f>IF($K$12=M5,(D67*(K14)/(K14+L14)),0)+IF($L$12=M5,(D67*(L14)/(K14+L14)),0)</f>
        <v>0</v>
      </c>
      <c r="F70" s="123">
        <f>F63</f>
        <v>4.4630000000000003E-2</v>
      </c>
      <c r="G70" s="123"/>
      <c r="H70" s="118">
        <f>ROUND(D70*(E70+F70),2)</f>
        <v>0</v>
      </c>
      <c r="I70" s="3"/>
      <c r="J70" s="3"/>
      <c r="K70" s="3"/>
      <c r="L70" s="3"/>
      <c r="M70" s="3"/>
      <c r="N70" s="3"/>
      <c r="O70" s="3"/>
      <c r="P70" s="3"/>
    </row>
    <row r="71" spans="2:22" x14ac:dyDescent="0.3">
      <c r="B71" s="56" t="s">
        <v>86</v>
      </c>
      <c r="D71" s="122">
        <f>IF($K$12=M6,(D67*(K14)/(K14+L14)),0)+IF($L$12=M6,(D67*(L14)/(K14+L14)),0)</f>
        <v>0</v>
      </c>
      <c r="F71" s="123">
        <f>F64</f>
        <v>7.8770000000000007E-2</v>
      </c>
      <c r="G71" s="123"/>
      <c r="H71" s="118">
        <f>ROUND(D71*(E71+F71),2)</f>
        <v>0</v>
      </c>
      <c r="I71" s="3"/>
      <c r="J71" s="3"/>
      <c r="K71" s="3"/>
      <c r="L71" s="3"/>
      <c r="M71" s="3"/>
      <c r="N71" s="3"/>
      <c r="O71" s="3"/>
      <c r="P71" s="3"/>
    </row>
    <row r="72" spans="2:22" x14ac:dyDescent="0.3">
      <c r="B72" s="56" t="s">
        <v>87</v>
      </c>
      <c r="D72" s="122">
        <f>IF($K$12=M7,(D67*(K14)/(K14+L14)),0)+IF($L$12=M7,(D67*(L14)/(K14+L14)),0)</f>
        <v>0</v>
      </c>
      <c r="F72" s="123">
        <f>F65</f>
        <v>0.14199999999999999</v>
      </c>
      <c r="G72" s="123"/>
      <c r="H72" s="118">
        <f>ROUND(D72*(E72+F72),2)</f>
        <v>0</v>
      </c>
      <c r="J72" s="3"/>
      <c r="K72" s="3"/>
      <c r="L72" s="3"/>
      <c r="M72" s="3"/>
      <c r="N72" s="3"/>
      <c r="O72" s="3"/>
      <c r="P72" s="3"/>
    </row>
    <row r="73" spans="2:22" x14ac:dyDescent="0.3">
      <c r="B73" s="56"/>
      <c r="D73" s="122"/>
      <c r="F73" s="123"/>
      <c r="G73" s="123"/>
      <c r="H73" s="118"/>
      <c r="J73" s="3"/>
      <c r="K73" s="3"/>
      <c r="L73" s="3"/>
      <c r="M73" s="3"/>
      <c r="N73" s="3"/>
      <c r="O73" s="3"/>
      <c r="P73" s="3"/>
    </row>
    <row r="74" spans="2:22" x14ac:dyDescent="0.3">
      <c r="B74" s="127"/>
      <c r="C74" s="128"/>
      <c r="D74" s="129"/>
      <c r="E74" s="130"/>
      <c r="F74" s="130"/>
      <c r="G74" s="130"/>
      <c r="H74" s="132"/>
      <c r="I74" s="3"/>
      <c r="J74" s="3"/>
      <c r="K74" s="3"/>
      <c r="L74" s="3"/>
      <c r="M74" s="3"/>
      <c r="N74" s="3"/>
      <c r="O74" s="3"/>
      <c r="P74" s="3"/>
    </row>
    <row r="75" spans="2:22" x14ac:dyDescent="0.3">
      <c r="B75" s="127"/>
      <c r="C75" s="128"/>
      <c r="D75" s="134"/>
      <c r="E75" s="128"/>
      <c r="F75" s="128"/>
      <c r="G75" s="135"/>
      <c r="H75" s="132"/>
      <c r="I75" s="3"/>
      <c r="J75" s="3"/>
      <c r="K75" s="3"/>
      <c r="L75" s="3"/>
      <c r="M75" s="3"/>
      <c r="N75" s="3"/>
      <c r="O75" s="3"/>
      <c r="P75" s="3"/>
    </row>
    <row r="76" spans="2:22" x14ac:dyDescent="0.3">
      <c r="B76" s="127"/>
      <c r="C76" s="128"/>
      <c r="D76" s="129"/>
      <c r="E76" s="130"/>
      <c r="F76" s="130"/>
      <c r="G76" s="130"/>
      <c r="H76" s="132"/>
      <c r="I76" s="136"/>
      <c r="J76" s="3"/>
      <c r="K76" s="3"/>
      <c r="L76" s="3"/>
      <c r="M76" s="3"/>
      <c r="N76" s="3"/>
      <c r="O76" s="3"/>
      <c r="P76" s="3"/>
    </row>
    <row r="77" spans="2:22" x14ac:dyDescent="0.3">
      <c r="B77" s="137"/>
      <c r="C77" s="2"/>
      <c r="D77" s="2"/>
      <c r="E77" s="2"/>
      <c r="F77" s="2"/>
      <c r="G77" s="2"/>
      <c r="H77" s="138"/>
      <c r="I77"/>
      <c r="J77" s="3"/>
      <c r="K77" s="3"/>
      <c r="L77" s="3"/>
      <c r="M77" s="3"/>
      <c r="N77" s="3"/>
      <c r="O77" s="3"/>
      <c r="P77" s="3"/>
    </row>
    <row r="78" spans="2:22" x14ac:dyDescent="0.3">
      <c r="B78" s="42"/>
      <c r="C78" s="43"/>
      <c r="D78" s="43"/>
      <c r="E78" s="43"/>
      <c r="F78" s="43"/>
      <c r="G78" s="43"/>
      <c r="H78" s="139">
        <f>SUM(H60:H77)</f>
        <v>24.629999999999892</v>
      </c>
      <c r="I78" s="3"/>
      <c r="L78" s="3"/>
      <c r="M78" s="3"/>
      <c r="N78" s="3"/>
      <c r="O78" s="3"/>
      <c r="P78" s="3"/>
    </row>
    <row r="79" spans="2:22" x14ac:dyDescent="0.3">
      <c r="B79" s="140"/>
      <c r="C79" s="3"/>
      <c r="D79" s="3"/>
      <c r="E79" s="3"/>
      <c r="F79" s="3"/>
      <c r="G79" s="3"/>
      <c r="H79" s="59"/>
      <c r="I79" s="3"/>
      <c r="L79" s="3"/>
      <c r="M79" s="3"/>
      <c r="N79" s="3"/>
      <c r="O79" s="3"/>
      <c r="P79" s="3"/>
    </row>
    <row r="80" spans="2:22" x14ac:dyDescent="0.3">
      <c r="B80" s="56"/>
      <c r="D80" s="141" t="s">
        <v>89</v>
      </c>
      <c r="E80" s="142"/>
      <c r="F80" s="142"/>
      <c r="G80" s="142"/>
      <c r="H80" s="143"/>
      <c r="I80" s="144"/>
      <c r="K80" s="145"/>
      <c r="L80" s="3"/>
      <c r="M80" s="3"/>
      <c r="N80" s="3"/>
      <c r="O80" s="3"/>
      <c r="P80" s="3"/>
    </row>
    <row r="81" spans="2:16" x14ac:dyDescent="0.3">
      <c r="B81" s="56" t="s">
        <v>90</v>
      </c>
      <c r="D81" s="146">
        <f>(H60+H62+H63+H64+H65)/(1-E81-E83)</f>
        <v>1232.6334860918682</v>
      </c>
      <c r="E81" s="147">
        <f>N21</f>
        <v>1.0999999999999999E-2</v>
      </c>
      <c r="H81" s="148">
        <f>D81*E81</f>
        <v>13.55896834701055</v>
      </c>
      <c r="I81" s="145"/>
      <c r="L81" s="3"/>
      <c r="M81" s="3"/>
      <c r="N81" s="3"/>
      <c r="O81" s="3"/>
      <c r="P81" s="3"/>
    </row>
    <row r="82" spans="2:16" x14ac:dyDescent="0.3">
      <c r="B82" s="56" t="s">
        <v>91</v>
      </c>
      <c r="D82" s="146">
        <f>(H67+H69+H70+H71+H72+H74+H76)/(1-E81-E83)</f>
        <v>-1206.383885750826</v>
      </c>
      <c r="E82" s="149">
        <f>E81</f>
        <v>1.0999999999999999E-2</v>
      </c>
      <c r="H82" s="148">
        <f t="shared" ref="H82:H84" si="17">D82*E82</f>
        <v>-13.270222743259085</v>
      </c>
      <c r="I82" s="145"/>
      <c r="L82" s="3"/>
      <c r="M82" s="3"/>
      <c r="N82" s="3"/>
      <c r="O82" s="3"/>
      <c r="P82" s="3"/>
    </row>
    <row r="83" spans="2:16" x14ac:dyDescent="0.3">
      <c r="B83" s="56" t="s">
        <v>63</v>
      </c>
      <c r="D83" s="146">
        <f>D81</f>
        <v>1232.6334860918682</v>
      </c>
      <c r="E83" s="147">
        <f>N23</f>
        <v>5.0700000000000002E-2</v>
      </c>
      <c r="H83" s="148">
        <f t="shared" si="17"/>
        <v>62.494517744857724</v>
      </c>
      <c r="I83" s="145"/>
      <c r="L83" s="3"/>
      <c r="M83" s="3"/>
      <c r="N83" s="3"/>
      <c r="O83" s="3"/>
      <c r="P83" s="3"/>
    </row>
    <row r="84" spans="2:16" x14ac:dyDescent="0.3">
      <c r="B84" s="56" t="s">
        <v>92</v>
      </c>
      <c r="D84" s="146">
        <f>D82</f>
        <v>-1206.383885750826</v>
      </c>
      <c r="E84" s="149">
        <f>E83</f>
        <v>5.0700000000000002E-2</v>
      </c>
      <c r="H84" s="148">
        <f t="shared" si="17"/>
        <v>-61.163663007566882</v>
      </c>
      <c r="I84" s="145"/>
      <c r="L84" s="3"/>
      <c r="M84" s="3"/>
      <c r="N84" s="3"/>
      <c r="O84" s="3"/>
      <c r="P84" s="3"/>
    </row>
    <row r="85" spans="2:16" x14ac:dyDescent="0.3">
      <c r="B85" s="56" t="s">
        <v>93</v>
      </c>
      <c r="D85" s="150">
        <f>D81/(1-E85)</f>
        <v>1485.1005856528534</v>
      </c>
      <c r="E85" s="151">
        <v>0.17</v>
      </c>
      <c r="H85" s="148">
        <f>D85*E85</f>
        <v>252.4670995609851</v>
      </c>
      <c r="I85" s="145"/>
      <c r="L85" s="3"/>
      <c r="M85" s="3"/>
      <c r="N85" s="3"/>
      <c r="O85" s="3"/>
      <c r="P85" s="3"/>
    </row>
    <row r="86" spans="2:16" x14ac:dyDescent="0.3">
      <c r="B86" s="152" t="s">
        <v>94</v>
      </c>
      <c r="C86" s="106"/>
      <c r="D86" s="153">
        <f>((D67*F67)+(H69+H70+H71+H72)+(D74*F74)+(D76*F76))/(1-E82-E84)/(1-E86)</f>
        <v>-608.10365965620986</v>
      </c>
      <c r="E86" s="154">
        <f>E85</f>
        <v>0.17</v>
      </c>
      <c r="F86" s="106"/>
      <c r="G86" s="106"/>
      <c r="H86" s="155">
        <f>D86*E86</f>
        <v>-103.37762214155568</v>
      </c>
      <c r="L86" s="3"/>
      <c r="M86" s="3"/>
      <c r="N86" s="3"/>
      <c r="O86" s="3"/>
      <c r="P86" s="3"/>
    </row>
    <row r="87" spans="2:16" x14ac:dyDescent="0.3">
      <c r="L87" s="3"/>
      <c r="M87" s="3"/>
      <c r="N87" s="3"/>
      <c r="O87" s="3"/>
      <c r="P87" s="3"/>
    </row>
    <row r="88" spans="2:16" x14ac:dyDescent="0.3">
      <c r="B88" s="156" t="s">
        <v>95</v>
      </c>
      <c r="C88" s="157"/>
      <c r="D88" s="158">
        <f>D60+D67</f>
        <v>30</v>
      </c>
      <c r="E88" s="159">
        <f>IF(AND($B$14&lt;$F$2,$E$14&lt;$F$2),C7,IF($B$14&lt;$F$2,I7,F7))</f>
        <v>1.8691701882653274E-4</v>
      </c>
      <c r="F88" s="159">
        <f>IF(AND($B$14&lt;$F$2,$E$14&lt;$F$2),D7,IF($B$14&lt;$F$2,J7,G7))</f>
        <v>-3.4998271764763713E-3</v>
      </c>
      <c r="G88" s="157"/>
      <c r="H88" s="156">
        <f>D88*(E88+F88)</f>
        <v>-9.9387304729495154E-2</v>
      </c>
      <c r="L88" s="3"/>
      <c r="M88" s="3"/>
      <c r="N88" s="3"/>
      <c r="O88" s="3"/>
      <c r="P88" s="3"/>
    </row>
  </sheetData>
  <customSheetViews>
    <customSheetView guid="{DD040A5E-BAB6-4607-A6FD-72F0B8E25E8D}" scale="90" showGridLines="0" topLeftCell="A6">
      <selection activeCell="C12" sqref="C12"/>
      <pageMargins left="0.511811024" right="0.511811024" top="0.78740157499999996" bottom="0.78740157499999996" header="0.31496062000000002" footer="0.31496062000000002"/>
      <pageSetup orientation="portrait" r:id="rId1"/>
    </customSheetView>
  </customSheetViews>
  <mergeCells count="10">
    <mergeCell ref="U4:W4"/>
    <mergeCell ref="X4:Z4"/>
    <mergeCell ref="K11:L11"/>
    <mergeCell ref="B56:H56"/>
    <mergeCell ref="B4:B5"/>
    <mergeCell ref="C4:E4"/>
    <mergeCell ref="F4:H4"/>
    <mergeCell ref="I4:K4"/>
    <mergeCell ref="Q4:Q5"/>
    <mergeCell ref="R4:T4"/>
  </mergeCells>
  <conditionalFormatting sqref="K12:L12">
    <cfRule type="cellIs" dxfId="27" priority="1" operator="equal">
      <formula>"Escassez Hídrica"</formula>
    </cfRule>
    <cfRule type="cellIs" dxfId="26" priority="2" operator="equal">
      <formula>"VERDE"</formula>
    </cfRule>
    <cfRule type="cellIs" dxfId="25" priority="3" operator="equal">
      <formula>"BVM2"</formula>
    </cfRule>
    <cfRule type="cellIs" dxfId="24" priority="4" operator="equal">
      <formula>"BVM1"</formula>
    </cfRule>
    <cfRule type="cellIs" dxfId="23" priority="5" operator="equal">
      <formula>"BAM"</formula>
    </cfRule>
  </conditionalFormatting>
  <conditionalFormatting sqref="M3">
    <cfRule type="cellIs" dxfId="22" priority="11" operator="equal">
      <formula>"VERDE"</formula>
    </cfRule>
    <cfRule type="cellIs" dxfId="21" priority="12" operator="equal">
      <formula>"BVM2"</formula>
    </cfRule>
    <cfRule type="cellIs" dxfId="20" priority="13" operator="equal">
      <formula>"BVM1"</formula>
    </cfRule>
    <cfRule type="cellIs" dxfId="19" priority="14" operator="equal">
      <formula>"BAM"</formula>
    </cfRule>
  </conditionalFormatting>
  <conditionalFormatting sqref="M7">
    <cfRule type="containsText" dxfId="18" priority="6" operator="containsText" text="Escassez Hídrica">
      <formula>NOT(ISERROR(SEARCH("Escassez Hídrica",M7)))</formula>
    </cfRule>
    <cfRule type="cellIs" dxfId="17" priority="7" operator="equal">
      <formula>"VERDE"</formula>
    </cfRule>
    <cfRule type="cellIs" dxfId="16" priority="8" operator="equal">
      <formula>"BVM2"</formula>
    </cfRule>
    <cfRule type="cellIs" dxfId="15" priority="9" operator="equal">
      <formula>"BVM1"</formula>
    </cfRule>
    <cfRule type="cellIs" dxfId="14" priority="10" operator="equal">
      <formula>"BAM"</formula>
    </cfRule>
  </conditionalFormatting>
  <dataValidations count="1">
    <dataValidation type="list" allowBlank="1" showInputMessage="1" showErrorMessage="1" sqref="K12:L12" xr:uid="{60527899-113D-4F88-A8D6-374DB3C85E9F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2597-2044-465B-8A44-5A09E5FC68C0}">
  <sheetPr>
    <tabColor rgb="FF00B050"/>
  </sheetPr>
  <dimension ref="A1:Z91"/>
  <sheetViews>
    <sheetView showGridLines="0" topLeftCell="A10" zoomScale="90" zoomScaleNormal="90" workbookViewId="0">
      <selection activeCell="J36" sqref="J36"/>
    </sheetView>
  </sheetViews>
  <sheetFormatPr defaultColWidth="9.109375" defaultRowHeight="14.4" x14ac:dyDescent="0.3"/>
  <cols>
    <col min="1" max="1" width="5.44140625" style="1" customWidth="1"/>
    <col min="2" max="2" width="20" style="1" customWidth="1"/>
    <col min="3" max="3" width="13.88671875" style="1" customWidth="1"/>
    <col min="4" max="4" width="15" style="1" customWidth="1"/>
    <col min="5" max="5" width="21.6640625" style="1" bestFit="1" customWidth="1"/>
    <col min="6" max="6" width="15.109375" style="1" bestFit="1" customWidth="1"/>
    <col min="7" max="10" width="12.6640625" style="1" customWidth="1"/>
    <col min="11" max="12" width="13.88671875" style="1" customWidth="1"/>
    <col min="13" max="13" width="14.109375" style="1" customWidth="1"/>
    <col min="14" max="14" width="12.6640625" style="1" customWidth="1"/>
    <col min="15" max="15" width="15.33203125" style="1" bestFit="1" customWidth="1"/>
    <col min="16" max="16" width="18.44140625" style="1" customWidth="1"/>
    <col min="17" max="17" width="12.6640625" style="1" bestFit="1" customWidth="1"/>
    <col min="18" max="18" width="12.109375" style="1" bestFit="1" customWidth="1"/>
    <col min="19" max="19" width="13.109375" style="1" bestFit="1" customWidth="1"/>
    <col min="20" max="20" width="11.33203125" style="1" bestFit="1" customWidth="1"/>
    <col min="21" max="21" width="12.109375" style="1" bestFit="1" customWidth="1"/>
    <col min="22" max="22" width="13.109375" style="1" bestFit="1" customWidth="1"/>
    <col min="23" max="23" width="11.33203125" style="1" bestFit="1" customWidth="1"/>
    <col min="24" max="24" width="12.109375" style="1" bestFit="1" customWidth="1"/>
    <col min="25" max="25" width="13.109375" style="1" bestFit="1" customWidth="1"/>
    <col min="26" max="26" width="11.33203125" style="1" bestFit="1" customWidth="1"/>
    <col min="27" max="16384" width="9.109375" style="1"/>
  </cols>
  <sheetData>
    <row r="1" spans="1:26" x14ac:dyDescent="0.3">
      <c r="A1" s="1" t="s">
        <v>0</v>
      </c>
      <c r="B1" s="1" t="s">
        <v>0</v>
      </c>
      <c r="F1" s="2"/>
      <c r="G1" s="3"/>
      <c r="H1" s="3" t="s">
        <v>0</v>
      </c>
      <c r="I1" s="3"/>
      <c r="J1" s="3"/>
      <c r="K1" s="3"/>
      <c r="L1" s="1" t="s">
        <v>0</v>
      </c>
    </row>
    <row r="2" spans="1:26" ht="18" x14ac:dyDescent="0.3">
      <c r="A2" s="1" t="s">
        <v>0</v>
      </c>
      <c r="B2" s="4" t="s">
        <v>98</v>
      </c>
      <c r="E2" s="5" t="s">
        <v>2</v>
      </c>
      <c r="F2" s="6">
        <f>'Fatura B1 (GD) OK'!F2</f>
        <v>46241</v>
      </c>
      <c r="G2" s="3" t="s">
        <v>0</v>
      </c>
      <c r="I2" s="233"/>
      <c r="J2" s="232"/>
      <c r="K2" s="3"/>
      <c r="M2" s="7" t="s">
        <v>3</v>
      </c>
      <c r="N2" s="7" t="s">
        <v>4</v>
      </c>
      <c r="O2" s="1" t="s">
        <v>5</v>
      </c>
      <c r="Q2" s="8" t="s">
        <v>6</v>
      </c>
      <c r="R2" s="9"/>
    </row>
    <row r="3" spans="1:26" x14ac:dyDescent="0.3">
      <c r="M3" s="10" t="s">
        <v>7</v>
      </c>
      <c r="N3" s="11">
        <v>0</v>
      </c>
    </row>
    <row r="4" spans="1:26" ht="15" customHeight="1" x14ac:dyDescent="0.3">
      <c r="B4" s="247" t="s">
        <v>8</v>
      </c>
      <c r="C4" s="249" t="s">
        <v>97</v>
      </c>
      <c r="D4" s="249"/>
      <c r="E4" s="249"/>
      <c r="F4" s="249" t="str">
        <f>'[2]Fatura B1 (GD)'!F4</f>
        <v>TARIFA NOVA - REH xxxx/2024</v>
      </c>
      <c r="G4" s="249"/>
      <c r="H4" s="249"/>
      <c r="I4" s="250" t="s">
        <v>11</v>
      </c>
      <c r="J4" s="250"/>
      <c r="K4" s="250"/>
      <c r="M4" s="12" t="s">
        <v>12</v>
      </c>
      <c r="N4" s="13">
        <f>'[3]Fatura B1 (Res) OK'!$N$4</f>
        <v>1.8849999999999999E-2</v>
      </c>
      <c r="Q4" s="247" t="s">
        <v>8</v>
      </c>
      <c r="R4" s="240" t="str">
        <f>C4</f>
        <v>TARIFA ANTIGA - REH 3091/2022</v>
      </c>
      <c r="S4" s="241"/>
      <c r="T4" s="242"/>
      <c r="U4" s="240" t="str">
        <f>F4</f>
        <v>TARIFA NOVA - REH xxxx/2024</v>
      </c>
      <c r="V4" s="241"/>
      <c r="W4" s="242"/>
      <c r="X4" s="240" t="s">
        <v>11</v>
      </c>
      <c r="Y4" s="241"/>
      <c r="Z4" s="242"/>
    </row>
    <row r="5" spans="1:26" x14ac:dyDescent="0.3">
      <c r="B5" s="248"/>
      <c r="C5" s="14" t="s">
        <v>13</v>
      </c>
      <c r="D5" s="14" t="s">
        <v>14</v>
      </c>
      <c r="E5" s="14" t="s">
        <v>15</v>
      </c>
      <c r="F5" s="14" t="s">
        <v>13</v>
      </c>
      <c r="G5" s="14" t="s">
        <v>14</v>
      </c>
      <c r="H5" s="14" t="s">
        <v>15</v>
      </c>
      <c r="I5" s="15" t="s">
        <v>13</v>
      </c>
      <c r="J5" s="15" t="s">
        <v>14</v>
      </c>
      <c r="K5" s="15" t="s">
        <v>15</v>
      </c>
      <c r="M5" s="16" t="s">
        <v>16</v>
      </c>
      <c r="N5" s="17">
        <f>'[3]Fatura B1 (Res) OK'!$N$5</f>
        <v>4.4630000000000003E-2</v>
      </c>
      <c r="Q5" s="248"/>
      <c r="R5" s="14" t="s">
        <v>17</v>
      </c>
      <c r="S5"/>
      <c r="T5"/>
      <c r="U5" s="14" t="s">
        <v>17</v>
      </c>
      <c r="V5"/>
      <c r="W5"/>
      <c r="X5" s="14" t="s">
        <v>17</v>
      </c>
      <c r="Y5"/>
      <c r="Z5"/>
    </row>
    <row r="6" spans="1:26" x14ac:dyDescent="0.3">
      <c r="B6" s="18" t="s">
        <v>98</v>
      </c>
      <c r="C6" s="19">
        <f>'[4]TABELA DE TARIFAS ANTIGAS'!G77/1000</f>
        <v>0.46862999999999999</v>
      </c>
      <c r="D6" s="19">
        <f>'[4]TABELA DE TARIFAS ANTIGAS'!H77/1000</f>
        <v>0.32068000000000002</v>
      </c>
      <c r="E6" s="19">
        <f t="shared" ref="E6" si="0">C6+D6</f>
        <v>0.78930999999999996</v>
      </c>
      <c r="F6" s="19">
        <f>'[4]TABELA DE TARIFAS NOVAS'!G79/1000</f>
        <v>0.50631999999999999</v>
      </c>
      <c r="G6" s="19">
        <f>'[4]TABELA DE TARIFAS NOVAS'!H79/1000</f>
        <v>0.33738999999999997</v>
      </c>
      <c r="H6" s="19">
        <f t="shared" ref="H6:H7" si="1">F6+G6</f>
        <v>0.84370999999999996</v>
      </c>
      <c r="I6" s="19">
        <f t="shared" ref="I6:J6" si="2">((C6*$C$14)+(F6*$D$14))/($D$14+$C$14)</f>
        <v>0.47742433333333334</v>
      </c>
      <c r="J6" s="19">
        <f t="shared" si="2"/>
        <v>0.32457900000000001</v>
      </c>
      <c r="K6" s="20">
        <f t="shared" ref="K6:K7" si="3">I6+J6</f>
        <v>0.8020033333333334</v>
      </c>
      <c r="M6" s="21" t="s">
        <v>19</v>
      </c>
      <c r="N6" s="22">
        <f>'[3]Fatura B1 (Res) OK'!$N$6</f>
        <v>7.8770000000000007E-2</v>
      </c>
      <c r="P6" s="23"/>
      <c r="Q6" s="18" t="str">
        <f>B6</f>
        <v>B2</v>
      </c>
      <c r="R6" s="19">
        <f>'[4]FIO B'!H25/1000</f>
        <v>0.20383072193179136</v>
      </c>
      <c r="S6"/>
      <c r="T6"/>
      <c r="U6" s="19">
        <f>'[4]FIO B'!K25/1000</f>
        <v>0.20915159219558199</v>
      </c>
      <c r="V6"/>
      <c r="W6"/>
      <c r="X6" s="19">
        <f>((R6*$C$14)+(U6*$D$14))/($D$14+$C$14)</f>
        <v>0.20507225832667586</v>
      </c>
      <c r="Y6"/>
      <c r="Z6"/>
    </row>
    <row r="7" spans="1:26" x14ac:dyDescent="0.3">
      <c r="B7" s="24" t="s">
        <v>20</v>
      </c>
      <c r="C7" s="25">
        <v>1.8774721494831901E-4</v>
      </c>
      <c r="D7" s="26">
        <v>-4.4031307414479802E-3</v>
      </c>
      <c r="E7" s="20">
        <v>3.6054083865702689E-3</v>
      </c>
      <c r="F7" s="20">
        <f>T11</f>
        <v>1.84189231569235E-4</v>
      </c>
      <c r="G7" s="20">
        <f>U11</f>
        <v>-5.3182974871251499E-4</v>
      </c>
      <c r="H7" s="20">
        <f t="shared" si="1"/>
        <v>-3.4764051714327999E-4</v>
      </c>
      <c r="I7" s="19">
        <f>((C7*$C$14)+(F7*$D$14))/($D$14+$C$14)</f>
        <v>1.8691701882653274E-4</v>
      </c>
      <c r="J7" s="19">
        <f>((D7*$C$14)+(G7*$D$14))/($D$14+$C$14)</f>
        <v>-3.4998271764763713E-3</v>
      </c>
      <c r="K7" s="20">
        <f t="shared" si="3"/>
        <v>-3.3129101576498386E-3</v>
      </c>
      <c r="M7" s="10" t="s">
        <v>21</v>
      </c>
      <c r="N7" s="161">
        <v>0.14199999999999999</v>
      </c>
      <c r="P7" s="23"/>
      <c r="Q7" s="28"/>
      <c r="R7" s="29"/>
      <c r="S7"/>
      <c r="T7"/>
      <c r="U7" s="29"/>
      <c r="V7"/>
      <c r="W7"/>
      <c r="X7" s="29"/>
      <c r="Y7"/>
      <c r="Z7"/>
    </row>
    <row r="8" spans="1:26" x14ac:dyDescent="0.3">
      <c r="B8" s="30" t="s">
        <v>22</v>
      </c>
      <c r="C8" s="29"/>
      <c r="D8" s="29"/>
      <c r="E8" s="29"/>
      <c r="F8" s="29"/>
      <c r="G8" s="31">
        <f>G6*15%</f>
        <v>5.0608499999999994E-2</v>
      </c>
      <c r="H8" s="29"/>
      <c r="I8" s="29"/>
      <c r="J8" s="19">
        <f>((D8*$C$14)+(G8*$D$14))/($D$14+$C$14)</f>
        <v>1.1808649999999999E-2</v>
      </c>
      <c r="K8" s="32"/>
      <c r="P8" s="35" t="s">
        <v>23</v>
      </c>
      <c r="Q8" s="36"/>
      <c r="R8" s="37" t="s">
        <v>24</v>
      </c>
      <c r="S8" s="37" t="s">
        <v>25</v>
      </c>
      <c r="T8" s="37" t="s">
        <v>17</v>
      </c>
      <c r="U8" s="37" t="s">
        <v>26</v>
      </c>
      <c r="V8"/>
      <c r="W8"/>
      <c r="X8" s="29"/>
      <c r="Y8"/>
      <c r="Z8"/>
    </row>
    <row r="9" spans="1:26" x14ac:dyDescent="0.3">
      <c r="A9" s="1" t="s">
        <v>0</v>
      </c>
      <c r="G9" s="3"/>
      <c r="H9" s="3"/>
      <c r="I9" s="3"/>
      <c r="J9" s="3"/>
      <c r="K9" s="3"/>
      <c r="O9" s="5"/>
      <c r="P9" s="38" t="s">
        <v>27</v>
      </c>
      <c r="Q9" s="39"/>
      <c r="R9" s="40"/>
      <c r="S9" s="40"/>
      <c r="T9" s="41"/>
      <c r="U9" s="41"/>
      <c r="V9"/>
      <c r="W9"/>
      <c r="X9"/>
      <c r="Y9"/>
      <c r="Z9"/>
    </row>
    <row r="10" spans="1:26" x14ac:dyDescent="0.3">
      <c r="B10" s="42"/>
      <c r="C10" s="43"/>
      <c r="D10" s="44"/>
      <c r="E10" s="43"/>
      <c r="F10" s="43"/>
      <c r="G10" s="43"/>
      <c r="H10" s="45" t="s">
        <v>28</v>
      </c>
      <c r="I10" s="3"/>
      <c r="L10" s="5" t="s">
        <v>29</v>
      </c>
      <c r="M10" s="6">
        <f>EOMONTH(B14,0)+1</f>
        <v>46235</v>
      </c>
      <c r="P10" s="46" t="s">
        <v>30</v>
      </c>
      <c r="Q10" s="47"/>
      <c r="R10" s="48"/>
      <c r="S10" s="48"/>
      <c r="T10" s="49"/>
      <c r="U10" s="26">
        <v>0</v>
      </c>
      <c r="V10"/>
      <c r="W10"/>
      <c r="X10"/>
      <c r="Y10"/>
      <c r="Z10"/>
    </row>
    <row r="11" spans="1:26" x14ac:dyDescent="0.3">
      <c r="B11" s="50" t="s">
        <v>31</v>
      </c>
      <c r="E11" s="3"/>
      <c r="F11" s="3"/>
      <c r="G11" s="3"/>
      <c r="H11" s="52">
        <f>E14</f>
        <v>46247</v>
      </c>
      <c r="K11" s="243" t="s">
        <v>32</v>
      </c>
      <c r="L11" s="243"/>
      <c r="P11" s="53" t="s">
        <v>33</v>
      </c>
      <c r="Q11" s="54"/>
      <c r="R11" s="55"/>
      <c r="S11" s="55"/>
      <c r="T11" s="25">
        <f>#REF!</f>
        <v>1.84189231569235E-4</v>
      </c>
      <c r="U11" s="25">
        <f>#REF!</f>
        <v>-5.3182974871251499E-4</v>
      </c>
      <c r="V11"/>
      <c r="W11"/>
      <c r="X11"/>
      <c r="Y11"/>
      <c r="Z11"/>
    </row>
    <row r="12" spans="1:26" x14ac:dyDescent="0.3">
      <c r="A12" s="1" t="s">
        <v>0</v>
      </c>
      <c r="B12" s="56"/>
      <c r="C12" s="51">
        <v>1827762</v>
      </c>
      <c r="H12" s="57"/>
      <c r="K12" s="10" t="s">
        <v>12</v>
      </c>
      <c r="L12" s="10" t="s">
        <v>12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6" x14ac:dyDescent="0.3">
      <c r="B13" s="58" t="s">
        <v>34</v>
      </c>
      <c r="C13" s="58" t="s">
        <v>35</v>
      </c>
      <c r="D13" s="58" t="s">
        <v>36</v>
      </c>
      <c r="E13" s="58" t="s">
        <v>37</v>
      </c>
      <c r="F13" s="3"/>
      <c r="G13" s="3"/>
      <c r="H13" s="59"/>
      <c r="J13" s="58" t="s">
        <v>34</v>
      </c>
      <c r="K13" s="58" t="s">
        <v>35</v>
      </c>
      <c r="L13" s="58" t="s">
        <v>36</v>
      </c>
      <c r="M13" s="58" t="s">
        <v>37</v>
      </c>
    </row>
    <row r="14" spans="1:26" x14ac:dyDescent="0.3">
      <c r="B14" s="60">
        <v>46217</v>
      </c>
      <c r="C14" s="61">
        <f>IF((F2-B14-1)&lt;0,0,(F2-B14-1))</f>
        <v>23</v>
      </c>
      <c r="D14" s="61">
        <f>E14-F2+1</f>
        <v>7</v>
      </c>
      <c r="E14" s="60">
        <v>46247</v>
      </c>
      <c r="F14" s="62"/>
      <c r="G14" s="62"/>
      <c r="H14" s="63"/>
      <c r="J14" s="64">
        <f>B14</f>
        <v>46217</v>
      </c>
      <c r="K14" s="65">
        <f>IF((M10-J14-1)&lt;0,0,(M10-J14-1))</f>
        <v>17</v>
      </c>
      <c r="L14" s="65">
        <f>M14-M10+1</f>
        <v>13</v>
      </c>
      <c r="M14" s="64">
        <f>E14</f>
        <v>46247</v>
      </c>
    </row>
    <row r="16" spans="1:26" x14ac:dyDescent="0.3">
      <c r="B16" s="3"/>
      <c r="F16" s="66"/>
      <c r="G16"/>
      <c r="H16" s="67"/>
    </row>
    <row r="17" spans="2:22" x14ac:dyDescent="0.3">
      <c r="B17" s="68" t="s">
        <v>38</v>
      </c>
      <c r="E17" s="8" t="s">
        <v>39</v>
      </c>
      <c r="F17" s="69">
        <v>1</v>
      </c>
      <c r="G17" s="70" t="s">
        <v>14</v>
      </c>
      <c r="H17" s="69">
        <v>1</v>
      </c>
      <c r="M17" s="71" t="s">
        <v>40</v>
      </c>
      <c r="N17" s="72"/>
      <c r="O17" s="73">
        <v>1025310625</v>
      </c>
    </row>
    <row r="18" spans="2:22" x14ac:dyDescent="0.3"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42" customHeight="1" x14ac:dyDescent="0.3">
      <c r="B19" s="77" t="s">
        <v>41</v>
      </c>
      <c r="C19" s="77" t="s">
        <v>42</v>
      </c>
      <c r="D19" s="77" t="s">
        <v>43</v>
      </c>
      <c r="E19" s="78" t="s">
        <v>44</v>
      </c>
      <c r="F19" s="78" t="s">
        <v>45</v>
      </c>
      <c r="G19" s="78" t="s">
        <v>46</v>
      </c>
      <c r="H19" s="78" t="s">
        <v>47</v>
      </c>
      <c r="I19" s="78" t="s">
        <v>48</v>
      </c>
      <c r="J19" s="78" t="s">
        <v>49</v>
      </c>
      <c r="K19" s="79" t="s">
        <v>50</v>
      </c>
      <c r="L19" s="77" t="s">
        <v>51</v>
      </c>
      <c r="M19" s="78" t="s">
        <v>52</v>
      </c>
      <c r="N19" s="78" t="s">
        <v>53</v>
      </c>
      <c r="O19" s="78" t="s">
        <v>54</v>
      </c>
    </row>
    <row r="20" spans="2:22" x14ac:dyDescent="0.3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1"/>
      <c r="M20" s="82"/>
      <c r="N20" s="82"/>
      <c r="O20" s="82"/>
      <c r="R20" s="8" t="s">
        <v>55</v>
      </c>
      <c r="S20" s="8" t="s">
        <v>56</v>
      </c>
    </row>
    <row r="21" spans="2:22" ht="15.6" x14ac:dyDescent="0.3">
      <c r="B21" s="82" t="s">
        <v>57</v>
      </c>
      <c r="C21" s="83" t="s">
        <v>58</v>
      </c>
      <c r="D21" s="84">
        <v>369</v>
      </c>
      <c r="E21" s="85">
        <f>(ROUND(D21*K21,2)+ROUND(G21,2)+ROUND(J21,2))/ROUND(D21,4)</f>
        <v>0.61303523035230356</v>
      </c>
      <c r="F21" s="86">
        <f>ROUND(D21*E21,2)</f>
        <v>226.21</v>
      </c>
      <c r="G21" s="86">
        <f>((D21*K21)/(1-$N$21-$N$23))*($N$21+$N$23)</f>
        <v>11.584421852605777</v>
      </c>
      <c r="H21" s="86">
        <f t="shared" ref="H21:H26" si="4">(IF($I$21=12%,(D21*K21)/(1-$N$21-$N$23)/(1-$C$50)/$F$50*$C$50,(D21*K21)/(1-$N$21-$N$23)/(1-$I$21)))</f>
        <v>226.20963958145273</v>
      </c>
      <c r="I21" s="87">
        <v>0.17</v>
      </c>
      <c r="J21" s="86">
        <f>(H21*$I$21)</f>
        <v>38.455638728846971</v>
      </c>
      <c r="K21" s="85">
        <f>IF(AND($B$14&lt;$F$2,$E$14&lt;$F$2),C6,IF($B$14&lt;$F$2,I6,F6))</f>
        <v>0.47742433333333334</v>
      </c>
      <c r="L21" s="88" t="s">
        <v>59</v>
      </c>
      <c r="M21" s="86">
        <f>D84</f>
        <v>322.81786209101563</v>
      </c>
      <c r="N21" s="89">
        <v>1.0999999999999999E-2</v>
      </c>
      <c r="O21" s="90">
        <f>ROUND(M21*N21,2)</f>
        <v>3.55</v>
      </c>
      <c r="R21" s="91">
        <f>IF(AND($B14&lt;$F$2,$E$14&lt;$F$2),R6,IF($B$14&lt;$F$2,X6,U6))</f>
        <v>0.20507225832667586</v>
      </c>
      <c r="S21" s="234">
        <f>D21*R21</f>
        <v>75.671663322543395</v>
      </c>
      <c r="T21" s="239" t="s">
        <v>189</v>
      </c>
      <c r="U21" s="239"/>
      <c r="V21" s="239"/>
    </row>
    <row r="22" spans="2:22" x14ac:dyDescent="0.3">
      <c r="B22" s="82" t="s">
        <v>60</v>
      </c>
      <c r="C22" s="83" t="s">
        <v>58</v>
      </c>
      <c r="D22" s="93">
        <f>D21</f>
        <v>369</v>
      </c>
      <c r="E22" s="85">
        <f>(ROUND(D22*K22,2)+ROUND(G22,2)+ROUND(J22,2))/ROUND(D22,4)</f>
        <v>0.41677506775067746</v>
      </c>
      <c r="F22" s="86">
        <f>ROUND(D22*E22,2)</f>
        <v>153.79</v>
      </c>
      <c r="G22" s="86">
        <f>((D22*K22)/(1-$N$21-$N$23))*($N$21+$N$23)</f>
        <v>7.8757193506341263</v>
      </c>
      <c r="H22" s="86">
        <f t="shared" si="4"/>
        <v>153.78960283208932</v>
      </c>
      <c r="I22" s="82"/>
      <c r="J22" s="86">
        <f>ROUND(H22*$I$21,2)</f>
        <v>26.14</v>
      </c>
      <c r="K22" s="85">
        <f>IF(AND($B$14&lt;$F$2,$E$14&lt;$F$2),D6,IF($B$14&lt;$F$2,J6,G6))</f>
        <v>0.32457900000000001</v>
      </c>
      <c r="L22" s="88" t="s">
        <v>61</v>
      </c>
      <c r="M22" s="86">
        <v>0</v>
      </c>
      <c r="N22" s="89">
        <f>N21</f>
        <v>1.0999999999999999E-2</v>
      </c>
      <c r="O22" s="90">
        <f>ROUND(M22*N22,2)</f>
        <v>0</v>
      </c>
    </row>
    <row r="23" spans="2:22" x14ac:dyDescent="0.3">
      <c r="B23" s="82" t="s">
        <v>62</v>
      </c>
      <c r="C23" s="83" t="s">
        <v>58</v>
      </c>
      <c r="D23" s="93">
        <f>IF($K$12=M4,($D$21*($K$14)/($K$14+$L$14)),0)+IF($L$12=M4,($D$21*($L$14)/($K$14+$L$14)),0)</f>
        <v>369</v>
      </c>
      <c r="E23" s="85">
        <f>IFERROR((ROUND(D23*K23,2)+ROUND(G23,2)+ROUND(J23,2))/ROUND(D23,4), 0)</f>
        <v>2.4227642276422764E-2</v>
      </c>
      <c r="F23" s="86">
        <f>ROUND(D23*E23,2)</f>
        <v>8.94</v>
      </c>
      <c r="G23" s="86">
        <f>((D23*K23)/(1-$N$21-$N$23))*($N$21+$N$23)</f>
        <v>0.45738421080677816</v>
      </c>
      <c r="H23" s="86">
        <f t="shared" si="4"/>
        <v>8.9313665190443103</v>
      </c>
      <c r="I23" s="82"/>
      <c r="J23" s="86">
        <f>ROUND(H23*$I$21,2)</f>
        <v>1.52</v>
      </c>
      <c r="K23" s="85">
        <f>N4</f>
        <v>1.8849999999999999E-2</v>
      </c>
      <c r="L23" s="88" t="s">
        <v>63</v>
      </c>
      <c r="M23" s="86">
        <f>M21</f>
        <v>322.81786209101563</v>
      </c>
      <c r="N23" s="89">
        <v>5.0700000000000002E-2</v>
      </c>
      <c r="O23" s="90">
        <f>ROUND(M23*N23,2)</f>
        <v>16.37</v>
      </c>
      <c r="R23" s="94"/>
    </row>
    <row r="24" spans="2:22" x14ac:dyDescent="0.3">
      <c r="B24" s="82" t="s">
        <v>62</v>
      </c>
      <c r="C24" s="83" t="s">
        <v>58</v>
      </c>
      <c r="D24" s="93">
        <f t="shared" ref="D24:D26" si="5">IF($K$12=M5,($D$21*($K$14)/($K$14+$L$14)),0)+IF($L$12=M5,($D$21*($L$14)/($K$14+$L$14)),0)</f>
        <v>0</v>
      </c>
      <c r="E24" s="85">
        <f t="shared" ref="E24:E26" si="6">IFERROR((ROUND(D24*K24,2)+ROUND(G24,2)+ROUND(J24,2))/ROUND(D24,4), 0)</f>
        <v>0</v>
      </c>
      <c r="F24" s="86">
        <f t="shared" ref="F24:F26" si="7">ROUND(D24*E24,2)</f>
        <v>0</v>
      </c>
      <c r="G24" s="86">
        <f t="shared" ref="G24:G26" si="8">((D24*K24)/(1-$N$21-$N$23))*($N$21+$N$23)</f>
        <v>0</v>
      </c>
      <c r="H24" s="86">
        <f t="shared" si="4"/>
        <v>0</v>
      </c>
      <c r="I24" s="82"/>
      <c r="J24" s="86">
        <f t="shared" ref="J24:J26" si="9">ROUND(H24*$I$21,2)</f>
        <v>0</v>
      </c>
      <c r="K24" s="85">
        <f t="shared" ref="K24:K26" si="10">N5</f>
        <v>4.4630000000000003E-2</v>
      </c>
      <c r="L24" s="88" t="s">
        <v>65</v>
      </c>
      <c r="M24" s="86">
        <f>M22</f>
        <v>0</v>
      </c>
      <c r="N24" s="89">
        <f>N23</f>
        <v>5.0700000000000002E-2</v>
      </c>
      <c r="O24" s="90">
        <f>ROUND(M24*N24,2)</f>
        <v>0</v>
      </c>
      <c r="P24" s="110" t="s">
        <v>191</v>
      </c>
    </row>
    <row r="25" spans="2:22" x14ac:dyDescent="0.3">
      <c r="B25" s="82" t="s">
        <v>62</v>
      </c>
      <c r="C25" s="83" t="s">
        <v>58</v>
      </c>
      <c r="D25" s="93">
        <f t="shared" si="5"/>
        <v>0</v>
      </c>
      <c r="E25" s="85">
        <f t="shared" si="6"/>
        <v>0</v>
      </c>
      <c r="F25" s="86">
        <f t="shared" si="7"/>
        <v>0</v>
      </c>
      <c r="G25" s="86">
        <f t="shared" si="8"/>
        <v>0</v>
      </c>
      <c r="H25" s="86">
        <f t="shared" si="4"/>
        <v>0</v>
      </c>
      <c r="I25" s="82"/>
      <c r="J25" s="86">
        <f t="shared" si="9"/>
        <v>0</v>
      </c>
      <c r="K25" s="85">
        <f t="shared" si="10"/>
        <v>7.8770000000000007E-2</v>
      </c>
      <c r="L25" s="88"/>
      <c r="M25" s="86"/>
      <c r="N25" s="89"/>
      <c r="O25" s="90"/>
      <c r="P25" s="110">
        <v>1827762</v>
      </c>
    </row>
    <row r="26" spans="2:22" x14ac:dyDescent="0.3">
      <c r="B26" s="82" t="s">
        <v>62</v>
      </c>
      <c r="C26" s="83" t="s">
        <v>58</v>
      </c>
      <c r="D26" s="93">
        <f t="shared" si="5"/>
        <v>0</v>
      </c>
      <c r="E26" s="85">
        <f t="shared" si="6"/>
        <v>0</v>
      </c>
      <c r="F26" s="86">
        <f t="shared" si="7"/>
        <v>0</v>
      </c>
      <c r="G26" s="86">
        <f t="shared" si="8"/>
        <v>0</v>
      </c>
      <c r="H26" s="86">
        <f t="shared" si="4"/>
        <v>0</v>
      </c>
      <c r="I26" s="82"/>
      <c r="J26" s="86">
        <f t="shared" si="9"/>
        <v>0</v>
      </c>
      <c r="K26" s="85">
        <f t="shared" si="10"/>
        <v>0.14199999999999999</v>
      </c>
      <c r="L26" s="88"/>
      <c r="M26" s="86"/>
      <c r="N26" s="89"/>
      <c r="O26" s="90"/>
      <c r="P26" s="110">
        <v>160147060</v>
      </c>
    </row>
    <row r="27" spans="2:22" x14ac:dyDescent="0.3">
      <c r="B27" s="82"/>
      <c r="C27" s="83"/>
      <c r="D27" s="93"/>
      <c r="E27" s="85"/>
      <c r="F27" s="86"/>
      <c r="G27" s="86"/>
      <c r="H27" s="86"/>
      <c r="I27" s="82"/>
      <c r="J27" s="86"/>
      <c r="K27" s="85"/>
      <c r="L27" s="88"/>
      <c r="M27" s="86"/>
      <c r="N27" s="89"/>
      <c r="O27" s="90"/>
      <c r="P27" s="110">
        <v>1494523</v>
      </c>
    </row>
    <row r="28" spans="2:22" x14ac:dyDescent="0.3">
      <c r="B28" s="82" t="s">
        <v>68</v>
      </c>
      <c r="C28" s="83" t="s">
        <v>58</v>
      </c>
      <c r="D28" s="84">
        <v>-339</v>
      </c>
      <c r="E28" s="85">
        <f>IFERROR((ROUND(D28*K28,2)+ROUND(G28,2)+ROUND(J28,2))/ROUND(D28,4), 0)</f>
        <v>0.431622418879056</v>
      </c>
      <c r="F28" s="86">
        <f>ROUND(D28*E28,2)</f>
        <v>-146.32</v>
      </c>
      <c r="G28" s="86">
        <v>0</v>
      </c>
      <c r="H28" s="86">
        <f t="shared" ref="H28:H33" si="11">(IF($I$29=12%,(D28*K28)/(1-$N$22-$N$24)/(1-$C$50)/$F$50*$C$50,(D28*K28)/(1-$N$22-$N$24)/(1-$I$29)))</f>
        <v>-154.21803557307564</v>
      </c>
      <c r="I28" s="87">
        <f>I21</f>
        <v>0.17</v>
      </c>
      <c r="J28" s="86">
        <f>H28*$I$21</f>
        <v>-26.217066047422861</v>
      </c>
      <c r="K28" s="85">
        <f>E70</f>
        <v>0.35428704928000004</v>
      </c>
      <c r="L28" s="88"/>
      <c r="M28" s="86"/>
      <c r="N28" s="89"/>
      <c r="O28" s="90"/>
      <c r="P28" s="110">
        <v>160832701</v>
      </c>
    </row>
    <row r="29" spans="2:22" x14ac:dyDescent="0.3">
      <c r="B29" s="82" t="s">
        <v>69</v>
      </c>
      <c r="C29" s="83" t="s">
        <v>58</v>
      </c>
      <c r="D29" s="84">
        <f>D28</f>
        <v>-339</v>
      </c>
      <c r="E29" s="85">
        <f>IFERROR((ROUND(D29*K29,2)+ROUND(G29,2)+ROUND(J29,2))/ROUND(D29,4), 0)</f>
        <v>0.39542772861356934</v>
      </c>
      <c r="F29" s="86">
        <f>ROUND(D29*E29,2)</f>
        <v>-134.05000000000001</v>
      </c>
      <c r="G29" s="86">
        <v>0</v>
      </c>
      <c r="H29" s="86">
        <f t="shared" si="11"/>
        <v>-141.28638308964304</v>
      </c>
      <c r="I29" s="87">
        <f>I21</f>
        <v>0.17</v>
      </c>
      <c r="J29" s="86">
        <f>H29*$I$21</f>
        <v>-24.018685125239319</v>
      </c>
      <c r="K29" s="85">
        <f>K22</f>
        <v>0.32457900000000001</v>
      </c>
      <c r="L29" s="88"/>
      <c r="M29" s="86"/>
      <c r="N29" s="89"/>
      <c r="O29" s="90"/>
    </row>
    <row r="30" spans="2:22" x14ac:dyDescent="0.3">
      <c r="B30" s="82" t="s">
        <v>70</v>
      </c>
      <c r="C30" s="83" t="s">
        <v>58</v>
      </c>
      <c r="D30" s="93">
        <f>IF($K$12=M4,($D$28*($K$14)/($K$14+$L$14)),0)+IF($L$12=M4,($D$28*($L$14)/($K$14+$L$14)),0)</f>
        <v>-339</v>
      </c>
      <c r="E30" s="85">
        <f>IFERROR((ROUND(D30*K30,2)+ROUND(G30,2)+ROUND(J30,2))/ROUND(D30,4), 0)</f>
        <v>2.2949852507374628E-2</v>
      </c>
      <c r="F30" s="86">
        <f t="shared" ref="F30:F33" si="12">ROUND(D30*E30,2)</f>
        <v>-7.78</v>
      </c>
      <c r="G30" s="86">
        <v>0</v>
      </c>
      <c r="H30" s="86">
        <f t="shared" si="11"/>
        <v>-8.2052391597724146</v>
      </c>
      <c r="I30" s="82"/>
      <c r="J30" s="86">
        <f>H30*$I$21</f>
        <v>-1.3948906571613107</v>
      </c>
      <c r="K30" s="85">
        <f>N4</f>
        <v>1.8849999999999999E-2</v>
      </c>
      <c r="L30" s="95"/>
      <c r="M30" s="96"/>
      <c r="N30" s="96"/>
      <c r="O30" s="96"/>
      <c r="R30" s="94"/>
    </row>
    <row r="31" spans="2:22" x14ac:dyDescent="0.3">
      <c r="B31" s="82" t="s">
        <v>70</v>
      </c>
      <c r="C31" s="83" t="s">
        <v>58</v>
      </c>
      <c r="D31" s="93">
        <f t="shared" ref="D31:D33" si="13">IF($K$12=M5,($D$28*($K$14)/($K$14+$L$14)),0)+IF($L$12=M5,($D$28*($L$14)/($K$14+$L$14)),0)</f>
        <v>0</v>
      </c>
      <c r="E31" s="85">
        <f t="shared" ref="E31:E33" si="14">IFERROR((ROUND(D31*K31,2)+ROUND(G31,2)+ROUND(J31,2))/ROUND(D31,4), 0)</f>
        <v>0</v>
      </c>
      <c r="F31" s="86">
        <f t="shared" si="12"/>
        <v>0</v>
      </c>
      <c r="G31" s="86">
        <v>0</v>
      </c>
      <c r="H31" s="86">
        <f t="shared" si="11"/>
        <v>0</v>
      </c>
      <c r="I31" s="82"/>
      <c r="J31" s="86">
        <f t="shared" ref="J31:J33" si="15">H31*$I$21</f>
        <v>0</v>
      </c>
      <c r="K31" s="85">
        <f t="shared" ref="K31:K33" si="16">N5</f>
        <v>4.4630000000000003E-2</v>
      </c>
      <c r="O31" s="81"/>
      <c r="Q31" s="97"/>
      <c r="R31" s="98"/>
      <c r="S31" s="99"/>
      <c r="T31" s="97"/>
    </row>
    <row r="32" spans="2:22" x14ac:dyDescent="0.3">
      <c r="B32" s="82" t="s">
        <v>70</v>
      </c>
      <c r="C32" s="83" t="s">
        <v>58</v>
      </c>
      <c r="D32" s="93">
        <f t="shared" si="13"/>
        <v>0</v>
      </c>
      <c r="E32" s="85">
        <f t="shared" si="14"/>
        <v>0</v>
      </c>
      <c r="F32" s="86">
        <f t="shared" si="12"/>
        <v>0</v>
      </c>
      <c r="G32" s="86">
        <v>0</v>
      </c>
      <c r="H32" s="86">
        <f t="shared" si="11"/>
        <v>0</v>
      </c>
      <c r="I32" s="82"/>
      <c r="J32" s="86">
        <f t="shared" si="15"/>
        <v>0</v>
      </c>
      <c r="K32" s="85">
        <f t="shared" si="16"/>
        <v>7.8770000000000007E-2</v>
      </c>
      <c r="O32" s="81"/>
      <c r="Q32" s="97"/>
      <c r="R32" s="98"/>
      <c r="S32" s="99"/>
      <c r="T32" s="97"/>
    </row>
    <row r="33" spans="2:26" x14ac:dyDescent="0.3">
      <c r="B33" s="82" t="s">
        <v>70</v>
      </c>
      <c r="C33" s="83" t="s">
        <v>58</v>
      </c>
      <c r="D33" s="93">
        <f t="shared" si="13"/>
        <v>0</v>
      </c>
      <c r="E33" s="85">
        <f t="shared" si="14"/>
        <v>0</v>
      </c>
      <c r="F33" s="86">
        <f t="shared" si="12"/>
        <v>0</v>
      </c>
      <c r="G33" s="86">
        <v>0</v>
      </c>
      <c r="H33" s="86">
        <f t="shared" si="11"/>
        <v>0</v>
      </c>
      <c r="I33" s="82"/>
      <c r="J33" s="86">
        <f t="shared" si="15"/>
        <v>0</v>
      </c>
      <c r="K33" s="85">
        <f t="shared" si="16"/>
        <v>0.14199999999999999</v>
      </c>
      <c r="O33" s="81"/>
      <c r="Q33" s="97"/>
      <c r="R33" s="98"/>
      <c r="S33" s="99"/>
      <c r="T33" s="97"/>
    </row>
    <row r="34" spans="2:26" x14ac:dyDescent="0.3">
      <c r="B34" s="82"/>
      <c r="C34" s="83"/>
      <c r="D34" s="93"/>
      <c r="E34" s="85"/>
      <c r="F34" s="86"/>
      <c r="G34" s="86"/>
      <c r="H34" s="86"/>
      <c r="I34" s="82"/>
      <c r="J34" s="86"/>
      <c r="K34" s="85"/>
      <c r="O34" s="81"/>
      <c r="S34" s="99"/>
    </row>
    <row r="35" spans="2:26" x14ac:dyDescent="0.3">
      <c r="B35" s="82" t="s">
        <v>75</v>
      </c>
      <c r="C35" s="82"/>
      <c r="D35" s="93"/>
      <c r="E35" s="82"/>
      <c r="F35" s="100">
        <v>1.92</v>
      </c>
      <c r="G35" s="82"/>
      <c r="H35" s="82"/>
      <c r="I35" s="82"/>
      <c r="J35" s="82"/>
      <c r="K35" s="82"/>
      <c r="O35" s="81"/>
      <c r="S35" s="99"/>
    </row>
    <row r="36" spans="2:26" x14ac:dyDescent="0.3">
      <c r="B36" s="82" t="s">
        <v>74</v>
      </c>
      <c r="C36" s="82"/>
      <c r="D36" s="93"/>
      <c r="E36" s="82"/>
      <c r="F36" s="100">
        <v>0.06</v>
      </c>
      <c r="G36" s="82"/>
      <c r="H36" s="82"/>
      <c r="I36" s="82"/>
      <c r="J36" s="82"/>
      <c r="K36" s="82"/>
      <c r="O36" s="81"/>
      <c r="S36" s="99"/>
    </row>
    <row r="37" spans="2:26" x14ac:dyDescent="0.3">
      <c r="B37" s="82" t="s">
        <v>76</v>
      </c>
      <c r="C37" s="82"/>
      <c r="D37" s="93"/>
      <c r="E37" s="82"/>
      <c r="F37" s="100"/>
      <c r="G37" s="82"/>
      <c r="H37" s="82"/>
      <c r="I37" s="82"/>
      <c r="J37" s="82"/>
      <c r="K37" s="82"/>
      <c r="O37" s="81"/>
      <c r="S37" s="99"/>
    </row>
    <row r="38" spans="2:26" x14ac:dyDescent="0.3">
      <c r="B38" s="82" t="s">
        <v>77</v>
      </c>
      <c r="C38" s="82"/>
      <c r="D38" s="93"/>
      <c r="E38" s="82"/>
      <c r="F38" s="100"/>
      <c r="G38" s="82"/>
      <c r="H38" s="82"/>
      <c r="I38" s="82"/>
      <c r="J38" s="82"/>
      <c r="K38" s="82"/>
      <c r="O38" s="81"/>
      <c r="S38" s="99"/>
    </row>
    <row r="39" spans="2:26" x14ac:dyDescent="0.3">
      <c r="B39" s="82"/>
      <c r="C39" s="82"/>
      <c r="D39" s="93"/>
      <c r="E39" s="82"/>
      <c r="F39" s="82"/>
      <c r="G39" s="82"/>
      <c r="H39" s="82"/>
      <c r="I39" s="82"/>
      <c r="J39" s="82"/>
      <c r="K39" s="82"/>
      <c r="O39" s="81"/>
    </row>
    <row r="40" spans="2:26" x14ac:dyDescent="0.3">
      <c r="B40" s="82"/>
      <c r="C40" s="82"/>
      <c r="D40" s="93"/>
      <c r="E40" s="82"/>
      <c r="F40" s="82"/>
      <c r="G40" s="82"/>
      <c r="H40" s="82"/>
      <c r="I40" s="82"/>
      <c r="J40" s="82"/>
      <c r="K40" s="82"/>
      <c r="O40" s="81"/>
    </row>
    <row r="41" spans="2:26" x14ac:dyDescent="0.3">
      <c r="B41" s="82"/>
      <c r="C41" s="82"/>
      <c r="D41" s="93"/>
      <c r="E41" s="82"/>
      <c r="F41" s="82"/>
      <c r="G41" s="82"/>
      <c r="H41" s="82"/>
      <c r="I41" s="82"/>
      <c r="J41" s="82"/>
      <c r="K41" s="82"/>
      <c r="O41" s="81"/>
    </row>
    <row r="42" spans="2:26" x14ac:dyDescent="0.3">
      <c r="B42" s="101" t="s">
        <v>78</v>
      </c>
      <c r="C42" s="96"/>
      <c r="D42" s="102"/>
      <c r="E42" s="96"/>
      <c r="F42" s="103">
        <f>SUM(F21:F41)</f>
        <v>102.77</v>
      </c>
      <c r="G42" s="104">
        <f>SUM(G21:G41)</f>
        <v>19.917525414046683</v>
      </c>
      <c r="H42" s="105">
        <f>SUM(H21:H41)</f>
        <v>85.220951110095285</v>
      </c>
      <c r="I42" s="96"/>
      <c r="J42" s="105">
        <f>SUM(J21:J41)</f>
        <v>14.484996899023484</v>
      </c>
      <c r="K42" s="96"/>
      <c r="L42" s="106"/>
      <c r="M42" s="106"/>
      <c r="N42" s="106"/>
      <c r="O42" s="95"/>
    </row>
    <row r="43" spans="2:26" x14ac:dyDescent="0.3"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26" s="3" customFormat="1" x14ac:dyDescent="0.3">
      <c r="B44" s="107" t="s">
        <v>79</v>
      </c>
      <c r="C44" s="108">
        <f>D21+D28</f>
        <v>30</v>
      </c>
      <c r="D44" s="109">
        <f>IF(AND($B$14&lt;$F$2,$E$14&lt;$F$2),C7,IF($B$14&lt;$F$2,I7,F7))</f>
        <v>1.8691701882653274E-4</v>
      </c>
      <c r="E44" s="109">
        <f>IF(AND($B$14&lt;$F$2,$E$14&lt;$F$2),D7,IF($B$14&lt;$F$2,J7,G7))</f>
        <v>-3.4998271764763713E-3</v>
      </c>
      <c r="F44" s="107">
        <f>C44*(D44+E44)</f>
        <v>-9.9387304729495154E-2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s="3" customFormat="1" x14ac:dyDescent="0.3">
      <c r="B45" s="162"/>
      <c r="C45" s="162"/>
      <c r="D45" s="163"/>
      <c r="E45" s="16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x14ac:dyDescent="0.3">
      <c r="B46" s="1" t="s">
        <v>99</v>
      </c>
    </row>
    <row r="47" spans="2:26" x14ac:dyDescent="0.3">
      <c r="B47" s="164"/>
      <c r="C47" s="164"/>
      <c r="D47" s="165" t="s">
        <v>100</v>
      </c>
      <c r="F47" s="165"/>
    </row>
    <row r="48" spans="2:26" x14ac:dyDescent="0.3">
      <c r="B48" s="166" t="s">
        <v>59</v>
      </c>
      <c r="C48" s="167">
        <f>N21</f>
        <v>1.0999999999999999E-2</v>
      </c>
      <c r="D48" s="168">
        <f>((D21*K21)+(D22*K22)+(D23*K23)+(D24*K24)+(D25*K25)+(D26*K26))/(1-$N$21-$N$23)</f>
        <v>322.81240541404668</v>
      </c>
      <c r="E48" s="169" t="s">
        <v>101</v>
      </c>
      <c r="F48" s="167">
        <f>C48</f>
        <v>1.0999999999999999E-2</v>
      </c>
      <c r="G48" s="170">
        <f>D48*F48</f>
        <v>3.5509364595545132</v>
      </c>
    </row>
    <row r="49" spans="1:26" x14ac:dyDescent="0.3">
      <c r="B49" s="166" t="s">
        <v>63</v>
      </c>
      <c r="C49" s="167">
        <f>N23</f>
        <v>5.0700000000000002E-2</v>
      </c>
      <c r="D49" s="168">
        <f>D48</f>
        <v>322.81240541404668</v>
      </c>
      <c r="E49" s="169" t="s">
        <v>101</v>
      </c>
      <c r="F49" s="167">
        <f>C49</f>
        <v>5.0700000000000002E-2</v>
      </c>
      <c r="G49" s="170">
        <f>D49*F49</f>
        <v>16.366588954492169</v>
      </c>
    </row>
    <row r="50" spans="1:26" x14ac:dyDescent="0.3">
      <c r="A50" s="171" t="s">
        <v>102</v>
      </c>
      <c r="B50" s="166" t="s">
        <v>93</v>
      </c>
      <c r="C50" s="172">
        <v>0.04</v>
      </c>
      <c r="D50" s="173">
        <f>H50/F50*C50</f>
        <v>112.08764076876624</v>
      </c>
      <c r="E50" s="169" t="s">
        <v>101</v>
      </c>
      <c r="F50" s="174">
        <v>0.12</v>
      </c>
      <c r="G50" s="170">
        <f>D50*F50</f>
        <v>13.450516892251947</v>
      </c>
      <c r="H50" s="170">
        <f>((D21*K21)+(D22*K22)+(D23*K23)+(D24*K24)+(D25*K25)+(D26*K26))/(1-F48-F49)/(1-(C50))</f>
        <v>336.26292230629866</v>
      </c>
      <c r="I50" s="175"/>
    </row>
    <row r="51" spans="1:26" x14ac:dyDescent="0.3">
      <c r="B51" s="164"/>
      <c r="C51" s="164"/>
      <c r="D51" s="164"/>
      <c r="E51" s="170">
        <f>(O40)/(1-C48-C49-C50)</f>
        <v>0</v>
      </c>
      <c r="F51" s="133"/>
      <c r="G51" s="133"/>
      <c r="H51" s="164"/>
      <c r="I51" s="164"/>
      <c r="J51" s="176"/>
      <c r="K51" s="176"/>
      <c r="L51" s="176"/>
      <c r="M51" s="165"/>
      <c r="N51" s="165"/>
      <c r="O51" s="74"/>
    </row>
    <row r="52" spans="1:26" x14ac:dyDescent="0.3">
      <c r="C52" s="177" t="s">
        <v>103</v>
      </c>
      <c r="D52" s="178" t="s">
        <v>104</v>
      </c>
      <c r="F52"/>
      <c r="G52"/>
      <c r="H52"/>
    </row>
    <row r="53" spans="1:26" x14ac:dyDescent="0.3">
      <c r="C53" s="3"/>
      <c r="D53" s="169" t="s">
        <v>105</v>
      </c>
      <c r="F53" s="3"/>
      <c r="G53" s="3"/>
      <c r="H53" s="3"/>
      <c r="J53" s="3"/>
    </row>
    <row r="54" spans="1:26" s="3" customFormat="1" x14ac:dyDescent="0.3">
      <c r="B54" s="162"/>
      <c r="C54" s="162"/>
      <c r="D54" s="163"/>
      <c r="E54" s="16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3" customFormat="1" x14ac:dyDescent="0.3">
      <c r="B55" s="68" t="s">
        <v>38</v>
      </c>
      <c r="C55" s="1"/>
      <c r="D55" s="1"/>
      <c r="E55" s="8" t="s">
        <v>39</v>
      </c>
      <c r="F55" s="69">
        <v>0.73899999999999999</v>
      </c>
      <c r="G55" s="70" t="s">
        <v>14</v>
      </c>
      <c r="H55" s="69">
        <v>1</v>
      </c>
      <c r="I55" s="238" t="e">
        <f>#REF!</f>
        <v>#REF!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s="3" customFormat="1" x14ac:dyDescent="0.3">
      <c r="B56" s="1"/>
      <c r="C56" s="1"/>
      <c r="D56" s="1"/>
      <c r="E56" s="8" t="s">
        <v>39</v>
      </c>
      <c r="F56" s="69">
        <v>0.75219999999999998</v>
      </c>
      <c r="G56" s="70" t="s">
        <v>14</v>
      </c>
      <c r="H56" s="69">
        <v>1</v>
      </c>
      <c r="I56" s="238" t="e">
        <f>#REF!</f>
        <v>#REF!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6" x14ac:dyDescent="0.3"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6" x14ac:dyDescent="0.3">
      <c r="B59" s="244" t="s">
        <v>106</v>
      </c>
      <c r="C59" s="245"/>
      <c r="D59" s="245"/>
      <c r="E59" s="245"/>
      <c r="F59" s="245"/>
      <c r="G59" s="245"/>
      <c r="H59" s="246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6" x14ac:dyDescent="0.3">
      <c r="B60" s="56"/>
      <c r="D60" s="110" t="s">
        <v>81</v>
      </c>
      <c r="E60" s="110" t="s">
        <v>39</v>
      </c>
      <c r="F60" s="110" t="s">
        <v>14</v>
      </c>
      <c r="G60" s="110" t="s">
        <v>15</v>
      </c>
      <c r="H60" s="88" t="s">
        <v>82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6" x14ac:dyDescent="0.3">
      <c r="A61" s="1" t="s">
        <v>0</v>
      </c>
      <c r="B61" s="111" t="s">
        <v>83</v>
      </c>
      <c r="C61" s="112"/>
      <c r="D61" s="113"/>
      <c r="E61" s="113"/>
      <c r="F61" s="113"/>
      <c r="G61" s="113"/>
      <c r="H61" s="114">
        <f>SUM(H63:H79)+SUM(H84:H89)</f>
        <v>111.45074240904788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6" x14ac:dyDescent="0.3">
      <c r="A62" s="1" t="s">
        <v>0</v>
      </c>
      <c r="B62" s="56"/>
      <c r="D62" s="110"/>
      <c r="E62" s="110"/>
      <c r="F62" s="110"/>
      <c r="G62" s="110"/>
      <c r="H62" s="115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6" x14ac:dyDescent="0.3">
      <c r="A63" s="1" t="s">
        <v>0</v>
      </c>
      <c r="B63" s="56" t="s">
        <v>84</v>
      </c>
      <c r="D63" s="116">
        <f>D21</f>
        <v>369</v>
      </c>
      <c r="E63" s="117">
        <f>IF(AND($B$14&lt;$F$2,$E$14&lt;$F$2),C6,IF($B$14&lt;$F$2,I6,F6))</f>
        <v>0.47742433333333334</v>
      </c>
      <c r="F63" s="117">
        <f>IF(AND($B$14&lt;$F$2,$E$14&lt;$F$2),D6,IF($B$14&lt;$F$2,J6,G6))</f>
        <v>0.32457900000000001</v>
      </c>
      <c r="G63" s="117">
        <f>E63+F63</f>
        <v>0.8020033333333334</v>
      </c>
      <c r="H63" s="118">
        <f>ROUND((D63*E63),2)+ROUND((D63*F63),2)</f>
        <v>295.94</v>
      </c>
      <c r="I63"/>
      <c r="J63"/>
      <c r="K63"/>
      <c r="L63"/>
      <c r="M63" s="119"/>
      <c r="N63"/>
      <c r="O63"/>
      <c r="P63"/>
      <c r="Q63"/>
      <c r="R63"/>
      <c r="S63"/>
      <c r="T63"/>
      <c r="U63"/>
      <c r="V63"/>
    </row>
    <row r="64" spans="1:26" x14ac:dyDescent="0.3">
      <c r="B64" s="56"/>
      <c r="D64" s="120"/>
      <c r="E64" s="97"/>
      <c r="F64" s="121"/>
      <c r="G64" s="121"/>
      <c r="H64" s="118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2:22" x14ac:dyDescent="0.3">
      <c r="B65" s="56" t="s">
        <v>62</v>
      </c>
      <c r="D65" s="122">
        <f>IF($K$12=M4,(D63*(K14)/(K14+L14)),0)+IF($L$12=M4,(D63*(L14)/(K14+L14)),0)</f>
        <v>369</v>
      </c>
      <c r="F65" s="123">
        <f>N4</f>
        <v>1.8849999999999999E-2</v>
      </c>
      <c r="G65" s="123"/>
      <c r="H65" s="118">
        <f>ROUND(D65*(E65+F65),2)</f>
        <v>6.96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3">
      <c r="B66" s="56" t="s">
        <v>85</v>
      </c>
      <c r="D66" s="122">
        <f>IF($K$12=M5,(D63*(K14)/(K14+L14)),0)+IF($L$12=M5,(D63*(L14)/(K14+L14)),0)</f>
        <v>0</v>
      </c>
      <c r="F66" s="123">
        <f>N5</f>
        <v>4.4630000000000003E-2</v>
      </c>
      <c r="G66" s="123"/>
      <c r="H66" s="118">
        <f>ROUND(D66*(E66+F66),2)</f>
        <v>0</v>
      </c>
      <c r="I66"/>
      <c r="J66"/>
      <c r="K66"/>
      <c r="L66" s="124"/>
      <c r="M66"/>
      <c r="N66"/>
      <c r="O66"/>
      <c r="P66"/>
      <c r="Q66"/>
      <c r="R66"/>
      <c r="S66"/>
      <c r="T66"/>
      <c r="U66"/>
      <c r="V66"/>
    </row>
    <row r="67" spans="2:22" x14ac:dyDescent="0.3">
      <c r="B67" s="56" t="s">
        <v>86</v>
      </c>
      <c r="D67" s="122">
        <f>IF($K$12=M6,(D63*(K14)/(K14+L14)),0)+IF($L$12=M6,(D63*(L14)/(K14+L14)),0)</f>
        <v>0</v>
      </c>
      <c r="F67" s="123">
        <f>N6</f>
        <v>7.8770000000000007E-2</v>
      </c>
      <c r="G67" s="123"/>
      <c r="H67" s="118">
        <f>ROUND(D67*(E67+F67),2)</f>
        <v>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2:22" x14ac:dyDescent="0.3">
      <c r="B68" s="56" t="s">
        <v>87</v>
      </c>
      <c r="D68" s="122">
        <f>IF($K$12=M7,(D63*(K14)/(K14+L14)),0)+IF($L$12=M7,(D63*(L14)/(K14+L14)),0)</f>
        <v>0</v>
      </c>
      <c r="F68" s="123">
        <f>N7</f>
        <v>0.14199999999999999</v>
      </c>
      <c r="G68" s="123"/>
      <c r="H68" s="118">
        <f>ROUND(D68*(E68+F68),2)</f>
        <v>0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2:22" x14ac:dyDescent="0.3">
      <c r="B69" s="56"/>
      <c r="D69" s="125"/>
      <c r="H69" s="118"/>
      <c r="I69" s="3"/>
      <c r="J69" s="3"/>
      <c r="K69" s="119"/>
      <c r="L69" s="3"/>
      <c r="M69" s="3"/>
      <c r="N69" s="3"/>
      <c r="O69" s="3"/>
      <c r="P69" s="3"/>
    </row>
    <row r="70" spans="2:22" x14ac:dyDescent="0.3">
      <c r="B70" s="56" t="s">
        <v>88</v>
      </c>
      <c r="D70" s="126">
        <f>D28</f>
        <v>-339</v>
      </c>
      <c r="E70" s="117">
        <f>IF(AND($B$14&lt;$F$2,$E$14&lt;$F$2),C6*$F$55,IF($B$14&lt;$F$2,(((I6*F55)*C14)+((I6*F56)*D14))/(C14+D14),I6*$F$56))</f>
        <v>0.35428704928000004</v>
      </c>
      <c r="F70" s="117">
        <f>F63</f>
        <v>0.32457900000000001</v>
      </c>
      <c r="G70" s="117">
        <f>E70+F70</f>
        <v>0.67886604928000005</v>
      </c>
      <c r="H70" s="118">
        <f>ROUND((D70*E70),2)+ROUND((D70*F70),2)</f>
        <v>-230.13</v>
      </c>
      <c r="I70" s="3"/>
      <c r="J70" s="3"/>
      <c r="K70" s="119"/>
      <c r="L70" s="3"/>
      <c r="M70" s="119"/>
      <c r="N70" s="3"/>
      <c r="O70" s="3"/>
      <c r="P70" s="3"/>
    </row>
    <row r="71" spans="2:22" x14ac:dyDescent="0.3">
      <c r="B71" s="56"/>
      <c r="D71" s="120"/>
      <c r="E71" s="97"/>
      <c r="F71" s="121"/>
      <c r="G71" s="121"/>
      <c r="H71" s="118"/>
      <c r="I71" s="3"/>
      <c r="J71" s="3"/>
      <c r="K71" s="119"/>
      <c r="L71" s="3"/>
      <c r="M71" s="3"/>
      <c r="N71" s="3"/>
      <c r="O71" s="3"/>
      <c r="P71" s="3"/>
    </row>
    <row r="72" spans="2:22" x14ac:dyDescent="0.3">
      <c r="B72" s="56" t="s">
        <v>62</v>
      </c>
      <c r="D72" s="122">
        <f>IF($K$12=M4,(D70*(K14)/(K14+L14)),0)+IF($L$12=M4,(D70*(L14)/(K14+L14)),0)</f>
        <v>-339</v>
      </c>
      <c r="F72" s="123">
        <f>F65</f>
        <v>1.8849999999999999E-2</v>
      </c>
      <c r="G72" s="123"/>
      <c r="H72" s="118">
        <f>ROUND(D72*(E72+F72),2)</f>
        <v>-6.39</v>
      </c>
      <c r="I72" s="3"/>
      <c r="J72" s="3"/>
      <c r="K72" s="3"/>
      <c r="L72" s="3"/>
      <c r="M72" s="3"/>
      <c r="N72" s="3"/>
      <c r="O72" s="3"/>
      <c r="P72" s="3"/>
    </row>
    <row r="73" spans="2:22" x14ac:dyDescent="0.3">
      <c r="B73" s="56" t="s">
        <v>85</v>
      </c>
      <c r="D73" s="122">
        <f>IF($K$12=M5,(D70*(K14)/(K14+L14)),0)+IF($L$12=M5,(D70*(L14)/(K14+L14)),0)</f>
        <v>0</v>
      </c>
      <c r="F73" s="123">
        <f>F66</f>
        <v>4.4630000000000003E-2</v>
      </c>
      <c r="G73" s="123"/>
      <c r="H73" s="118">
        <f>ROUND(D73*(E73+F73),2)</f>
        <v>0</v>
      </c>
      <c r="I73" s="3"/>
      <c r="J73" s="3"/>
      <c r="K73" s="3"/>
      <c r="L73" s="3"/>
      <c r="M73" s="3"/>
      <c r="N73" s="3"/>
      <c r="O73" s="3"/>
      <c r="P73" s="3"/>
    </row>
    <row r="74" spans="2:22" x14ac:dyDescent="0.3">
      <c r="B74" s="56" t="s">
        <v>86</v>
      </c>
      <c r="D74" s="122">
        <f>IF($K$12=M6,(D70*(K14)/(K14+L14)),0)+IF($L$12=M6,(D70*(L14)/(K14+L14)),0)</f>
        <v>0</v>
      </c>
      <c r="F74" s="123">
        <f>F67</f>
        <v>7.8770000000000007E-2</v>
      </c>
      <c r="G74" s="123"/>
      <c r="H74" s="118">
        <f>ROUND(D74*(E74+F74),2)</f>
        <v>0</v>
      </c>
      <c r="I74" s="3"/>
      <c r="J74" s="3"/>
      <c r="K74" s="3"/>
      <c r="L74" s="3"/>
      <c r="M74" s="3"/>
      <c r="N74" s="3"/>
      <c r="O74" s="3"/>
      <c r="P74" s="3"/>
    </row>
    <row r="75" spans="2:22" x14ac:dyDescent="0.3">
      <c r="B75" s="56" t="s">
        <v>87</v>
      </c>
      <c r="D75" s="122">
        <f>IF($K$12=M7,(D70*(K14)/(K14+L14)),0)+IF($L$12=M7,(D70*(L14)/(K14+L14)),0)</f>
        <v>0</v>
      </c>
      <c r="F75" s="123">
        <f>F68</f>
        <v>0.14199999999999999</v>
      </c>
      <c r="G75" s="123"/>
      <c r="H75" s="118">
        <f>ROUND(D75*(E75+F75),2)</f>
        <v>0</v>
      </c>
      <c r="J75" s="3"/>
      <c r="K75" s="3"/>
      <c r="L75" s="3"/>
      <c r="M75" s="3"/>
      <c r="N75" s="3"/>
      <c r="O75" s="3"/>
      <c r="P75" s="3"/>
    </row>
    <row r="76" spans="2:22" x14ac:dyDescent="0.3">
      <c r="B76" s="56"/>
      <c r="D76" s="122"/>
      <c r="F76" s="123"/>
      <c r="G76" s="123"/>
      <c r="H76" s="118"/>
      <c r="J76" s="3"/>
      <c r="K76" s="3"/>
      <c r="L76" s="3"/>
      <c r="M76" s="3"/>
      <c r="N76" s="3"/>
      <c r="O76" s="3"/>
      <c r="P76" s="3"/>
    </row>
    <row r="77" spans="2:22" x14ac:dyDescent="0.3">
      <c r="B77" s="127"/>
      <c r="C77" s="128"/>
      <c r="D77" s="129"/>
      <c r="E77" s="130"/>
      <c r="F77" s="130"/>
      <c r="G77" s="130"/>
      <c r="H77" s="132"/>
      <c r="I77" s="3"/>
      <c r="J77" s="3"/>
      <c r="K77" s="3"/>
      <c r="L77" s="3"/>
      <c r="M77" s="3"/>
      <c r="N77" s="3"/>
      <c r="O77" s="3"/>
      <c r="P77" s="3"/>
    </row>
    <row r="78" spans="2:22" x14ac:dyDescent="0.3">
      <c r="B78" s="127"/>
      <c r="C78" s="128"/>
      <c r="D78" s="134"/>
      <c r="E78" s="128"/>
      <c r="F78" s="128"/>
      <c r="G78" s="135"/>
      <c r="H78" s="132"/>
      <c r="I78" s="3"/>
      <c r="J78" s="3"/>
      <c r="K78" s="3"/>
      <c r="L78" s="3"/>
      <c r="M78" s="3"/>
      <c r="N78" s="3"/>
      <c r="O78" s="3"/>
      <c r="P78" s="3"/>
    </row>
    <row r="79" spans="2:22" x14ac:dyDescent="0.3">
      <c r="B79" s="127"/>
      <c r="C79" s="128"/>
      <c r="D79" s="129"/>
      <c r="E79" s="130"/>
      <c r="F79" s="130"/>
      <c r="G79" s="130"/>
      <c r="H79" s="132"/>
      <c r="I79" s="136"/>
      <c r="J79" s="3"/>
      <c r="K79" s="3"/>
      <c r="L79" s="3"/>
      <c r="M79" s="3"/>
      <c r="N79" s="3"/>
      <c r="O79" s="3"/>
      <c r="P79" s="3"/>
    </row>
    <row r="80" spans="2:22" x14ac:dyDescent="0.3">
      <c r="B80" s="137"/>
      <c r="C80" s="2"/>
      <c r="D80" s="2"/>
      <c r="E80" s="2"/>
      <c r="F80" s="2"/>
      <c r="G80" s="2"/>
      <c r="H80" s="138"/>
      <c r="I80"/>
      <c r="J80" s="3"/>
      <c r="K80" s="3"/>
      <c r="L80" s="3"/>
      <c r="M80" s="3"/>
      <c r="N80" s="3"/>
      <c r="O80" s="3"/>
      <c r="P80" s="3"/>
    </row>
    <row r="81" spans="2:16" x14ac:dyDescent="0.3">
      <c r="B81" s="42"/>
      <c r="C81" s="43"/>
      <c r="D81" s="43"/>
      <c r="E81" s="43"/>
      <c r="F81" s="43"/>
      <c r="G81" s="43"/>
      <c r="H81" s="139">
        <f>SUM(H63:H80)</f>
        <v>66.379999999999981</v>
      </c>
      <c r="I81" s="3"/>
      <c r="L81" s="3"/>
      <c r="M81" s="3"/>
      <c r="N81" s="3"/>
      <c r="O81" s="3"/>
      <c r="P81" s="3"/>
    </row>
    <row r="82" spans="2:16" x14ac:dyDescent="0.3">
      <c r="B82" s="140"/>
      <c r="C82" s="3"/>
      <c r="D82" s="3"/>
      <c r="E82" s="3"/>
      <c r="F82" s="3"/>
      <c r="G82" s="3"/>
      <c r="H82" s="59"/>
      <c r="I82" s="3"/>
      <c r="L82" s="3"/>
      <c r="M82" s="3"/>
      <c r="N82" s="3"/>
      <c r="O82" s="3"/>
      <c r="P82" s="3"/>
    </row>
    <row r="83" spans="2:16" x14ac:dyDescent="0.3">
      <c r="B83" s="56"/>
      <c r="D83" s="141" t="s">
        <v>89</v>
      </c>
      <c r="E83" s="142"/>
      <c r="F83" s="142"/>
      <c r="G83" s="142"/>
      <c r="H83" s="143"/>
      <c r="I83" s="144"/>
      <c r="K83" s="145"/>
      <c r="L83" s="3"/>
      <c r="M83" s="3"/>
      <c r="N83" s="3"/>
      <c r="O83" s="3"/>
      <c r="P83" s="3"/>
    </row>
    <row r="84" spans="2:16" x14ac:dyDescent="0.3">
      <c r="B84" s="56" t="s">
        <v>90</v>
      </c>
      <c r="D84" s="146">
        <f>(H63+H65+H66+H67+H68)/(1-E84-E86)</f>
        <v>322.81786209101563</v>
      </c>
      <c r="E84" s="147">
        <f>N21</f>
        <v>1.0999999999999999E-2</v>
      </c>
      <c r="H84" s="148">
        <f>D84*E84</f>
        <v>3.5509964830011715</v>
      </c>
      <c r="I84" s="145"/>
      <c r="L84" s="3"/>
      <c r="M84" s="3"/>
      <c r="N84" s="3"/>
      <c r="O84" s="3"/>
      <c r="P84" s="3"/>
    </row>
    <row r="85" spans="2:16" x14ac:dyDescent="0.3">
      <c r="B85" s="56" t="s">
        <v>91</v>
      </c>
      <c r="D85" s="146">
        <f>(H70+H72+H73+H74+H75+H77+H79)/(1-E84-E86)</f>
        <v>-252.07289779388253</v>
      </c>
      <c r="E85" s="149">
        <f>E84</f>
        <v>1.0999999999999999E-2</v>
      </c>
      <c r="H85" s="148">
        <f t="shared" ref="H85:H87" si="17">D85*E85</f>
        <v>-2.7728018757327075</v>
      </c>
      <c r="I85" s="145"/>
      <c r="L85" s="3"/>
      <c r="M85" s="3"/>
      <c r="N85" s="3"/>
      <c r="O85" s="3"/>
      <c r="P85" s="3"/>
    </row>
    <row r="86" spans="2:16" x14ac:dyDescent="0.3">
      <c r="B86" s="56" t="s">
        <v>63</v>
      </c>
      <c r="D86" s="146">
        <f>D84</f>
        <v>322.81786209101563</v>
      </c>
      <c r="E86" s="147">
        <f>N23</f>
        <v>5.0700000000000002E-2</v>
      </c>
      <c r="H86" s="148">
        <f t="shared" si="17"/>
        <v>16.366865608014493</v>
      </c>
      <c r="I86" s="145"/>
      <c r="L86" s="3"/>
      <c r="M86" s="3"/>
      <c r="N86" s="3"/>
      <c r="O86" s="3"/>
      <c r="P86" s="3"/>
    </row>
    <row r="87" spans="2:16" x14ac:dyDescent="0.3">
      <c r="B87" s="56" t="s">
        <v>92</v>
      </c>
      <c r="D87" s="146">
        <f>D85</f>
        <v>-252.07289779388253</v>
      </c>
      <c r="E87" s="149">
        <f>E86</f>
        <v>5.0700000000000002E-2</v>
      </c>
      <c r="H87" s="148">
        <f t="shared" si="17"/>
        <v>-12.780095918149845</v>
      </c>
      <c r="I87" s="145"/>
      <c r="L87" s="3"/>
      <c r="M87" s="3"/>
      <c r="N87" s="3"/>
      <c r="O87" s="3"/>
      <c r="P87" s="3"/>
    </row>
    <row r="88" spans="2:16" x14ac:dyDescent="0.3">
      <c r="B88" s="56" t="s">
        <v>93</v>
      </c>
      <c r="D88" s="150">
        <f>D84/(1-E88)</f>
        <v>388.93718324218753</v>
      </c>
      <c r="E88" s="151">
        <v>0.17</v>
      </c>
      <c r="H88" s="148">
        <f>D88*E88</f>
        <v>66.119321151171889</v>
      </c>
      <c r="I88" s="145"/>
      <c r="L88" s="3"/>
      <c r="M88" s="3"/>
      <c r="N88" s="3"/>
      <c r="O88" s="3"/>
      <c r="P88" s="3"/>
    </row>
    <row r="89" spans="2:16" x14ac:dyDescent="0.3">
      <c r="B89" s="152" t="s">
        <v>94</v>
      </c>
      <c r="C89" s="106"/>
      <c r="D89" s="153">
        <f>((D70*F70)+(H72+H73+H74+H75)+(D77*F77)+(D79*F79))/(1-E85-E87)/(1-E89)</f>
        <v>-149.49142964268884</v>
      </c>
      <c r="E89" s="154">
        <f>E88</f>
        <v>0.17</v>
      </c>
      <c r="F89" s="106"/>
      <c r="G89" s="106"/>
      <c r="H89" s="155">
        <f>D89*E89</f>
        <v>-25.413543039257107</v>
      </c>
      <c r="L89" s="3"/>
      <c r="M89" s="3"/>
      <c r="N89" s="3"/>
      <c r="O89" s="3"/>
      <c r="P89" s="3"/>
    </row>
    <row r="90" spans="2:16" x14ac:dyDescent="0.3">
      <c r="L90" s="3"/>
      <c r="M90" s="3"/>
      <c r="N90" s="3"/>
      <c r="O90" s="3"/>
      <c r="P90" s="3"/>
    </row>
    <row r="91" spans="2:16" x14ac:dyDescent="0.3">
      <c r="B91" s="156" t="s">
        <v>95</v>
      </c>
      <c r="C91" s="157"/>
      <c r="D91" s="158">
        <f>D63+D70</f>
        <v>30</v>
      </c>
      <c r="E91" s="159">
        <f>IF(AND($B$14&lt;$F$2,$E$14&lt;$F$2),C7,IF($B$14&lt;$F$2,I7,F7))</f>
        <v>1.8691701882653274E-4</v>
      </c>
      <c r="F91" s="159">
        <f>IF(AND($B$14&lt;$F$2,$E$14&lt;$F$2),D7,IF($B$14&lt;$F$2,J7,G7))</f>
        <v>-3.4998271764763713E-3</v>
      </c>
      <c r="G91" s="157"/>
      <c r="H91" s="156">
        <f>D91*(E91+F91)</f>
        <v>-9.9387304729495154E-2</v>
      </c>
      <c r="L91" s="3"/>
      <c r="M91" s="3"/>
      <c r="N91" s="3"/>
      <c r="O91" s="3"/>
      <c r="P91" s="3"/>
    </row>
  </sheetData>
  <mergeCells count="10">
    <mergeCell ref="U4:W4"/>
    <mergeCell ref="X4:Z4"/>
    <mergeCell ref="K11:L11"/>
    <mergeCell ref="B59:H59"/>
    <mergeCell ref="B4:B5"/>
    <mergeCell ref="C4:E4"/>
    <mergeCell ref="F4:H4"/>
    <mergeCell ref="I4:K4"/>
    <mergeCell ref="Q4:Q5"/>
    <mergeCell ref="R4:T4"/>
  </mergeCells>
  <conditionalFormatting sqref="K12:L12">
    <cfRule type="cellIs" dxfId="13" priority="1" operator="equal">
      <formula>"Escassez Hídrica"</formula>
    </cfRule>
    <cfRule type="cellIs" dxfId="12" priority="2" operator="equal">
      <formula>"VERDE"</formula>
    </cfRule>
    <cfRule type="cellIs" dxfId="11" priority="3" operator="equal">
      <formula>"BVM2"</formula>
    </cfRule>
    <cfRule type="cellIs" dxfId="10" priority="4" operator="equal">
      <formula>"BVM1"</formula>
    </cfRule>
    <cfRule type="cellIs" dxfId="9" priority="5" operator="equal">
      <formula>"BAM"</formula>
    </cfRule>
  </conditionalFormatting>
  <conditionalFormatting sqref="M3">
    <cfRule type="cellIs" dxfId="8" priority="11" operator="equal">
      <formula>"VERDE"</formula>
    </cfRule>
    <cfRule type="cellIs" dxfId="7" priority="12" operator="equal">
      <formula>"BVM2"</formula>
    </cfRule>
    <cfRule type="cellIs" dxfId="6" priority="13" operator="equal">
      <formula>"BVM1"</formula>
    </cfRule>
    <cfRule type="cellIs" dxfId="5" priority="14" operator="equal">
      <formula>"BAM"</formula>
    </cfRule>
  </conditionalFormatting>
  <conditionalFormatting sqref="M7">
    <cfRule type="containsText" dxfId="4" priority="6" operator="containsText" text="Escassez Hídrica">
      <formula>NOT(ISERROR(SEARCH("Escassez Hídrica",M7)))</formula>
    </cfRule>
    <cfRule type="cellIs" dxfId="3" priority="7" operator="equal">
      <formula>"VERDE"</formula>
    </cfRule>
    <cfRule type="cellIs" dxfId="2" priority="8" operator="equal">
      <formula>"BVM2"</formula>
    </cfRule>
    <cfRule type="cellIs" dxfId="1" priority="9" operator="equal">
      <formula>"BVM1"</formula>
    </cfRule>
    <cfRule type="cellIs" dxfId="0" priority="10" operator="equal">
      <formula>"BAM"</formula>
    </cfRule>
  </conditionalFormatting>
  <dataValidations count="1">
    <dataValidation type="list" allowBlank="1" showInputMessage="1" showErrorMessage="1" sqref="K12:L12" xr:uid="{40B6E656-4DE1-4285-9C27-8A2C7009391A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891448F6717847BCC1627ECE39252D" ma:contentTypeVersion="16" ma:contentTypeDescription="Crie um novo documento." ma:contentTypeScope="" ma:versionID="73bcb56c385bf2a5bec6d72fb0244d1e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cab4a2184729188c6730d5972d74cc4a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a069c89-97f4-473c-8adf-a00e29b2cc6b" xsi:nil="true"/>
    <_ip_UnifiedCompliancePolicyProperties xmlns="http://schemas.microsoft.com/sharepoint/v3" xsi:nil="true"/>
    <lcf76f155ced4ddcb4097134ff3c332f xmlns="dee4fbf6-117c-49a8-8347-1ad6b80523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EE2AE2-3D8B-4F94-8E65-6BBB876B22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93CFD6-CDA9-49AB-86D0-800B4C55F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e4fbf6-117c-49a8-8347-1ad6b80523b2"/>
    <ds:schemaRef ds:uri="8a069c89-97f4-473c-8adf-a00e29b2c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9D394E-14FE-4E02-8B05-61E47D762FA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a069c89-97f4-473c-8adf-a00e29b2cc6b"/>
    <ds:schemaRef ds:uri="dee4fbf6-117c-49a8-8347-1ad6b80523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FIO B</vt:lpstr>
      <vt:lpstr>TABELA DE TARIFAS ANTIGAS</vt:lpstr>
      <vt:lpstr>TABELA DE TARIFAS NOVAS</vt:lpstr>
      <vt:lpstr>Fatura B1 (GD) OK</vt:lpstr>
      <vt:lpstr>Fatura B3 (GD) OK</vt:lpstr>
      <vt:lpstr>Fatura B2 (GD) Massa OK</vt:lpstr>
      <vt:lpstr>Fatura B2 (GD II) 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Moises Stasieniuk Cavalcante</dc:creator>
  <cp:lastModifiedBy>Alex Da Costa Pereira</cp:lastModifiedBy>
  <dcterms:created xsi:type="dcterms:W3CDTF">2025-05-06T16:40:33Z</dcterms:created>
  <dcterms:modified xsi:type="dcterms:W3CDTF">2026-08-06T19:35:13Z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2025-05-06T16:43:46Z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1ae11c32-3b1f-4ce9-96ee-9d4969aea4ef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0x010100CA891448F6717847BCC1627ECE39252D</vt:lpwstr>
  </property>
</Properties>
</file>